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sthe\Desktop\"/>
    </mc:Choice>
  </mc:AlternateContent>
  <xr:revisionPtr revIDLastSave="0" documentId="13_ncr:1_{53D2B24B-495C-4073-920F-3608916E389B}" xr6:coauthVersionLast="45" xr6:coauthVersionMax="45" xr10:uidLastSave="{00000000-0000-0000-0000-000000000000}"/>
  <bookViews>
    <workbookView xWindow="-108" yWindow="-108" windowWidth="23256" windowHeight="12576" tabRatio="711" activeTab="2" xr2:uid="{00000000-000D-0000-FFFF-FFFF00000000}"/>
  </bookViews>
  <sheets>
    <sheet name="Emp.1" sheetId="1" r:id="rId1"/>
    <sheet name="Empl.2" sheetId="3" r:id="rId2"/>
    <sheet name="TP E2" sheetId="15" r:id="rId3"/>
    <sheet name="Empl.3" sheetId="5" r:id="rId4"/>
    <sheet name="TP E3" sheetId="14" r:id="rId5"/>
    <sheet name="employé3" sheetId="6" state="hidden" r:id="rId6"/>
    <sheet name="employé4" sheetId="7" state="hidden" r:id="rId7"/>
    <sheet name="employé5" sheetId="8" state="hidden" r:id="rId8"/>
    <sheet name="employé6" sheetId="9" state="hidden" r:id="rId9"/>
    <sheet name="employé7" sheetId="10" state="hidden" r:id="rId10"/>
    <sheet name="employé8" sheetId="11" state="hidden" r:id="rId11"/>
    <sheet name="sommaire" sheetId="4" r:id="rId12"/>
    <sheet name="remise" sheetId="2" r:id="rId13"/>
    <sheet name="Table 26" sheetId="12" r:id="rId14"/>
    <sheet name="Table 52" sheetId="13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14" l="1"/>
  <c r="E28" i="14"/>
  <c r="G21" i="14"/>
  <c r="G20" i="14"/>
  <c r="D20" i="14"/>
  <c r="D31" i="14" s="1"/>
  <c r="G19" i="14"/>
  <c r="D19" i="14"/>
  <c r="D29" i="14" s="1"/>
  <c r="G18" i="14"/>
  <c r="D18" i="14"/>
  <c r="G17" i="14"/>
  <c r="G23" i="14" s="1"/>
  <c r="C17" i="14"/>
  <c r="D30" i="14" s="1"/>
  <c r="G34" i="14" l="1"/>
  <c r="D23" i="14"/>
  <c r="D28" i="14"/>
  <c r="C19" i="15"/>
  <c r="C21" i="15"/>
  <c r="D43" i="15" s="1"/>
  <c r="AW12" i="3"/>
  <c r="S84" i="3"/>
  <c r="R84" i="3"/>
  <c r="S82" i="3"/>
  <c r="R82" i="3"/>
  <c r="S77" i="3"/>
  <c r="R77" i="3"/>
  <c r="S75" i="3"/>
  <c r="R75" i="3"/>
  <c r="S71" i="3"/>
  <c r="R71" i="3"/>
  <c r="S69" i="3"/>
  <c r="R69" i="3"/>
  <c r="S67" i="3"/>
  <c r="R67" i="3"/>
  <c r="S62" i="3"/>
  <c r="R62" i="3"/>
  <c r="S60" i="3"/>
  <c r="R60" i="3"/>
  <c r="S56" i="3"/>
  <c r="R56" i="3"/>
  <c r="S54" i="3"/>
  <c r="R54" i="3"/>
  <c r="S49" i="3"/>
  <c r="R49" i="3"/>
  <c r="S47" i="3"/>
  <c r="R47" i="3"/>
  <c r="S42" i="3"/>
  <c r="R42" i="3"/>
  <c r="S40" i="3"/>
  <c r="R40" i="3"/>
  <c r="S36" i="3"/>
  <c r="R36" i="3"/>
  <c r="S34" i="3"/>
  <c r="R34" i="3"/>
  <c r="S32" i="3"/>
  <c r="R32" i="3"/>
  <c r="S27" i="3"/>
  <c r="R27" i="3"/>
  <c r="S25" i="3"/>
  <c r="R25" i="3"/>
  <c r="S20" i="3"/>
  <c r="R20" i="3"/>
  <c r="S18" i="3"/>
  <c r="R18" i="3"/>
  <c r="S14" i="3"/>
  <c r="R14" i="3"/>
  <c r="C18" i="15" s="1"/>
  <c r="S12" i="3"/>
  <c r="R12" i="3"/>
  <c r="S67" i="5"/>
  <c r="R67" i="5"/>
  <c r="S40" i="5"/>
  <c r="R40" i="5"/>
  <c r="S60" i="5"/>
  <c r="R60" i="5"/>
  <c r="R18" i="5"/>
  <c r="S84" i="5"/>
  <c r="R84" i="5"/>
  <c r="S82" i="5"/>
  <c r="R82" i="5"/>
  <c r="S77" i="5"/>
  <c r="R77" i="5"/>
  <c r="S75" i="5"/>
  <c r="R75" i="5"/>
  <c r="S71" i="5"/>
  <c r="R71" i="5"/>
  <c r="S69" i="5"/>
  <c r="R69" i="5"/>
  <c r="S62" i="5"/>
  <c r="R62" i="5"/>
  <c r="S56" i="5"/>
  <c r="R56" i="5"/>
  <c r="S54" i="5"/>
  <c r="R54" i="5"/>
  <c r="S49" i="5"/>
  <c r="R49" i="5"/>
  <c r="S47" i="5"/>
  <c r="R47" i="5"/>
  <c r="S42" i="5"/>
  <c r="R42" i="5"/>
  <c r="S36" i="5"/>
  <c r="R36" i="5"/>
  <c r="S34" i="5"/>
  <c r="R34" i="5"/>
  <c r="R32" i="5"/>
  <c r="S32" i="5"/>
  <c r="R27" i="5"/>
  <c r="S27" i="5"/>
  <c r="S25" i="5"/>
  <c r="R25" i="5"/>
  <c r="R20" i="5"/>
  <c r="S20" i="5"/>
  <c r="S18" i="5"/>
  <c r="S14" i="5"/>
  <c r="R14" i="5"/>
  <c r="S12" i="5"/>
  <c r="R12" i="5"/>
  <c r="AO9" i="3"/>
  <c r="D40" i="15" l="1"/>
  <c r="D42" i="15"/>
  <c r="AG19" i="5"/>
  <c r="AK86" i="3"/>
  <c r="AK79" i="3"/>
  <c r="AK72" i="3"/>
  <c r="AK65" i="3"/>
  <c r="AK58" i="3"/>
  <c r="AK51" i="3"/>
  <c r="AK44" i="3"/>
  <c r="AK37" i="3"/>
  <c r="AK30" i="3"/>
  <c r="AK23" i="3"/>
  <c r="AK16" i="3"/>
  <c r="V6" i="3"/>
  <c r="AG4" i="3"/>
  <c r="AI15" i="3"/>
  <c r="AI86" i="5"/>
  <c r="AI85" i="5"/>
  <c r="AI83" i="5"/>
  <c r="AI82" i="5"/>
  <c r="AI81" i="5"/>
  <c r="AI78" i="5"/>
  <c r="AI76" i="5"/>
  <c r="AI75" i="5"/>
  <c r="AI74" i="5"/>
  <c r="AI79" i="5" s="1"/>
  <c r="AI71" i="5"/>
  <c r="AI69" i="5"/>
  <c r="AI68" i="5"/>
  <c r="AI67" i="5"/>
  <c r="AI72" i="5" s="1"/>
  <c r="AI64" i="5"/>
  <c r="AI62" i="5"/>
  <c r="AI61" i="5"/>
  <c r="AI60" i="5"/>
  <c r="AI57" i="5"/>
  <c r="AI55" i="5"/>
  <c r="AI54" i="5"/>
  <c r="AI53" i="5"/>
  <c r="AI50" i="5"/>
  <c r="AI48" i="5"/>
  <c r="AI47" i="5"/>
  <c r="AI46" i="5"/>
  <c r="AI43" i="5"/>
  <c r="AI41" i="5"/>
  <c r="AI40" i="5"/>
  <c r="AI39" i="5"/>
  <c r="AI36" i="5"/>
  <c r="AI34" i="5"/>
  <c r="AI37" i="5" s="1"/>
  <c r="AI33" i="5"/>
  <c r="AI32" i="5"/>
  <c r="AI29" i="5"/>
  <c r="AI27" i="5"/>
  <c r="AI26" i="5"/>
  <c r="AI25" i="5"/>
  <c r="AI15" i="5"/>
  <c r="AI13" i="5"/>
  <c r="AI11" i="5"/>
  <c r="AI8" i="5"/>
  <c r="AI6" i="5"/>
  <c r="AI5" i="5"/>
  <c r="AI4" i="5"/>
  <c r="AI9" i="5" s="1"/>
  <c r="AI18" i="5"/>
  <c r="AI19" i="5"/>
  <c r="AI20" i="5"/>
  <c r="AI22" i="5"/>
  <c r="T12" i="5"/>
  <c r="AN88" i="5"/>
  <c r="AO86" i="3"/>
  <c r="AP79" i="3"/>
  <c r="AO79" i="3"/>
  <c r="AP78" i="3"/>
  <c r="AP77" i="3"/>
  <c r="AP76" i="3"/>
  <c r="AP75" i="3"/>
  <c r="AP74" i="3"/>
  <c r="AO72" i="3"/>
  <c r="AO65" i="3"/>
  <c r="AO58" i="3"/>
  <c r="AO51" i="3"/>
  <c r="AO44" i="3"/>
  <c r="AO37" i="3"/>
  <c r="AO30" i="3"/>
  <c r="AO23" i="3"/>
  <c r="AO16" i="3"/>
  <c r="AO88" i="3" s="1"/>
  <c r="AP15" i="3"/>
  <c r="AN9" i="3"/>
  <c r="AO86" i="5"/>
  <c r="AO79" i="5"/>
  <c r="AO72" i="5"/>
  <c r="AO65" i="5"/>
  <c r="AO58" i="5"/>
  <c r="AO51" i="5"/>
  <c r="AO44" i="5"/>
  <c r="AO37" i="5"/>
  <c r="AO30" i="5"/>
  <c r="AO23" i="5"/>
  <c r="AN16" i="5"/>
  <c r="AO16" i="5"/>
  <c r="AO88" i="5" s="1"/>
  <c r="AN9" i="5"/>
  <c r="AO9" i="5"/>
  <c r="AP15" i="5"/>
  <c r="AI65" i="5" l="1"/>
  <c r="AI58" i="5"/>
  <c r="AI51" i="5"/>
  <c r="AI44" i="5"/>
  <c r="AI30" i="5"/>
  <c r="P14" i="1" l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T16" i="3"/>
  <c r="AD16" i="3"/>
  <c r="AE16" i="3"/>
  <c r="AR16" i="3"/>
  <c r="AS16" i="3"/>
  <c r="AT16" i="3"/>
  <c r="U16" i="5"/>
  <c r="W16" i="5"/>
  <c r="Z16" i="5"/>
  <c r="AB16" i="5"/>
  <c r="AD16" i="5"/>
  <c r="AE16" i="5"/>
  <c r="AF16" i="5"/>
  <c r="AK16" i="5"/>
  <c r="AR16" i="5"/>
  <c r="AS16" i="5"/>
  <c r="AT16" i="5"/>
  <c r="AU16" i="5"/>
  <c r="T16" i="5"/>
  <c r="F13" i="4" l="1"/>
  <c r="AG83" i="4"/>
  <c r="AF83" i="4"/>
  <c r="AE83" i="4"/>
  <c r="AD83" i="4"/>
  <c r="AC83" i="4"/>
  <c r="AF76" i="4"/>
  <c r="AG55" i="4"/>
  <c r="AG41" i="4"/>
  <c r="T52" i="1"/>
  <c r="T53" i="1"/>
  <c r="T54" i="1"/>
  <c r="T55" i="1"/>
  <c r="R52" i="1"/>
  <c r="R53" i="1"/>
  <c r="R54" i="1"/>
  <c r="R55" i="1"/>
  <c r="R38" i="1"/>
  <c r="R39" i="1"/>
  <c r="R40" i="1"/>
  <c r="R41" i="1"/>
  <c r="T38" i="1"/>
  <c r="T39" i="1"/>
  <c r="T40" i="1"/>
  <c r="T41" i="1"/>
  <c r="T31" i="1"/>
  <c r="T32" i="1"/>
  <c r="T33" i="1"/>
  <c r="T34" i="1"/>
  <c r="R31" i="1"/>
  <c r="R32" i="1"/>
  <c r="R33" i="1"/>
  <c r="R34" i="1"/>
  <c r="T3" i="1"/>
  <c r="T5" i="1"/>
  <c r="R3" i="1"/>
  <c r="R4" i="1"/>
  <c r="T4" i="1" s="1"/>
  <c r="R5" i="1"/>
  <c r="R6" i="1"/>
  <c r="T6" i="1" s="1"/>
  <c r="R17" i="1"/>
  <c r="R18" i="1"/>
  <c r="R19" i="1"/>
  <c r="R20" i="1"/>
  <c r="T20" i="1" s="1"/>
  <c r="T17" i="1"/>
  <c r="T18" i="1"/>
  <c r="T19" i="1"/>
  <c r="AC73" i="1"/>
  <c r="AC74" i="1"/>
  <c r="AC75" i="1"/>
  <c r="AC76" i="1"/>
  <c r="AC70" i="1"/>
  <c r="AC66" i="1"/>
  <c r="AC67" i="1"/>
  <c r="AC68" i="1"/>
  <c r="AC69" i="1"/>
  <c r="R66" i="1"/>
  <c r="R67" i="1"/>
  <c r="R68" i="1"/>
  <c r="R69" i="1"/>
  <c r="T66" i="1"/>
  <c r="T67" i="1"/>
  <c r="T68" i="1"/>
  <c r="T69" i="1"/>
  <c r="T73" i="1"/>
  <c r="T74" i="1"/>
  <c r="T75" i="1"/>
  <c r="T76" i="1"/>
  <c r="R73" i="1"/>
  <c r="R74" i="1"/>
  <c r="R75" i="1"/>
  <c r="R76" i="1"/>
  <c r="S21" i="1"/>
  <c r="AU86" i="5"/>
  <c r="AW85" i="5"/>
  <c r="AT85" i="5"/>
  <c r="AS85" i="5"/>
  <c r="AR85" i="5"/>
  <c r="AW84" i="5"/>
  <c r="AT84" i="5"/>
  <c r="AS84" i="5"/>
  <c r="AR84" i="5"/>
  <c r="AW83" i="5"/>
  <c r="AT83" i="5"/>
  <c r="AS83" i="5"/>
  <c r="AR83" i="5"/>
  <c r="AW82" i="5"/>
  <c r="AW86" i="5" s="1"/>
  <c r="AT82" i="5"/>
  <c r="AT86" i="5" s="1"/>
  <c r="AS82" i="5"/>
  <c r="AS86" i="5" s="1"/>
  <c r="AR82" i="5"/>
  <c r="AR86" i="5" s="1"/>
  <c r="AW81" i="5"/>
  <c r="AU79" i="5"/>
  <c r="AT79" i="5"/>
  <c r="AW78" i="5"/>
  <c r="AT78" i="5"/>
  <c r="AS78" i="5"/>
  <c r="AR78" i="5"/>
  <c r="AW77" i="5"/>
  <c r="AT77" i="5"/>
  <c r="AS77" i="5"/>
  <c r="AR77" i="5"/>
  <c r="AW76" i="5"/>
  <c r="AT76" i="5"/>
  <c r="AS76" i="5"/>
  <c r="AR76" i="5"/>
  <c r="AW75" i="5"/>
  <c r="AT75" i="5"/>
  <c r="AS75" i="5"/>
  <c r="AS79" i="5" s="1"/>
  <c r="AR75" i="5"/>
  <c r="AR79" i="5" s="1"/>
  <c r="AW74" i="5"/>
  <c r="AW79" i="5" s="1"/>
  <c r="AU72" i="5"/>
  <c r="AW71" i="5"/>
  <c r="AT71" i="5"/>
  <c r="AS71" i="5"/>
  <c r="AR71" i="5"/>
  <c r="AW70" i="5"/>
  <c r="AT70" i="5"/>
  <c r="AS70" i="5"/>
  <c r="AR70" i="5"/>
  <c r="AW69" i="5"/>
  <c r="AT69" i="5"/>
  <c r="AS69" i="5"/>
  <c r="AR69" i="5"/>
  <c r="AW68" i="5"/>
  <c r="AT68" i="5"/>
  <c r="AT72" i="5" s="1"/>
  <c r="AS68" i="5"/>
  <c r="AS72" i="5" s="1"/>
  <c r="AR68" i="5"/>
  <c r="AR72" i="5" s="1"/>
  <c r="AW67" i="5"/>
  <c r="AW72" i="5" s="1"/>
  <c r="AU65" i="5"/>
  <c r="AW64" i="5"/>
  <c r="AT64" i="5"/>
  <c r="AS64" i="5"/>
  <c r="AR64" i="5"/>
  <c r="AW63" i="5"/>
  <c r="AT63" i="5"/>
  <c r="AS63" i="5"/>
  <c r="AR63" i="5"/>
  <c r="AW62" i="5"/>
  <c r="AT62" i="5"/>
  <c r="AS62" i="5"/>
  <c r="AR62" i="5"/>
  <c r="AW61" i="5"/>
  <c r="AW65" i="5" s="1"/>
  <c r="AT61" i="5"/>
  <c r="AT65" i="5" s="1"/>
  <c r="AS61" i="5"/>
  <c r="AS65" i="5" s="1"/>
  <c r="AR61" i="5"/>
  <c r="AR65" i="5" s="1"/>
  <c r="AW60" i="5"/>
  <c r="AU58" i="5"/>
  <c r="AW57" i="5"/>
  <c r="AT57" i="5"/>
  <c r="AS57" i="5"/>
  <c r="AR57" i="5"/>
  <c r="AW56" i="5"/>
  <c r="AT56" i="5"/>
  <c r="AS56" i="5"/>
  <c r="AR56" i="5"/>
  <c r="AW55" i="5"/>
  <c r="AT55" i="5"/>
  <c r="AS55" i="5"/>
  <c r="AR55" i="5"/>
  <c r="AW54" i="5"/>
  <c r="AW58" i="5" s="1"/>
  <c r="AT54" i="5"/>
  <c r="AT58" i="5" s="1"/>
  <c r="AS54" i="5"/>
  <c r="AS58" i="5" s="1"/>
  <c r="AD55" i="4" s="1"/>
  <c r="AR54" i="5"/>
  <c r="AR58" i="5" s="1"/>
  <c r="AW53" i="5"/>
  <c r="AU51" i="5"/>
  <c r="AW50" i="5"/>
  <c r="AT50" i="5"/>
  <c r="AS50" i="5"/>
  <c r="AR50" i="5"/>
  <c r="AW49" i="5"/>
  <c r="AT49" i="5"/>
  <c r="AS49" i="5"/>
  <c r="AR49" i="5"/>
  <c r="AW48" i="5"/>
  <c r="AT48" i="5"/>
  <c r="AS48" i="5"/>
  <c r="AR48" i="5"/>
  <c r="AW47" i="5"/>
  <c r="AW51" i="5" s="1"/>
  <c r="AT47" i="5"/>
  <c r="AT51" i="5" s="1"/>
  <c r="AS47" i="5"/>
  <c r="AS51" i="5" s="1"/>
  <c r="AD48" i="4" s="1"/>
  <c r="AR47" i="5"/>
  <c r="AR51" i="5" s="1"/>
  <c r="AW46" i="5"/>
  <c r="AU44" i="5"/>
  <c r="AW43" i="5"/>
  <c r="AT43" i="5"/>
  <c r="AS43" i="5"/>
  <c r="AR43" i="5"/>
  <c r="AW42" i="5"/>
  <c r="AT42" i="5"/>
  <c r="AS42" i="5"/>
  <c r="AR42" i="5"/>
  <c r="AW41" i="5"/>
  <c r="AT41" i="5"/>
  <c r="AS41" i="5"/>
  <c r="AR41" i="5"/>
  <c r="AW40" i="5"/>
  <c r="AW44" i="5" s="1"/>
  <c r="AT40" i="5"/>
  <c r="AT44" i="5" s="1"/>
  <c r="AS40" i="5"/>
  <c r="AS44" i="5" s="1"/>
  <c r="AR40" i="5"/>
  <c r="AR44" i="5" s="1"/>
  <c r="AW39" i="5"/>
  <c r="AU37" i="5"/>
  <c r="AW36" i="5"/>
  <c r="AT36" i="5"/>
  <c r="AS36" i="5"/>
  <c r="AR36" i="5"/>
  <c r="AW35" i="5"/>
  <c r="AT35" i="5"/>
  <c r="AS35" i="5"/>
  <c r="AR35" i="5"/>
  <c r="AW34" i="5"/>
  <c r="AT34" i="5"/>
  <c r="AS34" i="5"/>
  <c r="AR34" i="5"/>
  <c r="AW33" i="5"/>
  <c r="AT33" i="5"/>
  <c r="AT37" i="5" s="1"/>
  <c r="AS33" i="5"/>
  <c r="AS37" i="5" s="1"/>
  <c r="AR33" i="5"/>
  <c r="AR37" i="5" s="1"/>
  <c r="AW32" i="5"/>
  <c r="AW37" i="5" s="1"/>
  <c r="AU30" i="5"/>
  <c r="AW29" i="5"/>
  <c r="AT29" i="5"/>
  <c r="AS29" i="5"/>
  <c r="AR29" i="5"/>
  <c r="AW28" i="5"/>
  <c r="AT28" i="5"/>
  <c r="AS28" i="5"/>
  <c r="AR28" i="5"/>
  <c r="AW27" i="5"/>
  <c r="AW30" i="5" s="1"/>
  <c r="AT27" i="5"/>
  <c r="AS27" i="5"/>
  <c r="AR27" i="5"/>
  <c r="AW26" i="5"/>
  <c r="AT26" i="5"/>
  <c r="AT30" i="5" s="1"/>
  <c r="AS26" i="5"/>
  <c r="AS30" i="5" s="1"/>
  <c r="AR26" i="5"/>
  <c r="AR30" i="5" s="1"/>
  <c r="AW25" i="5"/>
  <c r="AU23" i="5"/>
  <c r="AW22" i="5"/>
  <c r="AT22" i="5"/>
  <c r="AS22" i="5"/>
  <c r="AR22" i="5"/>
  <c r="AW21" i="5"/>
  <c r="AT21" i="5"/>
  <c r="AS21" i="5"/>
  <c r="AR21" i="5"/>
  <c r="AW20" i="5"/>
  <c r="AT20" i="5"/>
  <c r="AS20" i="5"/>
  <c r="AR20" i="5"/>
  <c r="AW19" i="5"/>
  <c r="AW23" i="5" s="1"/>
  <c r="AT19" i="5"/>
  <c r="AT23" i="5" s="1"/>
  <c r="AS19" i="5"/>
  <c r="AS23" i="5" s="1"/>
  <c r="AR19" i="5"/>
  <c r="AR23" i="5" s="1"/>
  <c r="AW18" i="5"/>
  <c r="AW14" i="5"/>
  <c r="AT14" i="5"/>
  <c r="AS14" i="5"/>
  <c r="AR14" i="5"/>
  <c r="AW13" i="5"/>
  <c r="AT13" i="5"/>
  <c r="AS13" i="5"/>
  <c r="AR13" i="5"/>
  <c r="AW12" i="5"/>
  <c r="AW16" i="5" s="1"/>
  <c r="AT12" i="5"/>
  <c r="AS12" i="5"/>
  <c r="AR12" i="5"/>
  <c r="AW11" i="5"/>
  <c r="AT11" i="5"/>
  <c r="AS11" i="5"/>
  <c r="AR11" i="5"/>
  <c r="AU9" i="5"/>
  <c r="AW8" i="5"/>
  <c r="AT8" i="5"/>
  <c r="AS8" i="5"/>
  <c r="AR8" i="5"/>
  <c r="AW7" i="5"/>
  <c r="AT7" i="5"/>
  <c r="AS7" i="5"/>
  <c r="AR7" i="5"/>
  <c r="AW6" i="5"/>
  <c r="AT6" i="5"/>
  <c r="AS6" i="5"/>
  <c r="AR6" i="5"/>
  <c r="AW5" i="5"/>
  <c r="AT5" i="5"/>
  <c r="AT9" i="5" s="1"/>
  <c r="AS5" i="5"/>
  <c r="AS9" i="5" s="1"/>
  <c r="AR5" i="5"/>
  <c r="AW4" i="5"/>
  <c r="AW9" i="5" s="1"/>
  <c r="AU86" i="3"/>
  <c r="AW85" i="3"/>
  <c r="AT85" i="3"/>
  <c r="AS85" i="3"/>
  <c r="AR85" i="3"/>
  <c r="AW84" i="3"/>
  <c r="AT84" i="3"/>
  <c r="AS84" i="3"/>
  <c r="AR84" i="3"/>
  <c r="AW83" i="3"/>
  <c r="AT83" i="3"/>
  <c r="AS83" i="3"/>
  <c r="AR83" i="3"/>
  <c r="AW82" i="3"/>
  <c r="AW86" i="3" s="1"/>
  <c r="AT82" i="3"/>
  <c r="AT86" i="3" s="1"/>
  <c r="AS82" i="3"/>
  <c r="AS86" i="3" s="1"/>
  <c r="AR82" i="3"/>
  <c r="AR86" i="3" s="1"/>
  <c r="AW81" i="3"/>
  <c r="AU79" i="3"/>
  <c r="AW78" i="3"/>
  <c r="AT78" i="3"/>
  <c r="AS78" i="3"/>
  <c r="AR78" i="3"/>
  <c r="AW77" i="3"/>
  <c r="AT77" i="3"/>
  <c r="AS77" i="3"/>
  <c r="AR77" i="3"/>
  <c r="AW76" i="3"/>
  <c r="AT76" i="3"/>
  <c r="AS76" i="3"/>
  <c r="AR76" i="3"/>
  <c r="AW75" i="3"/>
  <c r="AT75" i="3"/>
  <c r="AT79" i="3" s="1"/>
  <c r="AS75" i="3"/>
  <c r="AS79" i="3" s="1"/>
  <c r="AR75" i="3"/>
  <c r="AR79" i="3" s="1"/>
  <c r="AW74" i="3"/>
  <c r="AW79" i="3" s="1"/>
  <c r="AG76" i="4" s="1"/>
  <c r="AU72" i="3"/>
  <c r="AF69" i="4" s="1"/>
  <c r="AW71" i="3"/>
  <c r="AT71" i="3"/>
  <c r="AS71" i="3"/>
  <c r="AR71" i="3"/>
  <c r="AW70" i="3"/>
  <c r="AT70" i="3"/>
  <c r="AS70" i="3"/>
  <c r="AR70" i="3"/>
  <c r="AW69" i="3"/>
  <c r="AT69" i="3"/>
  <c r="AS69" i="3"/>
  <c r="AR69" i="3"/>
  <c r="AW68" i="3"/>
  <c r="AW72" i="3" s="1"/>
  <c r="AG69" i="4" s="1"/>
  <c r="AT68" i="3"/>
  <c r="AT72" i="3" s="1"/>
  <c r="AS68" i="3"/>
  <c r="AS72" i="3" s="1"/>
  <c r="AD69" i="4" s="1"/>
  <c r="AR68" i="3"/>
  <c r="AR72" i="3" s="1"/>
  <c r="AW67" i="3"/>
  <c r="AU65" i="3"/>
  <c r="AW64" i="3"/>
  <c r="AT64" i="3"/>
  <c r="AS64" i="3"/>
  <c r="AR64" i="3"/>
  <c r="AW63" i="3"/>
  <c r="AT63" i="3"/>
  <c r="AS63" i="3"/>
  <c r="AR63" i="3"/>
  <c r="AW62" i="3"/>
  <c r="AT62" i="3"/>
  <c r="AS62" i="3"/>
  <c r="AR62" i="3"/>
  <c r="AW61" i="3"/>
  <c r="AT61" i="3"/>
  <c r="AT65" i="3" s="1"/>
  <c r="AS61" i="3"/>
  <c r="AS65" i="3" s="1"/>
  <c r="AR61" i="3"/>
  <c r="AR65" i="3" s="1"/>
  <c r="AC62" i="4" s="1"/>
  <c r="AW60" i="3"/>
  <c r="AW65" i="3" s="1"/>
  <c r="AG62" i="4" s="1"/>
  <c r="AU58" i="3"/>
  <c r="AW57" i="3"/>
  <c r="AT57" i="3"/>
  <c r="AS57" i="3"/>
  <c r="AR57" i="3"/>
  <c r="AW56" i="3"/>
  <c r="AT56" i="3"/>
  <c r="AS56" i="3"/>
  <c r="AR56" i="3"/>
  <c r="AW55" i="3"/>
  <c r="AT55" i="3"/>
  <c r="AS55" i="3"/>
  <c r="AR55" i="3"/>
  <c r="AW54" i="3"/>
  <c r="AW58" i="3" s="1"/>
  <c r="AT54" i="3"/>
  <c r="AT58" i="3" s="1"/>
  <c r="AS54" i="3"/>
  <c r="AS58" i="3" s="1"/>
  <c r="AR54" i="3"/>
  <c r="AR58" i="3" s="1"/>
  <c r="AW53" i="3"/>
  <c r="AU51" i="3"/>
  <c r="AW50" i="3"/>
  <c r="AT50" i="3"/>
  <c r="AS50" i="3"/>
  <c r="AR50" i="3"/>
  <c r="AW49" i="3"/>
  <c r="AT49" i="3"/>
  <c r="AS49" i="3"/>
  <c r="AR49" i="3"/>
  <c r="AW48" i="3"/>
  <c r="AT48" i="3"/>
  <c r="AS48" i="3"/>
  <c r="AR48" i="3"/>
  <c r="AW47" i="3"/>
  <c r="AT47" i="3"/>
  <c r="AT51" i="3" s="1"/>
  <c r="AS47" i="3"/>
  <c r="AS51" i="3" s="1"/>
  <c r="AR47" i="3"/>
  <c r="AR51" i="3" s="1"/>
  <c r="AW46" i="3"/>
  <c r="AU44" i="3"/>
  <c r="AW43" i="3"/>
  <c r="AT43" i="3"/>
  <c r="AS43" i="3"/>
  <c r="AR43" i="3"/>
  <c r="AW42" i="3"/>
  <c r="AT42" i="3"/>
  <c r="AS42" i="3"/>
  <c r="AR42" i="3"/>
  <c r="AW41" i="3"/>
  <c r="AT41" i="3"/>
  <c r="AS41" i="3"/>
  <c r="AR41" i="3"/>
  <c r="AW40" i="3"/>
  <c r="AT40" i="3"/>
  <c r="AT44" i="3" s="1"/>
  <c r="AS40" i="3"/>
  <c r="AS44" i="3" s="1"/>
  <c r="AR40" i="3"/>
  <c r="AR44" i="3" s="1"/>
  <c r="AW39" i="3"/>
  <c r="AW44" i="3" s="1"/>
  <c r="AU37" i="3"/>
  <c r="AW36" i="3"/>
  <c r="AT36" i="3"/>
  <c r="AS36" i="3"/>
  <c r="AR36" i="3"/>
  <c r="AW35" i="3"/>
  <c r="AT35" i="3"/>
  <c r="AS35" i="3"/>
  <c r="AR35" i="3"/>
  <c r="AW34" i="3"/>
  <c r="AT34" i="3"/>
  <c r="AS34" i="3"/>
  <c r="AR34" i="3"/>
  <c r="AW33" i="3"/>
  <c r="AW37" i="3" s="1"/>
  <c r="AG34" i="4" s="1"/>
  <c r="AT33" i="3"/>
  <c r="AT37" i="3" s="1"/>
  <c r="AE34" i="4" s="1"/>
  <c r="AS33" i="3"/>
  <c r="AS37" i="3" s="1"/>
  <c r="AR33" i="3"/>
  <c r="AR37" i="3" s="1"/>
  <c r="AW32" i="3"/>
  <c r="AU30" i="3"/>
  <c r="AW29" i="3"/>
  <c r="AT29" i="3"/>
  <c r="AS29" i="3"/>
  <c r="AR29" i="3"/>
  <c r="AW28" i="3"/>
  <c r="AT28" i="3"/>
  <c r="AS28" i="3"/>
  <c r="AR28" i="3"/>
  <c r="AW27" i="3"/>
  <c r="AT27" i="3"/>
  <c r="AS27" i="3"/>
  <c r="AR27" i="3"/>
  <c r="AW26" i="3"/>
  <c r="AW30" i="3" s="1"/>
  <c r="AG27" i="4" s="1"/>
  <c r="AT26" i="3"/>
  <c r="AT30" i="3" s="1"/>
  <c r="AS26" i="3"/>
  <c r="AS30" i="3" s="1"/>
  <c r="AD27" i="4" s="1"/>
  <c r="AR26" i="3"/>
  <c r="AR30" i="3" s="1"/>
  <c r="AW25" i="3"/>
  <c r="AU23" i="3"/>
  <c r="AW22" i="3"/>
  <c r="AT22" i="3"/>
  <c r="AS22" i="3"/>
  <c r="AR22" i="3"/>
  <c r="AW21" i="3"/>
  <c r="AT21" i="3"/>
  <c r="AS21" i="3"/>
  <c r="AR21" i="3"/>
  <c r="AW20" i="3"/>
  <c r="AT20" i="3"/>
  <c r="AS20" i="3"/>
  <c r="AR20" i="3"/>
  <c r="AW19" i="3"/>
  <c r="AT19" i="3"/>
  <c r="AT23" i="3" s="1"/>
  <c r="AS19" i="3"/>
  <c r="AS23" i="3" s="1"/>
  <c r="AR19" i="3"/>
  <c r="AR23" i="3" s="1"/>
  <c r="AW18" i="3"/>
  <c r="AW23" i="3" s="1"/>
  <c r="AG20" i="4" s="1"/>
  <c r="AW14" i="3"/>
  <c r="C20" i="15" s="1"/>
  <c r="AT14" i="3"/>
  <c r="AS14" i="3"/>
  <c r="AR14" i="3"/>
  <c r="AW13" i="3"/>
  <c r="AT13" i="3"/>
  <c r="AS13" i="3"/>
  <c r="AR13" i="3"/>
  <c r="AT12" i="3"/>
  <c r="AS12" i="3"/>
  <c r="AR12" i="3"/>
  <c r="AW11" i="3"/>
  <c r="AT11" i="3"/>
  <c r="AS11" i="3"/>
  <c r="AR11" i="3"/>
  <c r="AU9" i="3"/>
  <c r="AW5" i="3"/>
  <c r="AW6" i="3"/>
  <c r="AW7" i="3"/>
  <c r="AW8" i="3"/>
  <c r="AW4" i="3"/>
  <c r="D41" i="15" l="1"/>
  <c r="C24" i="15"/>
  <c r="AW16" i="3"/>
  <c r="AG13" i="4" s="1"/>
  <c r="AW51" i="3"/>
  <c r="AG48" i="4" s="1"/>
  <c r="AW88" i="5"/>
  <c r="AD76" i="4"/>
  <c r="AE20" i="4"/>
  <c r="AC27" i="4"/>
  <c r="AF27" i="4"/>
  <c r="AE48" i="4"/>
  <c r="AC55" i="4"/>
  <c r="AF55" i="4"/>
  <c r="AE27" i="4"/>
  <c r="AC34" i="4"/>
  <c r="AF34" i="4"/>
  <c r="AE55" i="4"/>
  <c r="AF62" i="4"/>
  <c r="AD34" i="4"/>
  <c r="AD62" i="4"/>
  <c r="AF7" i="4"/>
  <c r="AC41" i="4"/>
  <c r="AF41" i="4"/>
  <c r="AE62" i="4"/>
  <c r="AC69" i="4"/>
  <c r="AD41" i="4"/>
  <c r="AF20" i="4"/>
  <c r="AE41" i="4"/>
  <c r="AC48" i="4"/>
  <c r="AF48" i="4"/>
  <c r="AE69" i="4"/>
  <c r="AC76" i="4"/>
  <c r="AE76" i="4"/>
  <c r="AU88" i="5"/>
  <c r="AW9" i="3"/>
  <c r="AS88" i="5"/>
  <c r="AR9" i="5"/>
  <c r="AC18" i="1"/>
  <c r="AC17" i="1"/>
  <c r="AC19" i="1"/>
  <c r="AF83" i="1"/>
  <c r="AF82" i="1"/>
  <c r="AF81" i="1"/>
  <c r="AF80" i="1"/>
  <c r="AF79" i="1"/>
  <c r="AF76" i="1"/>
  <c r="AF75" i="1"/>
  <c r="AF74" i="1"/>
  <c r="AF73" i="1"/>
  <c r="AF72" i="1"/>
  <c r="AF69" i="1"/>
  <c r="AF68" i="1"/>
  <c r="AF67" i="1"/>
  <c r="AF66" i="1"/>
  <c r="AF62" i="1"/>
  <c r="AF61" i="1"/>
  <c r="AF60" i="1"/>
  <c r="AF59" i="1"/>
  <c r="AF58" i="1"/>
  <c r="AF55" i="1"/>
  <c r="AF54" i="1"/>
  <c r="AF53" i="1"/>
  <c r="AF52" i="1"/>
  <c r="AF48" i="1"/>
  <c r="AF47" i="1"/>
  <c r="AF46" i="1"/>
  <c r="AF45" i="1"/>
  <c r="AF44" i="1"/>
  <c r="AF41" i="1"/>
  <c r="AF40" i="1"/>
  <c r="AF39" i="1"/>
  <c r="AF38" i="1"/>
  <c r="AF37" i="1"/>
  <c r="AF34" i="1"/>
  <c r="AF33" i="1"/>
  <c r="AF32" i="1"/>
  <c r="AF31" i="1"/>
  <c r="AF30" i="1"/>
  <c r="AF27" i="1"/>
  <c r="AF26" i="1"/>
  <c r="AF25" i="1"/>
  <c r="AF24" i="1"/>
  <c r="AF23" i="1"/>
  <c r="AF20" i="1"/>
  <c r="AF19" i="1"/>
  <c r="AF18" i="1"/>
  <c r="AF17" i="1"/>
  <c r="AF16" i="1"/>
  <c r="AD83" i="1"/>
  <c r="AD82" i="1"/>
  <c r="AD81" i="1"/>
  <c r="AD80" i="1"/>
  <c r="AD79" i="1"/>
  <c r="AD76" i="1"/>
  <c r="AD75" i="1"/>
  <c r="AD74" i="1"/>
  <c r="AD73" i="1"/>
  <c r="AD72" i="1"/>
  <c r="AD69" i="1"/>
  <c r="AD68" i="1"/>
  <c r="AD67" i="1"/>
  <c r="AD66" i="1"/>
  <c r="AD62" i="1"/>
  <c r="AD61" i="1"/>
  <c r="AD60" i="1"/>
  <c r="AD59" i="1"/>
  <c r="AD58" i="1"/>
  <c r="AD55" i="1"/>
  <c r="AD54" i="1"/>
  <c r="AD53" i="1"/>
  <c r="AD52" i="1"/>
  <c r="AD48" i="1"/>
  <c r="AD47" i="1"/>
  <c r="AD46" i="1"/>
  <c r="AD45" i="1"/>
  <c r="AD44" i="1"/>
  <c r="AD41" i="1"/>
  <c r="AD40" i="1"/>
  <c r="AD39" i="1"/>
  <c r="AD38" i="1"/>
  <c r="AD37" i="1"/>
  <c r="AD34" i="1"/>
  <c r="AD33" i="1"/>
  <c r="AD32" i="1"/>
  <c r="AD31" i="1"/>
  <c r="AD30" i="1"/>
  <c r="AD27" i="1"/>
  <c r="AD26" i="1"/>
  <c r="AD25" i="1"/>
  <c r="AD24" i="1"/>
  <c r="AD23" i="1"/>
  <c r="AD20" i="1"/>
  <c r="AD19" i="1"/>
  <c r="AD18" i="1"/>
  <c r="AD17" i="1"/>
  <c r="AD16" i="1"/>
  <c r="AF12" i="1"/>
  <c r="AF11" i="1"/>
  <c r="AF10" i="1"/>
  <c r="AD12" i="1"/>
  <c r="AD11" i="1"/>
  <c r="AD10" i="1"/>
  <c r="AF5" i="1"/>
  <c r="AF6" i="1"/>
  <c r="AD5" i="1"/>
  <c r="AD6" i="1"/>
  <c r="AW88" i="3" l="1"/>
  <c r="AG85" i="4" s="1"/>
  <c r="AG7" i="4"/>
  <c r="AG87" i="4" s="1"/>
  <c r="AT88" i="5"/>
  <c r="AR88" i="5"/>
  <c r="T10" i="1"/>
  <c r="AQ10" i="1" s="1"/>
  <c r="U10" i="1" s="1"/>
  <c r="AL20" i="1"/>
  <c r="AL19" i="1"/>
  <c r="AL18" i="1"/>
  <c r="AL17" i="1"/>
  <c r="AL16" i="1"/>
  <c r="AL83" i="1"/>
  <c r="AL82" i="1"/>
  <c r="AL81" i="1"/>
  <c r="AL80" i="1"/>
  <c r="AL79" i="1"/>
  <c r="AL76" i="1"/>
  <c r="AL75" i="1"/>
  <c r="AL74" i="1"/>
  <c r="AL73" i="1"/>
  <c r="AL72" i="1"/>
  <c r="AL69" i="1"/>
  <c r="AL68" i="1"/>
  <c r="AL67" i="1"/>
  <c r="AL66" i="1"/>
  <c r="AL62" i="1"/>
  <c r="AL61" i="1"/>
  <c r="AL60" i="1"/>
  <c r="AL59" i="1"/>
  <c r="AL58" i="1"/>
  <c r="AL55" i="1"/>
  <c r="AL54" i="1"/>
  <c r="AL53" i="1"/>
  <c r="AL52" i="1"/>
  <c r="AL48" i="1"/>
  <c r="AL47" i="1"/>
  <c r="AL46" i="1"/>
  <c r="AL45" i="1"/>
  <c r="AL44" i="1"/>
  <c r="AL41" i="1"/>
  <c r="AL40" i="1"/>
  <c r="AL39" i="1"/>
  <c r="AL38" i="1"/>
  <c r="AL37" i="1"/>
  <c r="AL34" i="1"/>
  <c r="AL33" i="1"/>
  <c r="AL32" i="1"/>
  <c r="AL31" i="1"/>
  <c r="AL30" i="1"/>
  <c r="AL27" i="1"/>
  <c r="AL26" i="1"/>
  <c r="AL25" i="1"/>
  <c r="AL24" i="1"/>
  <c r="AL23" i="1"/>
  <c r="Y83" i="1"/>
  <c r="Y82" i="1"/>
  <c r="Y81" i="1"/>
  <c r="Y80" i="1"/>
  <c r="Y79" i="1"/>
  <c r="Y76" i="1"/>
  <c r="Y75" i="1"/>
  <c r="Y74" i="1"/>
  <c r="Y73" i="1"/>
  <c r="Y72" i="1"/>
  <c r="Y69" i="1"/>
  <c r="Y68" i="1"/>
  <c r="Y67" i="1"/>
  <c r="Y66" i="1"/>
  <c r="Y62" i="1"/>
  <c r="Y61" i="1"/>
  <c r="Y60" i="1"/>
  <c r="Y59" i="1"/>
  <c r="Y58" i="1"/>
  <c r="Y55" i="1"/>
  <c r="Y54" i="1"/>
  <c r="Y53" i="1"/>
  <c r="Y52" i="1"/>
  <c r="Y48" i="1"/>
  <c r="Y47" i="1"/>
  <c r="Y46" i="1"/>
  <c r="Y45" i="1"/>
  <c r="Y44" i="1"/>
  <c r="Y41" i="1"/>
  <c r="Y40" i="1"/>
  <c r="Y39" i="1"/>
  <c r="Y38" i="1"/>
  <c r="Y37" i="1"/>
  <c r="Y34" i="1"/>
  <c r="Y33" i="1"/>
  <c r="Y32" i="1"/>
  <c r="Y31" i="1"/>
  <c r="Y30" i="1"/>
  <c r="Y27" i="1"/>
  <c r="Y26" i="1"/>
  <c r="Y25" i="1"/>
  <c r="Y24" i="1"/>
  <c r="Y23" i="1"/>
  <c r="Y20" i="1"/>
  <c r="Y19" i="1"/>
  <c r="Y18" i="1"/>
  <c r="Y17" i="1"/>
  <c r="Y16" i="1"/>
  <c r="AL10" i="1"/>
  <c r="AL11" i="1"/>
  <c r="AL12" i="1"/>
  <c r="Y10" i="1"/>
  <c r="Y11" i="1"/>
  <c r="Y12" i="1"/>
  <c r="AL5" i="1"/>
  <c r="AL6" i="1"/>
  <c r="Y5" i="1"/>
  <c r="Y6" i="1"/>
  <c r="Q86" i="1"/>
  <c r="Q84" i="1"/>
  <c r="R84" i="1"/>
  <c r="S84" i="1"/>
  <c r="V84" i="1"/>
  <c r="W84" i="1"/>
  <c r="X84" i="1"/>
  <c r="Y84" i="1"/>
  <c r="Z84" i="1"/>
  <c r="AA84" i="1"/>
  <c r="AB84" i="1"/>
  <c r="AC84" i="1"/>
  <c r="AG84" i="1"/>
  <c r="AJ84" i="1"/>
  <c r="AL84" i="1"/>
  <c r="AM84" i="1"/>
  <c r="AN84" i="1"/>
  <c r="AO84" i="1"/>
  <c r="AP84" i="1"/>
  <c r="P84" i="1"/>
  <c r="Q77" i="1"/>
  <c r="R77" i="1"/>
  <c r="S77" i="1"/>
  <c r="V77" i="1"/>
  <c r="W77" i="1"/>
  <c r="X77" i="1"/>
  <c r="AA77" i="1"/>
  <c r="AB77" i="1"/>
  <c r="AG77" i="1"/>
  <c r="AJ77" i="1"/>
  <c r="P77" i="1"/>
  <c r="Q70" i="1"/>
  <c r="S70" i="1"/>
  <c r="V70" i="1"/>
  <c r="W70" i="1"/>
  <c r="X70" i="1"/>
  <c r="AA70" i="1"/>
  <c r="AB70" i="1"/>
  <c r="AG70" i="1"/>
  <c r="AJ70" i="1"/>
  <c r="AN70" i="1"/>
  <c r="AO70" i="1"/>
  <c r="AP70" i="1"/>
  <c r="P70" i="1"/>
  <c r="Q63" i="1"/>
  <c r="R63" i="1"/>
  <c r="S63" i="1"/>
  <c r="V63" i="1"/>
  <c r="W63" i="1"/>
  <c r="X63" i="1"/>
  <c r="Y63" i="1"/>
  <c r="Z63" i="1"/>
  <c r="AA63" i="1"/>
  <c r="AB63" i="1"/>
  <c r="AC63" i="1"/>
  <c r="AG63" i="1"/>
  <c r="AJ63" i="1"/>
  <c r="AL63" i="1"/>
  <c r="AM63" i="1"/>
  <c r="AN63" i="1"/>
  <c r="AO63" i="1"/>
  <c r="AP63" i="1"/>
  <c r="P63" i="1"/>
  <c r="Q56" i="1"/>
  <c r="S56" i="1"/>
  <c r="V56" i="1"/>
  <c r="W56" i="1"/>
  <c r="X56" i="1"/>
  <c r="AA56" i="1"/>
  <c r="AB56" i="1"/>
  <c r="AG56" i="1"/>
  <c r="AJ56" i="1"/>
  <c r="P56" i="1"/>
  <c r="Q49" i="1"/>
  <c r="R49" i="1"/>
  <c r="S49" i="1"/>
  <c r="V49" i="1"/>
  <c r="W49" i="1"/>
  <c r="X49" i="1"/>
  <c r="Y49" i="1"/>
  <c r="Z49" i="1"/>
  <c r="AA49" i="1"/>
  <c r="AB49" i="1"/>
  <c r="AC49" i="1"/>
  <c r="AG49" i="1"/>
  <c r="AJ49" i="1"/>
  <c r="AL49" i="1"/>
  <c r="AM49" i="1"/>
  <c r="AN49" i="1"/>
  <c r="AO49" i="1"/>
  <c r="AP49" i="1"/>
  <c r="P49" i="1"/>
  <c r="Q42" i="1"/>
  <c r="R42" i="1"/>
  <c r="S42" i="1"/>
  <c r="V42" i="1"/>
  <c r="W42" i="1"/>
  <c r="X42" i="1"/>
  <c r="Z42" i="1"/>
  <c r="AA42" i="1"/>
  <c r="AB42" i="1"/>
  <c r="AG42" i="1"/>
  <c r="AJ42" i="1"/>
  <c r="P42" i="1"/>
  <c r="Q35" i="1"/>
  <c r="R35" i="1"/>
  <c r="S35" i="1"/>
  <c r="V35" i="1"/>
  <c r="W35" i="1"/>
  <c r="X35" i="1"/>
  <c r="Z35" i="1"/>
  <c r="AA35" i="1"/>
  <c r="AB35" i="1"/>
  <c r="AG35" i="1"/>
  <c r="AJ35" i="1"/>
  <c r="P35" i="1"/>
  <c r="Q28" i="1"/>
  <c r="R28" i="1"/>
  <c r="S28" i="1"/>
  <c r="V28" i="1"/>
  <c r="W28" i="1"/>
  <c r="X28" i="1"/>
  <c r="Y28" i="1"/>
  <c r="Z28" i="1"/>
  <c r="AA28" i="1"/>
  <c r="AB28" i="1"/>
  <c r="AC28" i="1"/>
  <c r="AG28" i="1"/>
  <c r="AJ28" i="1"/>
  <c r="AL28" i="1"/>
  <c r="P28" i="1"/>
  <c r="Q21" i="1"/>
  <c r="R21" i="1"/>
  <c r="V21" i="1"/>
  <c r="W21" i="1"/>
  <c r="X21" i="1"/>
  <c r="Y21" i="1"/>
  <c r="AA21" i="1"/>
  <c r="AA86" i="1" s="1"/>
  <c r="AB21" i="1"/>
  <c r="AB86" i="1" s="1"/>
  <c r="AG21" i="1"/>
  <c r="AG86" i="1" s="1"/>
  <c r="AJ21" i="1"/>
  <c r="AJ86" i="1" s="1"/>
  <c r="P21" i="1"/>
  <c r="Q7" i="1"/>
  <c r="S7" i="1"/>
  <c r="V7" i="1"/>
  <c r="W7" i="1"/>
  <c r="X7" i="1"/>
  <c r="Z7" i="1"/>
  <c r="AA7" i="1"/>
  <c r="AB7" i="1"/>
  <c r="AG7" i="1"/>
  <c r="AJ7" i="1"/>
  <c r="AN7" i="1"/>
  <c r="AO7" i="1"/>
  <c r="AP7" i="1"/>
  <c r="P7" i="1"/>
  <c r="U86" i="3"/>
  <c r="W86" i="3"/>
  <c r="Z86" i="3"/>
  <c r="AB86" i="3"/>
  <c r="AD86" i="3"/>
  <c r="AE86" i="3"/>
  <c r="AF86" i="3"/>
  <c r="AN86" i="3"/>
  <c r="T86" i="3"/>
  <c r="U79" i="3"/>
  <c r="W79" i="3"/>
  <c r="Z79" i="3"/>
  <c r="AB79" i="3"/>
  <c r="AD79" i="3"/>
  <c r="AE79" i="3"/>
  <c r="AF79" i="3"/>
  <c r="AM79" i="3"/>
  <c r="AN79" i="3"/>
  <c r="T79" i="3"/>
  <c r="U72" i="3"/>
  <c r="Z72" i="3"/>
  <c r="AB72" i="3"/>
  <c r="AD72" i="3"/>
  <c r="AE72" i="3"/>
  <c r="AF72" i="3"/>
  <c r="AN72" i="3"/>
  <c r="T72" i="3"/>
  <c r="U65" i="3"/>
  <c r="Z65" i="3"/>
  <c r="AB65" i="3"/>
  <c r="AD65" i="3"/>
  <c r="AE65" i="3"/>
  <c r="AF65" i="3"/>
  <c r="AN65" i="3"/>
  <c r="T65" i="3"/>
  <c r="U58" i="3"/>
  <c r="Z58" i="3"/>
  <c r="AB58" i="3"/>
  <c r="AD58" i="3"/>
  <c r="AE58" i="3"/>
  <c r="AF58" i="3"/>
  <c r="AN58" i="3"/>
  <c r="T58" i="3"/>
  <c r="U51" i="3"/>
  <c r="Z51" i="3"/>
  <c r="AB51" i="3"/>
  <c r="AE51" i="3"/>
  <c r="AF51" i="3"/>
  <c r="AN51" i="3"/>
  <c r="T51" i="3"/>
  <c r="T51" i="5"/>
  <c r="U44" i="3"/>
  <c r="Z44" i="3"/>
  <c r="AB44" i="3"/>
  <c r="AD44" i="3"/>
  <c r="AE44" i="3"/>
  <c r="AF44" i="3"/>
  <c r="AN44" i="3"/>
  <c r="T44" i="3"/>
  <c r="U37" i="3"/>
  <c r="Z37" i="3"/>
  <c r="AB37" i="3"/>
  <c r="AD37" i="3"/>
  <c r="AE37" i="3"/>
  <c r="AF37" i="3"/>
  <c r="AN37" i="3"/>
  <c r="T37" i="3"/>
  <c r="U30" i="3"/>
  <c r="Z30" i="3"/>
  <c r="AB30" i="3"/>
  <c r="AD30" i="3"/>
  <c r="AE30" i="3"/>
  <c r="AF30" i="3"/>
  <c r="AN30" i="3"/>
  <c r="T30" i="3"/>
  <c r="U23" i="3"/>
  <c r="Z23" i="3"/>
  <c r="AB23" i="3"/>
  <c r="AE23" i="3"/>
  <c r="AN23" i="3"/>
  <c r="T23" i="3"/>
  <c r="Z9" i="3"/>
  <c r="AB9" i="3"/>
  <c r="AE9" i="3"/>
  <c r="T9" i="3"/>
  <c r="U86" i="5"/>
  <c r="W86" i="5"/>
  <c r="Z86" i="5"/>
  <c r="AB86" i="5"/>
  <c r="AE86" i="5"/>
  <c r="AN86" i="5"/>
  <c r="T86" i="5"/>
  <c r="U79" i="5"/>
  <c r="W79" i="5"/>
  <c r="Z79" i="5"/>
  <c r="AB79" i="5"/>
  <c r="AE79" i="5"/>
  <c r="AN79" i="5"/>
  <c r="T79" i="5"/>
  <c r="U72" i="5"/>
  <c r="Z72" i="5"/>
  <c r="AB72" i="5"/>
  <c r="AE72" i="5"/>
  <c r="T72" i="5"/>
  <c r="U65" i="5"/>
  <c r="Z65" i="5"/>
  <c r="AB65" i="5"/>
  <c r="AE65" i="5"/>
  <c r="T65" i="5"/>
  <c r="U58" i="5"/>
  <c r="Z58" i="5"/>
  <c r="AB58" i="5"/>
  <c r="AE58" i="5"/>
  <c r="T58" i="5"/>
  <c r="U51" i="5"/>
  <c r="Z51" i="5"/>
  <c r="AB51" i="5"/>
  <c r="AE51" i="5"/>
  <c r="U44" i="5"/>
  <c r="Z44" i="5"/>
  <c r="AB44" i="5"/>
  <c r="AE44" i="5"/>
  <c r="T44" i="5"/>
  <c r="U37" i="5"/>
  <c r="Z37" i="5"/>
  <c r="AB37" i="5"/>
  <c r="AE37" i="5"/>
  <c r="T37" i="5"/>
  <c r="U30" i="5"/>
  <c r="Z30" i="5"/>
  <c r="AB30" i="5"/>
  <c r="AE30" i="5"/>
  <c r="T30" i="5"/>
  <c r="U23" i="5"/>
  <c r="Z23" i="5"/>
  <c r="AB23" i="5"/>
  <c r="AE23" i="5"/>
  <c r="T23" i="5"/>
  <c r="W9" i="5"/>
  <c r="Z9" i="5"/>
  <c r="Z88" i="5" s="1"/>
  <c r="AB9" i="5"/>
  <c r="AB88" i="5" s="1"/>
  <c r="AE9" i="5"/>
  <c r="T9" i="5"/>
  <c r="T88" i="5" s="1"/>
  <c r="AJ13" i="5"/>
  <c r="AJ7" i="5"/>
  <c r="AJ6" i="5"/>
  <c r="W4" i="3"/>
  <c r="W19" i="3"/>
  <c r="U9" i="5"/>
  <c r="AE88" i="3" l="1"/>
  <c r="AE88" i="5"/>
  <c r="X86" i="1"/>
  <c r="T88" i="3"/>
  <c r="Y42" i="1"/>
  <c r="AL42" i="1"/>
  <c r="AL35" i="1"/>
  <c r="Y35" i="1"/>
  <c r="AL21" i="1"/>
  <c r="AL77" i="1"/>
  <c r="Y77" i="1"/>
  <c r="S86" i="1"/>
  <c r="U88" i="5"/>
  <c r="P86" i="1"/>
  <c r="V4" i="5"/>
  <c r="W86" i="1"/>
  <c r="V86" i="1"/>
  <c r="V25" i="3"/>
  <c r="AQ25" i="3" s="1"/>
  <c r="V5" i="3"/>
  <c r="U9" i="3"/>
  <c r="R2" i="1"/>
  <c r="G7" i="4" l="1"/>
  <c r="F85" i="4"/>
  <c r="AG4" i="5"/>
  <c r="AQ4" i="5"/>
  <c r="AC25" i="3"/>
  <c r="AA25" i="3"/>
  <c r="AC5" i="3"/>
  <c r="AA5" i="3"/>
  <c r="AQ5" i="3"/>
  <c r="Y2" i="1"/>
  <c r="AL2" i="1"/>
  <c r="X4" i="5"/>
  <c r="AV4" i="5" s="1"/>
  <c r="AC4" i="5"/>
  <c r="AA4" i="5"/>
  <c r="AC2" i="1"/>
  <c r="AD2" i="1" s="1"/>
  <c r="AG25" i="3"/>
  <c r="V7" i="3"/>
  <c r="V4" i="3"/>
  <c r="T2" i="1"/>
  <c r="AQ2" i="1" s="1"/>
  <c r="U2" i="1" s="1"/>
  <c r="AQ7" i="3" l="1"/>
  <c r="AA7" i="3"/>
  <c r="AC7" i="3"/>
  <c r="Y4" i="5"/>
  <c r="AQ4" i="3"/>
  <c r="AC4" i="3"/>
  <c r="AA4" i="3"/>
  <c r="X4" i="3"/>
  <c r="AI4" i="3" l="1"/>
  <c r="AV4" i="3"/>
  <c r="Y4" i="3" l="1"/>
  <c r="AJ4" i="3"/>
  <c r="AJ83" i="1" l="1"/>
  <c r="AG83" i="1"/>
  <c r="R83" i="1"/>
  <c r="T83" i="1" s="1"/>
  <c r="AQ83" i="1" s="1"/>
  <c r="U83" i="1" s="1"/>
  <c r="AJ82" i="1"/>
  <c r="AG82" i="1"/>
  <c r="R82" i="1"/>
  <c r="AJ81" i="1"/>
  <c r="AG81" i="1"/>
  <c r="R81" i="1"/>
  <c r="AJ80" i="1"/>
  <c r="AG80" i="1"/>
  <c r="R80" i="1"/>
  <c r="AJ79" i="1"/>
  <c r="AG79" i="1"/>
  <c r="R79" i="1"/>
  <c r="AJ75" i="1"/>
  <c r="AG75" i="1"/>
  <c r="AJ74" i="1"/>
  <c r="AG74" i="1"/>
  <c r="AJ73" i="1"/>
  <c r="AG73" i="1"/>
  <c r="AJ72" i="1"/>
  <c r="AG72" i="1"/>
  <c r="R72" i="1"/>
  <c r="AJ68" i="1"/>
  <c r="AG68" i="1"/>
  <c r="AJ67" i="1"/>
  <c r="AG67" i="1"/>
  <c r="AJ66" i="1"/>
  <c r="AG66" i="1"/>
  <c r="AJ65" i="1"/>
  <c r="AG65" i="1"/>
  <c r="R65" i="1"/>
  <c r="AJ62" i="1"/>
  <c r="AG62" i="1"/>
  <c r="R62" i="1"/>
  <c r="AJ61" i="1"/>
  <c r="AG61" i="1"/>
  <c r="R61" i="1"/>
  <c r="AJ60" i="1"/>
  <c r="AG60" i="1"/>
  <c r="R60" i="1"/>
  <c r="AJ59" i="1"/>
  <c r="AG59" i="1"/>
  <c r="R59" i="1"/>
  <c r="AJ58" i="1"/>
  <c r="AG58" i="1"/>
  <c r="R58" i="1"/>
  <c r="AJ54" i="1"/>
  <c r="AG54" i="1"/>
  <c r="AJ53" i="1"/>
  <c r="AG53" i="1"/>
  <c r="AJ52" i="1"/>
  <c r="AG52" i="1"/>
  <c r="AJ51" i="1"/>
  <c r="AG51" i="1"/>
  <c r="R51" i="1"/>
  <c r="AJ48" i="1"/>
  <c r="AG48" i="1"/>
  <c r="R48" i="1"/>
  <c r="AJ47" i="1"/>
  <c r="AG47" i="1"/>
  <c r="R47" i="1"/>
  <c r="AJ46" i="1"/>
  <c r="AG46" i="1"/>
  <c r="R46" i="1"/>
  <c r="AJ45" i="1"/>
  <c r="AG45" i="1"/>
  <c r="R45" i="1"/>
  <c r="AJ44" i="1"/>
  <c r="AG44" i="1"/>
  <c r="R44" i="1"/>
  <c r="AJ40" i="1"/>
  <c r="AG40" i="1"/>
  <c r="AQ40" i="1"/>
  <c r="U40" i="1" s="1"/>
  <c r="AJ39" i="1"/>
  <c r="AG39" i="1"/>
  <c r="AQ39" i="1"/>
  <c r="U39" i="1" s="1"/>
  <c r="AC39" i="1"/>
  <c r="AJ38" i="1"/>
  <c r="AG38" i="1"/>
  <c r="AQ38" i="1"/>
  <c r="U38" i="1" s="1"/>
  <c r="AJ37" i="1"/>
  <c r="AG37" i="1"/>
  <c r="R37" i="1"/>
  <c r="AJ33" i="1"/>
  <c r="AG33" i="1"/>
  <c r="AJ32" i="1"/>
  <c r="AG32" i="1"/>
  <c r="AJ31" i="1"/>
  <c r="AG31" i="1"/>
  <c r="AJ30" i="1"/>
  <c r="AG30" i="1"/>
  <c r="R30" i="1"/>
  <c r="AJ27" i="1"/>
  <c r="AG27" i="1"/>
  <c r="R27" i="1"/>
  <c r="AJ26" i="1"/>
  <c r="AG26" i="1"/>
  <c r="R26" i="1"/>
  <c r="AJ25" i="1"/>
  <c r="AG25" i="1"/>
  <c r="R25" i="1"/>
  <c r="AJ24" i="1"/>
  <c r="AG24" i="1"/>
  <c r="R24" i="1"/>
  <c r="AJ23" i="1"/>
  <c r="AG23" i="1"/>
  <c r="R23" i="1"/>
  <c r="AJ19" i="1"/>
  <c r="AG19" i="1"/>
  <c r="AJ18" i="1"/>
  <c r="AG18" i="1"/>
  <c r="AJ17" i="1"/>
  <c r="AG17" i="1"/>
  <c r="AJ16" i="1"/>
  <c r="AG16" i="1"/>
  <c r="R16" i="1"/>
  <c r="AJ12" i="1"/>
  <c r="AG12" i="1"/>
  <c r="R12" i="1"/>
  <c r="AJ11" i="1"/>
  <c r="AG11" i="1"/>
  <c r="R11" i="1"/>
  <c r="AJ10" i="1"/>
  <c r="AG10" i="1"/>
  <c r="R10" i="1"/>
  <c r="AJ9" i="1"/>
  <c r="AG9" i="1"/>
  <c r="R9" i="1"/>
  <c r="AJ5" i="1"/>
  <c r="AG5" i="1"/>
  <c r="AC5" i="1"/>
  <c r="AJ4" i="1"/>
  <c r="AG4" i="1"/>
  <c r="AJ3" i="1"/>
  <c r="AG3" i="1"/>
  <c r="AC4" i="1" l="1"/>
  <c r="AD4" i="1" s="1"/>
  <c r="Y4" i="1"/>
  <c r="AL4" i="1"/>
  <c r="AL3" i="1"/>
  <c r="Y3" i="1"/>
  <c r="R7" i="1"/>
  <c r="AL65" i="1"/>
  <c r="AL70" i="1" s="1"/>
  <c r="Y65" i="1"/>
  <c r="Y70" i="1" s="1"/>
  <c r="R70" i="1"/>
  <c r="AL51" i="1"/>
  <c r="AL56" i="1" s="1"/>
  <c r="Y51" i="1"/>
  <c r="Y56" i="1" s="1"/>
  <c r="R56" i="1"/>
  <c r="Y9" i="1"/>
  <c r="AL9" i="1"/>
  <c r="AQ19" i="1"/>
  <c r="U19" i="1" s="1"/>
  <c r="T46" i="1"/>
  <c r="AQ46" i="1" s="1"/>
  <c r="U46" i="1" s="1"/>
  <c r="T45" i="1"/>
  <c r="AQ45" i="1" s="1"/>
  <c r="U45" i="1" s="1"/>
  <c r="AC65" i="1"/>
  <c r="AM83" i="1"/>
  <c r="T47" i="1"/>
  <c r="AQ47" i="1" s="1"/>
  <c r="U47" i="1" s="1"/>
  <c r="AM81" i="1"/>
  <c r="AC3" i="1"/>
  <c r="AC30" i="1"/>
  <c r="T48" i="1"/>
  <c r="AQ48" i="1" s="1"/>
  <c r="U48" i="1" s="1"/>
  <c r="AC16" i="1"/>
  <c r="AM79" i="1"/>
  <c r="AC79" i="1"/>
  <c r="AC72" i="1"/>
  <c r="AC54" i="1"/>
  <c r="AC53" i="1"/>
  <c r="AC48" i="1"/>
  <c r="AC47" i="1"/>
  <c r="AC45" i="1"/>
  <c r="AC46" i="1"/>
  <c r="AC40" i="1"/>
  <c r="AC38" i="1"/>
  <c r="AC12" i="1"/>
  <c r="AM70" i="1"/>
  <c r="AQ33" i="1"/>
  <c r="U33" i="1" s="1"/>
  <c r="T59" i="1"/>
  <c r="AQ59" i="1" s="1"/>
  <c r="U59" i="1" s="1"/>
  <c r="T60" i="1"/>
  <c r="AQ60" i="1" s="1"/>
  <c r="U60" i="1" s="1"/>
  <c r="T61" i="1"/>
  <c r="AQ61" i="1" s="1"/>
  <c r="U61" i="1" s="1"/>
  <c r="T62" i="1"/>
  <c r="AQ62" i="1" s="1"/>
  <c r="U62" i="1" s="1"/>
  <c r="T81" i="1"/>
  <c r="AQ81" i="1" s="1"/>
  <c r="U81" i="1" s="1"/>
  <c r="T12" i="1"/>
  <c r="AQ12" i="1" s="1"/>
  <c r="U12" i="1" s="1"/>
  <c r="AQ53" i="1"/>
  <c r="U53" i="1" s="1"/>
  <c r="AQ54" i="1"/>
  <c r="U54" i="1" s="1"/>
  <c r="AQ66" i="1"/>
  <c r="U66" i="1" s="1"/>
  <c r="AQ67" i="1"/>
  <c r="U67" i="1" s="1"/>
  <c r="AQ68" i="1"/>
  <c r="U68" i="1" s="1"/>
  <c r="T72" i="1"/>
  <c r="AQ75" i="1"/>
  <c r="U75" i="1" s="1"/>
  <c r="T79" i="1"/>
  <c r="AC83" i="1"/>
  <c r="AQ5" i="1"/>
  <c r="U5" i="1" s="1"/>
  <c r="AH5" i="1" s="1"/>
  <c r="AQ17" i="1"/>
  <c r="U17" i="1" s="1"/>
  <c r="AQ31" i="1"/>
  <c r="U31" i="1" s="1"/>
  <c r="AQ32" i="1"/>
  <c r="U32" i="1" s="1"/>
  <c r="AC31" i="1"/>
  <c r="AC32" i="1"/>
  <c r="AC33" i="1"/>
  <c r="AC59" i="1"/>
  <c r="AC60" i="1"/>
  <c r="AC61" i="1"/>
  <c r="AC62" i="1"/>
  <c r="AC81" i="1"/>
  <c r="T11" i="1"/>
  <c r="AQ11" i="1" s="1"/>
  <c r="U11" i="1" s="1"/>
  <c r="AC11" i="1"/>
  <c r="T24" i="1"/>
  <c r="AQ24" i="1" s="1"/>
  <c r="U24" i="1" s="1"/>
  <c r="T25" i="1"/>
  <c r="AQ25" i="1" s="1"/>
  <c r="U25" i="1" s="1"/>
  <c r="AC25" i="1"/>
  <c r="AC24" i="1"/>
  <c r="T51" i="1"/>
  <c r="AE51" i="1" s="1"/>
  <c r="AC51" i="1"/>
  <c r="AQ74" i="1"/>
  <c r="U74" i="1" s="1"/>
  <c r="T65" i="1"/>
  <c r="T37" i="1"/>
  <c r="AC37" i="1"/>
  <c r="T30" i="1"/>
  <c r="AC23" i="1"/>
  <c r="T23" i="1"/>
  <c r="T16" i="1"/>
  <c r="AQ4" i="1"/>
  <c r="U4" i="1" s="1"/>
  <c r="AM80" i="1"/>
  <c r="AC80" i="1"/>
  <c r="T80" i="1"/>
  <c r="AQ80" i="1" s="1"/>
  <c r="U80" i="1" s="1"/>
  <c r="AE83" i="1"/>
  <c r="T82" i="1"/>
  <c r="AQ82" i="1" s="1"/>
  <c r="U82" i="1" s="1"/>
  <c r="AC82" i="1"/>
  <c r="AM82" i="1"/>
  <c r="AQ73" i="1"/>
  <c r="U73" i="1" s="1"/>
  <c r="T58" i="1"/>
  <c r="AC58" i="1"/>
  <c r="AQ52" i="1"/>
  <c r="U52" i="1" s="1"/>
  <c r="AC52" i="1"/>
  <c r="T44" i="1"/>
  <c r="AC44" i="1"/>
  <c r="AE40" i="1"/>
  <c r="AE39" i="1"/>
  <c r="AE38" i="1"/>
  <c r="T27" i="1"/>
  <c r="AQ27" i="1" s="1"/>
  <c r="U27" i="1" s="1"/>
  <c r="AC27" i="1"/>
  <c r="AC26" i="1"/>
  <c r="T26" i="1"/>
  <c r="AQ26" i="1" s="1"/>
  <c r="U26" i="1" s="1"/>
  <c r="AQ18" i="1"/>
  <c r="U18" i="1" s="1"/>
  <c r="AC10" i="1"/>
  <c r="AE10" i="1"/>
  <c r="T9" i="1"/>
  <c r="AC9" i="1"/>
  <c r="AO56" i="1"/>
  <c r="AO42" i="1"/>
  <c r="AO35" i="1"/>
  <c r="AN28" i="1"/>
  <c r="AO28" i="1"/>
  <c r="AO21" i="1"/>
  <c r="AN14" i="1"/>
  <c r="AO14" i="1"/>
  <c r="AN8" i="1"/>
  <c r="AN15" i="1"/>
  <c r="AN21" i="1"/>
  <c r="AD20" i="4" s="1"/>
  <c r="AN22" i="1"/>
  <c r="AN29" i="1"/>
  <c r="AN35" i="1"/>
  <c r="AN36" i="1"/>
  <c r="AN42" i="1"/>
  <c r="AN43" i="1"/>
  <c r="AN50" i="1"/>
  <c r="AN56" i="1"/>
  <c r="AN57" i="1"/>
  <c r="AN64" i="1"/>
  <c r="AN71" i="1"/>
  <c r="AN77" i="1"/>
  <c r="AN78" i="1"/>
  <c r="AM8" i="1"/>
  <c r="AM15" i="1"/>
  <c r="AM22" i="1"/>
  <c r="AM29" i="1"/>
  <c r="AM36" i="1"/>
  <c r="AM42" i="1"/>
  <c r="AM43" i="1"/>
  <c r="AM50" i="1"/>
  <c r="AM57" i="1"/>
  <c r="AM64" i="1"/>
  <c r="AM71" i="1"/>
  <c r="AM78" i="1"/>
  <c r="AC6" i="1"/>
  <c r="R8" i="1"/>
  <c r="AL8" i="1" s="1"/>
  <c r="R15" i="1"/>
  <c r="AL15" i="1" s="1"/>
  <c r="R36" i="1"/>
  <c r="AL36" i="1" s="1"/>
  <c r="R43" i="1"/>
  <c r="R50" i="1"/>
  <c r="AL50" i="1" s="1"/>
  <c r="R57" i="1"/>
  <c r="AL57" i="1" s="1"/>
  <c r="R64" i="1"/>
  <c r="AL64" i="1" s="1"/>
  <c r="R71" i="1"/>
  <c r="R78" i="1"/>
  <c r="AL78" i="1" s="1"/>
  <c r="AS6" i="3"/>
  <c r="AS7" i="3"/>
  <c r="AS8" i="3"/>
  <c r="AS10" i="3"/>
  <c r="AD13" i="4" s="1"/>
  <c r="AS17" i="3"/>
  <c r="AS24" i="3"/>
  <c r="AS31" i="3"/>
  <c r="AS38" i="3"/>
  <c r="AS45" i="3"/>
  <c r="AS52" i="3"/>
  <c r="AS59" i="3"/>
  <c r="AS66" i="3"/>
  <c r="AS73" i="3"/>
  <c r="AS80" i="3"/>
  <c r="AR6" i="3"/>
  <c r="AR7" i="3"/>
  <c r="AR8" i="3"/>
  <c r="AR10" i="3"/>
  <c r="AR17" i="3"/>
  <c r="AR24" i="3"/>
  <c r="AR31" i="3"/>
  <c r="AR38" i="3"/>
  <c r="AR45" i="3"/>
  <c r="AR52" i="3"/>
  <c r="AR59" i="3"/>
  <c r="AR66" i="3"/>
  <c r="AR73" i="3"/>
  <c r="AR80" i="3"/>
  <c r="W6" i="3"/>
  <c r="W7" i="3"/>
  <c r="W8" i="3"/>
  <c r="W11" i="3"/>
  <c r="W12" i="3"/>
  <c r="W13" i="3"/>
  <c r="W14" i="3"/>
  <c r="W18" i="3"/>
  <c r="W23" i="3" s="1"/>
  <c r="W20" i="3"/>
  <c r="W21" i="3"/>
  <c r="W22" i="3"/>
  <c r="W24" i="3"/>
  <c r="W25" i="3"/>
  <c r="W26" i="3"/>
  <c r="W27" i="3"/>
  <c r="W28" i="3"/>
  <c r="W29" i="3"/>
  <c r="W32" i="3"/>
  <c r="W33" i="3"/>
  <c r="W34" i="3"/>
  <c r="W35" i="3"/>
  <c r="W36" i="3"/>
  <c r="W39" i="3"/>
  <c r="W40" i="3"/>
  <c r="W41" i="3"/>
  <c r="W42" i="3"/>
  <c r="W43" i="3"/>
  <c r="W46" i="3"/>
  <c r="W47" i="3"/>
  <c r="W48" i="3"/>
  <c r="W49" i="3"/>
  <c r="W50" i="3"/>
  <c r="W53" i="3"/>
  <c r="W54" i="3"/>
  <c r="W55" i="3"/>
  <c r="W56" i="3"/>
  <c r="W57" i="3"/>
  <c r="W60" i="3"/>
  <c r="W65" i="3" s="1"/>
  <c r="W61" i="3"/>
  <c r="W62" i="3"/>
  <c r="W63" i="3"/>
  <c r="W64" i="3"/>
  <c r="W67" i="3"/>
  <c r="W68" i="3"/>
  <c r="W69" i="3"/>
  <c r="W70" i="3"/>
  <c r="W71" i="3"/>
  <c r="W73" i="3"/>
  <c r="W74" i="3"/>
  <c r="W75" i="3"/>
  <c r="W76" i="3"/>
  <c r="W77" i="3"/>
  <c r="W78" i="3"/>
  <c r="W81" i="3"/>
  <c r="W82" i="3"/>
  <c r="W83" i="3"/>
  <c r="W84" i="3"/>
  <c r="V24" i="3"/>
  <c r="AQ24" i="3" s="1"/>
  <c r="V26" i="3"/>
  <c r="AQ26" i="3" s="1"/>
  <c r="V27" i="3"/>
  <c r="AQ27" i="3" s="1"/>
  <c r="V28" i="3"/>
  <c r="AQ28" i="3" s="1"/>
  <c r="V29" i="3"/>
  <c r="AQ29" i="3" s="1"/>
  <c r="V32" i="3"/>
  <c r="AQ32" i="3" s="1"/>
  <c r="V33" i="3"/>
  <c r="AQ33" i="3" s="1"/>
  <c r="V34" i="3"/>
  <c r="AQ34" i="3" s="1"/>
  <c r="V35" i="3"/>
  <c r="AQ35" i="3" s="1"/>
  <c r="V36" i="3"/>
  <c r="AQ36" i="3" s="1"/>
  <c r="V39" i="3"/>
  <c r="AQ39" i="3" s="1"/>
  <c r="V40" i="3"/>
  <c r="AQ40" i="3" s="1"/>
  <c r="V41" i="3"/>
  <c r="AQ41" i="3" s="1"/>
  <c r="V42" i="3"/>
  <c r="AQ42" i="3" s="1"/>
  <c r="V43" i="3"/>
  <c r="AQ43" i="3" s="1"/>
  <c r="V46" i="3"/>
  <c r="AQ46" i="3" s="1"/>
  <c r="V47" i="3"/>
  <c r="AQ47" i="3" s="1"/>
  <c r="V48" i="3"/>
  <c r="AQ48" i="3" s="1"/>
  <c r="V49" i="3"/>
  <c r="AQ49" i="3" s="1"/>
  <c r="V50" i="3"/>
  <c r="AQ50" i="3" s="1"/>
  <c r="V53" i="3"/>
  <c r="AQ53" i="3" s="1"/>
  <c r="V54" i="3"/>
  <c r="AQ54" i="3" s="1"/>
  <c r="V55" i="3"/>
  <c r="AQ55" i="3" s="1"/>
  <c r="V56" i="3"/>
  <c r="AQ56" i="3" s="1"/>
  <c r="V57" i="3"/>
  <c r="AQ57" i="3" s="1"/>
  <c r="V60" i="3"/>
  <c r="AQ60" i="3" s="1"/>
  <c r="V61" i="3"/>
  <c r="AQ61" i="3" s="1"/>
  <c r="V62" i="3"/>
  <c r="AQ62" i="3" s="1"/>
  <c r="V63" i="3"/>
  <c r="AQ63" i="3" s="1"/>
  <c r="V64" i="3"/>
  <c r="AQ64" i="3" s="1"/>
  <c r="V67" i="3"/>
  <c r="AQ67" i="3" s="1"/>
  <c r="V73" i="3"/>
  <c r="AQ73" i="3" s="1"/>
  <c r="V74" i="3"/>
  <c r="AQ74" i="3" s="1"/>
  <c r="V75" i="3"/>
  <c r="AQ75" i="3" s="1"/>
  <c r="V76" i="3"/>
  <c r="AQ76" i="3" s="1"/>
  <c r="V77" i="3"/>
  <c r="AQ77" i="3" s="1"/>
  <c r="V78" i="3"/>
  <c r="AQ78" i="3" s="1"/>
  <c r="V81" i="3"/>
  <c r="AQ81" i="3" s="1"/>
  <c r="V82" i="3"/>
  <c r="AQ82" i="3" s="1"/>
  <c r="V83" i="3"/>
  <c r="AQ83" i="3" s="1"/>
  <c r="V84" i="3"/>
  <c r="AQ84" i="3" s="1"/>
  <c r="V85" i="3"/>
  <c r="AQ85" i="3" s="1"/>
  <c r="AQ86" i="3" l="1"/>
  <c r="AB83" i="4" s="1"/>
  <c r="AQ79" i="3"/>
  <c r="AQ58" i="3"/>
  <c r="AQ37" i="3"/>
  <c r="W44" i="3"/>
  <c r="W30" i="3"/>
  <c r="AQ65" i="3"/>
  <c r="AQ30" i="3"/>
  <c r="W72" i="3"/>
  <c r="AR9" i="3"/>
  <c r="AS9" i="3"/>
  <c r="W37" i="3"/>
  <c r="AQ44" i="3"/>
  <c r="W51" i="3"/>
  <c r="AQ51" i="3"/>
  <c r="W58" i="3"/>
  <c r="W9" i="3"/>
  <c r="T84" i="1"/>
  <c r="AQ79" i="1"/>
  <c r="U79" i="1" s="1"/>
  <c r="U84" i="1" s="1"/>
  <c r="AQ72" i="1"/>
  <c r="U72" i="1" s="1"/>
  <c r="AQ58" i="1"/>
  <c r="U58" i="1" s="1"/>
  <c r="U63" i="1" s="1"/>
  <c r="T63" i="1"/>
  <c r="AE59" i="1"/>
  <c r="AE54" i="1"/>
  <c r="T49" i="1"/>
  <c r="AQ44" i="1"/>
  <c r="U44" i="1" s="1"/>
  <c r="U49" i="1" s="1"/>
  <c r="AE46" i="1"/>
  <c r="AE48" i="1"/>
  <c r="AQ37" i="1"/>
  <c r="U37" i="1" s="1"/>
  <c r="AQ30" i="1"/>
  <c r="U30" i="1" s="1"/>
  <c r="AE33" i="1"/>
  <c r="AQ23" i="1"/>
  <c r="U23" i="1" s="1"/>
  <c r="U28" i="1" s="1"/>
  <c r="T28" i="1"/>
  <c r="AQ16" i="1"/>
  <c r="U16" i="1" s="1"/>
  <c r="AA83" i="3"/>
  <c r="AC83" i="3"/>
  <c r="AA82" i="3"/>
  <c r="AC82" i="3"/>
  <c r="V86" i="3"/>
  <c r="AA81" i="3"/>
  <c r="AC81" i="3"/>
  <c r="AA84" i="3"/>
  <c r="AC84" i="3"/>
  <c r="AA85" i="3"/>
  <c r="AC85" i="3"/>
  <c r="AC74" i="3"/>
  <c r="AA74" i="3"/>
  <c r="V79" i="3"/>
  <c r="AC77" i="3"/>
  <c r="AA77" i="3"/>
  <c r="AC76" i="3"/>
  <c r="AA76" i="3"/>
  <c r="AA75" i="3"/>
  <c r="AC75" i="3"/>
  <c r="AC78" i="3"/>
  <c r="AA78" i="3"/>
  <c r="AC67" i="3"/>
  <c r="AA67" i="3"/>
  <c r="AA64" i="3"/>
  <c r="AC64" i="3"/>
  <c r="AA63" i="3"/>
  <c r="AC63" i="3"/>
  <c r="AA62" i="3"/>
  <c r="AC62" i="3"/>
  <c r="AC61" i="3"/>
  <c r="AA61" i="3"/>
  <c r="AC60" i="3"/>
  <c r="V65" i="3"/>
  <c r="AA60" i="3"/>
  <c r="AC55" i="3"/>
  <c r="AA55" i="3"/>
  <c r="AC57" i="3"/>
  <c r="AA57" i="3"/>
  <c r="AA56" i="3"/>
  <c r="AC56" i="3"/>
  <c r="AC54" i="3"/>
  <c r="AA54" i="3"/>
  <c r="AA53" i="3"/>
  <c r="V58" i="3"/>
  <c r="AC53" i="3"/>
  <c r="AC46" i="3"/>
  <c r="AA46" i="3"/>
  <c r="V51" i="3"/>
  <c r="AC50" i="3"/>
  <c r="AA50" i="3"/>
  <c r="AA47" i="3"/>
  <c r="AC47" i="3"/>
  <c r="AA49" i="3"/>
  <c r="AC49" i="3"/>
  <c r="AA48" i="3"/>
  <c r="AC48" i="3"/>
  <c r="AA42" i="3"/>
  <c r="AC42" i="3"/>
  <c r="AA43" i="3"/>
  <c r="AC43" i="3"/>
  <c r="AA41" i="3"/>
  <c r="AC41" i="3"/>
  <c r="AC39" i="3"/>
  <c r="V44" i="3"/>
  <c r="AA39" i="3"/>
  <c r="AC40" i="3"/>
  <c r="AA40" i="3"/>
  <c r="AC36" i="3"/>
  <c r="AA36" i="3"/>
  <c r="AC34" i="3"/>
  <c r="AA34" i="3"/>
  <c r="AA35" i="3"/>
  <c r="AC35" i="3"/>
  <c r="AC33" i="3"/>
  <c r="AA33" i="3"/>
  <c r="AC32" i="3"/>
  <c r="AA32" i="3"/>
  <c r="V37" i="3"/>
  <c r="AA28" i="3"/>
  <c r="AC28" i="3"/>
  <c r="AA27" i="3"/>
  <c r="AC27" i="3"/>
  <c r="AC26" i="3"/>
  <c r="AA26" i="3"/>
  <c r="V30" i="3"/>
  <c r="AA29" i="3"/>
  <c r="AC29" i="3"/>
  <c r="Y7" i="1"/>
  <c r="Y86" i="1" s="1"/>
  <c r="AL7" i="1"/>
  <c r="AL86" i="1" s="1"/>
  <c r="AQ3" i="1"/>
  <c r="U3" i="1" s="1"/>
  <c r="AD3" i="1"/>
  <c r="AC7" i="1"/>
  <c r="AD65" i="1"/>
  <c r="R86" i="1"/>
  <c r="AQ65" i="1"/>
  <c r="U65" i="1" s="1"/>
  <c r="AF51" i="1"/>
  <c r="AQ51" i="1"/>
  <c r="U51" i="1" s="1"/>
  <c r="AD51" i="1"/>
  <c r="AQ9" i="1"/>
  <c r="U9" i="1" s="1"/>
  <c r="AD9" i="1"/>
  <c r="AE67" i="1"/>
  <c r="AE11" i="1"/>
  <c r="T43" i="1"/>
  <c r="AE47" i="1"/>
  <c r="AE19" i="1"/>
  <c r="T71" i="1"/>
  <c r="T50" i="1"/>
  <c r="AC24" i="3"/>
  <c r="AL24" i="3" s="1"/>
  <c r="AE61" i="1"/>
  <c r="AE45" i="1"/>
  <c r="AG24" i="3"/>
  <c r="T78" i="1"/>
  <c r="T64" i="1"/>
  <c r="Y15" i="1"/>
  <c r="AE68" i="1"/>
  <c r="AE79" i="1"/>
  <c r="AE84" i="1" s="1"/>
  <c r="AE30" i="1"/>
  <c r="AE37" i="1"/>
  <c r="T36" i="1"/>
  <c r="AE65" i="1"/>
  <c r="AE23" i="1"/>
  <c r="AE74" i="1"/>
  <c r="AE17" i="1"/>
  <c r="AE16" i="1"/>
  <c r="AE12" i="1"/>
  <c r="AG82" i="3"/>
  <c r="X76" i="3"/>
  <c r="X62" i="3"/>
  <c r="AI62" i="3" s="1"/>
  <c r="X55" i="3"/>
  <c r="AI55" i="3" s="1"/>
  <c r="X48" i="3"/>
  <c r="AI48" i="3" s="1"/>
  <c r="X50" i="3"/>
  <c r="AI50" i="3" s="1"/>
  <c r="X41" i="3"/>
  <c r="AI41" i="3" s="1"/>
  <c r="AG40" i="3"/>
  <c r="X43" i="3"/>
  <c r="AI43" i="3" s="1"/>
  <c r="X34" i="3"/>
  <c r="AI34" i="3" s="1"/>
  <c r="AG33" i="3"/>
  <c r="X81" i="3"/>
  <c r="X74" i="3"/>
  <c r="X60" i="3"/>
  <c r="X53" i="3"/>
  <c r="X39" i="3"/>
  <c r="AG28" i="3"/>
  <c r="AE3" i="1"/>
  <c r="AF3" i="1" s="1"/>
  <c r="X83" i="3"/>
  <c r="X78" i="3"/>
  <c r="X67" i="3"/>
  <c r="X64" i="3"/>
  <c r="AI64" i="3" s="1"/>
  <c r="X57" i="3"/>
  <c r="AI57" i="3" s="1"/>
  <c r="X46" i="3"/>
  <c r="X36" i="3"/>
  <c r="AI36" i="3" s="1"/>
  <c r="X32" i="3"/>
  <c r="AE66" i="1"/>
  <c r="AE62" i="1"/>
  <c r="AM56" i="1"/>
  <c r="P33" i="2" s="1"/>
  <c r="AE32" i="1"/>
  <c r="AE81" i="1"/>
  <c r="AE75" i="1"/>
  <c r="AE72" i="1"/>
  <c r="AE60" i="1"/>
  <c r="AE53" i="1"/>
  <c r="AE31" i="1"/>
  <c r="AE24" i="1"/>
  <c r="AE25" i="1"/>
  <c r="AE5" i="1"/>
  <c r="AG27" i="3"/>
  <c r="AG85" i="3"/>
  <c r="AG81" i="3"/>
  <c r="AG76" i="3"/>
  <c r="AG67" i="3"/>
  <c r="AG62" i="3"/>
  <c r="AG57" i="3"/>
  <c r="AG53" i="3"/>
  <c r="AG48" i="3"/>
  <c r="AG43" i="3"/>
  <c r="AG39" i="3"/>
  <c r="AG34" i="3"/>
  <c r="X82" i="3"/>
  <c r="X77" i="3"/>
  <c r="X73" i="3"/>
  <c r="AI73" i="3" s="1"/>
  <c r="X63" i="3"/>
  <c r="AI63" i="3" s="1"/>
  <c r="X54" i="3"/>
  <c r="AI54" i="3" s="1"/>
  <c r="X49" i="3"/>
  <c r="AI49" i="3" s="1"/>
  <c r="X40" i="3"/>
  <c r="AI40" i="3" s="1"/>
  <c r="X35" i="3"/>
  <c r="AI35" i="3" s="1"/>
  <c r="X26" i="3"/>
  <c r="AI26" i="3" s="1"/>
  <c r="AC73" i="3"/>
  <c r="AL73" i="3" s="1"/>
  <c r="AG73" i="3"/>
  <c r="AG63" i="3"/>
  <c r="AG54" i="3"/>
  <c r="AG35" i="3"/>
  <c r="AG26" i="3"/>
  <c r="AG29" i="3"/>
  <c r="X29" i="3"/>
  <c r="AI29" i="3" s="1"/>
  <c r="AG61" i="3"/>
  <c r="AG42" i="3"/>
  <c r="X25" i="3"/>
  <c r="AG83" i="3"/>
  <c r="AG78" i="3"/>
  <c r="AG74" i="3"/>
  <c r="AG64" i="3"/>
  <c r="AG60" i="3"/>
  <c r="AG55" i="3"/>
  <c r="AG46" i="3"/>
  <c r="AG41" i="3"/>
  <c r="AG36" i="3"/>
  <c r="AG32" i="3"/>
  <c r="X84" i="3"/>
  <c r="X75" i="3"/>
  <c r="X61" i="3"/>
  <c r="AI61" i="3" s="1"/>
  <c r="X56" i="3"/>
  <c r="AI56" i="3" s="1"/>
  <c r="X47" i="3"/>
  <c r="AI47" i="3" s="1"/>
  <c r="X42" i="3"/>
  <c r="AI42" i="3" s="1"/>
  <c r="X33" i="3"/>
  <c r="AI33" i="3" s="1"/>
  <c r="X28" i="3"/>
  <c r="AI28" i="3" s="1"/>
  <c r="X24" i="3"/>
  <c r="AI24" i="3" s="1"/>
  <c r="AG77" i="3"/>
  <c r="AG49" i="3"/>
  <c r="X27" i="3"/>
  <c r="AI27" i="3" s="1"/>
  <c r="AG84" i="3"/>
  <c r="AG75" i="3"/>
  <c r="AG56" i="3"/>
  <c r="AG47" i="3"/>
  <c r="T57" i="1"/>
  <c r="Y78" i="1"/>
  <c r="Y50" i="1"/>
  <c r="AM77" i="1"/>
  <c r="Y71" i="1"/>
  <c r="Y43" i="1"/>
  <c r="AL71" i="1"/>
  <c r="AL43" i="1"/>
  <c r="AM21" i="1"/>
  <c r="AC20" i="4" s="1"/>
  <c r="AQ6" i="1"/>
  <c r="U6" i="1" s="1"/>
  <c r="AH6" i="1" s="1"/>
  <c r="AI6" i="1" s="1"/>
  <c r="AK6" i="1" s="1"/>
  <c r="T15" i="1"/>
  <c r="Y64" i="1"/>
  <c r="Y36" i="1"/>
  <c r="Y8" i="1"/>
  <c r="T8" i="1"/>
  <c r="Y57" i="1"/>
  <c r="AM35" i="1"/>
  <c r="AQ34" i="1"/>
  <c r="U34" i="1" s="1"/>
  <c r="AM14" i="1"/>
  <c r="AC13" i="4" s="1"/>
  <c r="AM28" i="1"/>
  <c r="AE4" i="1"/>
  <c r="AF4" i="1" s="1"/>
  <c r="AE80" i="1"/>
  <c r="AE82" i="1"/>
  <c r="AE73" i="1"/>
  <c r="AE58" i="1"/>
  <c r="AE52" i="1"/>
  <c r="AE44" i="1"/>
  <c r="AE27" i="1"/>
  <c r="AE26" i="1"/>
  <c r="AE18" i="1"/>
  <c r="AE9" i="1"/>
  <c r="AF9" i="1" s="1"/>
  <c r="AN86" i="1"/>
  <c r="AI82" i="3" l="1"/>
  <c r="AV82" i="3"/>
  <c r="Y82" i="3" s="1"/>
  <c r="AI81" i="3"/>
  <c r="AV81" i="3"/>
  <c r="AI83" i="3"/>
  <c r="AV83" i="3"/>
  <c r="Y83" i="3" s="1"/>
  <c r="AI84" i="3"/>
  <c r="AV84" i="3"/>
  <c r="Y84" i="3" s="1"/>
  <c r="AG86" i="3"/>
  <c r="AC79" i="3"/>
  <c r="AI77" i="3"/>
  <c r="AV77" i="3"/>
  <c r="Y77" i="3" s="1"/>
  <c r="AI74" i="3"/>
  <c r="AV74" i="3"/>
  <c r="Y74" i="3" s="1"/>
  <c r="AI76" i="3"/>
  <c r="AJ76" i="3" s="1"/>
  <c r="AV76" i="3"/>
  <c r="Y76" i="3" s="1"/>
  <c r="AI78" i="3"/>
  <c r="AV78" i="3"/>
  <c r="Y78" i="3" s="1"/>
  <c r="AA79" i="3"/>
  <c r="AI75" i="3"/>
  <c r="AV75" i="3"/>
  <c r="Y75" i="3" s="1"/>
  <c r="AV67" i="3"/>
  <c r="Y67" i="3" s="1"/>
  <c r="AI67" i="3"/>
  <c r="AV60" i="3"/>
  <c r="AI60" i="3"/>
  <c r="AI65" i="3" s="1"/>
  <c r="AV53" i="3"/>
  <c r="AI53" i="3"/>
  <c r="AI58" i="3" s="1"/>
  <c r="AV46" i="3"/>
  <c r="AI46" i="3"/>
  <c r="AI51" i="3" s="1"/>
  <c r="AV39" i="3"/>
  <c r="AI39" i="3"/>
  <c r="AI44" i="3" s="1"/>
  <c r="AV32" i="3"/>
  <c r="AI32" i="3"/>
  <c r="AI37" i="3" s="1"/>
  <c r="AV25" i="3"/>
  <c r="Y25" i="3" s="1"/>
  <c r="AI25" i="3"/>
  <c r="AI30" i="3" s="1"/>
  <c r="AG58" i="3"/>
  <c r="AV41" i="3"/>
  <c r="Y41" i="3" s="1"/>
  <c r="AR88" i="3"/>
  <c r="AC7" i="4"/>
  <c r="AC87" i="4" s="1"/>
  <c r="AV27" i="3"/>
  <c r="Y27" i="3" s="1"/>
  <c r="AV56" i="3"/>
  <c r="Y56" i="3" s="1"/>
  <c r="AV64" i="3"/>
  <c r="Y64" i="3" s="1"/>
  <c r="AV50" i="3"/>
  <c r="Y50" i="3" s="1"/>
  <c r="AV57" i="3"/>
  <c r="Y57" i="3" s="1"/>
  <c r="AV48" i="3"/>
  <c r="Y48" i="3" s="1"/>
  <c r="AV26" i="3"/>
  <c r="Y26" i="3" s="1"/>
  <c r="AV55" i="3"/>
  <c r="Y55" i="3" s="1"/>
  <c r="AA58" i="3"/>
  <c r="AV47" i="3"/>
  <c r="Y47" i="3" s="1"/>
  <c r="AV35" i="3"/>
  <c r="Y35" i="3" s="1"/>
  <c r="AV62" i="3"/>
  <c r="Y62" i="3" s="1"/>
  <c r="AV28" i="3"/>
  <c r="Y28" i="3" s="1"/>
  <c r="AG37" i="3"/>
  <c r="AG30" i="3"/>
  <c r="AV40" i="3"/>
  <c r="Y40" i="3" s="1"/>
  <c r="AV34" i="3"/>
  <c r="Y34" i="3" s="1"/>
  <c r="AV63" i="3"/>
  <c r="Y63" i="3" s="1"/>
  <c r="AV61" i="3"/>
  <c r="Y61" i="3" s="1"/>
  <c r="AV29" i="3"/>
  <c r="Y29" i="3" s="1"/>
  <c r="AV33" i="3"/>
  <c r="Y33" i="3" s="1"/>
  <c r="AV49" i="3"/>
  <c r="Y49" i="3" s="1"/>
  <c r="AV36" i="3"/>
  <c r="Y36" i="3" s="1"/>
  <c r="AV43" i="3"/>
  <c r="Y43" i="3" s="1"/>
  <c r="AA65" i="3"/>
  <c r="Y42" i="3"/>
  <c r="AV42" i="3"/>
  <c r="AV54" i="3"/>
  <c r="Y54" i="3" s="1"/>
  <c r="AD7" i="4"/>
  <c r="AD87" i="4" s="1"/>
  <c r="AS88" i="3"/>
  <c r="AD85" i="4" s="1"/>
  <c r="U35" i="1"/>
  <c r="T35" i="1"/>
  <c r="AE63" i="1"/>
  <c r="AE49" i="1"/>
  <c r="AE28" i="1"/>
  <c r="T7" i="1"/>
  <c r="AA86" i="3"/>
  <c r="Y81" i="3"/>
  <c r="AC86" i="3"/>
  <c r="X79" i="3"/>
  <c r="AG79" i="3"/>
  <c r="Y60" i="3"/>
  <c r="X65" i="3"/>
  <c r="AC65" i="3"/>
  <c r="AG65" i="3"/>
  <c r="AC58" i="3"/>
  <c r="X58" i="3"/>
  <c r="Y53" i="3"/>
  <c r="X51" i="3"/>
  <c r="Y46" i="3"/>
  <c r="AA51" i="3"/>
  <c r="AC51" i="3"/>
  <c r="X44" i="3"/>
  <c r="Y39" i="3"/>
  <c r="AA44" i="3"/>
  <c r="AG44" i="3"/>
  <c r="AC44" i="3"/>
  <c r="X37" i="3"/>
  <c r="Y32" i="3"/>
  <c r="AA37" i="3"/>
  <c r="AC37" i="3"/>
  <c r="AC30" i="3"/>
  <c r="X30" i="3"/>
  <c r="AA30" i="3"/>
  <c r="AH3" i="1"/>
  <c r="U7" i="1"/>
  <c r="AF65" i="1"/>
  <c r="AF49" i="1"/>
  <c r="AJ84" i="3"/>
  <c r="AJ75" i="3"/>
  <c r="AJ77" i="3"/>
  <c r="AJ78" i="3"/>
  <c r="AJ63" i="3"/>
  <c r="AJ64" i="3"/>
  <c r="AJ62" i="3"/>
  <c r="AJ54" i="3"/>
  <c r="AJ56" i="3"/>
  <c r="AJ57" i="3"/>
  <c r="AJ55" i="3"/>
  <c r="AJ49" i="3"/>
  <c r="AJ48" i="3"/>
  <c r="AJ40" i="3"/>
  <c r="AJ42" i="3"/>
  <c r="AJ43" i="3"/>
  <c r="AJ41" i="3"/>
  <c r="AJ33" i="3"/>
  <c r="AJ36" i="3"/>
  <c r="AJ35" i="3"/>
  <c r="AJ34" i="3"/>
  <c r="AJ27" i="3"/>
  <c r="AJ28" i="3"/>
  <c r="AJ29" i="3"/>
  <c r="AJ26" i="3"/>
  <c r="AJ83" i="3"/>
  <c r="AJ47" i="3"/>
  <c r="AJ82" i="3"/>
  <c r="AT17" i="3"/>
  <c r="AF23" i="3"/>
  <c r="V19" i="3"/>
  <c r="AQ19" i="3" s="1"/>
  <c r="V20" i="3"/>
  <c r="AQ20" i="3" s="1"/>
  <c r="V21" i="3"/>
  <c r="AQ21" i="3" s="1"/>
  <c r="V22" i="3"/>
  <c r="AQ22" i="3" s="1"/>
  <c r="Y79" i="3" l="1"/>
  <c r="AI79" i="3"/>
  <c r="AJ53" i="3"/>
  <c r="AJ58" i="3" s="1"/>
  <c r="Y30" i="3"/>
  <c r="Y65" i="3"/>
  <c r="Y44" i="3"/>
  <c r="Y58" i="3"/>
  <c r="Y37" i="3"/>
  <c r="Y51" i="3"/>
  <c r="AJ81" i="3"/>
  <c r="AJ74" i="3"/>
  <c r="AJ79" i="3" s="1"/>
  <c r="AJ67" i="3"/>
  <c r="AJ60" i="3"/>
  <c r="AJ46" i="3"/>
  <c r="AJ39" i="3"/>
  <c r="AJ44" i="3" s="1"/>
  <c r="AJ32" i="3"/>
  <c r="AJ37" i="3" s="1"/>
  <c r="AC19" i="3"/>
  <c r="AA19" i="3"/>
  <c r="AA22" i="3"/>
  <c r="X22" i="3"/>
  <c r="AI22" i="3" s="1"/>
  <c r="AC22" i="3"/>
  <c r="AC21" i="3"/>
  <c r="AA21" i="3"/>
  <c r="AC20" i="3"/>
  <c r="AA20" i="3"/>
  <c r="AF84" i="1"/>
  <c r="AF63" i="1"/>
  <c r="AF28" i="1"/>
  <c r="AJ61" i="3"/>
  <c r="AJ25" i="3"/>
  <c r="AJ30" i="3" s="1"/>
  <c r="AG22" i="3"/>
  <c r="AG21" i="3"/>
  <c r="X21" i="3"/>
  <c r="AI21" i="3" s="1"/>
  <c r="AG20" i="3"/>
  <c r="X20" i="3"/>
  <c r="AI20" i="3" s="1"/>
  <c r="X19" i="3"/>
  <c r="AI19" i="3" s="1"/>
  <c r="AG19" i="3"/>
  <c r="AV21" i="3" l="1"/>
  <c r="Y21" i="3" s="1"/>
  <c r="AV20" i="3"/>
  <c r="Y20" i="3" s="1"/>
  <c r="AV22" i="3"/>
  <c r="Y22" i="3" s="1"/>
  <c r="AV19" i="3"/>
  <c r="Y19" i="3" s="1"/>
  <c r="AJ65" i="3"/>
  <c r="AJ20" i="3"/>
  <c r="AJ19" i="3"/>
  <c r="AJ21" i="3"/>
  <c r="AJ22" i="3"/>
  <c r="V18" i="3"/>
  <c r="AQ18" i="3" s="1"/>
  <c r="AQ23" i="3" s="1"/>
  <c r="AT6" i="3"/>
  <c r="AT9" i="3" s="1"/>
  <c r="AT7" i="3"/>
  <c r="AT8" i="3"/>
  <c r="AT10" i="3"/>
  <c r="AE13" i="4" s="1"/>
  <c r="V13" i="3"/>
  <c r="AQ13" i="3" s="1"/>
  <c r="V14" i="3"/>
  <c r="AQ14" i="3" s="1"/>
  <c r="V12" i="3"/>
  <c r="AQ12" i="3" s="1"/>
  <c r="AF9" i="3" l="1"/>
  <c r="AT88" i="3"/>
  <c r="AE85" i="4" s="1"/>
  <c r="AE7" i="4"/>
  <c r="AE87" i="4" s="1"/>
  <c r="V23" i="3"/>
  <c r="AA18" i="3"/>
  <c r="AA23" i="3" s="1"/>
  <c r="AC18" i="3"/>
  <c r="AC23" i="3" s="1"/>
  <c r="AC14" i="3"/>
  <c r="F22" i="15" s="1"/>
  <c r="AA14" i="3"/>
  <c r="F20" i="15" s="1"/>
  <c r="AC13" i="3"/>
  <c r="AA13" i="3"/>
  <c r="AC12" i="3"/>
  <c r="AA12" i="3"/>
  <c r="X12" i="3"/>
  <c r="AI12" i="3" s="1"/>
  <c r="V11" i="3"/>
  <c r="X18" i="3"/>
  <c r="X14" i="3"/>
  <c r="AI14" i="3" s="1"/>
  <c r="X13" i="3"/>
  <c r="AI13" i="3" s="1"/>
  <c r="AD23" i="3"/>
  <c r="AV18" i="3" l="1"/>
  <c r="AI18" i="3"/>
  <c r="AI23" i="3" s="1"/>
  <c r="V16" i="3"/>
  <c r="U16" i="3"/>
  <c r="U88" i="3" s="1"/>
  <c r="AQ11" i="3"/>
  <c r="AQ16" i="3" s="1"/>
  <c r="AV12" i="3"/>
  <c r="Y12" i="3" s="1"/>
  <c r="AV13" i="3"/>
  <c r="Y13" i="3" s="1"/>
  <c r="AV14" i="3"/>
  <c r="Y14" i="3" s="1"/>
  <c r="F21" i="15" s="1"/>
  <c r="X23" i="3"/>
  <c r="Y18" i="3"/>
  <c r="Y23" i="3" s="1"/>
  <c r="AC6" i="3"/>
  <c r="AA6" i="3"/>
  <c r="AQ6" i="3"/>
  <c r="AC11" i="3"/>
  <c r="AA11" i="3"/>
  <c r="AJ14" i="3"/>
  <c r="F19" i="15" s="1"/>
  <c r="AJ12" i="3"/>
  <c r="AJ13" i="3"/>
  <c r="X6" i="3"/>
  <c r="AG18" i="3"/>
  <c r="X7" i="3"/>
  <c r="AV7" i="3" s="1"/>
  <c r="Y7" i="3" s="1"/>
  <c r="X11" i="3"/>
  <c r="AG13" i="3"/>
  <c r="AG14" i="3"/>
  <c r="AG7" i="3"/>
  <c r="AG12" i="3"/>
  <c r="Z16" i="3" l="1"/>
  <c r="Z88" i="3" s="1"/>
  <c r="AA16" i="3"/>
  <c r="AV11" i="3"/>
  <c r="AI11" i="3"/>
  <c r="AI16" i="3" s="1"/>
  <c r="W16" i="3"/>
  <c r="W88" i="3" s="1"/>
  <c r="X16" i="3"/>
  <c r="AB16" i="3"/>
  <c r="AB88" i="3" s="1"/>
  <c r="AC16" i="3"/>
  <c r="AH18" i="3"/>
  <c r="AG23" i="3"/>
  <c r="Y11" i="3"/>
  <c r="Y16" i="3" s="1"/>
  <c r="AI6" i="3"/>
  <c r="AJ6" i="3" s="1"/>
  <c r="AV6" i="3"/>
  <c r="Y6" i="3" s="1"/>
  <c r="AJ18" i="3"/>
  <c r="AJ23" i="3" s="1"/>
  <c r="AI7" i="3"/>
  <c r="AJ7" i="3" s="1"/>
  <c r="AG6" i="3"/>
  <c r="AG11" i="3"/>
  <c r="AF16" i="3" s="1"/>
  <c r="AF88" i="3" s="1"/>
  <c r="AU16" i="3" l="1"/>
  <c r="AV16" i="3"/>
  <c r="AV88" i="3" s="1"/>
  <c r="AJ11" i="3"/>
  <c r="V8" i="3"/>
  <c r="AU88" i="3" l="1"/>
  <c r="AF85" i="4" s="1"/>
  <c r="AF13" i="4"/>
  <c r="AF87" i="4" s="1"/>
  <c r="AJ16" i="3"/>
  <c r="AD9" i="3"/>
  <c r="AQ8" i="3"/>
  <c r="AQ9" i="3" s="1"/>
  <c r="AC8" i="3"/>
  <c r="AC9" i="3" s="1"/>
  <c r="AA8" i="3"/>
  <c r="AA9" i="3" s="1"/>
  <c r="V9" i="3"/>
  <c r="AG8" i="3"/>
  <c r="X8" i="3"/>
  <c r="AV8" i="3" s="1"/>
  <c r="Y8" i="3" s="1"/>
  <c r="AC43" i="1"/>
  <c r="AC50" i="1"/>
  <c r="AC57" i="1"/>
  <c r="AC64" i="1"/>
  <c r="AC71" i="1"/>
  <c r="AC78" i="1"/>
  <c r="AB36" i="1"/>
  <c r="AC36" i="1" s="1"/>
  <c r="AB15" i="1"/>
  <c r="Z15" i="1"/>
  <c r="Z8" i="1"/>
  <c r="Q20" i="1"/>
  <c r="Q22" i="1"/>
  <c r="Q29" i="1"/>
  <c r="AM7" i="1"/>
  <c r="AI8" i="3" l="1"/>
  <c r="AJ8" i="3" s="1"/>
  <c r="R22" i="1"/>
  <c r="AC34" i="1"/>
  <c r="AC35" i="1" s="1"/>
  <c r="R29" i="1"/>
  <c r="AM86" i="1"/>
  <c r="AC85" i="4" s="1"/>
  <c r="AT5" i="3"/>
  <c r="AS5" i="3"/>
  <c r="AR5" i="3"/>
  <c r="W5" i="3"/>
  <c r="AG5" i="3" l="1"/>
  <c r="AG9" i="3" s="1"/>
  <c r="AA4" i="2"/>
  <c r="AL22" i="1"/>
  <c r="T22" i="1"/>
  <c r="Y22" i="1"/>
  <c r="Y29" i="1"/>
  <c r="AL29" i="1"/>
  <c r="T29" i="1"/>
  <c r="AC29" i="1"/>
  <c r="AC22" i="1"/>
  <c r="Z20" i="1"/>
  <c r="AK9" i="3"/>
  <c r="AC20" i="1" l="1"/>
  <c r="AC21" i="1" s="1"/>
  <c r="Z21" i="1"/>
  <c r="AQ20" i="1"/>
  <c r="U20" i="1" s="1"/>
  <c r="U21" i="1" s="1"/>
  <c r="T21" i="1"/>
  <c r="X5" i="3"/>
  <c r="AB51" i="2"/>
  <c r="AV5" i="3" l="1"/>
  <c r="Y5" i="3" s="1"/>
  <c r="Y9" i="3" s="1"/>
  <c r="X9" i="3"/>
  <c r="AI5" i="3"/>
  <c r="AI9" i="3" s="1"/>
  <c r="L50" i="2"/>
  <c r="E77" i="4"/>
  <c r="E78" i="4"/>
  <c r="E79" i="4"/>
  <c r="E80" i="4"/>
  <c r="E81" i="4"/>
  <c r="E82" i="4"/>
  <c r="AJ5" i="3" l="1"/>
  <c r="AJ9" i="3" s="1"/>
  <c r="AB47" i="2" l="1"/>
  <c r="E70" i="4"/>
  <c r="O79" i="3"/>
  <c r="N79" i="3"/>
  <c r="D76" i="4" s="1"/>
  <c r="O79" i="5"/>
  <c r="R45" i="2" l="1"/>
  <c r="W78" i="5" l="1"/>
  <c r="W77" i="5"/>
  <c r="O72" i="3" l="1"/>
  <c r="O70" i="1"/>
  <c r="Q45" i="2" l="1"/>
  <c r="V69" i="3" l="1"/>
  <c r="AQ69" i="3" s="1"/>
  <c r="V70" i="3"/>
  <c r="AQ70" i="3" s="1"/>
  <c r="V71" i="3"/>
  <c r="AQ71" i="3" s="1"/>
  <c r="AA69" i="3" l="1"/>
  <c r="AC69" i="3"/>
  <c r="AA71" i="3"/>
  <c r="AC71" i="3"/>
  <c r="AC70" i="3"/>
  <c r="AA70" i="3"/>
  <c r="AG71" i="3"/>
  <c r="X71" i="3"/>
  <c r="X70" i="3"/>
  <c r="AI70" i="3" s="1"/>
  <c r="AG70" i="3"/>
  <c r="AG69" i="3"/>
  <c r="X69" i="3"/>
  <c r="AI69" i="3" s="1"/>
  <c r="AI71" i="3" l="1"/>
  <c r="AV71" i="3"/>
  <c r="Y71" i="3" s="1"/>
  <c r="AV69" i="3"/>
  <c r="Y69" i="3" s="1"/>
  <c r="AV70" i="3"/>
  <c r="Y70" i="3" s="1"/>
  <c r="AJ69" i="3"/>
  <c r="AJ70" i="3"/>
  <c r="AJ71" i="3"/>
  <c r="V68" i="3" l="1"/>
  <c r="AQ68" i="3" s="1"/>
  <c r="AQ72" i="3" s="1"/>
  <c r="R37" i="2"/>
  <c r="AQ88" i="3" l="1"/>
  <c r="AA68" i="3"/>
  <c r="AA72" i="3" s="1"/>
  <c r="AA88" i="3" s="1"/>
  <c r="AC68" i="3"/>
  <c r="AC72" i="3" s="1"/>
  <c r="AC88" i="3" s="1"/>
  <c r="V72" i="3"/>
  <c r="V88" i="3" s="1"/>
  <c r="AG68" i="3"/>
  <c r="AG72" i="3" s="1"/>
  <c r="X68" i="3"/>
  <c r="AV68" i="3" l="1"/>
  <c r="AI68" i="3"/>
  <c r="AI72" i="3" s="1"/>
  <c r="Y68" i="3"/>
  <c r="Y72" i="3" s="1"/>
  <c r="X72" i="3"/>
  <c r="AJ68" i="3" l="1"/>
  <c r="AJ72" i="3" s="1"/>
  <c r="AA33" i="2" l="1"/>
  <c r="Q33" i="2"/>
  <c r="E46" i="4"/>
  <c r="E47" i="4"/>
  <c r="E45" i="4"/>
  <c r="O51" i="3"/>
  <c r="O49" i="1"/>
  <c r="E48" i="4" l="1"/>
  <c r="S29" i="2" s="1"/>
  <c r="AD51" i="3" l="1"/>
  <c r="AD88" i="3" s="1"/>
  <c r="AG50" i="3" l="1"/>
  <c r="AG51" i="3" s="1"/>
  <c r="AJ50" i="3" l="1"/>
  <c r="AJ51" i="3" s="1"/>
  <c r="AA29" i="2"/>
  <c r="P29" i="2"/>
  <c r="Q29" i="2"/>
  <c r="D28" i="4" l="1"/>
  <c r="D29" i="4"/>
  <c r="D34" i="4"/>
  <c r="N86" i="1" l="1"/>
  <c r="O28" i="1"/>
  <c r="D27" i="4" l="1"/>
  <c r="O14" i="1" l="1"/>
  <c r="AA49" i="2" l="1"/>
  <c r="Q49" i="2"/>
  <c r="P49" i="2"/>
  <c r="AB76" i="1" l="1"/>
  <c r="U41" i="2" l="1"/>
  <c r="V41" i="2" s="1"/>
  <c r="AO76" i="1"/>
  <c r="AO77" i="1" s="1"/>
  <c r="AA45" i="2" s="1"/>
  <c r="AO69" i="1"/>
  <c r="AD70" i="4"/>
  <c r="AO86" i="1" l="1"/>
  <c r="O7" i="1"/>
  <c r="E63" i="4"/>
  <c r="E64" i="4"/>
  <c r="E66" i="4"/>
  <c r="E67" i="4"/>
  <c r="E68" i="4"/>
  <c r="V62" i="9" l="1"/>
  <c r="W62" i="9"/>
  <c r="X62" i="9"/>
  <c r="AD62" i="9"/>
  <c r="AF62" i="9"/>
  <c r="O62" i="9" l="1"/>
  <c r="AH4" i="3" l="1"/>
  <c r="AH67" i="3"/>
  <c r="AH43" i="3"/>
  <c r="AL43" i="3" s="1"/>
  <c r="AM43" i="3" s="1"/>
  <c r="AP43" i="3" s="1"/>
  <c r="AH55" i="3"/>
  <c r="AL55" i="3" s="1"/>
  <c r="AM55" i="3" s="1"/>
  <c r="AP55" i="3" s="1"/>
  <c r="AH82" i="3"/>
  <c r="AH40" i="3"/>
  <c r="AL40" i="3" s="1"/>
  <c r="AH26" i="3"/>
  <c r="AL26" i="3" s="1"/>
  <c r="AH28" i="3"/>
  <c r="AH81" i="3"/>
  <c r="AH53" i="3"/>
  <c r="AH74" i="3"/>
  <c r="AH32" i="3"/>
  <c r="AH84" i="3"/>
  <c r="AL84" i="3" s="1"/>
  <c r="AM84" i="3" s="1"/>
  <c r="AP84" i="3" s="1"/>
  <c r="AH46" i="3"/>
  <c r="AH27" i="3"/>
  <c r="AH78" i="3"/>
  <c r="AL78" i="3" s="1"/>
  <c r="AH25" i="3"/>
  <c r="AH61" i="3"/>
  <c r="AH34" i="3"/>
  <c r="AL34" i="3" s="1"/>
  <c r="AH76" i="3"/>
  <c r="AL76" i="3" s="1"/>
  <c r="AH48" i="3"/>
  <c r="AL48" i="3" s="1"/>
  <c r="AM48" i="3" s="1"/>
  <c r="AP48" i="3" s="1"/>
  <c r="AH54" i="3"/>
  <c r="AL54" i="3" s="1"/>
  <c r="AM54" i="3" s="1"/>
  <c r="AP54" i="3" s="1"/>
  <c r="AH75" i="3"/>
  <c r="AL75" i="3" s="1"/>
  <c r="AH57" i="3"/>
  <c r="AL57" i="3" s="1"/>
  <c r="AM57" i="3" s="1"/>
  <c r="AP57" i="3" s="1"/>
  <c r="AH62" i="3"/>
  <c r="AL62" i="3" s="1"/>
  <c r="AM62" i="3" s="1"/>
  <c r="AP62" i="3" s="1"/>
  <c r="AH49" i="3"/>
  <c r="AL49" i="3" s="1"/>
  <c r="AM49" i="3" s="1"/>
  <c r="AP49" i="3" s="1"/>
  <c r="AH85" i="3"/>
  <c r="AH56" i="3"/>
  <c r="AL56" i="3" s="1"/>
  <c r="AM56" i="3" s="1"/>
  <c r="AP56" i="3" s="1"/>
  <c r="AH64" i="3"/>
  <c r="AL64" i="3" s="1"/>
  <c r="AM64" i="3" s="1"/>
  <c r="AP64" i="3" s="1"/>
  <c r="AH33" i="3"/>
  <c r="AL33" i="3" s="1"/>
  <c r="AH41" i="3"/>
  <c r="AL41" i="3" s="1"/>
  <c r="AH36" i="3"/>
  <c r="AL36" i="3" s="1"/>
  <c r="AH60" i="3"/>
  <c r="AH63" i="3"/>
  <c r="AL63" i="3" s="1"/>
  <c r="AM63" i="3" s="1"/>
  <c r="AP63" i="3" s="1"/>
  <c r="AH83" i="3"/>
  <c r="AL83" i="3" s="1"/>
  <c r="AM83" i="3" s="1"/>
  <c r="AP83" i="3" s="1"/>
  <c r="AH77" i="3"/>
  <c r="AL77" i="3" s="1"/>
  <c r="AH42" i="3"/>
  <c r="AL42" i="3" s="1"/>
  <c r="AH35" i="3"/>
  <c r="AL35" i="3" s="1"/>
  <c r="AH39" i="3"/>
  <c r="AH29" i="3"/>
  <c r="AH47" i="3"/>
  <c r="AH21" i="3"/>
  <c r="AL21" i="3" s="1"/>
  <c r="AM21" i="3" s="1"/>
  <c r="AP21" i="3" s="1"/>
  <c r="AH20" i="3"/>
  <c r="AL20" i="3" s="1"/>
  <c r="AM20" i="3" s="1"/>
  <c r="AP20" i="3" s="1"/>
  <c r="AH19" i="3"/>
  <c r="AH22" i="3"/>
  <c r="AL22" i="3" s="1"/>
  <c r="AM22" i="3" s="1"/>
  <c r="AP22" i="3" s="1"/>
  <c r="AH7" i="3"/>
  <c r="AL7" i="3" s="1"/>
  <c r="AM7" i="3" s="1"/>
  <c r="AP7" i="3" s="1"/>
  <c r="AH14" i="3"/>
  <c r="AH13" i="3"/>
  <c r="AL13" i="3" s="1"/>
  <c r="AM13" i="3" s="1"/>
  <c r="AP13" i="3" s="1"/>
  <c r="AH12" i="3"/>
  <c r="AL12" i="3" s="1"/>
  <c r="AM12" i="3" s="1"/>
  <c r="AP12" i="3" s="1"/>
  <c r="AH6" i="3"/>
  <c r="AL6" i="3" s="1"/>
  <c r="AM6" i="3" s="1"/>
  <c r="AP6" i="3" s="1"/>
  <c r="AH11" i="3"/>
  <c r="AH8" i="3"/>
  <c r="AL8" i="3" s="1"/>
  <c r="AM8" i="3" s="1"/>
  <c r="AP8" i="3" s="1"/>
  <c r="AH5" i="3"/>
  <c r="AH69" i="3"/>
  <c r="AL69" i="3" s="1"/>
  <c r="AM69" i="3" s="1"/>
  <c r="AP69" i="3" s="1"/>
  <c r="AH70" i="3"/>
  <c r="AL70" i="3" s="1"/>
  <c r="AM70" i="3" s="1"/>
  <c r="AP70" i="3" s="1"/>
  <c r="AH71" i="3"/>
  <c r="AL71" i="3" s="1"/>
  <c r="AM71" i="3" s="1"/>
  <c r="AP71" i="3" s="1"/>
  <c r="AH68" i="3"/>
  <c r="AH50" i="3"/>
  <c r="AL50" i="3" s="1"/>
  <c r="AM50" i="3" s="1"/>
  <c r="AP50" i="3" s="1"/>
  <c r="V69" i="11"/>
  <c r="X69" i="11"/>
  <c r="AA69" i="11"/>
  <c r="AD69" i="11"/>
  <c r="AF69" i="11"/>
  <c r="O69" i="11"/>
  <c r="AO65" i="11"/>
  <c r="AO69" i="11" s="1"/>
  <c r="AN65" i="11"/>
  <c r="AN69" i="11" s="1"/>
  <c r="AM65" i="11"/>
  <c r="AM69" i="11" s="1"/>
  <c r="AJ65" i="11"/>
  <c r="AJ69" i="11" s="1"/>
  <c r="AB65" i="11"/>
  <c r="AB69" i="11" s="1"/>
  <c r="S65" i="11"/>
  <c r="S69" i="11" s="1"/>
  <c r="P65" i="11"/>
  <c r="P69" i="11" s="1"/>
  <c r="V69" i="10"/>
  <c r="X69" i="10"/>
  <c r="AD69" i="10"/>
  <c r="AF69" i="10"/>
  <c r="O69" i="10"/>
  <c r="AO65" i="10"/>
  <c r="AO69" i="10" s="1"/>
  <c r="AA41" i="2" s="1"/>
  <c r="AN65" i="10"/>
  <c r="AN69" i="10" s="1"/>
  <c r="Q41" i="2" s="1"/>
  <c r="AM65" i="10"/>
  <c r="AM69" i="10" s="1"/>
  <c r="AJ65" i="10"/>
  <c r="AJ69" i="10" s="1"/>
  <c r="AB65" i="10"/>
  <c r="AB69" i="10" s="1"/>
  <c r="AA69" i="10"/>
  <c r="S59" i="10"/>
  <c r="S65" i="10"/>
  <c r="S69" i="10" s="1"/>
  <c r="S60" i="10"/>
  <c r="P65" i="10"/>
  <c r="P69" i="10" s="1"/>
  <c r="AL14" i="3" l="1"/>
  <c r="AM14" i="3" s="1"/>
  <c r="AP14" i="3" s="1"/>
  <c r="F18" i="15"/>
  <c r="F24" i="15" s="1"/>
  <c r="F26" i="15" s="1"/>
  <c r="H11" i="15"/>
  <c r="AH16" i="3"/>
  <c r="AG16" i="3"/>
  <c r="AG88" i="3" s="1"/>
  <c r="AH44" i="3"/>
  <c r="AH23" i="3"/>
  <c r="AL81" i="3"/>
  <c r="AH86" i="3"/>
  <c r="AH79" i="3"/>
  <c r="AL67" i="3"/>
  <c r="AH72" i="3"/>
  <c r="AL60" i="3"/>
  <c r="AH65" i="3"/>
  <c r="AH58" i="3"/>
  <c r="AL46" i="3"/>
  <c r="AH51" i="3"/>
  <c r="AH37" i="3"/>
  <c r="AH30" i="3"/>
  <c r="AH9" i="3"/>
  <c r="AL4" i="3"/>
  <c r="AL5" i="3"/>
  <c r="AM5" i="3" s="1"/>
  <c r="AP5" i="3" s="1"/>
  <c r="AL82" i="3"/>
  <c r="AM82" i="3" s="1"/>
  <c r="AP82" i="3" s="1"/>
  <c r="AL11" i="3"/>
  <c r="AL32" i="3"/>
  <c r="AL37" i="3" s="1"/>
  <c r="AL74" i="3"/>
  <c r="AL79" i="3" s="1"/>
  <c r="AL68" i="3"/>
  <c r="AL61" i="3"/>
  <c r="AL53" i="3"/>
  <c r="AL58" i="3" s="1"/>
  <c r="AL47" i="3"/>
  <c r="AL25" i="3"/>
  <c r="AL18" i="3"/>
  <c r="AL39" i="3"/>
  <c r="AL44" i="3" s="1"/>
  <c r="Q65" i="11"/>
  <c r="Q69" i="11" s="1"/>
  <c r="P41" i="2"/>
  <c r="Q65" i="10"/>
  <c r="AG65" i="10" s="1"/>
  <c r="AG69" i="10" s="1"/>
  <c r="AG65" i="11"/>
  <c r="AG69" i="11" s="1"/>
  <c r="Q69" i="10"/>
  <c r="AM61" i="11"/>
  <c r="AA62" i="11"/>
  <c r="V62" i="11"/>
  <c r="X62" i="11"/>
  <c r="AD62" i="11"/>
  <c r="AF62" i="11"/>
  <c r="P60" i="11"/>
  <c r="Q60" i="11" s="1"/>
  <c r="AG60" i="11" s="1"/>
  <c r="AF62" i="10"/>
  <c r="AD62" i="10"/>
  <c r="AA62" i="10"/>
  <c r="X62" i="10"/>
  <c r="V62" i="10"/>
  <c r="AB61" i="10"/>
  <c r="P61" i="10"/>
  <c r="O62" i="11"/>
  <c r="AO61" i="11"/>
  <c r="AN61" i="11"/>
  <c r="AJ61" i="11"/>
  <c r="AB61" i="11"/>
  <c r="S61" i="11"/>
  <c r="P61" i="11"/>
  <c r="Q61" i="11" s="1"/>
  <c r="AG61" i="11" s="1"/>
  <c r="AO60" i="11"/>
  <c r="AN60" i="11"/>
  <c r="AM60" i="11"/>
  <c r="AJ60" i="11"/>
  <c r="AB60" i="11"/>
  <c r="S60" i="11"/>
  <c r="AO59" i="11"/>
  <c r="AN59" i="11"/>
  <c r="AM59" i="11"/>
  <c r="AJ59" i="11"/>
  <c r="AJ62" i="11" s="1"/>
  <c r="AB59" i="11"/>
  <c r="S59" i="11"/>
  <c r="P59" i="11"/>
  <c r="AF34" i="11"/>
  <c r="AD34" i="11"/>
  <c r="AA34" i="11"/>
  <c r="X34" i="11"/>
  <c r="V34" i="11"/>
  <c r="U34" i="11"/>
  <c r="O34" i="11"/>
  <c r="AO33" i="11"/>
  <c r="AN33" i="11"/>
  <c r="AM33" i="11"/>
  <c r="AJ33" i="11"/>
  <c r="AB33" i="11"/>
  <c r="S33" i="11"/>
  <c r="Q33" i="11"/>
  <c r="AG33" i="11" s="1"/>
  <c r="P33" i="11"/>
  <c r="AO32" i="11"/>
  <c r="AN32" i="11"/>
  <c r="AM32" i="11"/>
  <c r="AJ32" i="11"/>
  <c r="AB32" i="11"/>
  <c r="S32" i="11"/>
  <c r="Q32" i="11"/>
  <c r="AG32" i="11" s="1"/>
  <c r="P32" i="11"/>
  <c r="AO31" i="11"/>
  <c r="AN31" i="11"/>
  <c r="AM31" i="11"/>
  <c r="AJ31" i="11"/>
  <c r="AB31" i="11"/>
  <c r="S31" i="11"/>
  <c r="Q31" i="11"/>
  <c r="AG31" i="11" s="1"/>
  <c r="P31" i="11"/>
  <c r="AO30" i="11"/>
  <c r="AN30" i="11"/>
  <c r="AM30" i="11"/>
  <c r="AM34" i="11" s="1"/>
  <c r="AJ30" i="11"/>
  <c r="AB30" i="11"/>
  <c r="AB34" i="11" s="1"/>
  <c r="S30" i="11"/>
  <c r="S34" i="11" s="1"/>
  <c r="Q30" i="11"/>
  <c r="Q34" i="11" s="1"/>
  <c r="P30" i="11"/>
  <c r="P34" i="11" s="1"/>
  <c r="AF27" i="11"/>
  <c r="AD27" i="11"/>
  <c r="AA27" i="11"/>
  <c r="X27" i="11"/>
  <c r="V27" i="11"/>
  <c r="U27" i="11"/>
  <c r="O27" i="11"/>
  <c r="AO25" i="11"/>
  <c r="AN25" i="11"/>
  <c r="AM25" i="11"/>
  <c r="AJ25" i="11"/>
  <c r="AB25" i="11"/>
  <c r="S25" i="11"/>
  <c r="P25" i="11"/>
  <c r="Q25" i="11" s="1"/>
  <c r="AG25" i="11" s="1"/>
  <c r="AO24" i="11"/>
  <c r="AN24" i="11"/>
  <c r="AM24" i="11"/>
  <c r="AJ24" i="11"/>
  <c r="AB24" i="11"/>
  <c r="S24" i="11"/>
  <c r="P24" i="11"/>
  <c r="Q24" i="11" s="1"/>
  <c r="AG24" i="11" s="1"/>
  <c r="AO23" i="11"/>
  <c r="AN23" i="11"/>
  <c r="AN27" i="11" s="1"/>
  <c r="AM23" i="11"/>
  <c r="AJ23" i="11"/>
  <c r="AB23" i="11"/>
  <c r="S23" i="11"/>
  <c r="S27" i="11" s="1"/>
  <c r="P23" i="11"/>
  <c r="AF20" i="11"/>
  <c r="AD20" i="11"/>
  <c r="AA20" i="11"/>
  <c r="X20" i="11"/>
  <c r="V20" i="11"/>
  <c r="U20" i="11"/>
  <c r="O20" i="11"/>
  <c r="AO19" i="11"/>
  <c r="AN19" i="11"/>
  <c r="AM19" i="11"/>
  <c r="AJ19" i="11"/>
  <c r="AB19" i="11"/>
  <c r="S19" i="11"/>
  <c r="P19" i="11"/>
  <c r="Q19" i="11" s="1"/>
  <c r="AG19" i="11" s="1"/>
  <c r="AO18" i="11"/>
  <c r="AN18" i="11"/>
  <c r="AM18" i="11"/>
  <c r="AJ18" i="11"/>
  <c r="AB18" i="11"/>
  <c r="S18" i="11"/>
  <c r="P18" i="11"/>
  <c r="AO17" i="11"/>
  <c r="AN17" i="11"/>
  <c r="AM17" i="11"/>
  <c r="AJ17" i="11"/>
  <c r="AB17" i="11"/>
  <c r="S17" i="11"/>
  <c r="P17" i="11"/>
  <c r="AO16" i="11"/>
  <c r="AN16" i="11"/>
  <c r="AM16" i="11"/>
  <c r="AJ16" i="11"/>
  <c r="AB16" i="11"/>
  <c r="S16" i="11"/>
  <c r="P16" i="11"/>
  <c r="Q16" i="11" s="1"/>
  <c r="AG16" i="11" s="1"/>
  <c r="AO15" i="11"/>
  <c r="AN15" i="11"/>
  <c r="AM15" i="11"/>
  <c r="AJ15" i="11"/>
  <c r="AB15" i="11"/>
  <c r="S15" i="11"/>
  <c r="P15" i="11"/>
  <c r="Q15" i="11" s="1"/>
  <c r="AF13" i="11"/>
  <c r="AD13" i="11"/>
  <c r="AA13" i="11"/>
  <c r="X13" i="11"/>
  <c r="V13" i="11"/>
  <c r="V85" i="11" s="1"/>
  <c r="U13" i="11"/>
  <c r="O13" i="11"/>
  <c r="AO12" i="11"/>
  <c r="AN12" i="11"/>
  <c r="AM12" i="11"/>
  <c r="AJ12" i="11"/>
  <c r="AB12" i="11"/>
  <c r="S12" i="11"/>
  <c r="P12" i="11"/>
  <c r="Q12" i="11" s="1"/>
  <c r="AG12" i="11" s="1"/>
  <c r="AO11" i="11"/>
  <c r="AN11" i="11"/>
  <c r="AM11" i="11"/>
  <c r="AJ11" i="11"/>
  <c r="AB11" i="11"/>
  <c r="S11" i="11"/>
  <c r="P11" i="11"/>
  <c r="Q11" i="11" s="1"/>
  <c r="AG11" i="11" s="1"/>
  <c r="AO10" i="11"/>
  <c r="AN10" i="11"/>
  <c r="AM10" i="11"/>
  <c r="AJ10" i="11"/>
  <c r="AB10" i="11"/>
  <c r="S10" i="11"/>
  <c r="P10" i="11"/>
  <c r="Q10" i="11" s="1"/>
  <c r="AG10" i="11" s="1"/>
  <c r="AO9" i="11"/>
  <c r="AO13" i="11" s="1"/>
  <c r="AN9" i="11"/>
  <c r="AM9" i="11"/>
  <c r="AJ9" i="11"/>
  <c r="AB9" i="11"/>
  <c r="AB13" i="11" s="1"/>
  <c r="S9" i="11"/>
  <c r="P9" i="11"/>
  <c r="AK88" i="3" l="1"/>
  <c r="AL72" i="3"/>
  <c r="AL51" i="3"/>
  <c r="AH88" i="3"/>
  <c r="AL65" i="3"/>
  <c r="AL9" i="3"/>
  <c r="AM4" i="3"/>
  <c r="AP4" i="3" s="1"/>
  <c r="AP9" i="3" s="1"/>
  <c r="AM61" i="3"/>
  <c r="AP61" i="3" s="1"/>
  <c r="AM11" i="3"/>
  <c r="AM68" i="3"/>
  <c r="AP68" i="3" s="1"/>
  <c r="AM47" i="3"/>
  <c r="AP47" i="3" s="1"/>
  <c r="R65" i="11"/>
  <c r="AJ20" i="11"/>
  <c r="AO62" i="11"/>
  <c r="AJ13" i="11"/>
  <c r="AM20" i="11"/>
  <c r="AO27" i="11"/>
  <c r="S20" i="11"/>
  <c r="AM62" i="11"/>
  <c r="R65" i="10"/>
  <c r="AB27" i="11"/>
  <c r="AN20" i="11"/>
  <c r="S13" i="11"/>
  <c r="AB20" i="11"/>
  <c r="AB85" i="11" s="1"/>
  <c r="P27" i="11"/>
  <c r="R31" i="11"/>
  <c r="Y31" i="11" s="1"/>
  <c r="R32" i="11"/>
  <c r="Y32" i="11" s="1"/>
  <c r="R33" i="11"/>
  <c r="Y33" i="11" s="1"/>
  <c r="S62" i="11"/>
  <c r="Z33" i="11"/>
  <c r="R30" i="11"/>
  <c r="W30" i="11" s="1"/>
  <c r="P62" i="11"/>
  <c r="AM13" i="11"/>
  <c r="P20" i="11"/>
  <c r="AN62" i="11"/>
  <c r="AN13" i="11"/>
  <c r="AJ27" i="11"/>
  <c r="AG30" i="11"/>
  <c r="AG34" i="11" s="1"/>
  <c r="AO34" i="11"/>
  <c r="AB62" i="11"/>
  <c r="R69" i="11"/>
  <c r="AL65" i="11"/>
  <c r="AL69" i="11" s="1"/>
  <c r="Z65" i="11"/>
  <c r="Z69" i="11" s="1"/>
  <c r="W65" i="11"/>
  <c r="W69" i="11" s="1"/>
  <c r="T65" i="11"/>
  <c r="Y65" i="11"/>
  <c r="Y69" i="11" s="1"/>
  <c r="T65" i="10"/>
  <c r="AL65" i="10"/>
  <c r="AL69" i="10" s="1"/>
  <c r="Y65" i="10"/>
  <c r="Y69" i="10" s="1"/>
  <c r="W65" i="10"/>
  <c r="W69" i="10" s="1"/>
  <c r="Z65" i="10"/>
  <c r="Z69" i="10" s="1"/>
  <c r="R69" i="10"/>
  <c r="AD85" i="11"/>
  <c r="AA85" i="11"/>
  <c r="R61" i="11"/>
  <c r="Y61" i="11" s="1"/>
  <c r="P13" i="11"/>
  <c r="P85" i="11" s="1"/>
  <c r="AM27" i="11"/>
  <c r="Q9" i="11"/>
  <c r="R9" i="11" s="1"/>
  <c r="R10" i="11"/>
  <c r="Q23" i="11"/>
  <c r="R24" i="11"/>
  <c r="Z30" i="11"/>
  <c r="W32" i="11"/>
  <c r="AL32" i="11"/>
  <c r="T32" i="11"/>
  <c r="AE32" i="11" s="1"/>
  <c r="Z32" i="11"/>
  <c r="AC32" i="11" s="1"/>
  <c r="AG15" i="11"/>
  <c r="Q18" i="11"/>
  <c r="AG18" i="11" s="1"/>
  <c r="R11" i="11"/>
  <c r="R12" i="11"/>
  <c r="X85" i="11"/>
  <c r="R16" i="11"/>
  <c r="Q17" i="11"/>
  <c r="AG17" i="11" s="1"/>
  <c r="Q59" i="11"/>
  <c r="Q62" i="11" s="1"/>
  <c r="R60" i="11"/>
  <c r="AN34" i="11"/>
  <c r="AN85" i="11" s="1"/>
  <c r="W31" i="11"/>
  <c r="AC33" i="11"/>
  <c r="W33" i="11"/>
  <c r="AL33" i="11"/>
  <c r="T33" i="11"/>
  <c r="AE33" i="11" s="1"/>
  <c r="AF85" i="11"/>
  <c r="R15" i="11"/>
  <c r="AO20" i="11"/>
  <c r="R19" i="11"/>
  <c r="R25" i="11"/>
  <c r="AJ34" i="11"/>
  <c r="AJ85" i="11" s="1"/>
  <c r="O62" i="10"/>
  <c r="AM61" i="10"/>
  <c r="AM60" i="10"/>
  <c r="AB60" i="10"/>
  <c r="P60" i="10"/>
  <c r="AO61" i="10"/>
  <c r="AN61" i="10"/>
  <c r="AJ61" i="10"/>
  <c r="S61" i="10"/>
  <c r="S62" i="10" s="1"/>
  <c r="Q61" i="10"/>
  <c r="AG61" i="10" s="1"/>
  <c r="AO60" i="10"/>
  <c r="AN60" i="10"/>
  <c r="AJ60" i="10"/>
  <c r="AO59" i="10"/>
  <c r="AN59" i="10"/>
  <c r="AM59" i="10"/>
  <c r="AJ59" i="10"/>
  <c r="AB59" i="10"/>
  <c r="P59" i="10"/>
  <c r="AF34" i="10"/>
  <c r="AD34" i="10"/>
  <c r="AA34" i="10"/>
  <c r="X34" i="10"/>
  <c r="V34" i="10"/>
  <c r="U34" i="10"/>
  <c r="O34" i="10"/>
  <c r="AO33" i="10"/>
  <c r="AN33" i="10"/>
  <c r="AM33" i="10"/>
  <c r="AJ33" i="10"/>
  <c r="AB33" i="10"/>
  <c r="S33" i="10"/>
  <c r="P33" i="10"/>
  <c r="Q33" i="10" s="1"/>
  <c r="AG33" i="10" s="1"/>
  <c r="AO32" i="10"/>
  <c r="AN32" i="10"/>
  <c r="AM32" i="10"/>
  <c r="AJ32" i="10"/>
  <c r="AB32" i="10"/>
  <c r="S32" i="10"/>
  <c r="P32" i="10"/>
  <c r="Q32" i="10" s="1"/>
  <c r="AG32" i="10" s="1"/>
  <c r="AO31" i="10"/>
  <c r="AN31" i="10"/>
  <c r="AM31" i="10"/>
  <c r="AJ31" i="10"/>
  <c r="AB31" i="10"/>
  <c r="S31" i="10"/>
  <c r="P31" i="10"/>
  <c r="Q31" i="10" s="1"/>
  <c r="AG31" i="10" s="1"/>
  <c r="AO30" i="10"/>
  <c r="AN30" i="10"/>
  <c r="AM30" i="10"/>
  <c r="AJ30" i="10"/>
  <c r="AB30" i="10"/>
  <c r="S30" i="10"/>
  <c r="P30" i="10"/>
  <c r="AF27" i="10"/>
  <c r="AD27" i="10"/>
  <c r="AA27" i="10"/>
  <c r="X27" i="10"/>
  <c r="V27" i="10"/>
  <c r="U27" i="10"/>
  <c r="O27" i="10"/>
  <c r="AO25" i="10"/>
  <c r="AN25" i="10"/>
  <c r="AM25" i="10"/>
  <c r="AJ25" i="10"/>
  <c r="AB25" i="10"/>
  <c r="S25" i="10"/>
  <c r="P25" i="10"/>
  <c r="Q25" i="10" s="1"/>
  <c r="AG25" i="10" s="1"/>
  <c r="AO24" i="10"/>
  <c r="AN24" i="10"/>
  <c r="AM24" i="10"/>
  <c r="AJ24" i="10"/>
  <c r="AB24" i="10"/>
  <c r="S24" i="10"/>
  <c r="P24" i="10"/>
  <c r="Q24" i="10" s="1"/>
  <c r="AG24" i="10" s="1"/>
  <c r="AO23" i="10"/>
  <c r="AN23" i="10"/>
  <c r="AM23" i="10"/>
  <c r="AJ23" i="10"/>
  <c r="AB23" i="10"/>
  <c r="S23" i="10"/>
  <c r="S27" i="10" s="1"/>
  <c r="P23" i="10"/>
  <c r="AF20" i="10"/>
  <c r="AD20" i="10"/>
  <c r="AA20" i="10"/>
  <c r="X20" i="10"/>
  <c r="V20" i="10"/>
  <c r="U20" i="10"/>
  <c r="O20" i="10"/>
  <c r="AO19" i="10"/>
  <c r="AN19" i="10"/>
  <c r="AM19" i="10"/>
  <c r="AJ19" i="10"/>
  <c r="AB19" i="10"/>
  <c r="S19" i="10"/>
  <c r="P19" i="10"/>
  <c r="AO18" i="10"/>
  <c r="AN18" i="10"/>
  <c r="AM18" i="10"/>
  <c r="AJ18" i="10"/>
  <c r="AB18" i="10"/>
  <c r="S18" i="10"/>
  <c r="P18" i="10"/>
  <c r="AO17" i="10"/>
  <c r="AN17" i="10"/>
  <c r="AM17" i="10"/>
  <c r="AJ17" i="10"/>
  <c r="AB17" i="10"/>
  <c r="S17" i="10"/>
  <c r="P17" i="10"/>
  <c r="AO16" i="10"/>
  <c r="AN16" i="10"/>
  <c r="AM16" i="10"/>
  <c r="AJ16" i="10"/>
  <c r="AB16" i="10"/>
  <c r="S16" i="10"/>
  <c r="P16" i="10"/>
  <c r="AO15" i="10"/>
  <c r="AN15" i="10"/>
  <c r="AM15" i="10"/>
  <c r="AJ15" i="10"/>
  <c r="AB15" i="10"/>
  <c r="S15" i="10"/>
  <c r="P15" i="10"/>
  <c r="AF13" i="10"/>
  <c r="AD13" i="10"/>
  <c r="AA13" i="10"/>
  <c r="X13" i="10"/>
  <c r="X85" i="10" s="1"/>
  <c r="V13" i="10"/>
  <c r="U13" i="10"/>
  <c r="O13" i="10"/>
  <c r="AO12" i="10"/>
  <c r="AN12" i="10"/>
  <c r="AM12" i="10"/>
  <c r="AJ12" i="10"/>
  <c r="AB12" i="10"/>
  <c r="S12" i="10"/>
  <c r="P12" i="10"/>
  <c r="AO11" i="10"/>
  <c r="AN11" i="10"/>
  <c r="AM11" i="10"/>
  <c r="AJ11" i="10"/>
  <c r="AB11" i="10"/>
  <c r="S11" i="10"/>
  <c r="Q11" i="10"/>
  <c r="AG11" i="10" s="1"/>
  <c r="P11" i="10"/>
  <c r="AO10" i="10"/>
  <c r="AN10" i="10"/>
  <c r="AM10" i="10"/>
  <c r="AJ10" i="10"/>
  <c r="AB10" i="10"/>
  <c r="S10" i="10"/>
  <c r="P10" i="10"/>
  <c r="AO9" i="10"/>
  <c r="AN9" i="10"/>
  <c r="AM9" i="10"/>
  <c r="AJ9" i="10"/>
  <c r="AB9" i="10"/>
  <c r="S9" i="10"/>
  <c r="P9" i="10"/>
  <c r="AM16" i="3" l="1"/>
  <c r="AP11" i="3"/>
  <c r="AP16" i="3" s="1"/>
  <c r="AL16" i="3"/>
  <c r="AM9" i="3"/>
  <c r="V85" i="10"/>
  <c r="AM85" i="11"/>
  <c r="AJ13" i="10"/>
  <c r="AN27" i="10"/>
  <c r="AN62" i="10"/>
  <c r="S85" i="11"/>
  <c r="AJ20" i="10"/>
  <c r="AN34" i="10"/>
  <c r="AH33" i="11"/>
  <c r="AI33" i="11" s="1"/>
  <c r="AK33" i="11" s="1"/>
  <c r="P13" i="10"/>
  <c r="AB27" i="10"/>
  <c r="AO27" i="10"/>
  <c r="AB34" i="10"/>
  <c r="AO85" i="11"/>
  <c r="T30" i="11"/>
  <c r="S13" i="10"/>
  <c r="S20" i="10"/>
  <c r="AN20" i="10"/>
  <c r="AJ27" i="10"/>
  <c r="T31" i="11"/>
  <c r="AE31" i="11" s="1"/>
  <c r="R34" i="11"/>
  <c r="AL30" i="11"/>
  <c r="R33" i="10"/>
  <c r="Y33" i="10" s="1"/>
  <c r="Z31" i="11"/>
  <c r="AH31" i="11" s="1"/>
  <c r="AI31" i="11" s="1"/>
  <c r="AK31" i="11" s="1"/>
  <c r="AN13" i="10"/>
  <c r="AB20" i="10"/>
  <c r="AO20" i="10"/>
  <c r="P27" i="10"/>
  <c r="AM27" i="10"/>
  <c r="P34" i="10"/>
  <c r="AM34" i="10"/>
  <c r="AL31" i="11"/>
  <c r="R18" i="11"/>
  <c r="W18" i="11" s="1"/>
  <c r="Y30" i="11"/>
  <c r="Y34" i="11" s="1"/>
  <c r="AB62" i="10"/>
  <c r="AM20" i="10"/>
  <c r="AO34" i="10"/>
  <c r="AM62" i="10"/>
  <c r="Q9" i="10"/>
  <c r="Q10" i="10"/>
  <c r="AG10" i="10" s="1"/>
  <c r="R11" i="10"/>
  <c r="W11" i="10" s="1"/>
  <c r="Q23" i="10"/>
  <c r="AG23" i="10" s="1"/>
  <c r="AG27" i="10" s="1"/>
  <c r="R32" i="10"/>
  <c r="Z32" i="10" s="1"/>
  <c r="P62" i="10"/>
  <c r="Z61" i="11"/>
  <c r="W61" i="11"/>
  <c r="T61" i="11"/>
  <c r="AL61" i="11"/>
  <c r="AJ62" i="10"/>
  <c r="AO62" i="10"/>
  <c r="AC65" i="11"/>
  <c r="AC69" i="11" s="1"/>
  <c r="AE65" i="11"/>
  <c r="AE69" i="11" s="1"/>
  <c r="T69" i="11"/>
  <c r="AC65" i="10"/>
  <c r="AC69" i="10" s="1"/>
  <c r="T69" i="10"/>
  <c r="AE65" i="10"/>
  <c r="AE69" i="10" s="1"/>
  <c r="R13" i="11"/>
  <c r="Y9" i="11"/>
  <c r="T9" i="11"/>
  <c r="AL9" i="11"/>
  <c r="Z9" i="11"/>
  <c r="AC9" i="11" s="1"/>
  <c r="W9" i="11"/>
  <c r="Y15" i="11"/>
  <c r="W15" i="11"/>
  <c r="AL15" i="11"/>
  <c r="Z15" i="11"/>
  <c r="T15" i="11"/>
  <c r="Y19" i="11"/>
  <c r="W19" i="11"/>
  <c r="T19" i="11"/>
  <c r="AE19" i="11" s="1"/>
  <c r="AL19" i="11"/>
  <c r="Z19" i="11"/>
  <c r="AC19" i="11" s="1"/>
  <c r="W11" i="11"/>
  <c r="Z11" i="11"/>
  <c r="AC11" i="11" s="1"/>
  <c r="AL11" i="11"/>
  <c r="Y11" i="11"/>
  <c r="T11" i="11"/>
  <c r="AE11" i="11" s="1"/>
  <c r="AG20" i="11"/>
  <c r="AE30" i="11"/>
  <c r="Y60" i="11"/>
  <c r="AL60" i="11"/>
  <c r="W60" i="11"/>
  <c r="Z60" i="11"/>
  <c r="AC60" i="11" s="1"/>
  <c r="T60" i="11"/>
  <c r="Y16" i="11"/>
  <c r="T16" i="11"/>
  <c r="AE16" i="11" s="1"/>
  <c r="Z16" i="11"/>
  <c r="AC16" i="11" s="1"/>
  <c r="AL16" i="11"/>
  <c r="W16" i="11"/>
  <c r="Q20" i="11"/>
  <c r="AL24" i="11"/>
  <c r="T24" i="11"/>
  <c r="AE24" i="11" s="1"/>
  <c r="Z24" i="11"/>
  <c r="AC24" i="11" s="1"/>
  <c r="W24" i="11"/>
  <c r="Y24" i="11"/>
  <c r="Y10" i="11"/>
  <c r="AL10" i="11"/>
  <c r="Z10" i="11"/>
  <c r="AC10" i="11" s="1"/>
  <c r="W10" i="11"/>
  <c r="T10" i="11"/>
  <c r="AE10" i="11" s="1"/>
  <c r="AG59" i="11"/>
  <c r="AG62" i="11" s="1"/>
  <c r="Z18" i="11"/>
  <c r="AC18" i="11" s="1"/>
  <c r="AH32" i="11"/>
  <c r="AI32" i="11" s="1"/>
  <c r="AK32" i="11" s="1"/>
  <c r="W34" i="11"/>
  <c r="AH30" i="11"/>
  <c r="AG23" i="11"/>
  <c r="AG27" i="11" s="1"/>
  <c r="Q27" i="11"/>
  <c r="Q13" i="11"/>
  <c r="AG9" i="11"/>
  <c r="AG13" i="11" s="1"/>
  <c r="AL25" i="11"/>
  <c r="T25" i="11"/>
  <c r="AE25" i="11" s="1"/>
  <c r="Z25" i="11"/>
  <c r="AC25" i="11" s="1"/>
  <c r="Y25" i="11"/>
  <c r="W25" i="11"/>
  <c r="R59" i="11"/>
  <c r="R62" i="11" s="1"/>
  <c r="W12" i="11"/>
  <c r="Z12" i="11"/>
  <c r="AC12" i="11" s="1"/>
  <c r="AL12" i="11"/>
  <c r="Y12" i="11"/>
  <c r="T12" i="11"/>
  <c r="AE12" i="11" s="1"/>
  <c r="R17" i="11"/>
  <c r="AC30" i="11"/>
  <c r="R23" i="11"/>
  <c r="AD85" i="10"/>
  <c r="Q60" i="10"/>
  <c r="AO13" i="10"/>
  <c r="Q16" i="10"/>
  <c r="AG16" i="10" s="1"/>
  <c r="Z11" i="10"/>
  <c r="AC11" i="10" s="1"/>
  <c r="AG9" i="10"/>
  <c r="AM13" i="10"/>
  <c r="Q18" i="10"/>
  <c r="AG18" i="10" s="1"/>
  <c r="Y32" i="10"/>
  <c r="W33" i="10"/>
  <c r="AL33" i="10"/>
  <c r="T33" i="10"/>
  <c r="AE33" i="10" s="1"/>
  <c r="R9" i="10"/>
  <c r="Q15" i="10"/>
  <c r="Q17" i="10"/>
  <c r="AG17" i="10" s="1"/>
  <c r="Q19" i="10"/>
  <c r="AG19" i="10" s="1"/>
  <c r="R23" i="10"/>
  <c r="R25" i="10"/>
  <c r="S34" i="10"/>
  <c r="R31" i="10"/>
  <c r="Q59" i="10"/>
  <c r="AC32" i="10"/>
  <c r="W32" i="10"/>
  <c r="AL32" i="10"/>
  <c r="T32" i="10"/>
  <c r="AE32" i="10" s="1"/>
  <c r="AB13" i="10"/>
  <c r="Q12" i="10"/>
  <c r="AG12" i="10" s="1"/>
  <c r="AF85" i="10"/>
  <c r="P20" i="10"/>
  <c r="R24" i="10"/>
  <c r="AJ34" i="10"/>
  <c r="Z33" i="10"/>
  <c r="AC33" i="10" s="1"/>
  <c r="R61" i="10"/>
  <c r="Q30" i="10"/>
  <c r="AO60" i="9"/>
  <c r="AO61" i="9"/>
  <c r="AN60" i="9"/>
  <c r="AN61" i="9"/>
  <c r="AM60" i="9"/>
  <c r="AM61" i="9"/>
  <c r="AJ60" i="9"/>
  <c r="AJ61" i="9"/>
  <c r="AB61" i="9"/>
  <c r="S60" i="9"/>
  <c r="S61" i="9"/>
  <c r="P60" i="9"/>
  <c r="P61" i="9"/>
  <c r="AO59" i="9"/>
  <c r="AN59" i="9"/>
  <c r="AM59" i="9"/>
  <c r="AJ59" i="9"/>
  <c r="AA62" i="9"/>
  <c r="S59" i="9"/>
  <c r="P59" i="9"/>
  <c r="AF34" i="9"/>
  <c r="AD34" i="9"/>
  <c r="X34" i="9"/>
  <c r="V34" i="9"/>
  <c r="O34" i="9"/>
  <c r="AO33" i="9"/>
  <c r="AN33" i="9"/>
  <c r="AM33" i="9"/>
  <c r="AJ33" i="9"/>
  <c r="AB33" i="9"/>
  <c r="AA34" i="9"/>
  <c r="S33" i="9"/>
  <c r="P33" i="9"/>
  <c r="Q33" i="9" s="1"/>
  <c r="AG33" i="9" s="1"/>
  <c r="AO32" i="9"/>
  <c r="AN32" i="9"/>
  <c r="AM32" i="9"/>
  <c r="AJ32" i="9"/>
  <c r="AB32" i="9"/>
  <c r="S32" i="9"/>
  <c r="P32" i="9"/>
  <c r="Q32" i="9" s="1"/>
  <c r="AG32" i="9" s="1"/>
  <c r="AO31" i="9"/>
  <c r="AN31" i="9"/>
  <c r="AM31" i="9"/>
  <c r="AJ31" i="9"/>
  <c r="AB31" i="9"/>
  <c r="S31" i="9"/>
  <c r="P31" i="9"/>
  <c r="Q31" i="9" s="1"/>
  <c r="AG31" i="9" s="1"/>
  <c r="AO30" i="9"/>
  <c r="AN30" i="9"/>
  <c r="AM30" i="9"/>
  <c r="AJ30" i="9"/>
  <c r="AB30" i="9"/>
  <c r="S30" i="9"/>
  <c r="P30" i="9"/>
  <c r="AF27" i="9"/>
  <c r="AD27" i="9"/>
  <c r="X27" i="9"/>
  <c r="V27" i="9"/>
  <c r="O27" i="9"/>
  <c r="AO25" i="9"/>
  <c r="AN25" i="9"/>
  <c r="AM25" i="9"/>
  <c r="AJ25" i="9"/>
  <c r="AB25" i="9"/>
  <c r="S25" i="9"/>
  <c r="P25" i="9"/>
  <c r="Q25" i="9" s="1"/>
  <c r="AG25" i="9" s="1"/>
  <c r="AO24" i="9"/>
  <c r="AN24" i="9"/>
  <c r="AM24" i="9"/>
  <c r="AJ24" i="9"/>
  <c r="AB24" i="9"/>
  <c r="S24" i="9"/>
  <c r="P24" i="9"/>
  <c r="AO23" i="9"/>
  <c r="AN23" i="9"/>
  <c r="AM23" i="9"/>
  <c r="AJ23" i="9"/>
  <c r="AB23" i="9"/>
  <c r="S23" i="9"/>
  <c r="P23" i="9"/>
  <c r="Q23" i="9" s="1"/>
  <c r="AG23" i="9" s="1"/>
  <c r="AF20" i="9"/>
  <c r="AD20" i="9"/>
  <c r="X20" i="9"/>
  <c r="V20" i="9"/>
  <c r="O20" i="9"/>
  <c r="AO19" i="9"/>
  <c r="AN19" i="9"/>
  <c r="AM19" i="9"/>
  <c r="AJ19" i="9"/>
  <c r="AB19" i="9"/>
  <c r="S19" i="9"/>
  <c r="P19" i="9"/>
  <c r="Q19" i="9" s="1"/>
  <c r="AG19" i="9" s="1"/>
  <c r="AO18" i="9"/>
  <c r="AN18" i="9"/>
  <c r="AM18" i="9"/>
  <c r="AJ18" i="9"/>
  <c r="AB18" i="9"/>
  <c r="S18" i="9"/>
  <c r="P18" i="9"/>
  <c r="Q18" i="9" s="1"/>
  <c r="AO17" i="9"/>
  <c r="AN17" i="9"/>
  <c r="AM17" i="9"/>
  <c r="AJ17" i="9"/>
  <c r="AB17" i="9"/>
  <c r="S17" i="9"/>
  <c r="P17" i="9"/>
  <c r="Q17" i="9" s="1"/>
  <c r="AG17" i="9" s="1"/>
  <c r="AO16" i="9"/>
  <c r="AN16" i="9"/>
  <c r="AM16" i="9"/>
  <c r="AJ16" i="9"/>
  <c r="AB16" i="9"/>
  <c r="S16" i="9"/>
  <c r="P16" i="9"/>
  <c r="Q16" i="9" s="1"/>
  <c r="AG16" i="9" s="1"/>
  <c r="AO15" i="9"/>
  <c r="AN15" i="9"/>
  <c r="AM15" i="9"/>
  <c r="AJ15" i="9"/>
  <c r="AB15" i="9"/>
  <c r="S15" i="9"/>
  <c r="P15" i="9"/>
  <c r="AF13" i="9"/>
  <c r="AD13" i="9"/>
  <c r="X13" i="9"/>
  <c r="V13" i="9"/>
  <c r="O13" i="9"/>
  <c r="AO12" i="9"/>
  <c r="AN12" i="9"/>
  <c r="AM12" i="9"/>
  <c r="AJ12" i="9"/>
  <c r="AB12" i="9"/>
  <c r="S12" i="9"/>
  <c r="P12" i="9"/>
  <c r="AO11" i="9"/>
  <c r="AN11" i="9"/>
  <c r="AM11" i="9"/>
  <c r="AJ11" i="9"/>
  <c r="AB11" i="9"/>
  <c r="S11" i="9"/>
  <c r="P11" i="9"/>
  <c r="Q11" i="9" s="1"/>
  <c r="AG11" i="9" s="1"/>
  <c r="AO10" i="9"/>
  <c r="AN10" i="9"/>
  <c r="AM10" i="9"/>
  <c r="AJ10" i="9"/>
  <c r="AB10" i="9"/>
  <c r="S10" i="9"/>
  <c r="P10" i="9"/>
  <c r="Q10" i="9" s="1"/>
  <c r="AO9" i="9"/>
  <c r="AN9" i="9"/>
  <c r="AM9" i="9"/>
  <c r="AJ9" i="9"/>
  <c r="AB9" i="9"/>
  <c r="AA13" i="9"/>
  <c r="S9" i="9"/>
  <c r="P9" i="9"/>
  <c r="Q9" i="9" s="1"/>
  <c r="AN16" i="3" l="1"/>
  <c r="AN88" i="3" s="1"/>
  <c r="AL34" i="11"/>
  <c r="AH32" i="10"/>
  <c r="AI32" i="10" s="1"/>
  <c r="AK32" i="10" s="1"/>
  <c r="R18" i="10"/>
  <c r="X85" i="9"/>
  <c r="AN85" i="10"/>
  <c r="Y11" i="10"/>
  <c r="AH11" i="10" s="1"/>
  <c r="AI11" i="10" s="1"/>
  <c r="AK11" i="10" s="1"/>
  <c r="T11" i="10"/>
  <c r="AE11" i="10" s="1"/>
  <c r="AL18" i="11"/>
  <c r="AB27" i="9"/>
  <c r="AO27" i="9"/>
  <c r="AL11" i="10"/>
  <c r="Z34" i="11"/>
  <c r="T18" i="11"/>
  <c r="AE18" i="11" s="1"/>
  <c r="Y18" i="11"/>
  <c r="Y20" i="11" s="1"/>
  <c r="AE34" i="11"/>
  <c r="T34" i="11"/>
  <c r="AJ85" i="10"/>
  <c r="AJ20" i="9"/>
  <c r="S34" i="9"/>
  <c r="AO34" i="9"/>
  <c r="R16" i="10"/>
  <c r="T16" i="10" s="1"/>
  <c r="AE16" i="10" s="1"/>
  <c r="AC31" i="11"/>
  <c r="AC34" i="11" s="1"/>
  <c r="Q27" i="10"/>
  <c r="AO85" i="10"/>
  <c r="AN20" i="9"/>
  <c r="AB85" i="10"/>
  <c r="W62" i="11"/>
  <c r="AB20" i="9"/>
  <c r="AO20" i="9"/>
  <c r="AJ27" i="9"/>
  <c r="AM34" i="9"/>
  <c r="Q59" i="9"/>
  <c r="AG59" i="9" s="1"/>
  <c r="AM13" i="9"/>
  <c r="R23" i="9"/>
  <c r="AL23" i="9" s="1"/>
  <c r="R10" i="10"/>
  <c r="AH25" i="11"/>
  <c r="AI25" i="11" s="1"/>
  <c r="AK25" i="11" s="1"/>
  <c r="AH16" i="11"/>
  <c r="AI16" i="11" s="1"/>
  <c r="AK16" i="11" s="1"/>
  <c r="AC61" i="11"/>
  <c r="AE61" i="11"/>
  <c r="W61" i="10"/>
  <c r="AG60" i="10"/>
  <c r="Q62" i="10"/>
  <c r="R60" i="10"/>
  <c r="AJ62" i="9"/>
  <c r="AB62" i="9"/>
  <c r="AN62" i="9"/>
  <c r="Q37" i="2" s="1"/>
  <c r="AH65" i="11"/>
  <c r="U69" i="11"/>
  <c r="U69" i="10"/>
  <c r="AH65" i="10"/>
  <c r="S62" i="9"/>
  <c r="AM62" i="9"/>
  <c r="P37" i="2" s="1"/>
  <c r="AO62" i="9"/>
  <c r="AA37" i="2" s="1"/>
  <c r="Q60" i="9"/>
  <c r="AG60" i="9" s="1"/>
  <c r="Q61" i="9"/>
  <c r="R61" i="9" s="1"/>
  <c r="P62" i="9"/>
  <c r="AG85" i="11"/>
  <c r="Y17" i="11"/>
  <c r="Z17" i="11"/>
  <c r="AC17" i="11" s="1"/>
  <c r="AL17" i="11"/>
  <c r="AL20" i="11" s="1"/>
  <c r="W17" i="11"/>
  <c r="W20" i="11" s="1"/>
  <c r="T17" i="11"/>
  <c r="AE17" i="11" s="1"/>
  <c r="W13" i="11"/>
  <c r="AH9" i="11"/>
  <c r="AH12" i="11"/>
  <c r="AI12" i="11" s="1"/>
  <c r="AK12" i="11" s="1"/>
  <c r="Q85" i="11"/>
  <c r="AC13" i="11"/>
  <c r="AH11" i="11"/>
  <c r="AI11" i="11" s="1"/>
  <c r="AK11" i="11" s="1"/>
  <c r="AH19" i="11"/>
  <c r="AI19" i="11" s="1"/>
  <c r="AK19" i="11" s="1"/>
  <c r="AH15" i="11"/>
  <c r="AL13" i="11"/>
  <c r="Y13" i="11"/>
  <c r="Z59" i="11"/>
  <c r="Z62" i="11" s="1"/>
  <c r="Y59" i="11"/>
  <c r="Y62" i="11" s="1"/>
  <c r="T59" i="11"/>
  <c r="T62" i="11" s="1"/>
  <c r="AL59" i="11"/>
  <c r="AL62" i="11" s="1"/>
  <c r="AC59" i="11"/>
  <c r="AH34" i="11"/>
  <c r="AI30" i="11"/>
  <c r="AE60" i="11"/>
  <c r="AE15" i="11"/>
  <c r="T13" i="11"/>
  <c r="AE9" i="11"/>
  <c r="AE13" i="11" s="1"/>
  <c r="AL23" i="11"/>
  <c r="AL27" i="11" s="1"/>
  <c r="T23" i="11"/>
  <c r="R27" i="11"/>
  <c r="Z23" i="11"/>
  <c r="Z27" i="11" s="1"/>
  <c r="Y23" i="11"/>
  <c r="Y27" i="11" s="1"/>
  <c r="W23" i="11"/>
  <c r="Z20" i="11"/>
  <c r="R20" i="11"/>
  <c r="Z13" i="11"/>
  <c r="AH10" i="11"/>
  <c r="AI10" i="11" s="1"/>
  <c r="AK10" i="11" s="1"/>
  <c r="AH24" i="11"/>
  <c r="AI24" i="11" s="1"/>
  <c r="AK24" i="11" s="1"/>
  <c r="AC15" i="11"/>
  <c r="S85" i="10"/>
  <c r="AA85" i="10"/>
  <c r="P85" i="10"/>
  <c r="AL24" i="10"/>
  <c r="T24" i="10"/>
  <c r="AE24" i="10" s="1"/>
  <c r="Z24" i="10"/>
  <c r="AC24" i="10" s="1"/>
  <c r="Y24" i="10"/>
  <c r="W24" i="10"/>
  <c r="AL9" i="10"/>
  <c r="T9" i="10"/>
  <c r="Y9" i="10"/>
  <c r="W9" i="10"/>
  <c r="Z9" i="10"/>
  <c r="R17" i="10"/>
  <c r="AG30" i="10"/>
  <c r="AG34" i="10" s="1"/>
  <c r="Q34" i="10"/>
  <c r="R30" i="10"/>
  <c r="R12" i="10"/>
  <c r="AG59" i="10"/>
  <c r="AG15" i="10"/>
  <c r="AG20" i="10" s="1"/>
  <c r="Q20" i="10"/>
  <c r="AM85" i="10"/>
  <c r="Q13" i="10"/>
  <c r="R59" i="10"/>
  <c r="AL23" i="10"/>
  <c r="T23" i="10"/>
  <c r="R27" i="10"/>
  <c r="Z23" i="10"/>
  <c r="AC23" i="10" s="1"/>
  <c r="W23" i="10"/>
  <c r="Y23" i="10"/>
  <c r="AG13" i="10"/>
  <c r="AL25" i="10"/>
  <c r="T25" i="10"/>
  <c r="AE25" i="10" s="1"/>
  <c r="Z25" i="10"/>
  <c r="AC25" i="10" s="1"/>
  <c r="W25" i="10"/>
  <c r="Y25" i="10"/>
  <c r="R15" i="10"/>
  <c r="T61" i="10"/>
  <c r="AL61" i="10"/>
  <c r="Z61" i="10"/>
  <c r="AC61" i="10" s="1"/>
  <c r="Y61" i="10"/>
  <c r="W31" i="10"/>
  <c r="AL31" i="10"/>
  <c r="T31" i="10"/>
  <c r="AE31" i="10" s="1"/>
  <c r="Y31" i="10"/>
  <c r="Z31" i="10"/>
  <c r="AC31" i="10" s="1"/>
  <c r="AH33" i="10"/>
  <c r="AI33" i="10" s="1"/>
  <c r="AK33" i="10" s="1"/>
  <c r="R19" i="10"/>
  <c r="Z18" i="10"/>
  <c r="Y18" i="10"/>
  <c r="T18" i="10"/>
  <c r="AE18" i="10" s="1"/>
  <c r="AL18" i="10"/>
  <c r="AC18" i="10"/>
  <c r="W18" i="10"/>
  <c r="V85" i="9"/>
  <c r="AD85" i="9"/>
  <c r="AN34" i="9"/>
  <c r="R32" i="9"/>
  <c r="W32" i="9" s="1"/>
  <c r="AB34" i="9"/>
  <c r="S27" i="9"/>
  <c r="Z23" i="9"/>
  <c r="AC23" i="9" s="1"/>
  <c r="AN27" i="9"/>
  <c r="AA27" i="9"/>
  <c r="R25" i="9"/>
  <c r="T25" i="9" s="1"/>
  <c r="AA20" i="9"/>
  <c r="R16" i="9"/>
  <c r="T16" i="9" s="1"/>
  <c r="AG10" i="9"/>
  <c r="R10" i="9"/>
  <c r="Z10" i="9" s="1"/>
  <c r="AC10" i="9" s="1"/>
  <c r="R11" i="9"/>
  <c r="T11" i="9" s="1"/>
  <c r="AO13" i="9"/>
  <c r="AG9" i="9"/>
  <c r="Q12" i="9"/>
  <c r="AG12" i="9" s="1"/>
  <c r="R31" i="9"/>
  <c r="S13" i="9"/>
  <c r="AN13" i="9"/>
  <c r="P20" i="9"/>
  <c r="Q15" i="9"/>
  <c r="AF85" i="9"/>
  <c r="T23" i="9"/>
  <c r="AM27" i="9"/>
  <c r="Q24" i="9"/>
  <c r="AG24" i="9" s="1"/>
  <c r="AG27" i="9" s="1"/>
  <c r="AL25" i="9"/>
  <c r="P13" i="9"/>
  <c r="R9" i="9"/>
  <c r="AG18" i="9"/>
  <c r="R18" i="9"/>
  <c r="AJ13" i="9"/>
  <c r="AM20" i="9"/>
  <c r="P27" i="9"/>
  <c r="P34" i="9"/>
  <c r="Q30" i="9"/>
  <c r="R30" i="9" s="1"/>
  <c r="R33" i="9"/>
  <c r="AB13" i="9"/>
  <c r="R17" i="9"/>
  <c r="W23" i="9"/>
  <c r="AJ34" i="9"/>
  <c r="Y11" i="9"/>
  <c r="S20" i="9"/>
  <c r="R19" i="9"/>
  <c r="Y23" i="9"/>
  <c r="AO61" i="6"/>
  <c r="AN61" i="6"/>
  <c r="AM61" i="6"/>
  <c r="AJ61" i="6"/>
  <c r="AB61" i="6"/>
  <c r="S61" i="6"/>
  <c r="P61" i="6"/>
  <c r="Q61" i="6" s="1"/>
  <c r="T10" i="9" l="1"/>
  <c r="Q27" i="9"/>
  <c r="AH18" i="11"/>
  <c r="AI18" i="11" s="1"/>
  <c r="AK18" i="11" s="1"/>
  <c r="Z16" i="9"/>
  <c r="AC16" i="9" s="1"/>
  <c r="AH25" i="10"/>
  <c r="AI25" i="10" s="1"/>
  <c r="AK25" i="10" s="1"/>
  <c r="AO85" i="9"/>
  <c r="W11" i="9"/>
  <c r="AL10" i="9"/>
  <c r="W16" i="10"/>
  <c r="AL16" i="10"/>
  <c r="AE20" i="11"/>
  <c r="Y16" i="10"/>
  <c r="Y32" i="9"/>
  <c r="Y16" i="9"/>
  <c r="AH16" i="9" s="1"/>
  <c r="AI16" i="9" s="1"/>
  <c r="AK16" i="9" s="1"/>
  <c r="W16" i="9"/>
  <c r="R12" i="9"/>
  <c r="Y12" i="9" s="1"/>
  <c r="AA85" i="9"/>
  <c r="Z16" i="10"/>
  <c r="AC16" i="10" s="1"/>
  <c r="AC23" i="11"/>
  <c r="AC27" i="11" s="1"/>
  <c r="R85" i="11"/>
  <c r="AL16" i="9"/>
  <c r="W25" i="9"/>
  <c r="AL27" i="10"/>
  <c r="W10" i="10"/>
  <c r="AL10" i="10"/>
  <c r="T10" i="10"/>
  <c r="AE10" i="10" s="1"/>
  <c r="Y10" i="10"/>
  <c r="Z10" i="10"/>
  <c r="AC10" i="10" s="1"/>
  <c r="AG62" i="10"/>
  <c r="AG85" i="10" s="1"/>
  <c r="AC62" i="11"/>
  <c r="R59" i="9"/>
  <c r="U62" i="11"/>
  <c r="AH61" i="11"/>
  <c r="AH61" i="10"/>
  <c r="AI61" i="10" s="1"/>
  <c r="AE61" i="10"/>
  <c r="R62" i="10"/>
  <c r="W60" i="10"/>
  <c r="W62" i="10" s="1"/>
  <c r="AH59" i="9"/>
  <c r="AI59" i="9" s="1"/>
  <c r="AK59" i="9" s="1"/>
  <c r="AH69" i="11"/>
  <c r="AI65" i="11"/>
  <c r="AH69" i="10"/>
  <c r="AI65" i="10"/>
  <c r="AM85" i="9"/>
  <c r="R60" i="9"/>
  <c r="AG61" i="9"/>
  <c r="AG62" i="9" s="1"/>
  <c r="Q62" i="9"/>
  <c r="AL61" i="9"/>
  <c r="Y61" i="9"/>
  <c r="Z61" i="9"/>
  <c r="T61" i="9"/>
  <c r="AG61" i="6"/>
  <c r="R61" i="6"/>
  <c r="AH60" i="11"/>
  <c r="AI60" i="11" s="1"/>
  <c r="AK60" i="11" s="1"/>
  <c r="U85" i="11"/>
  <c r="AL85" i="11"/>
  <c r="Z85" i="11"/>
  <c r="W27" i="11"/>
  <c r="W85" i="11" s="1"/>
  <c r="AH23" i="11"/>
  <c r="AI15" i="11"/>
  <c r="AH13" i="11"/>
  <c r="AI9" i="11"/>
  <c r="Y85" i="11"/>
  <c r="AH59" i="11"/>
  <c r="AC20" i="11"/>
  <c r="T27" i="11"/>
  <c r="AE23" i="11"/>
  <c r="AE27" i="11" s="1"/>
  <c r="T20" i="11"/>
  <c r="AI34" i="11"/>
  <c r="AK30" i="11"/>
  <c r="AK34" i="11" s="1"/>
  <c r="AE59" i="11"/>
  <c r="AE62" i="11" s="1"/>
  <c r="AH17" i="11"/>
  <c r="AI17" i="11" s="1"/>
  <c r="AK17" i="11" s="1"/>
  <c r="Z60" i="10"/>
  <c r="AL60" i="10"/>
  <c r="T60" i="10"/>
  <c r="Y60" i="10"/>
  <c r="AH31" i="10"/>
  <c r="AI31" i="10" s="1"/>
  <c r="AK31" i="10" s="1"/>
  <c r="R20" i="10"/>
  <c r="Z15" i="10"/>
  <c r="AC15" i="10" s="1"/>
  <c r="Y15" i="10"/>
  <c r="T15" i="10"/>
  <c r="W15" i="10"/>
  <c r="AL15" i="10"/>
  <c r="W27" i="10"/>
  <c r="AH23" i="10"/>
  <c r="Y12" i="10"/>
  <c r="Y13" i="10" s="1"/>
  <c r="W12" i="10"/>
  <c r="W13" i="10" s="1"/>
  <c r="T12" i="10"/>
  <c r="AE12" i="10" s="1"/>
  <c r="AL12" i="10"/>
  <c r="Z12" i="10"/>
  <c r="AC12" i="10" s="1"/>
  <c r="Z17" i="10"/>
  <c r="AC17" i="10" s="1"/>
  <c r="Y17" i="10"/>
  <c r="T17" i="10"/>
  <c r="AE17" i="10" s="1"/>
  <c r="W17" i="10"/>
  <c r="AL17" i="10"/>
  <c r="AH9" i="10"/>
  <c r="AL13" i="10"/>
  <c r="AC27" i="10"/>
  <c r="Z27" i="10"/>
  <c r="Y59" i="10"/>
  <c r="AL59" i="10"/>
  <c r="T59" i="10"/>
  <c r="T62" i="10" s="1"/>
  <c r="Z59" i="10"/>
  <c r="W30" i="10"/>
  <c r="AL30" i="10"/>
  <c r="AL34" i="10" s="1"/>
  <c r="T30" i="10"/>
  <c r="Z30" i="10"/>
  <c r="Z34" i="10" s="1"/>
  <c r="R34" i="10"/>
  <c r="Y30" i="10"/>
  <c r="Y34" i="10" s="1"/>
  <c r="Z13" i="10"/>
  <c r="Z19" i="10"/>
  <c r="AC19" i="10" s="1"/>
  <c r="Y19" i="10"/>
  <c r="T19" i="10"/>
  <c r="AE19" i="10" s="1"/>
  <c r="W19" i="10"/>
  <c r="AL19" i="10"/>
  <c r="Y27" i="10"/>
  <c r="Q85" i="10"/>
  <c r="R13" i="10"/>
  <c r="AH24" i="10"/>
  <c r="AI24" i="10" s="1"/>
  <c r="AK24" i="10" s="1"/>
  <c r="AH18" i="10"/>
  <c r="AI18" i="10" s="1"/>
  <c r="AK18" i="10" s="1"/>
  <c r="AE23" i="10"/>
  <c r="AE27" i="10" s="1"/>
  <c r="T27" i="10"/>
  <c r="AC9" i="10"/>
  <c r="AE9" i="10"/>
  <c r="AB85" i="9"/>
  <c r="AJ85" i="9"/>
  <c r="AL32" i="9"/>
  <c r="Z32" i="9"/>
  <c r="AC32" i="9" s="1"/>
  <c r="T32" i="9"/>
  <c r="R24" i="9"/>
  <c r="Y24" i="9" s="1"/>
  <c r="AN85" i="9"/>
  <c r="Y25" i="9"/>
  <c r="Z25" i="9"/>
  <c r="AC25" i="9" s="1"/>
  <c r="P85" i="9"/>
  <c r="AE11" i="9"/>
  <c r="AL11" i="9"/>
  <c r="Z11" i="9"/>
  <c r="AC11" i="9" s="1"/>
  <c r="Q13" i="9"/>
  <c r="W10" i="9"/>
  <c r="Y10" i="9"/>
  <c r="AL19" i="9"/>
  <c r="W19" i="9"/>
  <c r="T19" i="9"/>
  <c r="Y19" i="9"/>
  <c r="Z19" i="9"/>
  <c r="AC19" i="9" s="1"/>
  <c r="AL30" i="9"/>
  <c r="Z30" i="9"/>
  <c r="AC30" i="9" s="1"/>
  <c r="Y30" i="9"/>
  <c r="W30" i="9"/>
  <c r="R34" i="9"/>
  <c r="T30" i="9"/>
  <c r="AH10" i="9"/>
  <c r="AI10" i="9" s="1"/>
  <c r="AK10" i="9" s="1"/>
  <c r="AE10" i="9"/>
  <c r="AL24" i="9"/>
  <c r="AL27" i="9" s="1"/>
  <c r="AE23" i="9"/>
  <c r="Q20" i="9"/>
  <c r="AG15" i="9"/>
  <c r="AG20" i="9" s="1"/>
  <c r="W12" i="9"/>
  <c r="AL17" i="9"/>
  <c r="W17" i="9"/>
  <c r="Y17" i="9"/>
  <c r="Z17" i="9"/>
  <c r="AC17" i="9" s="1"/>
  <c r="T17" i="9"/>
  <c r="AE25" i="9"/>
  <c r="S85" i="9"/>
  <c r="AG13" i="9"/>
  <c r="AG30" i="9"/>
  <c r="AG34" i="9" s="1"/>
  <c r="Q34" i="9"/>
  <c r="Z18" i="9"/>
  <c r="AC18" i="9" s="1"/>
  <c r="T18" i="9"/>
  <c r="AL18" i="9"/>
  <c r="Y18" i="9"/>
  <c r="W18" i="9"/>
  <c r="Y33" i="9"/>
  <c r="AL33" i="9"/>
  <c r="Z33" i="9"/>
  <c r="AC33" i="9" s="1"/>
  <c r="W33" i="9"/>
  <c r="T33" i="9"/>
  <c r="AL9" i="9"/>
  <c r="W9" i="9"/>
  <c r="T9" i="9"/>
  <c r="Z9" i="9"/>
  <c r="Y9" i="9"/>
  <c r="R15" i="9"/>
  <c r="Y31" i="9"/>
  <c r="T31" i="9"/>
  <c r="AL31" i="9"/>
  <c r="Z31" i="9"/>
  <c r="AC31" i="9" s="1"/>
  <c r="W31" i="9"/>
  <c r="AE16" i="9"/>
  <c r="R27" i="9" l="1"/>
  <c r="W24" i="9"/>
  <c r="W27" i="9" s="1"/>
  <c r="W13" i="9"/>
  <c r="Z24" i="9"/>
  <c r="Z27" i="9" s="1"/>
  <c r="AH10" i="10"/>
  <c r="AI10" i="10" s="1"/>
  <c r="AK10" i="10" s="1"/>
  <c r="Y13" i="9"/>
  <c r="Z12" i="9"/>
  <c r="AC12" i="9" s="1"/>
  <c r="T13" i="10"/>
  <c r="R13" i="9"/>
  <c r="AL12" i="9"/>
  <c r="AL13" i="9" s="1"/>
  <c r="AC85" i="11"/>
  <c r="AH16" i="10"/>
  <c r="AI16" i="10" s="1"/>
  <c r="AK16" i="10" s="1"/>
  <c r="T12" i="9"/>
  <c r="AE12" i="9" s="1"/>
  <c r="AH19" i="10"/>
  <c r="AI19" i="10" s="1"/>
  <c r="AK19" i="10" s="1"/>
  <c r="Z62" i="10"/>
  <c r="AH20" i="11"/>
  <c r="T59" i="9"/>
  <c r="AC59" i="9"/>
  <c r="AL59" i="9"/>
  <c r="T24" i="9"/>
  <c r="T27" i="9" s="1"/>
  <c r="AL62" i="10"/>
  <c r="R62" i="9"/>
  <c r="AI61" i="11"/>
  <c r="AH62" i="11"/>
  <c r="AC60" i="10"/>
  <c r="Y62" i="10"/>
  <c r="AE60" i="10"/>
  <c r="AK65" i="11"/>
  <c r="AK69" i="11" s="1"/>
  <c r="AI69" i="11"/>
  <c r="AI69" i="10"/>
  <c r="AK65" i="10"/>
  <c r="AK69" i="10" s="1"/>
  <c r="AL60" i="9"/>
  <c r="Y62" i="9"/>
  <c r="T60" i="9"/>
  <c r="Z62" i="9"/>
  <c r="AC61" i="9"/>
  <c r="T61" i="6"/>
  <c r="Y61" i="6"/>
  <c r="AL61" i="6"/>
  <c r="Z61" i="6"/>
  <c r="AC61" i="6" s="1"/>
  <c r="AK61" i="10"/>
  <c r="T85" i="11"/>
  <c r="AE85" i="11"/>
  <c r="AH27" i="11"/>
  <c r="AI23" i="11"/>
  <c r="AK15" i="11"/>
  <c r="AK20" i="11" s="1"/>
  <c r="AI20" i="11"/>
  <c r="AI59" i="11"/>
  <c r="AI13" i="11"/>
  <c r="AK9" i="11"/>
  <c r="AK13" i="11" s="1"/>
  <c r="AC59" i="10"/>
  <c r="AE59" i="10"/>
  <c r="AC20" i="10"/>
  <c r="AC30" i="10"/>
  <c r="AC34" i="10" s="1"/>
  <c r="AH17" i="10"/>
  <c r="AI17" i="10" s="1"/>
  <c r="AK17" i="10" s="1"/>
  <c r="Z20" i="10"/>
  <c r="T34" i="10"/>
  <c r="AE30" i="10"/>
  <c r="AE34" i="10" s="1"/>
  <c r="AI9" i="10"/>
  <c r="W34" i="10"/>
  <c r="AH30" i="10"/>
  <c r="Y20" i="10"/>
  <c r="AC13" i="10"/>
  <c r="AH12" i="10"/>
  <c r="AI12" i="10" s="1"/>
  <c r="AK12" i="10" s="1"/>
  <c r="AH27" i="10"/>
  <c r="AI23" i="10"/>
  <c r="AH15" i="10"/>
  <c r="W20" i="10"/>
  <c r="W85" i="10" s="1"/>
  <c r="AE13" i="10"/>
  <c r="R85" i="10"/>
  <c r="AL20" i="10"/>
  <c r="AE15" i="10"/>
  <c r="AE20" i="10" s="1"/>
  <c r="T20" i="10"/>
  <c r="AL34" i="9"/>
  <c r="Q85" i="9"/>
  <c r="AH32" i="9"/>
  <c r="AI32" i="9" s="1"/>
  <c r="AK32" i="9" s="1"/>
  <c r="AE32" i="9"/>
  <c r="AH25" i="9"/>
  <c r="AI25" i="9" s="1"/>
  <c r="AK25" i="9" s="1"/>
  <c r="Y27" i="9"/>
  <c r="AH11" i="9"/>
  <c r="AI11" i="9" s="1"/>
  <c r="AK11" i="9" s="1"/>
  <c r="AC34" i="9"/>
  <c r="AE33" i="9"/>
  <c r="AH33" i="9"/>
  <c r="AI33" i="9" s="1"/>
  <c r="AK33" i="9" s="1"/>
  <c r="AH19" i="9"/>
  <c r="AI19" i="9" s="1"/>
  <c r="AK19" i="9" s="1"/>
  <c r="AE19" i="9"/>
  <c r="T34" i="9"/>
  <c r="AE30" i="9"/>
  <c r="Y34" i="9"/>
  <c r="AC9" i="9"/>
  <c r="AG85" i="9"/>
  <c r="AH23" i="9"/>
  <c r="AE24" i="9"/>
  <c r="AE27" i="9" s="1"/>
  <c r="AE18" i="9"/>
  <c r="AH18" i="9"/>
  <c r="AI18" i="9" s="1"/>
  <c r="AK18" i="9" s="1"/>
  <c r="AE31" i="9"/>
  <c r="AH31" i="9"/>
  <c r="AI31" i="9" s="1"/>
  <c r="AK31" i="9" s="1"/>
  <c r="AL15" i="9"/>
  <c r="AL20" i="9" s="1"/>
  <c r="W15" i="9"/>
  <c r="W20" i="9" s="1"/>
  <c r="Z15" i="9"/>
  <c r="Z20" i="9" s="1"/>
  <c r="Y15" i="9"/>
  <c r="Y20" i="9" s="1"/>
  <c r="R20" i="9"/>
  <c r="T15" i="9"/>
  <c r="T13" i="9"/>
  <c r="AE9" i="9"/>
  <c r="AH17" i="9"/>
  <c r="AI17" i="9" s="1"/>
  <c r="AK17" i="9" s="1"/>
  <c r="AE17" i="9"/>
  <c r="AH12" i="9"/>
  <c r="AI12" i="9" s="1"/>
  <c r="AK12" i="9" s="1"/>
  <c r="W34" i="9"/>
  <c r="Z34" i="9"/>
  <c r="AC13" i="9" l="1"/>
  <c r="AH24" i="9"/>
  <c r="AI24" i="9" s="1"/>
  <c r="AK24" i="9" s="1"/>
  <c r="AC24" i="9"/>
  <c r="AC27" i="9" s="1"/>
  <c r="Z85" i="10"/>
  <c r="AL62" i="9"/>
  <c r="AL85" i="9" s="1"/>
  <c r="Z13" i="9"/>
  <c r="Z85" i="9" s="1"/>
  <c r="R85" i="9"/>
  <c r="AL85" i="10"/>
  <c r="AC62" i="10"/>
  <c r="AC85" i="10" s="1"/>
  <c r="AI62" i="11"/>
  <c r="AK61" i="11"/>
  <c r="AE62" i="10"/>
  <c r="Y85" i="10"/>
  <c r="U62" i="10"/>
  <c r="AH60" i="10"/>
  <c r="AE62" i="9"/>
  <c r="AC60" i="9"/>
  <c r="AC62" i="9" s="1"/>
  <c r="T62" i="9"/>
  <c r="AH60" i="9"/>
  <c r="AI60" i="9" s="1"/>
  <c r="AK60" i="9" s="1"/>
  <c r="U62" i="9"/>
  <c r="AH61" i="9"/>
  <c r="AH61" i="6"/>
  <c r="AI61" i="6" s="1"/>
  <c r="AK61" i="6" s="1"/>
  <c r="AE61" i="6"/>
  <c r="AE85" i="10"/>
  <c r="AH85" i="11"/>
  <c r="AK59" i="11"/>
  <c r="AI27" i="11"/>
  <c r="AK23" i="11"/>
  <c r="AK27" i="11" s="1"/>
  <c r="T85" i="10"/>
  <c r="AH20" i="10"/>
  <c r="AI15" i="10"/>
  <c r="AI27" i="10"/>
  <c r="AK23" i="10"/>
  <c r="AK27" i="10" s="1"/>
  <c r="AI13" i="10"/>
  <c r="AK9" i="10"/>
  <c r="AK13" i="10" s="1"/>
  <c r="AH59" i="10"/>
  <c r="AH34" i="10"/>
  <c r="AI30" i="10"/>
  <c r="AH13" i="10"/>
  <c r="Y85" i="9"/>
  <c r="U27" i="9"/>
  <c r="AC15" i="9"/>
  <c r="AC20" i="9" s="1"/>
  <c r="W85" i="9"/>
  <c r="AE15" i="9"/>
  <c r="AE20" i="9" s="1"/>
  <c r="T20" i="9"/>
  <c r="U13" i="9"/>
  <c r="AH9" i="9"/>
  <c r="AE34" i="9"/>
  <c r="AE13" i="9"/>
  <c r="AH27" i="9"/>
  <c r="AI23" i="9"/>
  <c r="U34" i="9"/>
  <c r="AH30" i="9"/>
  <c r="Q25" i="2"/>
  <c r="AK62" i="11" l="1"/>
  <c r="AC85" i="9"/>
  <c r="AK85" i="11"/>
  <c r="AH62" i="10"/>
  <c r="AI60" i="10"/>
  <c r="T85" i="9"/>
  <c r="AH62" i="9"/>
  <c r="AI61" i="9"/>
  <c r="AI85" i="11"/>
  <c r="U85" i="10"/>
  <c r="AI59" i="10"/>
  <c r="AI34" i="10"/>
  <c r="AK30" i="10"/>
  <c r="AK34" i="10" s="1"/>
  <c r="AK15" i="10"/>
  <c r="AK20" i="10" s="1"/>
  <c r="AI20" i="10"/>
  <c r="AI27" i="9"/>
  <c r="AK23" i="9"/>
  <c r="AK27" i="9" s="1"/>
  <c r="AH13" i="9"/>
  <c r="AI9" i="9"/>
  <c r="AH34" i="9"/>
  <c r="AI30" i="9"/>
  <c r="AE85" i="9"/>
  <c r="AH15" i="9"/>
  <c r="U20" i="9"/>
  <c r="U85" i="9" s="1"/>
  <c r="AK60" i="10" l="1"/>
  <c r="AI62" i="10"/>
  <c r="AK61" i="9"/>
  <c r="AK62" i="9" s="1"/>
  <c r="AI62" i="9"/>
  <c r="AH85" i="10"/>
  <c r="AK59" i="10"/>
  <c r="AI13" i="9"/>
  <c r="AK9" i="9"/>
  <c r="AK13" i="9" s="1"/>
  <c r="AK30" i="9"/>
  <c r="AK34" i="9" s="1"/>
  <c r="AI34" i="9"/>
  <c r="AH20" i="9"/>
  <c r="AH85" i="9" s="1"/>
  <c r="AI15" i="9"/>
  <c r="L22" i="2"/>
  <c r="AE28" i="4"/>
  <c r="AE35" i="4"/>
  <c r="AD28" i="4"/>
  <c r="AC28" i="4"/>
  <c r="AB28" i="4"/>
  <c r="AA28" i="4"/>
  <c r="AA35" i="4"/>
  <c r="Z28" i="4"/>
  <c r="Y28" i="4"/>
  <c r="X28" i="4"/>
  <c r="W28" i="4"/>
  <c r="V28" i="4"/>
  <c r="T28" i="4"/>
  <c r="R28" i="4"/>
  <c r="Q28" i="4"/>
  <c r="P28" i="4"/>
  <c r="O28" i="4"/>
  <c r="M28" i="4"/>
  <c r="K28" i="4"/>
  <c r="J28" i="4"/>
  <c r="I28" i="4"/>
  <c r="H28" i="4"/>
  <c r="G28" i="4"/>
  <c r="F28" i="4"/>
  <c r="E28" i="4"/>
  <c r="E29" i="4"/>
  <c r="V34" i="6"/>
  <c r="X34" i="6"/>
  <c r="AD34" i="6"/>
  <c r="AF34" i="6"/>
  <c r="O34" i="6"/>
  <c r="R21" i="2" s="1"/>
  <c r="AK62" i="10" l="1"/>
  <c r="AK85" i="10" s="1"/>
  <c r="AI85" i="10"/>
  <c r="AI20" i="9"/>
  <c r="AI85" i="9" s="1"/>
  <c r="AK15" i="9"/>
  <c r="AK20" i="9" s="1"/>
  <c r="AK85" i="9" s="1"/>
  <c r="L53" i="2"/>
  <c r="L54" i="2" s="1"/>
  <c r="L42" i="2"/>
  <c r="L34" i="2"/>
  <c r="L30" i="2"/>
  <c r="L26" i="2"/>
  <c r="AO31" i="6" l="1"/>
  <c r="AO32" i="6"/>
  <c r="AO33" i="6"/>
  <c r="AN31" i="6"/>
  <c r="AN32" i="6"/>
  <c r="AN33" i="6"/>
  <c r="AM31" i="6"/>
  <c r="AM32" i="6"/>
  <c r="AM33" i="6"/>
  <c r="AJ31" i="6"/>
  <c r="AJ32" i="6"/>
  <c r="AJ33" i="6"/>
  <c r="AB31" i="6"/>
  <c r="AB32" i="6"/>
  <c r="AB33" i="6"/>
  <c r="S31" i="6"/>
  <c r="S32" i="6"/>
  <c r="S33" i="6"/>
  <c r="P31" i="6"/>
  <c r="Q31" i="6" s="1"/>
  <c r="AG31" i="6" s="1"/>
  <c r="P32" i="6"/>
  <c r="P33" i="6"/>
  <c r="Q33" i="6" s="1"/>
  <c r="AG33" i="6" s="1"/>
  <c r="R31" i="6" l="1"/>
  <c r="AL31" i="6" s="1"/>
  <c r="R33" i="6"/>
  <c r="W33" i="6" s="1"/>
  <c r="Q32" i="6"/>
  <c r="AG32" i="6" s="1"/>
  <c r="T31" i="6"/>
  <c r="Z31" i="6"/>
  <c r="AC31" i="6" s="1"/>
  <c r="W31" i="6"/>
  <c r="Y31" i="6"/>
  <c r="AL33" i="6"/>
  <c r="T33" i="6"/>
  <c r="Z33" i="6" l="1"/>
  <c r="AC33" i="6" s="1"/>
  <c r="Y33" i="6"/>
  <c r="R32" i="6"/>
  <c r="AH31" i="6"/>
  <c r="AI31" i="6" s="1"/>
  <c r="AK31" i="6" s="1"/>
  <c r="AH33" i="6"/>
  <c r="AI33" i="6" s="1"/>
  <c r="AK33" i="6" s="1"/>
  <c r="AO30" i="6"/>
  <c r="AO34" i="6" s="1"/>
  <c r="AN30" i="6"/>
  <c r="AN34" i="6" s="1"/>
  <c r="AM30" i="6"/>
  <c r="AM34" i="6" s="1"/>
  <c r="P21" i="2" s="1"/>
  <c r="AJ30" i="6"/>
  <c r="AJ34" i="6" s="1"/>
  <c r="AB30" i="6"/>
  <c r="AB34" i="6" s="1"/>
  <c r="AA34" i="6"/>
  <c r="S30" i="6"/>
  <c r="S34" i="6" s="1"/>
  <c r="P30" i="6"/>
  <c r="P34" i="6" s="1"/>
  <c r="AA20" i="2" l="1"/>
  <c r="AA22" i="2" s="1"/>
  <c r="Z32" i="6"/>
  <c r="AC32" i="6" s="1"/>
  <c r="AL32" i="6"/>
  <c r="W32" i="6"/>
  <c r="T32" i="6"/>
  <c r="Y32" i="6"/>
  <c r="Q30" i="6"/>
  <c r="Q34" i="6" s="1"/>
  <c r="AE21" i="4"/>
  <c r="AD21" i="4"/>
  <c r="AC21" i="4"/>
  <c r="AB21" i="4"/>
  <c r="AA21" i="4"/>
  <c r="Z21" i="4"/>
  <c r="Y21" i="4"/>
  <c r="X21" i="4"/>
  <c r="W21" i="4"/>
  <c r="V21" i="4"/>
  <c r="T21" i="4"/>
  <c r="R21" i="4"/>
  <c r="Q21" i="4"/>
  <c r="P21" i="4"/>
  <c r="O21" i="4"/>
  <c r="M21" i="4"/>
  <c r="K21" i="4"/>
  <c r="J21" i="4"/>
  <c r="I21" i="4"/>
  <c r="H21" i="4"/>
  <c r="G21" i="4"/>
  <c r="F21" i="4"/>
  <c r="E21" i="4"/>
  <c r="E22" i="4"/>
  <c r="O27" i="8"/>
  <c r="V27" i="6"/>
  <c r="X27" i="6"/>
  <c r="AD27" i="6"/>
  <c r="AF27" i="6"/>
  <c r="O27" i="6"/>
  <c r="R30" i="6" l="1"/>
  <c r="R34" i="6" s="1"/>
  <c r="AG30" i="6"/>
  <c r="AG34" i="6" s="1"/>
  <c r="AL30" i="6"/>
  <c r="AL34" i="6" s="1"/>
  <c r="W30" i="6"/>
  <c r="W34" i="6" s="1"/>
  <c r="T30" i="6"/>
  <c r="T34" i="6" s="1"/>
  <c r="Y30" i="6"/>
  <c r="Y34" i="6" s="1"/>
  <c r="R17" i="2"/>
  <c r="AH32" i="6"/>
  <c r="AI32" i="6" s="1"/>
  <c r="AK32" i="6" s="1"/>
  <c r="Z30" i="6"/>
  <c r="Z34" i="6" s="1"/>
  <c r="AE34" i="6"/>
  <c r="AC30" i="6" l="1"/>
  <c r="AC34" i="6" s="1"/>
  <c r="U34" i="6"/>
  <c r="AH30" i="6"/>
  <c r="AO24" i="6"/>
  <c r="AO25" i="6"/>
  <c r="AN24" i="6"/>
  <c r="AN25" i="6"/>
  <c r="AM24" i="6"/>
  <c r="AM25" i="6"/>
  <c r="AJ24" i="6"/>
  <c r="AJ25" i="6"/>
  <c r="AB24" i="6"/>
  <c r="AB25" i="6"/>
  <c r="S24" i="6"/>
  <c r="S25" i="6"/>
  <c r="P24" i="6"/>
  <c r="P25" i="6"/>
  <c r="Q25" i="6" s="1"/>
  <c r="AG25" i="6" s="1"/>
  <c r="AI30" i="6" l="1"/>
  <c r="AH34" i="6"/>
  <c r="Q24" i="6"/>
  <c r="AG24" i="6" s="1"/>
  <c r="R25" i="6"/>
  <c r="Q21" i="2"/>
  <c r="AK30" i="6" l="1"/>
  <c r="AK34" i="6" s="1"/>
  <c r="AI34" i="6"/>
  <c r="AL25" i="6"/>
  <c r="R24" i="6"/>
  <c r="Z25" i="6"/>
  <c r="AC25" i="6" s="1"/>
  <c r="T25" i="6"/>
  <c r="Y25" i="6"/>
  <c r="W25" i="6"/>
  <c r="P23" i="6"/>
  <c r="AO23" i="6"/>
  <c r="AO27" i="6" s="1"/>
  <c r="AN23" i="6"/>
  <c r="AN27" i="6" s="1"/>
  <c r="AM23" i="6"/>
  <c r="AM27" i="6" s="1"/>
  <c r="AJ23" i="6"/>
  <c r="AJ27" i="6" s="1"/>
  <c r="AB23" i="6"/>
  <c r="AB27" i="6" s="1"/>
  <c r="AA27" i="6"/>
  <c r="S23" i="6"/>
  <c r="S27" i="6" s="1"/>
  <c r="AH25" i="6" l="1"/>
  <c r="AI25" i="6" s="1"/>
  <c r="AK25" i="6" s="1"/>
  <c r="Q23" i="6"/>
  <c r="P27" i="6"/>
  <c r="AL24" i="6"/>
  <c r="Z24" i="6"/>
  <c r="AC24" i="6" s="1"/>
  <c r="W24" i="6"/>
  <c r="T24" i="6"/>
  <c r="Y24" i="6"/>
  <c r="AA19" i="6"/>
  <c r="AO24" i="8"/>
  <c r="AO25" i="8"/>
  <c r="AO26" i="8"/>
  <c r="AO23" i="8"/>
  <c r="AO16" i="8"/>
  <c r="AO17" i="8"/>
  <c r="AO18" i="8"/>
  <c r="AO19" i="8"/>
  <c r="AO15" i="8"/>
  <c r="AN24" i="8"/>
  <c r="AN25" i="8"/>
  <c r="AN26" i="8"/>
  <c r="AN23" i="8"/>
  <c r="AN16" i="8"/>
  <c r="AN17" i="8"/>
  <c r="AN18" i="8"/>
  <c r="AN19" i="8"/>
  <c r="AN15" i="8"/>
  <c r="AM24" i="8"/>
  <c r="AM25" i="8"/>
  <c r="AM26" i="8"/>
  <c r="AM23" i="8"/>
  <c r="AM16" i="8"/>
  <c r="AM17" i="8"/>
  <c r="AM18" i="8"/>
  <c r="AM19" i="8"/>
  <c r="AM15" i="8"/>
  <c r="V20" i="6"/>
  <c r="X20" i="6"/>
  <c r="AD20" i="6"/>
  <c r="AF20" i="6"/>
  <c r="O20" i="6"/>
  <c r="E17" i="4"/>
  <c r="AJ24" i="8"/>
  <c r="AJ25" i="8"/>
  <c r="AJ23" i="8"/>
  <c r="AB24" i="8"/>
  <c r="AB25" i="8"/>
  <c r="AB23" i="8"/>
  <c r="S24" i="8"/>
  <c r="S25" i="8"/>
  <c r="S26" i="8"/>
  <c r="S23" i="8"/>
  <c r="P24" i="8"/>
  <c r="P25" i="8"/>
  <c r="P26" i="8"/>
  <c r="P23" i="8"/>
  <c r="AH39" i="1" l="1"/>
  <c r="AI39" i="1" s="1"/>
  <c r="AK39" i="1" s="1"/>
  <c r="AI5" i="1"/>
  <c r="AK5" i="1" s="1"/>
  <c r="AH4" i="1"/>
  <c r="AI4" i="1" s="1"/>
  <c r="AK4" i="1" s="1"/>
  <c r="AH16" i="1"/>
  <c r="AI16" i="1" s="1"/>
  <c r="AK16" i="1" s="1"/>
  <c r="AH83" i="1"/>
  <c r="AI83" i="1" s="1"/>
  <c r="AK83" i="1" s="1"/>
  <c r="AH46" i="1"/>
  <c r="AI46" i="1" s="1"/>
  <c r="AK46" i="1" s="1"/>
  <c r="AH45" i="1"/>
  <c r="AI45" i="1" s="1"/>
  <c r="AK45" i="1" s="1"/>
  <c r="AH81" i="1"/>
  <c r="AI81" i="1" s="1"/>
  <c r="AK81" i="1" s="1"/>
  <c r="AH30" i="1"/>
  <c r="AH25" i="1"/>
  <c r="AI25" i="1" s="1"/>
  <c r="AK25" i="1" s="1"/>
  <c r="AH53" i="1"/>
  <c r="AI53" i="1" s="1"/>
  <c r="AK53" i="1" s="1"/>
  <c r="AH54" i="1"/>
  <c r="AI54" i="1" s="1"/>
  <c r="AK54" i="1" s="1"/>
  <c r="AH68" i="1"/>
  <c r="AI68" i="1" s="1"/>
  <c r="AK68" i="1" s="1"/>
  <c r="AH40" i="1"/>
  <c r="AI40" i="1" s="1"/>
  <c r="AK40" i="1" s="1"/>
  <c r="AH82" i="1"/>
  <c r="AI82" i="1" s="1"/>
  <c r="AK82" i="1" s="1"/>
  <c r="AH75" i="1"/>
  <c r="AI75" i="1" s="1"/>
  <c r="AK75" i="1" s="1"/>
  <c r="AH51" i="1"/>
  <c r="AI51" i="1" s="1"/>
  <c r="AK51" i="1" s="1"/>
  <c r="AH26" i="1"/>
  <c r="AH72" i="1"/>
  <c r="AI72" i="1" s="1"/>
  <c r="AK72" i="1" s="1"/>
  <c r="AH74" i="1"/>
  <c r="AI74" i="1" s="1"/>
  <c r="AK74" i="1" s="1"/>
  <c r="AH18" i="1"/>
  <c r="AI3" i="1"/>
  <c r="AK3" i="1" s="1"/>
  <c r="AH61" i="1"/>
  <c r="AI61" i="1" s="1"/>
  <c r="AK61" i="1" s="1"/>
  <c r="AH11" i="1"/>
  <c r="AI11" i="1" s="1"/>
  <c r="AK11" i="1" s="1"/>
  <c r="AH31" i="1"/>
  <c r="AI31" i="1" s="1"/>
  <c r="AK31" i="1" s="1"/>
  <c r="AH24" i="1"/>
  <c r="AI24" i="1" s="1"/>
  <c r="AK24" i="1" s="1"/>
  <c r="AH65" i="1"/>
  <c r="AH60" i="1"/>
  <c r="AI60" i="1" s="1"/>
  <c r="AK60" i="1" s="1"/>
  <c r="AH80" i="1"/>
  <c r="AI80" i="1" s="1"/>
  <c r="AK80" i="1" s="1"/>
  <c r="AH62" i="1"/>
  <c r="AI62" i="1" s="1"/>
  <c r="AK62" i="1" s="1"/>
  <c r="AH27" i="1"/>
  <c r="AI27" i="1" s="1"/>
  <c r="AK27" i="1" s="1"/>
  <c r="AH48" i="1"/>
  <c r="AI48" i="1" s="1"/>
  <c r="AK48" i="1" s="1"/>
  <c r="AH52" i="1"/>
  <c r="AH19" i="1"/>
  <c r="AI19" i="1" s="1"/>
  <c r="AK19" i="1" s="1"/>
  <c r="AH38" i="1"/>
  <c r="AI38" i="1" s="1"/>
  <c r="AK38" i="1" s="1"/>
  <c r="AH17" i="1"/>
  <c r="AI17" i="1" s="1"/>
  <c r="AK17" i="1" s="1"/>
  <c r="AH32" i="1"/>
  <c r="AI32" i="1" s="1"/>
  <c r="AK32" i="1" s="1"/>
  <c r="AH73" i="1"/>
  <c r="AI73" i="1" s="1"/>
  <c r="AK73" i="1" s="1"/>
  <c r="AH47" i="1"/>
  <c r="AI47" i="1" s="1"/>
  <c r="AK47" i="1" s="1"/>
  <c r="AH67" i="1"/>
  <c r="AI67" i="1" s="1"/>
  <c r="AK67" i="1" s="1"/>
  <c r="AH59" i="1"/>
  <c r="AI59" i="1" s="1"/>
  <c r="AK59" i="1" s="1"/>
  <c r="AH33" i="1"/>
  <c r="AI33" i="1" s="1"/>
  <c r="AK33" i="1" s="1"/>
  <c r="AH12" i="1"/>
  <c r="AI12" i="1" s="1"/>
  <c r="AK12" i="1" s="1"/>
  <c r="AH37" i="1"/>
  <c r="AH10" i="1"/>
  <c r="AI10" i="1" s="1"/>
  <c r="AK10" i="1" s="1"/>
  <c r="AH66" i="1"/>
  <c r="AI66" i="1" s="1"/>
  <c r="AK66" i="1" s="1"/>
  <c r="AM27" i="8"/>
  <c r="AM20" i="8"/>
  <c r="AO20" i="8"/>
  <c r="AN27" i="8"/>
  <c r="AO27" i="8"/>
  <c r="AA16" i="2" s="1"/>
  <c r="AA18" i="2" s="1"/>
  <c r="AG23" i="6"/>
  <c r="AG27" i="6" s="1"/>
  <c r="Q27" i="6"/>
  <c r="R23" i="6"/>
  <c r="R27" i="6" s="1"/>
  <c r="AL29" i="3"/>
  <c r="AL27" i="3"/>
  <c r="AL28" i="3"/>
  <c r="AH24" i="6"/>
  <c r="AI24" i="6" s="1"/>
  <c r="AK24" i="6" s="1"/>
  <c r="AN20" i="8"/>
  <c r="AL30" i="3" l="1"/>
  <c r="AD35" i="1"/>
  <c r="AH42" i="1"/>
  <c r="AI37" i="1"/>
  <c r="AH56" i="1"/>
  <c r="AI52" i="1"/>
  <c r="AI26" i="1"/>
  <c r="AD49" i="1"/>
  <c r="AH44" i="1"/>
  <c r="AD84" i="1"/>
  <c r="AH79" i="1"/>
  <c r="AI30" i="1"/>
  <c r="AH35" i="1"/>
  <c r="AD63" i="1"/>
  <c r="AH58" i="1"/>
  <c r="AD28" i="1"/>
  <c r="AH23" i="1"/>
  <c r="AI23" i="1" s="1"/>
  <c r="AK23" i="1" s="1"/>
  <c r="AH21" i="1"/>
  <c r="AI18" i="1"/>
  <c r="AH70" i="1"/>
  <c r="AI65" i="1"/>
  <c r="AH9" i="1"/>
  <c r="Y23" i="6"/>
  <c r="Y27" i="6" s="1"/>
  <c r="AL23" i="6"/>
  <c r="AL27" i="6" s="1"/>
  <c r="T23" i="6"/>
  <c r="T27" i="6" s="1"/>
  <c r="W23" i="6"/>
  <c r="W27" i="6" s="1"/>
  <c r="Z23" i="6"/>
  <c r="Z27" i="6" s="1"/>
  <c r="AE27" i="6"/>
  <c r="U27" i="6"/>
  <c r="AB19" i="8"/>
  <c r="AH28" i="1" l="1"/>
  <c r="AH63" i="1"/>
  <c r="AI58" i="1"/>
  <c r="AI28" i="1"/>
  <c r="AK26" i="1"/>
  <c r="AK28" i="1" s="1"/>
  <c r="AI56" i="1"/>
  <c r="AK52" i="1"/>
  <c r="AK56" i="1" s="1"/>
  <c r="AI35" i="1"/>
  <c r="AK30" i="1"/>
  <c r="AK35" i="1" s="1"/>
  <c r="AI9" i="1"/>
  <c r="AI79" i="1"/>
  <c r="AH84" i="1"/>
  <c r="AI42" i="1"/>
  <c r="AK37" i="1"/>
  <c r="AK42" i="1" s="1"/>
  <c r="AI70" i="1"/>
  <c r="AK65" i="1"/>
  <c r="AK70" i="1" s="1"/>
  <c r="AI21" i="1"/>
  <c r="AK18" i="1"/>
  <c r="AK21" i="1" s="1"/>
  <c r="AH49" i="1"/>
  <c r="AI44" i="1"/>
  <c r="AC23" i="6"/>
  <c r="AC27" i="6" s="1"/>
  <c r="AH23" i="6"/>
  <c r="O20" i="8"/>
  <c r="AB18" i="8"/>
  <c r="AO18" i="6"/>
  <c r="AO19" i="6"/>
  <c r="AN18" i="6"/>
  <c r="AN19" i="6"/>
  <c r="AM18" i="6"/>
  <c r="AM19" i="6"/>
  <c r="AJ18" i="6"/>
  <c r="AJ19" i="6"/>
  <c r="AB18" i="6"/>
  <c r="AB19" i="6"/>
  <c r="P19" i="6"/>
  <c r="Q19" i="6" s="1"/>
  <c r="S19" i="6"/>
  <c r="S18" i="6"/>
  <c r="P18" i="6"/>
  <c r="AI49" i="1" l="1"/>
  <c r="AK44" i="1"/>
  <c r="AK49" i="1" s="1"/>
  <c r="AK9" i="1"/>
  <c r="AI63" i="1"/>
  <c r="AK58" i="1"/>
  <c r="AK63" i="1" s="1"/>
  <c r="AK79" i="1"/>
  <c r="AK84" i="1" s="1"/>
  <c r="AI84" i="1"/>
  <c r="AI23" i="6"/>
  <c r="AH27" i="6"/>
  <c r="Q18" i="6"/>
  <c r="AG18" i="6" s="1"/>
  <c r="AG19" i="6"/>
  <c r="R19" i="6"/>
  <c r="AB16" i="8"/>
  <c r="AB17" i="8"/>
  <c r="AO17" i="6"/>
  <c r="AN17" i="6"/>
  <c r="AM17" i="6"/>
  <c r="AJ17" i="6"/>
  <c r="AB17" i="6"/>
  <c r="S17" i="6"/>
  <c r="P17" i="6"/>
  <c r="Q17" i="6" s="1"/>
  <c r="R17" i="6" s="1"/>
  <c r="AK23" i="6" l="1"/>
  <c r="AK27" i="6" s="1"/>
  <c r="AI27" i="6"/>
  <c r="Y17" i="6"/>
  <c r="AL17" i="6"/>
  <c r="Z17" i="6"/>
  <c r="AC17" i="6" s="1"/>
  <c r="T17" i="6"/>
  <c r="W17" i="6"/>
  <c r="AG17" i="6"/>
  <c r="R18" i="6"/>
  <c r="AL19" i="6"/>
  <c r="Y19" i="6"/>
  <c r="T19" i="6"/>
  <c r="Z19" i="6"/>
  <c r="AC19" i="6" s="1"/>
  <c r="W19" i="6"/>
  <c r="AO16" i="6"/>
  <c r="AN16" i="6"/>
  <c r="AO15" i="6"/>
  <c r="AN15" i="6"/>
  <c r="AM16" i="6"/>
  <c r="AM15" i="6"/>
  <c r="AJ16" i="6"/>
  <c r="AB16" i="6"/>
  <c r="S16" i="6"/>
  <c r="Q16" i="6"/>
  <c r="AG16" i="6" s="1"/>
  <c r="P16" i="6"/>
  <c r="AN20" i="6" l="1"/>
  <c r="Q13" i="2" s="1"/>
  <c r="R16" i="6"/>
  <c r="AL16" i="6" s="1"/>
  <c r="AH19" i="6"/>
  <c r="AI19" i="6" s="1"/>
  <c r="AK19" i="6" s="1"/>
  <c r="Y16" i="6"/>
  <c r="AM20" i="6"/>
  <c r="P13" i="2" s="1"/>
  <c r="Z18" i="6"/>
  <c r="AC18" i="6" s="1"/>
  <c r="T18" i="6"/>
  <c r="Y18" i="6"/>
  <c r="AL18" i="6"/>
  <c r="W18" i="6"/>
  <c r="T16" i="6"/>
  <c r="Z16" i="6"/>
  <c r="AC16" i="6" s="1"/>
  <c r="AO20" i="6"/>
  <c r="AA12" i="2" s="1"/>
  <c r="AA14" i="2" s="1"/>
  <c r="AH17" i="6"/>
  <c r="AI17" i="6" s="1"/>
  <c r="AK17" i="6" s="1"/>
  <c r="W16" i="6" l="1"/>
  <c r="AH18" i="6"/>
  <c r="AI18" i="6" s="1"/>
  <c r="AK18" i="6" s="1"/>
  <c r="AO10" i="7"/>
  <c r="AO13" i="7" s="1"/>
  <c r="AO85" i="7" s="1"/>
  <c r="AN10" i="7"/>
  <c r="AN13" i="7" s="1"/>
  <c r="AN85" i="7" s="1"/>
  <c r="AM10" i="7"/>
  <c r="AM13" i="7" s="1"/>
  <c r="AM85" i="7" s="1"/>
  <c r="AO10" i="6"/>
  <c r="AO11" i="6"/>
  <c r="AO12" i="6"/>
  <c r="AO9" i="6"/>
  <c r="AN10" i="6"/>
  <c r="AN11" i="6"/>
  <c r="AN12" i="6"/>
  <c r="AN9" i="6"/>
  <c r="AM10" i="6"/>
  <c r="AM11" i="6"/>
  <c r="AM12" i="6"/>
  <c r="AM9" i="6"/>
  <c r="P25" i="2"/>
  <c r="AR73" i="5"/>
  <c r="P45" i="2"/>
  <c r="AH16" i="6" l="1"/>
  <c r="AI16" i="6" s="1"/>
  <c r="AK16" i="6" s="1"/>
  <c r="AM13" i="6"/>
  <c r="AM85" i="6" s="1"/>
  <c r="AO13" i="6"/>
  <c r="AN13" i="6"/>
  <c r="AN85" i="6" s="1"/>
  <c r="AJ15" i="6"/>
  <c r="AJ20" i="6" s="1"/>
  <c r="AB15" i="6"/>
  <c r="AB20" i="6" s="1"/>
  <c r="AA20" i="6"/>
  <c r="S15" i="6"/>
  <c r="S20" i="6" s="1"/>
  <c r="P15" i="6"/>
  <c r="AJ16" i="8"/>
  <c r="AJ17" i="8"/>
  <c r="AJ18" i="8"/>
  <c r="AJ19" i="8"/>
  <c r="AJ15" i="8"/>
  <c r="AB15" i="8"/>
  <c r="S16" i="8"/>
  <c r="S17" i="8"/>
  <c r="S18" i="8"/>
  <c r="S19" i="8"/>
  <c r="S15" i="8"/>
  <c r="P16" i="8"/>
  <c r="Q16" i="8" s="1"/>
  <c r="P17" i="8"/>
  <c r="Q17" i="8" s="1"/>
  <c r="P18" i="8"/>
  <c r="Q18" i="8" s="1"/>
  <c r="P19" i="8"/>
  <c r="Q19" i="8" s="1"/>
  <c r="P15" i="8"/>
  <c r="Q15" i="8" s="1"/>
  <c r="AF83" i="8"/>
  <c r="AD83" i="8"/>
  <c r="AA83" i="8"/>
  <c r="X83" i="8"/>
  <c r="W83" i="8"/>
  <c r="V83" i="8"/>
  <c r="U83" i="8"/>
  <c r="O83" i="8"/>
  <c r="AJ82" i="8"/>
  <c r="AB82" i="8"/>
  <c r="S82" i="8"/>
  <c r="P82" i="8"/>
  <c r="Q82" i="8" s="1"/>
  <c r="AG82" i="8" s="1"/>
  <c r="AJ81" i="8"/>
  <c r="S81" i="8"/>
  <c r="P81" i="8"/>
  <c r="AJ80" i="8"/>
  <c r="S80" i="8"/>
  <c r="P80" i="8"/>
  <c r="Q80" i="8" s="1"/>
  <c r="AG80" i="8" s="1"/>
  <c r="AH80" i="8" s="1"/>
  <c r="AJ79" i="8"/>
  <c r="S79" i="8"/>
  <c r="P79" i="8"/>
  <c r="AJ78" i="8"/>
  <c r="AB78" i="8"/>
  <c r="S78" i="8"/>
  <c r="P78" i="8"/>
  <c r="AF76" i="8"/>
  <c r="AD76" i="8"/>
  <c r="AA76" i="8"/>
  <c r="X76" i="8"/>
  <c r="W76" i="8"/>
  <c r="V76" i="8"/>
  <c r="U76" i="8"/>
  <c r="O76" i="8"/>
  <c r="AJ75" i="8"/>
  <c r="AB75" i="8"/>
  <c r="S75" i="8"/>
  <c r="P75" i="8"/>
  <c r="Q75" i="8" s="1"/>
  <c r="AJ74" i="8"/>
  <c r="S74" i="8"/>
  <c r="P74" i="8"/>
  <c r="Q74" i="8" s="1"/>
  <c r="AG74" i="8" s="1"/>
  <c r="AH74" i="8" s="1"/>
  <c r="AJ73" i="8"/>
  <c r="S73" i="8"/>
  <c r="P73" i="8"/>
  <c r="AJ72" i="8"/>
  <c r="S72" i="8"/>
  <c r="P72" i="8"/>
  <c r="Q72" i="8" s="1"/>
  <c r="AG72" i="8" s="1"/>
  <c r="AH72" i="8" s="1"/>
  <c r="AJ71" i="8"/>
  <c r="AB71" i="8"/>
  <c r="AB76" i="8" s="1"/>
  <c r="S71" i="8"/>
  <c r="P71" i="8"/>
  <c r="Q71" i="8" s="1"/>
  <c r="AG71" i="8" s="1"/>
  <c r="AF69" i="8"/>
  <c r="AE69" i="8"/>
  <c r="AD69" i="8"/>
  <c r="AC69" i="8"/>
  <c r="AB69" i="8"/>
  <c r="AA69" i="8"/>
  <c r="Z69" i="8"/>
  <c r="Y69" i="8"/>
  <c r="X69" i="8"/>
  <c r="W69" i="8"/>
  <c r="V69" i="8"/>
  <c r="U69" i="8"/>
  <c r="O69" i="8"/>
  <c r="AJ68" i="8"/>
  <c r="S68" i="8"/>
  <c r="Q68" i="8"/>
  <c r="AG68" i="8" s="1"/>
  <c r="AH68" i="8" s="1"/>
  <c r="P68" i="8"/>
  <c r="AJ67" i="8"/>
  <c r="S67" i="8"/>
  <c r="Q67" i="8"/>
  <c r="AG67" i="8" s="1"/>
  <c r="AH67" i="8" s="1"/>
  <c r="P67" i="8"/>
  <c r="AJ66" i="8"/>
  <c r="S66" i="8"/>
  <c r="P66" i="8"/>
  <c r="AJ65" i="8"/>
  <c r="S65" i="8"/>
  <c r="P65" i="8"/>
  <c r="Q65" i="8" s="1"/>
  <c r="AG65" i="8" s="1"/>
  <c r="AH65" i="8" s="1"/>
  <c r="AJ64" i="8"/>
  <c r="S64" i="8"/>
  <c r="Q64" i="8"/>
  <c r="AG64" i="8" s="1"/>
  <c r="P64" i="8"/>
  <c r="AF62" i="8"/>
  <c r="AD62" i="8"/>
  <c r="AA62" i="8"/>
  <c r="X62" i="8"/>
  <c r="W62" i="8"/>
  <c r="V62" i="8"/>
  <c r="U62" i="8"/>
  <c r="O62" i="8"/>
  <c r="AJ61" i="8"/>
  <c r="AB61" i="8"/>
  <c r="AB62" i="8" s="1"/>
  <c r="S61" i="8"/>
  <c r="P61" i="8"/>
  <c r="AJ60" i="8"/>
  <c r="S60" i="8"/>
  <c r="P60" i="8"/>
  <c r="Q60" i="8" s="1"/>
  <c r="AG60" i="8" s="1"/>
  <c r="AH60" i="8" s="1"/>
  <c r="AJ59" i="8"/>
  <c r="S59" i="8"/>
  <c r="P59" i="8"/>
  <c r="AJ58" i="8"/>
  <c r="S58" i="8"/>
  <c r="R58" i="8"/>
  <c r="AL58" i="8" s="1"/>
  <c r="P58" i="8"/>
  <c r="Q58" i="8" s="1"/>
  <c r="AG58" i="8" s="1"/>
  <c r="AH58" i="8" s="1"/>
  <c r="AJ57" i="8"/>
  <c r="S57" i="8"/>
  <c r="P57" i="8"/>
  <c r="Q57" i="8" s="1"/>
  <c r="R57" i="8" s="1"/>
  <c r="AF55" i="8"/>
  <c r="AD55" i="8"/>
  <c r="AA55" i="8"/>
  <c r="X55" i="8"/>
  <c r="W55" i="8"/>
  <c r="V55" i="8"/>
  <c r="U55" i="8"/>
  <c r="O55" i="8"/>
  <c r="AJ54" i="8"/>
  <c r="AB54" i="8"/>
  <c r="S54" i="8"/>
  <c r="P54" i="8"/>
  <c r="Q54" i="8" s="1"/>
  <c r="AJ53" i="8"/>
  <c r="AB53" i="8"/>
  <c r="S53" i="8"/>
  <c r="P53" i="8"/>
  <c r="AJ52" i="8"/>
  <c r="AB52" i="8"/>
  <c r="S52" i="8"/>
  <c r="P52" i="8"/>
  <c r="Q52" i="8" s="1"/>
  <c r="AJ51" i="8"/>
  <c r="AB51" i="8"/>
  <c r="S51" i="8"/>
  <c r="P51" i="8"/>
  <c r="Q51" i="8" s="1"/>
  <c r="AG51" i="8" s="1"/>
  <c r="AJ50" i="8"/>
  <c r="AB50" i="8"/>
  <c r="S50" i="8"/>
  <c r="P50" i="8"/>
  <c r="Q50" i="8" s="1"/>
  <c r="R50" i="8" s="1"/>
  <c r="AF48" i="8"/>
  <c r="AD48" i="8"/>
  <c r="AA48" i="8"/>
  <c r="X48" i="8"/>
  <c r="W48" i="8"/>
  <c r="V48" i="8"/>
  <c r="U48" i="8"/>
  <c r="O48" i="8"/>
  <c r="AJ47" i="8"/>
  <c r="AB47" i="8"/>
  <c r="S47" i="8"/>
  <c r="P47" i="8"/>
  <c r="Q47" i="8" s="1"/>
  <c r="AJ46" i="8"/>
  <c r="AB46" i="8"/>
  <c r="S46" i="8"/>
  <c r="P46" i="8"/>
  <c r="Q46" i="8" s="1"/>
  <c r="R46" i="8" s="1"/>
  <c r="Y46" i="8" s="1"/>
  <c r="AJ45" i="8"/>
  <c r="AB45" i="8"/>
  <c r="S45" i="8"/>
  <c r="P45" i="8"/>
  <c r="Q45" i="8" s="1"/>
  <c r="AG45" i="8" s="1"/>
  <c r="AJ44" i="8"/>
  <c r="AB44" i="8"/>
  <c r="S44" i="8"/>
  <c r="P44" i="8"/>
  <c r="Q44" i="8" s="1"/>
  <c r="AJ43" i="8"/>
  <c r="AB43" i="8"/>
  <c r="S43" i="8"/>
  <c r="P43" i="8"/>
  <c r="AF41" i="8"/>
  <c r="AD41" i="8"/>
  <c r="AA41" i="8"/>
  <c r="X41" i="8"/>
  <c r="W41" i="8"/>
  <c r="V41" i="8"/>
  <c r="U41" i="8"/>
  <c r="O41" i="8"/>
  <c r="AJ40" i="8"/>
  <c r="AB40" i="8"/>
  <c r="S40" i="8"/>
  <c r="P40" i="8"/>
  <c r="Q40" i="8" s="1"/>
  <c r="AG40" i="8" s="1"/>
  <c r="AJ39" i="8"/>
  <c r="AB39" i="8"/>
  <c r="S39" i="8"/>
  <c r="P39" i="8"/>
  <c r="Q39" i="8" s="1"/>
  <c r="AJ38" i="8"/>
  <c r="AB38" i="8"/>
  <c r="S38" i="8"/>
  <c r="P38" i="8"/>
  <c r="Q38" i="8" s="1"/>
  <c r="AJ37" i="8"/>
  <c r="AB37" i="8"/>
  <c r="S37" i="8"/>
  <c r="P37" i="8"/>
  <c r="AJ36" i="8"/>
  <c r="AB36" i="8"/>
  <c r="S36" i="8"/>
  <c r="Q36" i="8"/>
  <c r="P36" i="8"/>
  <c r="AF34" i="8"/>
  <c r="AD34" i="8"/>
  <c r="AA34" i="8"/>
  <c r="X34" i="8"/>
  <c r="W34" i="8"/>
  <c r="V34" i="8"/>
  <c r="U34" i="8"/>
  <c r="O34" i="8"/>
  <c r="AJ33" i="8"/>
  <c r="AB33" i="8"/>
  <c r="S33" i="8"/>
  <c r="P33" i="8"/>
  <c r="Q33" i="8" s="1"/>
  <c r="AJ32" i="8"/>
  <c r="AB32" i="8"/>
  <c r="S32" i="8"/>
  <c r="P32" i="8"/>
  <c r="AJ31" i="8"/>
  <c r="AB31" i="8"/>
  <c r="S31" i="8"/>
  <c r="P31" i="8"/>
  <c r="Q31" i="8" s="1"/>
  <c r="AJ30" i="8"/>
  <c r="AB30" i="8"/>
  <c r="S30" i="8"/>
  <c r="P30" i="8"/>
  <c r="AJ29" i="8"/>
  <c r="AB29" i="8"/>
  <c r="AB34" i="8" s="1"/>
  <c r="S29" i="8"/>
  <c r="P29" i="8"/>
  <c r="Q29" i="8" s="1"/>
  <c r="AF27" i="8"/>
  <c r="AD27" i="8"/>
  <c r="AA27" i="8"/>
  <c r="X27" i="8"/>
  <c r="V27" i="8"/>
  <c r="AJ26" i="8"/>
  <c r="AB26" i="8"/>
  <c r="Q26" i="8"/>
  <c r="Q25" i="8"/>
  <c r="Q24" i="8"/>
  <c r="Q23" i="8"/>
  <c r="AJ22" i="8"/>
  <c r="AB22" i="8"/>
  <c r="S22" i="8"/>
  <c r="P22" i="8"/>
  <c r="P27" i="8" s="1"/>
  <c r="AF20" i="8"/>
  <c r="AD20" i="8"/>
  <c r="AA20" i="8"/>
  <c r="X20" i="8"/>
  <c r="V20" i="8"/>
  <c r="AB20" i="8"/>
  <c r="AF13" i="8"/>
  <c r="AD13" i="8"/>
  <c r="AA13" i="8"/>
  <c r="X13" i="8"/>
  <c r="W13" i="8"/>
  <c r="V13" i="8"/>
  <c r="U13" i="8"/>
  <c r="O13" i="8"/>
  <c r="AJ12" i="8"/>
  <c r="AB12" i="8"/>
  <c r="S12" i="8"/>
  <c r="P12" i="8"/>
  <c r="Q12" i="8" s="1"/>
  <c r="AJ11" i="8"/>
  <c r="AB11" i="8"/>
  <c r="S11" i="8"/>
  <c r="P11" i="8"/>
  <c r="Q11" i="8" s="1"/>
  <c r="AJ10" i="8"/>
  <c r="AB10" i="8"/>
  <c r="S10" i="8"/>
  <c r="P10" i="8"/>
  <c r="Q10" i="8" s="1"/>
  <c r="AG10" i="8" s="1"/>
  <c r="AJ9" i="8"/>
  <c r="AB9" i="8"/>
  <c r="S9" i="8"/>
  <c r="P9" i="8"/>
  <c r="Q9" i="8" s="1"/>
  <c r="AF7" i="8"/>
  <c r="AD7" i="8"/>
  <c r="AA7" i="8"/>
  <c r="X7" i="8"/>
  <c r="W7" i="8"/>
  <c r="V7" i="8"/>
  <c r="O7" i="8"/>
  <c r="AJ6" i="8"/>
  <c r="AB6" i="8"/>
  <c r="S6" i="8"/>
  <c r="P6" i="8"/>
  <c r="Q6" i="8" s="1"/>
  <c r="R6" i="8" s="1"/>
  <c r="AB5" i="8"/>
  <c r="S5" i="8"/>
  <c r="P5" i="8"/>
  <c r="AJ4" i="8"/>
  <c r="AB4" i="8"/>
  <c r="S4" i="8"/>
  <c r="P4" i="8"/>
  <c r="Q4" i="8" s="1"/>
  <c r="AG4" i="8" s="1"/>
  <c r="AJ3" i="8"/>
  <c r="AB3" i="8"/>
  <c r="S3" i="8"/>
  <c r="P3" i="8"/>
  <c r="Q3" i="8" s="1"/>
  <c r="R3" i="8" s="1"/>
  <c r="AJ2" i="8"/>
  <c r="AB2" i="8"/>
  <c r="S2" i="8"/>
  <c r="P2" i="8"/>
  <c r="Q2" i="8" s="1"/>
  <c r="AG2" i="8" s="1"/>
  <c r="AJ7" i="8" l="1"/>
  <c r="Q22" i="8"/>
  <c r="R68" i="8"/>
  <c r="S34" i="8"/>
  <c r="AJ48" i="8"/>
  <c r="S13" i="8"/>
  <c r="V85" i="8"/>
  <c r="S41" i="8"/>
  <c r="R64" i="8"/>
  <c r="P41" i="8"/>
  <c r="AB41" i="8"/>
  <c r="P48" i="8"/>
  <c r="R45" i="8"/>
  <c r="T45" i="8" s="1"/>
  <c r="AE45" i="8" s="1"/>
  <c r="S55" i="8"/>
  <c r="S62" i="8"/>
  <c r="R65" i="8"/>
  <c r="T65" i="8" s="1"/>
  <c r="AB83" i="8"/>
  <c r="R51" i="8"/>
  <c r="AB55" i="8"/>
  <c r="P55" i="8"/>
  <c r="AJ76" i="8"/>
  <c r="R40" i="8"/>
  <c r="P7" i="8"/>
  <c r="AJ34" i="8"/>
  <c r="R36" i="8"/>
  <c r="AB48" i="8"/>
  <c r="AJ55" i="8"/>
  <c r="Q61" i="8"/>
  <c r="AG61" i="8" s="1"/>
  <c r="R9" i="8"/>
  <c r="AG9" i="8"/>
  <c r="AG54" i="8"/>
  <c r="R54" i="8"/>
  <c r="Z54" i="8" s="1"/>
  <c r="AC54" i="8" s="1"/>
  <c r="R38" i="8"/>
  <c r="AG38" i="8"/>
  <c r="Z51" i="8"/>
  <c r="Y51" i="8"/>
  <c r="AH51" i="8" s="1"/>
  <c r="AI51" i="8" s="1"/>
  <c r="AK51" i="8" s="1"/>
  <c r="AG44" i="8"/>
  <c r="R44" i="8"/>
  <c r="AG46" i="8"/>
  <c r="AG3" i="8"/>
  <c r="Q37" i="8"/>
  <c r="AG37" i="8" s="1"/>
  <c r="AJ41" i="8"/>
  <c r="Q43" i="8"/>
  <c r="Q53" i="8"/>
  <c r="AG53" i="8" s="1"/>
  <c r="S69" i="8"/>
  <c r="R71" i="8"/>
  <c r="Z71" i="8" s="1"/>
  <c r="Q79" i="8"/>
  <c r="AG79" i="8" s="1"/>
  <c r="AH79" i="8" s="1"/>
  <c r="AB7" i="8"/>
  <c r="S48" i="8"/>
  <c r="AJ62" i="8"/>
  <c r="S76" i="8"/>
  <c r="Q78" i="8"/>
  <c r="R78" i="8" s="1"/>
  <c r="R80" i="8"/>
  <c r="AG6" i="8"/>
  <c r="AJ83" i="8"/>
  <c r="S83" i="8"/>
  <c r="AO85" i="6"/>
  <c r="Q15" i="6"/>
  <c r="R15" i="6" s="1"/>
  <c r="R20" i="6" s="1"/>
  <c r="P20" i="6"/>
  <c r="AB27" i="8"/>
  <c r="S27" i="8"/>
  <c r="P20" i="8"/>
  <c r="AJ20" i="8"/>
  <c r="S20" i="8"/>
  <c r="AF85" i="8"/>
  <c r="AD85" i="8"/>
  <c r="AB13" i="8"/>
  <c r="O85" i="8"/>
  <c r="P13" i="8"/>
  <c r="AJ13" i="8"/>
  <c r="S7" i="8"/>
  <c r="Q5" i="8"/>
  <c r="T6" i="8"/>
  <c r="AE6" i="8" s="1"/>
  <c r="AL6" i="8"/>
  <c r="Z6" i="8"/>
  <c r="AC6" i="8" s="1"/>
  <c r="Y6" i="8"/>
  <c r="T9" i="8"/>
  <c r="AL9" i="8"/>
  <c r="Z9" i="8"/>
  <c r="Y9" i="8"/>
  <c r="T3" i="8"/>
  <c r="AE3" i="8" s="1"/>
  <c r="AL3" i="8"/>
  <c r="Z3" i="8"/>
  <c r="AC3" i="8" s="1"/>
  <c r="Y3" i="8"/>
  <c r="AG33" i="8"/>
  <c r="R33" i="8"/>
  <c r="T50" i="8"/>
  <c r="AL50" i="8"/>
  <c r="Z50" i="8"/>
  <c r="Y50" i="8"/>
  <c r="T68" i="8"/>
  <c r="AI68" i="8"/>
  <c r="AK68" i="8" s="1"/>
  <c r="AL68" i="8"/>
  <c r="T80" i="8"/>
  <c r="AI80" i="8"/>
  <c r="AK80" i="8" s="1"/>
  <c r="AL80" i="8"/>
  <c r="R4" i="8"/>
  <c r="AJ27" i="8"/>
  <c r="T36" i="8"/>
  <c r="AL36" i="8"/>
  <c r="Z36" i="8"/>
  <c r="Y36" i="8"/>
  <c r="AG47" i="8"/>
  <c r="R47" i="8"/>
  <c r="R10" i="8"/>
  <c r="R2" i="8"/>
  <c r="X85" i="8"/>
  <c r="AG16" i="8"/>
  <c r="R16" i="8"/>
  <c r="AG23" i="8"/>
  <c r="R23" i="8"/>
  <c r="AG31" i="8"/>
  <c r="R31" i="8"/>
  <c r="AG39" i="8"/>
  <c r="R39" i="8"/>
  <c r="T44" i="8"/>
  <c r="AE44" i="8" s="1"/>
  <c r="AL44" i="8"/>
  <c r="Z44" i="8"/>
  <c r="AC44" i="8" s="1"/>
  <c r="Y44" i="8"/>
  <c r="T57" i="8"/>
  <c r="AL57" i="8"/>
  <c r="AG12" i="8"/>
  <c r="R12" i="8"/>
  <c r="Q20" i="8"/>
  <c r="AG15" i="8"/>
  <c r="R15" i="8"/>
  <c r="AG19" i="8"/>
  <c r="R19" i="8"/>
  <c r="AG22" i="8"/>
  <c r="Q27" i="8"/>
  <c r="R22" i="8"/>
  <c r="AG26" i="8"/>
  <c r="R26" i="8"/>
  <c r="T38" i="8"/>
  <c r="AE38" i="8" s="1"/>
  <c r="AL38" i="8"/>
  <c r="Z38" i="8"/>
  <c r="AC38" i="8" s="1"/>
  <c r="AG43" i="8"/>
  <c r="R43" i="8"/>
  <c r="Q48" i="8"/>
  <c r="AG11" i="8"/>
  <c r="R11" i="8"/>
  <c r="AG18" i="8"/>
  <c r="R18" i="8"/>
  <c r="R25" i="8"/>
  <c r="AG25" i="8"/>
  <c r="Q13" i="8"/>
  <c r="AG17" i="8"/>
  <c r="R17" i="8"/>
  <c r="AG24" i="8"/>
  <c r="R24" i="8"/>
  <c r="R29" i="8"/>
  <c r="AG29" i="8"/>
  <c r="Y38" i="8"/>
  <c r="T40" i="8"/>
  <c r="AE40" i="8" s="1"/>
  <c r="AL40" i="8"/>
  <c r="Z40" i="8"/>
  <c r="AC40" i="8" s="1"/>
  <c r="Y40" i="8"/>
  <c r="T46" i="8"/>
  <c r="AE46" i="8" s="1"/>
  <c r="AL46" i="8"/>
  <c r="Z46" i="8"/>
  <c r="AH46" i="8" s="1"/>
  <c r="AI46" i="8" s="1"/>
  <c r="AK46" i="8" s="1"/>
  <c r="R52" i="8"/>
  <c r="AG52" i="8"/>
  <c r="AG75" i="8"/>
  <c r="R75" i="8"/>
  <c r="P34" i="8"/>
  <c r="T58" i="8"/>
  <c r="AI58" i="8"/>
  <c r="AK58" i="8" s="1"/>
  <c r="Q30" i="8"/>
  <c r="AG30" i="8" s="1"/>
  <c r="Q32" i="8"/>
  <c r="AG32" i="8" s="1"/>
  <c r="AG36" i="8"/>
  <c r="AG41" i="8" s="1"/>
  <c r="AH64" i="8"/>
  <c r="AI64" i="8" s="1"/>
  <c r="R72" i="8"/>
  <c r="R74" i="8"/>
  <c r="AJ69" i="8"/>
  <c r="AA85" i="8"/>
  <c r="T64" i="8"/>
  <c r="AL64" i="8"/>
  <c r="AG50" i="8"/>
  <c r="AG57" i="8"/>
  <c r="Q59" i="8"/>
  <c r="AG59" i="8" s="1"/>
  <c r="AH59" i="8" s="1"/>
  <c r="P62" i="8"/>
  <c r="P69" i="8"/>
  <c r="Q66" i="8"/>
  <c r="Q81" i="8"/>
  <c r="AG81" i="8" s="1"/>
  <c r="AH81" i="8" s="1"/>
  <c r="P83" i="8"/>
  <c r="AC51" i="8"/>
  <c r="T51" i="8"/>
  <c r="AE51" i="8" s="1"/>
  <c r="AL51" i="8"/>
  <c r="R60" i="8"/>
  <c r="R67" i="8"/>
  <c r="Y71" i="8"/>
  <c r="Q73" i="8"/>
  <c r="P76" i="8"/>
  <c r="R82" i="8"/>
  <c r="R81" i="8" l="1"/>
  <c r="AG78" i="8"/>
  <c r="AL65" i="8"/>
  <c r="Q41" i="8"/>
  <c r="R53" i="8"/>
  <c r="AI65" i="8"/>
  <c r="AK65" i="8" s="1"/>
  <c r="AB85" i="8"/>
  <c r="Q55" i="8"/>
  <c r="AG55" i="8"/>
  <c r="AL54" i="8"/>
  <c r="AL71" i="8"/>
  <c r="T54" i="8"/>
  <c r="AE54" i="8" s="1"/>
  <c r="Z45" i="8"/>
  <c r="AC45" i="8" s="1"/>
  <c r="Y45" i="8"/>
  <c r="AL45" i="8"/>
  <c r="Y54" i="8"/>
  <c r="AH54" i="8" s="1"/>
  <c r="AI54" i="8" s="1"/>
  <c r="AK54" i="8" s="1"/>
  <c r="AH6" i="8"/>
  <c r="AI6" i="8" s="1"/>
  <c r="AK6" i="8" s="1"/>
  <c r="R61" i="8"/>
  <c r="T71" i="8"/>
  <c r="AC71" i="8"/>
  <c r="AC46" i="8"/>
  <c r="Z78" i="8"/>
  <c r="AC78" i="8" s="1"/>
  <c r="AL78" i="8"/>
  <c r="Y78" i="8"/>
  <c r="AH78" i="8" s="1"/>
  <c r="T78" i="8"/>
  <c r="Q34" i="8"/>
  <c r="Y25" i="8"/>
  <c r="AL25" i="8"/>
  <c r="AH44" i="8"/>
  <c r="AI44" i="8" s="1"/>
  <c r="AK44" i="8" s="1"/>
  <c r="AH3" i="8"/>
  <c r="AI3" i="8" s="1"/>
  <c r="AK3" i="8" s="1"/>
  <c r="P85" i="8"/>
  <c r="R79" i="8"/>
  <c r="AH38" i="8"/>
  <c r="AI38" i="8" s="1"/>
  <c r="AK38" i="8" s="1"/>
  <c r="AG83" i="8"/>
  <c r="AG48" i="8"/>
  <c r="R37" i="8"/>
  <c r="R41" i="8" s="1"/>
  <c r="AA8" i="2"/>
  <c r="AA10" i="2" s="1"/>
  <c r="Y23" i="8"/>
  <c r="W23" i="8"/>
  <c r="AL23" i="8"/>
  <c r="S85" i="8"/>
  <c r="AL24" i="8"/>
  <c r="W24" i="8"/>
  <c r="Y24" i="8"/>
  <c r="AL15" i="8"/>
  <c r="Y15" i="8"/>
  <c r="W15" i="8"/>
  <c r="AG15" i="6"/>
  <c r="AG20" i="6" s="1"/>
  <c r="Q20" i="6"/>
  <c r="W19" i="8"/>
  <c r="Y19" i="8"/>
  <c r="AL19" i="8"/>
  <c r="W18" i="8"/>
  <c r="AL18" i="8"/>
  <c r="Y18" i="8"/>
  <c r="Y17" i="8"/>
  <c r="W17" i="8"/>
  <c r="AL17" i="8"/>
  <c r="Y16" i="8"/>
  <c r="AL16" i="8"/>
  <c r="W16" i="8"/>
  <c r="Y15" i="6"/>
  <c r="Y20" i="6" s="1"/>
  <c r="W15" i="6"/>
  <c r="W20" i="6" s="1"/>
  <c r="AL15" i="6"/>
  <c r="AL20" i="6" s="1"/>
  <c r="Z15" i="6"/>
  <c r="T15" i="6"/>
  <c r="T20" i="6" s="1"/>
  <c r="AG13" i="8"/>
  <c r="R13" i="8"/>
  <c r="AJ85" i="8"/>
  <c r="AG5" i="8"/>
  <c r="AG7" i="8" s="1"/>
  <c r="R5" i="8"/>
  <c r="Q7" i="8"/>
  <c r="AG73" i="8"/>
  <c r="Q76" i="8"/>
  <c r="AI74" i="8"/>
  <c r="AK74" i="8" s="1"/>
  <c r="AL74" i="8"/>
  <c r="T74" i="8"/>
  <c r="T17" i="8"/>
  <c r="Z17" i="8"/>
  <c r="AC17" i="8" s="1"/>
  <c r="T43" i="8"/>
  <c r="R48" i="8"/>
  <c r="AL43" i="8"/>
  <c r="Y43" i="8"/>
  <c r="Z43" i="8"/>
  <c r="T2" i="8"/>
  <c r="AL2" i="8"/>
  <c r="Y2" i="8"/>
  <c r="Z2" i="8"/>
  <c r="AC2" i="8" s="1"/>
  <c r="AE36" i="8"/>
  <c r="R73" i="8"/>
  <c r="R76" i="8" s="1"/>
  <c r="T72" i="8"/>
  <c r="AL72" i="8"/>
  <c r="AI72" i="8"/>
  <c r="AK72" i="8" s="1"/>
  <c r="T52" i="8"/>
  <c r="AE52" i="8" s="1"/>
  <c r="AL52" i="8"/>
  <c r="Z52" i="8"/>
  <c r="Y52" i="8"/>
  <c r="AL29" i="8"/>
  <c r="T29" i="8"/>
  <c r="Z29" i="8"/>
  <c r="AC29" i="8" s="1"/>
  <c r="Y29" i="8"/>
  <c r="AC36" i="8"/>
  <c r="R55" i="8"/>
  <c r="R59" i="8"/>
  <c r="AE78" i="8"/>
  <c r="AE71" i="8"/>
  <c r="AH71" i="8"/>
  <c r="AG62" i="8"/>
  <c r="AH57" i="8"/>
  <c r="Q83" i="8"/>
  <c r="AH40" i="8"/>
  <c r="AI40" i="8" s="1"/>
  <c r="AK40" i="8" s="1"/>
  <c r="AG34" i="8"/>
  <c r="T11" i="8"/>
  <c r="AE11" i="8" s="1"/>
  <c r="Z11" i="8"/>
  <c r="AC11" i="8" s="1"/>
  <c r="AL11" i="8"/>
  <c r="Y11" i="8"/>
  <c r="T26" i="8"/>
  <c r="AE26" i="8" s="1"/>
  <c r="AL26" i="8"/>
  <c r="Z26" i="8"/>
  <c r="AC26" i="8" s="1"/>
  <c r="Y26" i="8"/>
  <c r="AG27" i="8"/>
  <c r="AG20" i="8"/>
  <c r="R30" i="8"/>
  <c r="AC50" i="8"/>
  <c r="AI67" i="8"/>
  <c r="AK67" i="8" s="1"/>
  <c r="AL67" i="8"/>
  <c r="T67" i="8"/>
  <c r="AL81" i="8"/>
  <c r="AI81" i="8"/>
  <c r="AK81" i="8" s="1"/>
  <c r="T81" i="8"/>
  <c r="AK64" i="8"/>
  <c r="T25" i="8"/>
  <c r="AE25" i="8" s="1"/>
  <c r="Z25" i="8"/>
  <c r="AC25" i="8" s="1"/>
  <c r="T19" i="8"/>
  <c r="Z19" i="8"/>
  <c r="AC19" i="8" s="1"/>
  <c r="AL31" i="8"/>
  <c r="T31" i="8"/>
  <c r="AE31" i="8" s="1"/>
  <c r="Z31" i="8"/>
  <c r="AC31" i="8" s="1"/>
  <c r="Y31" i="8"/>
  <c r="T16" i="8"/>
  <c r="Z16" i="8"/>
  <c r="AC16" i="8" s="1"/>
  <c r="AH36" i="8"/>
  <c r="AH9" i="8"/>
  <c r="AE9" i="8"/>
  <c r="AI60" i="8"/>
  <c r="AK60" i="8" s="1"/>
  <c r="AL60" i="8"/>
  <c r="T60" i="8"/>
  <c r="AG66" i="8"/>
  <c r="Q69" i="8"/>
  <c r="T18" i="8"/>
  <c r="Z18" i="8"/>
  <c r="AC18" i="8" s="1"/>
  <c r="R27" i="8"/>
  <c r="T22" i="8"/>
  <c r="AL22" i="8"/>
  <c r="Z22" i="8"/>
  <c r="AC22" i="8" s="1"/>
  <c r="Y22" i="8"/>
  <c r="T12" i="8"/>
  <c r="AE12" i="8" s="1"/>
  <c r="Z12" i="8"/>
  <c r="AC12" i="8" s="1"/>
  <c r="AL12" i="8"/>
  <c r="Y12" i="8"/>
  <c r="T10" i="8"/>
  <c r="AE10" i="8" s="1"/>
  <c r="Z10" i="8"/>
  <c r="AL10" i="8"/>
  <c r="Y10" i="8"/>
  <c r="AC9" i="8"/>
  <c r="AL82" i="8"/>
  <c r="Z82" i="8"/>
  <c r="Z83" i="8" s="1"/>
  <c r="Y82" i="8"/>
  <c r="T82" i="8"/>
  <c r="AE82" i="8" s="1"/>
  <c r="R66" i="8"/>
  <c r="Q62" i="8"/>
  <c r="T75" i="8"/>
  <c r="AE75" i="8" s="1"/>
  <c r="AL75" i="8"/>
  <c r="Y75" i="8"/>
  <c r="Y76" i="8" s="1"/>
  <c r="Z75" i="8"/>
  <c r="Z76" i="8" s="1"/>
  <c r="R32" i="8"/>
  <c r="T24" i="8"/>
  <c r="Z24" i="8"/>
  <c r="AC24" i="8" s="1"/>
  <c r="T15" i="8"/>
  <c r="Z15" i="8"/>
  <c r="AC15" i="8" s="1"/>
  <c r="R20" i="8"/>
  <c r="T53" i="8"/>
  <c r="AE53" i="8" s="1"/>
  <c r="AL53" i="8"/>
  <c r="Y53" i="8"/>
  <c r="Z53" i="8"/>
  <c r="AC53" i="8" s="1"/>
  <c r="T39" i="8"/>
  <c r="AE39" i="8" s="1"/>
  <c r="AL39" i="8"/>
  <c r="Y39" i="8"/>
  <c r="Z39" i="8"/>
  <c r="T23" i="8"/>
  <c r="Z23" i="8"/>
  <c r="AC23" i="8" s="1"/>
  <c r="T47" i="8"/>
  <c r="AE47" i="8" s="1"/>
  <c r="AL47" i="8"/>
  <c r="Y47" i="8"/>
  <c r="Z47" i="8"/>
  <c r="AC47" i="8" s="1"/>
  <c r="T4" i="8"/>
  <c r="AE4" i="8" s="1"/>
  <c r="AL4" i="8"/>
  <c r="Z4" i="8"/>
  <c r="AC4" i="8" s="1"/>
  <c r="Y4" i="8"/>
  <c r="AH50" i="8"/>
  <c r="Y55" i="8"/>
  <c r="AE50" i="8"/>
  <c r="AL33" i="8"/>
  <c r="T33" i="8"/>
  <c r="AE33" i="8" s="1"/>
  <c r="Z33" i="8"/>
  <c r="AC33" i="8" s="1"/>
  <c r="Y33" i="8"/>
  <c r="F14" i="4"/>
  <c r="AB8" i="4"/>
  <c r="V13" i="7"/>
  <c r="V85" i="7" s="1"/>
  <c r="X13" i="7"/>
  <c r="X85" i="7" s="1"/>
  <c r="AA13" i="7"/>
  <c r="AA85" i="7" s="1"/>
  <c r="AD13" i="7"/>
  <c r="AD85" i="7" s="1"/>
  <c r="AF13" i="7"/>
  <c r="AF85" i="7" s="1"/>
  <c r="O13" i="7"/>
  <c r="V13" i="6"/>
  <c r="V85" i="6" s="1"/>
  <c r="X13" i="6"/>
  <c r="X85" i="6" s="1"/>
  <c r="AD13" i="6"/>
  <c r="AD85" i="6" s="1"/>
  <c r="AF13" i="6"/>
  <c r="AF85" i="6" s="1"/>
  <c r="O13" i="6"/>
  <c r="Z8" i="4"/>
  <c r="O16" i="5"/>
  <c r="E8" i="4"/>
  <c r="E9" i="4"/>
  <c r="E10" i="4"/>
  <c r="E11" i="4"/>
  <c r="E12" i="4"/>
  <c r="AL13" i="8" l="1"/>
  <c r="AC82" i="8"/>
  <c r="Z13" i="8"/>
  <c r="AH25" i="8"/>
  <c r="AI25" i="8" s="1"/>
  <c r="AK25" i="8" s="1"/>
  <c r="T55" i="8"/>
  <c r="AE55" i="8"/>
  <c r="AH31" i="8"/>
  <c r="AI31" i="8" s="1"/>
  <c r="AK31" i="8" s="1"/>
  <c r="AH12" i="8"/>
  <c r="AI12" i="8" s="1"/>
  <c r="AK12" i="8" s="1"/>
  <c r="T61" i="8"/>
  <c r="AE61" i="8" s="1"/>
  <c r="AE62" i="8" s="1"/>
  <c r="Y61" i="8"/>
  <c r="AL61" i="8"/>
  <c r="Z61" i="8"/>
  <c r="AH45" i="8"/>
  <c r="AI45" i="8" s="1"/>
  <c r="AK45" i="8" s="1"/>
  <c r="AC83" i="8"/>
  <c r="AH11" i="8"/>
  <c r="AI11" i="8" s="1"/>
  <c r="AK11" i="8" s="1"/>
  <c r="AH33" i="8"/>
  <c r="AI33" i="8" s="1"/>
  <c r="AK33" i="8" s="1"/>
  <c r="AH26" i="8"/>
  <c r="AI26" i="8" s="1"/>
  <c r="AK26" i="8" s="1"/>
  <c r="Z55" i="8"/>
  <c r="AL55" i="8"/>
  <c r="Z37" i="8"/>
  <c r="Y37" i="8"/>
  <c r="T37" i="8"/>
  <c r="AE37" i="8" s="1"/>
  <c r="AE41" i="8" s="1"/>
  <c r="AL37" i="8"/>
  <c r="AL41" i="8" s="1"/>
  <c r="AC37" i="8"/>
  <c r="Z48" i="8"/>
  <c r="AL79" i="8"/>
  <c r="AL83" i="8" s="1"/>
  <c r="T79" i="8"/>
  <c r="T83" i="8" s="1"/>
  <c r="AI79" i="8"/>
  <c r="AK79" i="8" s="1"/>
  <c r="R83" i="8"/>
  <c r="Z41" i="8"/>
  <c r="W27" i="8"/>
  <c r="U27" i="8"/>
  <c r="AH18" i="8"/>
  <c r="AI18" i="8" s="1"/>
  <c r="AK18" i="8" s="1"/>
  <c r="U20" i="8"/>
  <c r="AH19" i="8"/>
  <c r="AI19" i="8" s="1"/>
  <c r="AK19" i="8" s="1"/>
  <c r="W20" i="8"/>
  <c r="AC15" i="6"/>
  <c r="AC20" i="6" s="1"/>
  <c r="Z20" i="6"/>
  <c r="AH23" i="8"/>
  <c r="AI23" i="8" s="1"/>
  <c r="AK23" i="8" s="1"/>
  <c r="AL27" i="8"/>
  <c r="AL20" i="8"/>
  <c r="AE20" i="6"/>
  <c r="AC20" i="8"/>
  <c r="AH16" i="8"/>
  <c r="AI16" i="8" s="1"/>
  <c r="AK16" i="8" s="1"/>
  <c r="AH10" i="8"/>
  <c r="AI10" i="8" s="1"/>
  <c r="AK10" i="8" s="1"/>
  <c r="AC10" i="8"/>
  <c r="AC13" i="8" s="1"/>
  <c r="AE13" i="8"/>
  <c r="Q85" i="8"/>
  <c r="Y5" i="8"/>
  <c r="Y7" i="8" s="1"/>
  <c r="T5" i="8"/>
  <c r="T7" i="8" s="1"/>
  <c r="AL5" i="8"/>
  <c r="AL7" i="8" s="1"/>
  <c r="Z5" i="8"/>
  <c r="Z7" i="8" s="1"/>
  <c r="R7" i="8"/>
  <c r="AL66" i="8"/>
  <c r="AL69" i="8" s="1"/>
  <c r="T66" i="8"/>
  <c r="T69" i="8" s="1"/>
  <c r="R69" i="8"/>
  <c r="Y13" i="8"/>
  <c r="AI57" i="8"/>
  <c r="AL59" i="8"/>
  <c r="T59" i="8"/>
  <c r="T62" i="8" s="1"/>
  <c r="AI59" i="8"/>
  <c r="AK59" i="8" s="1"/>
  <c r="R62" i="8"/>
  <c r="AH29" i="8"/>
  <c r="AH73" i="8"/>
  <c r="AI73" i="8" s="1"/>
  <c r="AK73" i="8" s="1"/>
  <c r="AG76" i="8"/>
  <c r="T27" i="8"/>
  <c r="AE22" i="8"/>
  <c r="AE27" i="8" s="1"/>
  <c r="AI9" i="8"/>
  <c r="AE76" i="8"/>
  <c r="AI50" i="8"/>
  <c r="AH4" i="8"/>
  <c r="AI4" i="8" s="1"/>
  <c r="AK4" i="8" s="1"/>
  <c r="AH47" i="8"/>
  <c r="AI47" i="8" s="1"/>
  <c r="AK47" i="8" s="1"/>
  <c r="AH39" i="8"/>
  <c r="AI39" i="8" s="1"/>
  <c r="AK39" i="8" s="1"/>
  <c r="Y20" i="8"/>
  <c r="AH15" i="8"/>
  <c r="T20" i="8"/>
  <c r="AH82" i="8"/>
  <c r="AI82" i="8" s="1"/>
  <c r="AK82" i="8" s="1"/>
  <c r="Z27" i="8"/>
  <c r="T13" i="8"/>
  <c r="AI36" i="8"/>
  <c r="AL30" i="8"/>
  <c r="Z30" i="8"/>
  <c r="AC30" i="8" s="1"/>
  <c r="Y30" i="8"/>
  <c r="AH30" i="8" s="1"/>
  <c r="AI30" i="8" s="1"/>
  <c r="AK30" i="8" s="1"/>
  <c r="T30" i="8"/>
  <c r="AE30" i="8" s="1"/>
  <c r="AE83" i="8"/>
  <c r="AE29" i="8"/>
  <c r="AH52" i="8"/>
  <c r="AI52" i="8" s="1"/>
  <c r="AK52" i="8" s="1"/>
  <c r="AC52" i="8"/>
  <c r="AC55" i="8" s="1"/>
  <c r="AH2" i="8"/>
  <c r="AL48" i="8"/>
  <c r="AL32" i="8"/>
  <c r="Z32" i="8"/>
  <c r="AC32" i="8" s="1"/>
  <c r="T32" i="8"/>
  <c r="AE32" i="8" s="1"/>
  <c r="Y32" i="8"/>
  <c r="AH53" i="8"/>
  <c r="AI53" i="8" s="1"/>
  <c r="AK53" i="8" s="1"/>
  <c r="AC75" i="8"/>
  <c r="AC76" i="8" s="1"/>
  <c r="T48" i="8"/>
  <c r="AE43" i="8"/>
  <c r="AE48" i="8" s="1"/>
  <c r="AI78" i="8"/>
  <c r="AC39" i="8"/>
  <c r="AC41" i="8" s="1"/>
  <c r="Z20" i="8"/>
  <c r="AH24" i="8"/>
  <c r="AI24" i="8" s="1"/>
  <c r="AK24" i="8" s="1"/>
  <c r="AH75" i="8"/>
  <c r="AI75" i="8" s="1"/>
  <c r="AK75" i="8" s="1"/>
  <c r="AH22" i="8"/>
  <c r="Y27" i="8"/>
  <c r="AC27" i="8"/>
  <c r="AH66" i="8"/>
  <c r="AH69" i="8" s="1"/>
  <c r="AG69" i="8"/>
  <c r="AG85" i="8" s="1"/>
  <c r="Y41" i="8"/>
  <c r="AI71" i="8"/>
  <c r="R34" i="8"/>
  <c r="AL73" i="8"/>
  <c r="AL76" i="8" s="1"/>
  <c r="T73" i="8"/>
  <c r="T76" i="8" s="1"/>
  <c r="AE2" i="8"/>
  <c r="AH43" i="8"/>
  <c r="Y48" i="8"/>
  <c r="AC43" i="8"/>
  <c r="AC48" i="8" s="1"/>
  <c r="Y83" i="8"/>
  <c r="AL34" i="8" l="1"/>
  <c r="AH13" i="8"/>
  <c r="W85" i="8"/>
  <c r="AH37" i="8"/>
  <c r="AH83" i="8"/>
  <c r="T41" i="8"/>
  <c r="AL62" i="8"/>
  <c r="AL85" i="8" s="1"/>
  <c r="AH61" i="8"/>
  <c r="Y62" i="8"/>
  <c r="Z62" i="8"/>
  <c r="AC61" i="8"/>
  <c r="AC62" i="8" s="1"/>
  <c r="AH76" i="8"/>
  <c r="AC5" i="8"/>
  <c r="AC7" i="8" s="1"/>
  <c r="AH17" i="8"/>
  <c r="AI17" i="8" s="1"/>
  <c r="AK17" i="8" s="1"/>
  <c r="AE20" i="8"/>
  <c r="AH15" i="6"/>
  <c r="U20" i="6"/>
  <c r="R85" i="8"/>
  <c r="AE5" i="8"/>
  <c r="AE7" i="8" s="1"/>
  <c r="AC34" i="8"/>
  <c r="AK57" i="8"/>
  <c r="AI2" i="8"/>
  <c r="AE34" i="8"/>
  <c r="AK36" i="8"/>
  <c r="AI15" i="8"/>
  <c r="AH27" i="8"/>
  <c r="AI22" i="8"/>
  <c r="AH32" i="8"/>
  <c r="AI32" i="8" s="1"/>
  <c r="AK32" i="8" s="1"/>
  <c r="AH55" i="8"/>
  <c r="AI29" i="8"/>
  <c r="AH48" i="8"/>
  <c r="AI43" i="8"/>
  <c r="AI76" i="8"/>
  <c r="AK71" i="8"/>
  <c r="AK76" i="8" s="1"/>
  <c r="T34" i="8"/>
  <c r="T85" i="8" s="1"/>
  <c r="AI13" i="8"/>
  <c r="AK9" i="8"/>
  <c r="AK13" i="8" s="1"/>
  <c r="AC85" i="8"/>
  <c r="Z34" i="8"/>
  <c r="Z85" i="8" s="1"/>
  <c r="AI83" i="8"/>
  <c r="AK78" i="8"/>
  <c r="AK83" i="8" s="1"/>
  <c r="AI55" i="8"/>
  <c r="AK50" i="8"/>
  <c r="AK55" i="8" s="1"/>
  <c r="Y34" i="8"/>
  <c r="AI66" i="8"/>
  <c r="AJ12" i="6"/>
  <c r="AB12" i="6"/>
  <c r="AI37" i="8" l="1"/>
  <c r="AH41" i="8"/>
  <c r="AE85" i="8"/>
  <c r="Y85" i="8"/>
  <c r="AI61" i="8"/>
  <c r="AH62" i="8"/>
  <c r="AL19" i="3"/>
  <c r="AL23" i="3" s="1"/>
  <c r="AM18" i="3"/>
  <c r="AP18" i="3" s="1"/>
  <c r="AH20" i="8"/>
  <c r="AI15" i="6"/>
  <c r="AH20" i="6"/>
  <c r="AH5" i="8"/>
  <c r="U7" i="8"/>
  <c r="U85" i="8" s="1"/>
  <c r="AI34" i="8"/>
  <c r="AK29" i="8"/>
  <c r="AK34" i="8" s="1"/>
  <c r="AI48" i="8"/>
  <c r="AK43" i="8"/>
  <c r="AK48" i="8" s="1"/>
  <c r="AK66" i="8"/>
  <c r="AK69" i="8" s="1"/>
  <c r="AI69" i="8"/>
  <c r="AI20" i="8"/>
  <c r="AK15" i="8"/>
  <c r="AK20" i="8" s="1"/>
  <c r="AK22" i="8"/>
  <c r="AK27" i="8" s="1"/>
  <c r="AI27" i="8"/>
  <c r="AK2" i="8"/>
  <c r="AH34" i="8"/>
  <c r="S12" i="6"/>
  <c r="P12" i="6"/>
  <c r="AK37" i="8" l="1"/>
  <c r="AK41" i="8" s="1"/>
  <c r="AI41" i="8"/>
  <c r="AK61" i="8"/>
  <c r="AK62" i="8" s="1"/>
  <c r="AI62" i="8"/>
  <c r="AM19" i="3"/>
  <c r="AP19" i="3" s="1"/>
  <c r="AP23" i="3" s="1"/>
  <c r="AK15" i="6"/>
  <c r="AK20" i="6" s="1"/>
  <c r="AI20" i="6"/>
  <c r="Q12" i="6"/>
  <c r="AG12" i="6" s="1"/>
  <c r="AI5" i="8"/>
  <c r="AH7" i="8"/>
  <c r="AH85" i="8" s="1"/>
  <c r="AJ11" i="6"/>
  <c r="AB11" i="6"/>
  <c r="S11" i="6"/>
  <c r="P11" i="6"/>
  <c r="Q11" i="6" s="1"/>
  <c r="AG11" i="6" s="1"/>
  <c r="AM23" i="3" l="1"/>
  <c r="R11" i="6"/>
  <c r="R12" i="6"/>
  <c r="AK5" i="8"/>
  <c r="AK7" i="8" s="1"/>
  <c r="AK85" i="8" s="1"/>
  <c r="AI7" i="8"/>
  <c r="AI85" i="8" s="1"/>
  <c r="AN13" i="5"/>
  <c r="T11" i="6" l="1"/>
  <c r="AL11" i="6"/>
  <c r="Z11" i="6"/>
  <c r="AC11" i="6" s="1"/>
  <c r="W11" i="6"/>
  <c r="Y11" i="6"/>
  <c r="Z12" i="6"/>
  <c r="AC12" i="6" s="1"/>
  <c r="AL12" i="6"/>
  <c r="Y12" i="6"/>
  <c r="W12" i="6"/>
  <c r="T12" i="6"/>
  <c r="P10" i="7"/>
  <c r="AH11" i="6" l="1"/>
  <c r="AI11" i="6" s="1"/>
  <c r="AK11" i="6" s="1"/>
  <c r="AH12" i="6"/>
  <c r="AI12" i="6" s="1"/>
  <c r="AK12" i="6" s="1"/>
  <c r="AJ10" i="7"/>
  <c r="AB10" i="7"/>
  <c r="S10" i="7"/>
  <c r="AJ9" i="7"/>
  <c r="AB9" i="7"/>
  <c r="S9" i="7"/>
  <c r="P9" i="7"/>
  <c r="P13" i="7" s="1"/>
  <c r="P85" i="7" s="1"/>
  <c r="AB13" i="7" l="1"/>
  <c r="AB85" i="7" s="1"/>
  <c r="S13" i="7"/>
  <c r="S85" i="7" s="1"/>
  <c r="AJ13" i="7"/>
  <c r="AJ85" i="7" s="1"/>
  <c r="Q10" i="7"/>
  <c r="Q9" i="7"/>
  <c r="AG9" i="7" s="1"/>
  <c r="AJ10" i="6"/>
  <c r="AB10" i="6"/>
  <c r="S10" i="6"/>
  <c r="P10" i="6"/>
  <c r="AG10" i="7" l="1"/>
  <c r="AG13" i="7" s="1"/>
  <c r="AG85" i="7" s="1"/>
  <c r="Q13" i="7"/>
  <c r="Q85" i="7" s="1"/>
  <c r="AA13" i="6"/>
  <c r="AA85" i="6" s="1"/>
  <c r="R10" i="7"/>
  <c r="R9" i="7"/>
  <c r="Q10" i="6"/>
  <c r="AG10" i="6" s="1"/>
  <c r="W13" i="5"/>
  <c r="W12" i="5"/>
  <c r="R13" i="7" l="1"/>
  <c r="R85" i="7" s="1"/>
  <c r="R10" i="6"/>
  <c r="T9" i="7"/>
  <c r="AL9" i="7"/>
  <c r="W9" i="7"/>
  <c r="Z9" i="7"/>
  <c r="AC9" i="7" s="1"/>
  <c r="Y9" i="7"/>
  <c r="AL10" i="7"/>
  <c r="AL13" i="7" s="1"/>
  <c r="AL85" i="7" s="1"/>
  <c r="W10" i="7"/>
  <c r="W13" i="7" s="1"/>
  <c r="W85" i="7" s="1"/>
  <c r="Z10" i="7"/>
  <c r="Y10" i="7"/>
  <c r="T10" i="7"/>
  <c r="Y13" i="7" l="1"/>
  <c r="Y85" i="7" s="1"/>
  <c r="Z13" i="7"/>
  <c r="Z85" i="7" s="1"/>
  <c r="U13" i="7"/>
  <c r="U85" i="7" s="1"/>
  <c r="T13" i="7"/>
  <c r="T85" i="7" s="1"/>
  <c r="AC10" i="7"/>
  <c r="AC13" i="7" s="1"/>
  <c r="AC85" i="7" s="1"/>
  <c r="Z10" i="6"/>
  <c r="AC10" i="6" s="1"/>
  <c r="Y10" i="6"/>
  <c r="AL10" i="6"/>
  <c r="W10" i="6"/>
  <c r="T10" i="6"/>
  <c r="AH10" i="7"/>
  <c r="AE10" i="7"/>
  <c r="AH9" i="7"/>
  <c r="AI9" i="7" s="1"/>
  <c r="AK9" i="7" s="1"/>
  <c r="AE9" i="7"/>
  <c r="O9" i="5"/>
  <c r="O88" i="5" s="1"/>
  <c r="AA6" i="2"/>
  <c r="W8" i="5"/>
  <c r="W7" i="5"/>
  <c r="AE13" i="7" l="1"/>
  <c r="AE85" i="7" s="1"/>
  <c r="AI10" i="7"/>
  <c r="AH13" i="7"/>
  <c r="AH85" i="7" s="1"/>
  <c r="AH10" i="6"/>
  <c r="AI10" i="6" s="1"/>
  <c r="AK10" i="6" s="1"/>
  <c r="AJ9" i="6"/>
  <c r="AJ13" i="6" s="1"/>
  <c r="AJ85" i="6" s="1"/>
  <c r="AB9" i="6"/>
  <c r="AB13" i="6" s="1"/>
  <c r="AB85" i="6" s="1"/>
  <c r="S9" i="6"/>
  <c r="S13" i="6" s="1"/>
  <c r="S85" i="6" s="1"/>
  <c r="P9" i="6"/>
  <c r="P13" i="6" s="1"/>
  <c r="P85" i="6" s="1"/>
  <c r="AK10" i="7" l="1"/>
  <c r="AK13" i="7" s="1"/>
  <c r="AK85" i="7" s="1"/>
  <c r="AI13" i="7"/>
  <c r="AI85" i="7" s="1"/>
  <c r="Q9" i="6"/>
  <c r="R9" i="6" l="1"/>
  <c r="Q13" i="6"/>
  <c r="Q85" i="6" s="1"/>
  <c r="AG9" i="6"/>
  <c r="AG13" i="6" s="1"/>
  <c r="AG85" i="6" s="1"/>
  <c r="W4" i="5"/>
  <c r="W5" i="5"/>
  <c r="R13" i="6" l="1"/>
  <c r="R85" i="6" s="1"/>
  <c r="AL9" i="6"/>
  <c r="AL13" i="6" s="1"/>
  <c r="AL85" i="6" s="1"/>
  <c r="Z9" i="6"/>
  <c r="T9" i="6"/>
  <c r="Y9" i="6"/>
  <c r="Y13" i="6" s="1"/>
  <c r="Y85" i="6" s="1"/>
  <c r="W9" i="6"/>
  <c r="W13" i="6" s="1"/>
  <c r="W85" i="6" s="1"/>
  <c r="M72" i="3"/>
  <c r="AC9" i="6" l="1"/>
  <c r="AC13" i="6" s="1"/>
  <c r="AC85" i="6" s="1"/>
  <c r="Z13" i="6"/>
  <c r="Z85" i="6" s="1"/>
  <c r="T13" i="6"/>
  <c r="T85" i="6" s="1"/>
  <c r="AE13" i="6"/>
  <c r="AE85" i="6" s="1"/>
  <c r="S50" i="2"/>
  <c r="U13" i="6" l="1"/>
  <c r="U85" i="6" s="1"/>
  <c r="AH9" i="6"/>
  <c r="AH13" i="6" l="1"/>
  <c r="AH85" i="6" s="1"/>
  <c r="AI9" i="6"/>
  <c r="L38" i="2"/>
  <c r="AK9" i="6" l="1"/>
  <c r="AK13" i="6" s="1"/>
  <c r="AK85" i="6" s="1"/>
  <c r="AI13" i="6"/>
  <c r="AI85" i="6" s="1"/>
  <c r="O86" i="3" l="1"/>
  <c r="O65" i="3"/>
  <c r="O44" i="3"/>
  <c r="O37" i="3"/>
  <c r="O30" i="3"/>
  <c r="O23" i="3"/>
  <c r="O16" i="3"/>
  <c r="O9" i="3"/>
  <c r="W85" i="3"/>
  <c r="R9" i="2" l="1"/>
  <c r="P9" i="2"/>
  <c r="Q9" i="2"/>
  <c r="X85" i="3"/>
  <c r="Q17" i="2"/>
  <c r="P17" i="2"/>
  <c r="E7" i="4"/>
  <c r="R5" i="2"/>
  <c r="R49" i="2"/>
  <c r="O88" i="3"/>
  <c r="AI85" i="3" l="1"/>
  <c r="AI86" i="3" s="1"/>
  <c r="AV85" i="3"/>
  <c r="Y85" i="3"/>
  <c r="Y86" i="3" s="1"/>
  <c r="Y88" i="3" s="1"/>
  <c r="X86" i="3"/>
  <c r="X88" i="3" s="1"/>
  <c r="AI88" i="3"/>
  <c r="S6" i="2"/>
  <c r="AJ85" i="3" l="1"/>
  <c r="AJ86" i="3" s="1"/>
  <c r="AJ88" i="3" s="1"/>
  <c r="Q5" i="2"/>
  <c r="P5" i="2"/>
  <c r="AA53" i="2"/>
  <c r="AA50" i="2"/>
  <c r="AA46" i="2"/>
  <c r="AA42" i="2"/>
  <c r="AA38" i="2"/>
  <c r="AA34" i="2"/>
  <c r="AA30" i="2"/>
  <c r="AA26" i="2"/>
  <c r="V42" i="2"/>
  <c r="U49" i="2"/>
  <c r="U42" i="2"/>
  <c r="U29" i="2"/>
  <c r="U5" i="2"/>
  <c r="T53" i="2"/>
  <c r="T50" i="2"/>
  <c r="T46" i="2"/>
  <c r="T42" i="2"/>
  <c r="T38" i="2"/>
  <c r="T34" i="2"/>
  <c r="T30" i="2"/>
  <c r="T26" i="2"/>
  <c r="T22" i="2"/>
  <c r="T18" i="2"/>
  <c r="T14" i="2"/>
  <c r="T10" i="2"/>
  <c r="S42" i="2"/>
  <c r="S30" i="2"/>
  <c r="R50" i="2"/>
  <c r="R46" i="2"/>
  <c r="R38" i="2"/>
  <c r="R30" i="2"/>
  <c r="R26" i="2"/>
  <c r="R22" i="2"/>
  <c r="R18" i="2"/>
  <c r="R14" i="2"/>
  <c r="R10" i="2"/>
  <c r="AL85" i="3" l="1"/>
  <c r="AL86" i="3" s="1"/>
  <c r="AL88" i="3" s="1"/>
  <c r="V49" i="2"/>
  <c r="V50" i="2" s="1"/>
  <c r="U30" i="2"/>
  <c r="V29" i="2"/>
  <c r="V30" i="2" s="1"/>
  <c r="U6" i="2"/>
  <c r="V5" i="2"/>
  <c r="AA54" i="2"/>
  <c r="U50" i="2"/>
  <c r="AM85" i="3" l="1"/>
  <c r="AP85" i="3" s="1"/>
  <c r="L83" i="4" l="1"/>
  <c r="N83" i="4"/>
  <c r="Q83" i="4"/>
  <c r="L76" i="4"/>
  <c r="N76" i="4"/>
  <c r="Q76" i="4"/>
  <c r="L69" i="4"/>
  <c r="N69" i="4"/>
  <c r="Q69" i="4"/>
  <c r="L62" i="4"/>
  <c r="N62" i="4"/>
  <c r="Q62" i="4"/>
  <c r="L55" i="4"/>
  <c r="N55" i="4"/>
  <c r="Q55" i="4"/>
  <c r="L41" i="4"/>
  <c r="N41" i="4"/>
  <c r="Q41" i="4"/>
  <c r="L34" i="4"/>
  <c r="N34" i="4"/>
  <c r="Q34" i="4"/>
  <c r="L20" i="4"/>
  <c r="N20" i="4"/>
  <c r="Q20" i="4"/>
  <c r="N13" i="4"/>
  <c r="Q13" i="4"/>
  <c r="L7" i="4"/>
  <c r="N7" i="4"/>
  <c r="Q7" i="4"/>
  <c r="AN5" i="5"/>
  <c r="AN7" i="5"/>
  <c r="AN8" i="5"/>
  <c r="AN11" i="5"/>
  <c r="AN12" i="5"/>
  <c r="AN14" i="5"/>
  <c r="AN18" i="5"/>
  <c r="AN19" i="5"/>
  <c r="AN20" i="5"/>
  <c r="AN21" i="5"/>
  <c r="AN22" i="5"/>
  <c r="AN25" i="5"/>
  <c r="AN26" i="5"/>
  <c r="AN27" i="5"/>
  <c r="AN28" i="5"/>
  <c r="AN29" i="5"/>
  <c r="AN32" i="5"/>
  <c r="AN33" i="5"/>
  <c r="AN34" i="5"/>
  <c r="AN35" i="5"/>
  <c r="AN36" i="5"/>
  <c r="AN39" i="5"/>
  <c r="AN40" i="5"/>
  <c r="AN41" i="5"/>
  <c r="AN42" i="5"/>
  <c r="AN43" i="5"/>
  <c r="AN46" i="5"/>
  <c r="AN51" i="5" s="1"/>
  <c r="AN47" i="5"/>
  <c r="AN48" i="5"/>
  <c r="AN49" i="5"/>
  <c r="AN50" i="5"/>
  <c r="AN53" i="5"/>
  <c r="AN54" i="5"/>
  <c r="AN55" i="5"/>
  <c r="AN56" i="5"/>
  <c r="AN57" i="5"/>
  <c r="AN60" i="5"/>
  <c r="AN61" i="5"/>
  <c r="AN62" i="5"/>
  <c r="AN63" i="5"/>
  <c r="AN64" i="5"/>
  <c r="AN67" i="5"/>
  <c r="AN68" i="5"/>
  <c r="AN69" i="5"/>
  <c r="AN70" i="5"/>
  <c r="AN71" i="5"/>
  <c r="AN74" i="5"/>
  <c r="AN75" i="5"/>
  <c r="AN76" i="5"/>
  <c r="AN78" i="5"/>
  <c r="AN81" i="5"/>
  <c r="AN82" i="5"/>
  <c r="AN83" i="5"/>
  <c r="AN84" i="5"/>
  <c r="AN85" i="5"/>
  <c r="I7" i="4"/>
  <c r="W11" i="5"/>
  <c r="W14" i="5"/>
  <c r="W18" i="5"/>
  <c r="W23" i="5" s="1"/>
  <c r="W19" i="5"/>
  <c r="W20" i="5"/>
  <c r="W21" i="5"/>
  <c r="W22" i="5"/>
  <c r="W25" i="5"/>
  <c r="W26" i="5"/>
  <c r="W27" i="5"/>
  <c r="W28" i="5"/>
  <c r="W29" i="5"/>
  <c r="W32" i="5"/>
  <c r="W33" i="5"/>
  <c r="W34" i="5"/>
  <c r="W35" i="5"/>
  <c r="W36" i="5"/>
  <c r="W39" i="5"/>
  <c r="W40" i="5"/>
  <c r="W41" i="5"/>
  <c r="W42" i="5"/>
  <c r="W43" i="5"/>
  <c r="W46" i="5"/>
  <c r="W47" i="5"/>
  <c r="W48" i="5"/>
  <c r="W49" i="5"/>
  <c r="W50" i="5"/>
  <c r="W53" i="5"/>
  <c r="W54" i="5"/>
  <c r="W55" i="5"/>
  <c r="W56" i="5"/>
  <c r="W57" i="5"/>
  <c r="W60" i="5"/>
  <c r="W61" i="5"/>
  <c r="W62" i="5"/>
  <c r="W63" i="5"/>
  <c r="W64" i="5"/>
  <c r="W67" i="5"/>
  <c r="W72" i="5" s="1"/>
  <c r="W68" i="5"/>
  <c r="W69" i="5"/>
  <c r="W70" i="5"/>
  <c r="W71" i="5"/>
  <c r="W74" i="5"/>
  <c r="W75" i="5"/>
  <c r="W76" i="5"/>
  <c r="W81" i="5"/>
  <c r="W82" i="5"/>
  <c r="W83" i="5"/>
  <c r="W84" i="5"/>
  <c r="W85" i="5"/>
  <c r="V5" i="5"/>
  <c r="V8" i="5"/>
  <c r="AN4" i="5"/>
  <c r="V36" i="5"/>
  <c r="V83" i="5"/>
  <c r="AN37" i="5" l="1"/>
  <c r="AN72" i="5"/>
  <c r="W65" i="5"/>
  <c r="I62" i="4" s="1"/>
  <c r="W30" i="5"/>
  <c r="W88" i="5" s="1"/>
  <c r="AN58" i="5"/>
  <c r="W51" i="5"/>
  <c r="AN23" i="5"/>
  <c r="Z20" i="4" s="1"/>
  <c r="W44" i="5"/>
  <c r="AN44" i="5"/>
  <c r="W37" i="5"/>
  <c r="AN65" i="5"/>
  <c r="W58" i="5"/>
  <c r="I55" i="4" s="1"/>
  <c r="AN30" i="5"/>
  <c r="N87" i="4"/>
  <c r="AQ83" i="5"/>
  <c r="AC83" i="5"/>
  <c r="AA83" i="5"/>
  <c r="AQ36" i="5"/>
  <c r="AC36" i="5"/>
  <c r="AA36" i="5"/>
  <c r="AQ8" i="5"/>
  <c r="AA8" i="5"/>
  <c r="AC8" i="5"/>
  <c r="AQ5" i="5"/>
  <c r="AA5" i="5"/>
  <c r="AC5" i="5"/>
  <c r="N85" i="4"/>
  <c r="Z55" i="4"/>
  <c r="Z41" i="4"/>
  <c r="R62" i="4"/>
  <c r="V18" i="5"/>
  <c r="L85" i="4"/>
  <c r="L13" i="4"/>
  <c r="L87" i="4" s="1"/>
  <c r="Z69" i="4"/>
  <c r="Z34" i="4"/>
  <c r="F34" i="4"/>
  <c r="V26" i="5"/>
  <c r="V47" i="5"/>
  <c r="Z83" i="4"/>
  <c r="V32" i="5"/>
  <c r="V77" i="5"/>
  <c r="Z62" i="4"/>
  <c r="V60" i="5"/>
  <c r="R34" i="4"/>
  <c r="V81" i="5"/>
  <c r="V69" i="5"/>
  <c r="V53" i="5"/>
  <c r="F27" i="4"/>
  <c r="V19" i="5"/>
  <c r="V70" i="5"/>
  <c r="V40" i="5"/>
  <c r="V76" i="5"/>
  <c r="AG36" i="5"/>
  <c r="AH36" i="5" s="1"/>
  <c r="X36" i="5"/>
  <c r="V74" i="5"/>
  <c r="V56" i="5"/>
  <c r="V46" i="5"/>
  <c r="V62" i="5"/>
  <c r="AG83" i="5"/>
  <c r="AH83" i="5" s="1"/>
  <c r="X83" i="5"/>
  <c r="F76" i="4"/>
  <c r="V54" i="5"/>
  <c r="I83" i="4"/>
  <c r="V22" i="5"/>
  <c r="I20" i="4"/>
  <c r="R55" i="4"/>
  <c r="V61" i="5"/>
  <c r="V55" i="5"/>
  <c r="V49" i="5"/>
  <c r="V43" i="5"/>
  <c r="V39" i="5"/>
  <c r="V33" i="5"/>
  <c r="V82" i="5"/>
  <c r="V20" i="5"/>
  <c r="V12" i="5"/>
  <c r="V16" i="5" s="1"/>
  <c r="I41" i="4"/>
  <c r="V7" i="5"/>
  <c r="V11" i="5"/>
  <c r="I34" i="4"/>
  <c r="AG5" i="5"/>
  <c r="AH5" i="5" s="1"/>
  <c r="I76" i="4"/>
  <c r="R83" i="4"/>
  <c r="R20" i="4"/>
  <c r="R13" i="4"/>
  <c r="R76" i="4"/>
  <c r="R41" i="4"/>
  <c r="Z13" i="4"/>
  <c r="AG8" i="5"/>
  <c r="AH8" i="5" s="1"/>
  <c r="X8" i="5"/>
  <c r="X5" i="5"/>
  <c r="V6" i="5"/>
  <c r="V9" i="5" s="1"/>
  <c r="V63" i="5"/>
  <c r="Q85" i="4"/>
  <c r="I13" i="4" l="1"/>
  <c r="AQ81" i="5"/>
  <c r="AA81" i="5"/>
  <c r="AC81" i="5"/>
  <c r="AQ82" i="5"/>
  <c r="AC82" i="5"/>
  <c r="AA82" i="5"/>
  <c r="AJ83" i="5"/>
  <c r="AL83" i="5" s="1"/>
  <c r="AM83" i="5" s="1"/>
  <c r="AP83" i="5" s="1"/>
  <c r="AV83" i="5"/>
  <c r="Y83" i="5" s="1"/>
  <c r="AQ74" i="5"/>
  <c r="AC74" i="5"/>
  <c r="AA74" i="5"/>
  <c r="AQ76" i="5"/>
  <c r="AC76" i="5"/>
  <c r="AA76" i="5"/>
  <c r="X77" i="5"/>
  <c r="AV77" i="5" s="1"/>
  <c r="Y77" i="5" s="1"/>
  <c r="AQ77" i="5"/>
  <c r="AC77" i="5"/>
  <c r="AA77" i="5"/>
  <c r="AQ70" i="5"/>
  <c r="AA70" i="5"/>
  <c r="AC70" i="5"/>
  <c r="AQ69" i="5"/>
  <c r="AC69" i="5"/>
  <c r="AA69" i="5"/>
  <c r="AQ61" i="5"/>
  <c r="AC61" i="5"/>
  <c r="AA61" i="5"/>
  <c r="AQ60" i="5"/>
  <c r="AA60" i="5"/>
  <c r="AC60" i="5"/>
  <c r="AQ62" i="5"/>
  <c r="AA62" i="5"/>
  <c r="AC62" i="5"/>
  <c r="AQ63" i="5"/>
  <c r="AA63" i="5"/>
  <c r="AC63" i="5"/>
  <c r="AQ56" i="5"/>
  <c r="AA56" i="5"/>
  <c r="AC56" i="5"/>
  <c r="AQ53" i="5"/>
  <c r="AC53" i="5"/>
  <c r="AA53" i="5"/>
  <c r="AQ54" i="5"/>
  <c r="AA54" i="5"/>
  <c r="AC54" i="5"/>
  <c r="AQ55" i="5"/>
  <c r="AC55" i="5"/>
  <c r="AA55" i="5"/>
  <c r="X47" i="5"/>
  <c r="AQ47" i="5"/>
  <c r="AC47" i="5"/>
  <c r="AA47" i="5"/>
  <c r="AQ49" i="5"/>
  <c r="AC49" i="5"/>
  <c r="AA49" i="5"/>
  <c r="AQ46" i="5"/>
  <c r="AC46" i="5"/>
  <c r="AA46" i="5"/>
  <c r="AQ39" i="5"/>
  <c r="AC39" i="5"/>
  <c r="AA39" i="5"/>
  <c r="AQ40" i="5"/>
  <c r="AC40" i="5"/>
  <c r="AA40" i="5"/>
  <c r="AQ43" i="5"/>
  <c r="AA43" i="5"/>
  <c r="AC43" i="5"/>
  <c r="AQ32" i="5"/>
  <c r="AC32" i="5"/>
  <c r="AA32" i="5"/>
  <c r="AJ36" i="5"/>
  <c r="AL36" i="5" s="1"/>
  <c r="AM36" i="5" s="1"/>
  <c r="AP36" i="5" s="1"/>
  <c r="AV36" i="5"/>
  <c r="Y36" i="5" s="1"/>
  <c r="AQ33" i="5"/>
  <c r="AC33" i="5"/>
  <c r="AA33" i="5"/>
  <c r="AG26" i="5"/>
  <c r="AH26" i="5" s="1"/>
  <c r="AQ26" i="5"/>
  <c r="AA26" i="5"/>
  <c r="AC26" i="5"/>
  <c r="AQ19" i="5"/>
  <c r="AC19" i="5"/>
  <c r="AA19" i="5"/>
  <c r="AQ22" i="5"/>
  <c r="AC22" i="5"/>
  <c r="AA22" i="5"/>
  <c r="X18" i="5"/>
  <c r="AQ18" i="5"/>
  <c r="AA18" i="5"/>
  <c r="AC18" i="5"/>
  <c r="AQ20" i="5"/>
  <c r="AA20" i="5"/>
  <c r="AC20" i="5"/>
  <c r="AQ12" i="5"/>
  <c r="AQ16" i="5" s="1"/>
  <c r="AC12" i="5"/>
  <c r="AC16" i="5" s="1"/>
  <c r="AA12" i="5"/>
  <c r="AA16" i="5" s="1"/>
  <c r="AQ11" i="5"/>
  <c r="AA11" i="5"/>
  <c r="AC11" i="5"/>
  <c r="AQ6" i="5"/>
  <c r="AA6" i="5"/>
  <c r="AA9" i="5" s="1"/>
  <c r="AC6" i="5"/>
  <c r="AC9" i="5" s="1"/>
  <c r="AQ7" i="5"/>
  <c r="AA7" i="5"/>
  <c r="AC7" i="5"/>
  <c r="AV5" i="5"/>
  <c r="Y5" i="5" s="1"/>
  <c r="AJ8" i="5"/>
  <c r="AV8" i="5"/>
  <c r="Y8" i="5" s="1"/>
  <c r="AG18" i="5"/>
  <c r="AG47" i="5"/>
  <c r="AH47" i="5" s="1"/>
  <c r="W13" i="4"/>
  <c r="W20" i="4"/>
  <c r="V35" i="5"/>
  <c r="X26" i="5"/>
  <c r="W41" i="4"/>
  <c r="V57" i="5"/>
  <c r="V58" i="5" s="1"/>
  <c r="V27" i="5"/>
  <c r="AG27" i="5" s="1"/>
  <c r="AH27" i="5" s="1"/>
  <c r="V13" i="5"/>
  <c r="V14" i="5"/>
  <c r="X32" i="5"/>
  <c r="AG32" i="5"/>
  <c r="V84" i="5"/>
  <c r="V29" i="5"/>
  <c r="V41" i="5"/>
  <c r="AG41" i="5" s="1"/>
  <c r="AH41" i="5" s="1"/>
  <c r="G83" i="4"/>
  <c r="V64" i="5"/>
  <c r="V28" i="5"/>
  <c r="V75" i="5"/>
  <c r="V79" i="5" s="1"/>
  <c r="G20" i="4"/>
  <c r="V42" i="5"/>
  <c r="V85" i="5"/>
  <c r="V71" i="5"/>
  <c r="AG77" i="5"/>
  <c r="AH77" i="5" s="1"/>
  <c r="I85" i="4"/>
  <c r="X7" i="5"/>
  <c r="AV7" i="5" s="1"/>
  <c r="Y7" i="5" s="1"/>
  <c r="AG7" i="5"/>
  <c r="AH7" i="5" s="1"/>
  <c r="X82" i="5"/>
  <c r="AG82" i="5"/>
  <c r="AH82" i="5" s="1"/>
  <c r="AG49" i="5"/>
  <c r="AH49" i="5" s="1"/>
  <c r="X49" i="5"/>
  <c r="X70" i="5"/>
  <c r="AG70" i="5"/>
  <c r="AH70" i="5" s="1"/>
  <c r="X14" i="5"/>
  <c r="X12" i="5"/>
  <c r="AI12" i="5" s="1"/>
  <c r="AG12" i="5"/>
  <c r="AG55" i="5"/>
  <c r="AH55" i="5" s="1"/>
  <c r="X55" i="5"/>
  <c r="V25" i="5"/>
  <c r="X46" i="5"/>
  <c r="AG46" i="5"/>
  <c r="V68" i="5"/>
  <c r="V78" i="5"/>
  <c r="AG53" i="5"/>
  <c r="X53" i="5"/>
  <c r="AJ5" i="5"/>
  <c r="AL5" i="5" s="1"/>
  <c r="AG20" i="5"/>
  <c r="AH20" i="5" s="1"/>
  <c r="X20" i="5"/>
  <c r="X39" i="5"/>
  <c r="AG61" i="5"/>
  <c r="AH61" i="5" s="1"/>
  <c r="X61" i="5"/>
  <c r="G34" i="4"/>
  <c r="AG54" i="5"/>
  <c r="AH54" i="5" s="1"/>
  <c r="X54" i="5"/>
  <c r="V34" i="5"/>
  <c r="V50" i="5"/>
  <c r="X76" i="5"/>
  <c r="X81" i="5"/>
  <c r="V48" i="5"/>
  <c r="X62" i="5"/>
  <c r="AG62" i="5"/>
  <c r="AH62" i="5" s="1"/>
  <c r="AG75" i="5"/>
  <c r="AH75" i="5" s="1"/>
  <c r="X85" i="5"/>
  <c r="AG33" i="5"/>
  <c r="AH33" i="5" s="1"/>
  <c r="X33" i="5"/>
  <c r="X22" i="5"/>
  <c r="AG22" i="5"/>
  <c r="AH22" i="5" s="1"/>
  <c r="G13" i="4"/>
  <c r="X11" i="5"/>
  <c r="V67" i="5"/>
  <c r="V21" i="5"/>
  <c r="AG43" i="5"/>
  <c r="AH43" i="5" s="1"/>
  <c r="X43" i="5"/>
  <c r="W34" i="4"/>
  <c r="X56" i="5"/>
  <c r="AG56" i="5"/>
  <c r="AH56" i="5" s="1"/>
  <c r="X74" i="5"/>
  <c r="AG84" i="5"/>
  <c r="AH84" i="5" s="1"/>
  <c r="X84" i="5"/>
  <c r="X40" i="5"/>
  <c r="AG40" i="5"/>
  <c r="AH40" i="5" s="1"/>
  <c r="AH19" i="5"/>
  <c r="X19" i="5"/>
  <c r="X69" i="5"/>
  <c r="AG69" i="5"/>
  <c r="AH69" i="5" s="1"/>
  <c r="W83" i="4"/>
  <c r="AG60" i="5"/>
  <c r="X60" i="5"/>
  <c r="X6" i="5"/>
  <c r="AV6" i="5" s="1"/>
  <c r="Y6" i="5" s="1"/>
  <c r="G62" i="4"/>
  <c r="X63" i="5"/>
  <c r="AV63" i="5" s="1"/>
  <c r="Y63" i="5" s="1"/>
  <c r="AI16" i="5" l="1"/>
  <c r="AJ12" i="5"/>
  <c r="AV12" i="5"/>
  <c r="X16" i="5"/>
  <c r="AH12" i="5"/>
  <c r="AG16" i="5"/>
  <c r="AL8" i="5"/>
  <c r="AM8" i="5" s="1"/>
  <c r="AP8" i="5" s="1"/>
  <c r="X27" i="5"/>
  <c r="AQ9" i="5"/>
  <c r="AG85" i="5"/>
  <c r="AH85" i="5" s="1"/>
  <c r="AQ85" i="5"/>
  <c r="AC85" i="5"/>
  <c r="AA85" i="5"/>
  <c r="AJ82" i="5"/>
  <c r="AL82" i="5" s="1"/>
  <c r="AM82" i="5" s="1"/>
  <c r="AP82" i="5" s="1"/>
  <c r="AV82" i="5"/>
  <c r="Y82" i="5" s="1"/>
  <c r="AQ84" i="5"/>
  <c r="AQ86" i="5" s="1"/>
  <c r="AC84" i="5"/>
  <c r="AC86" i="5" s="1"/>
  <c r="O83" i="4" s="1"/>
  <c r="AA84" i="5"/>
  <c r="AA86" i="5"/>
  <c r="AJ84" i="5"/>
  <c r="AL84" i="5" s="1"/>
  <c r="AM84" i="5" s="1"/>
  <c r="AP84" i="5" s="1"/>
  <c r="AV84" i="5"/>
  <c r="Y84" i="5" s="1"/>
  <c r="AJ85" i="5"/>
  <c r="AV85" i="5"/>
  <c r="Y85" i="5" s="1"/>
  <c r="AV81" i="5"/>
  <c r="Y81" i="5" s="1"/>
  <c r="X86" i="5"/>
  <c r="V86" i="5"/>
  <c r="H83" i="4" s="1"/>
  <c r="G50" i="2" s="1"/>
  <c r="AJ77" i="5"/>
  <c r="AL77" i="5" s="1"/>
  <c r="AM77" i="5" s="1"/>
  <c r="AP77" i="5" s="1"/>
  <c r="AQ78" i="5"/>
  <c r="AC78" i="5"/>
  <c r="AA78" i="5"/>
  <c r="AJ76" i="5"/>
  <c r="AV76" i="5"/>
  <c r="Y76" i="5" s="1"/>
  <c r="AC79" i="5"/>
  <c r="AV74" i="5"/>
  <c r="Y74" i="5" s="1"/>
  <c r="AQ75" i="5"/>
  <c r="AC75" i="5"/>
  <c r="AA75" i="5"/>
  <c r="AA79" i="5" s="1"/>
  <c r="AQ79" i="5"/>
  <c r="AB76" i="4" s="1"/>
  <c r="AQ68" i="5"/>
  <c r="AC68" i="5"/>
  <c r="AA68" i="5"/>
  <c r="AJ69" i="5"/>
  <c r="AL69" i="5" s="1"/>
  <c r="AM69" i="5" s="1"/>
  <c r="AP69" i="5" s="1"/>
  <c r="AV69" i="5"/>
  <c r="Y69" i="5" s="1"/>
  <c r="AJ70" i="5"/>
  <c r="AL70" i="5" s="1"/>
  <c r="AM70" i="5" s="1"/>
  <c r="AP70" i="5" s="1"/>
  <c r="AV70" i="5"/>
  <c r="Y70" i="5" s="1"/>
  <c r="AQ67" i="5"/>
  <c r="V72" i="5"/>
  <c r="AA67" i="5"/>
  <c r="AC67" i="5"/>
  <c r="AQ71" i="5"/>
  <c r="AC71" i="5"/>
  <c r="AA71" i="5"/>
  <c r="AJ62" i="5"/>
  <c r="AV62" i="5"/>
  <c r="Y62" i="5" s="1"/>
  <c r="AG64" i="5"/>
  <c r="AH64" i="5" s="1"/>
  <c r="AQ64" i="5"/>
  <c r="AC64" i="5"/>
  <c r="AA64" i="5"/>
  <c r="AC65" i="5"/>
  <c r="AA65" i="5"/>
  <c r="M62" i="4" s="1"/>
  <c r="V65" i="5"/>
  <c r="AJ60" i="5"/>
  <c r="AV60" i="5"/>
  <c r="Y60" i="5" s="1"/>
  <c r="AJ61" i="5"/>
  <c r="AL61" i="5" s="1"/>
  <c r="AM61" i="5" s="1"/>
  <c r="AP61" i="5" s="1"/>
  <c r="AV61" i="5"/>
  <c r="Y61" i="5" s="1"/>
  <c r="AQ65" i="5"/>
  <c r="AB62" i="4" s="1"/>
  <c r="AJ56" i="5"/>
  <c r="AV56" i="5"/>
  <c r="Y56" i="5" s="1"/>
  <c r="AJ54" i="5"/>
  <c r="AV54" i="5"/>
  <c r="Y54" i="5" s="1"/>
  <c r="AV53" i="5"/>
  <c r="Y53" i="5" s="1"/>
  <c r="AJ55" i="5"/>
  <c r="AL55" i="5" s="1"/>
  <c r="AM55" i="5" s="1"/>
  <c r="AP55" i="5" s="1"/>
  <c r="AV55" i="5"/>
  <c r="Y55" i="5" s="1"/>
  <c r="AQ57" i="5"/>
  <c r="AQ58" i="5" s="1"/>
  <c r="AB55" i="4" s="1"/>
  <c r="AC57" i="5"/>
  <c r="AC58" i="5" s="1"/>
  <c r="AA57" i="5"/>
  <c r="AA58" i="5" s="1"/>
  <c r="AV46" i="5"/>
  <c r="Y46" i="5" s="1"/>
  <c r="AQ48" i="5"/>
  <c r="AQ51" i="5" s="1"/>
  <c r="AB48" i="4" s="1"/>
  <c r="AA48" i="5"/>
  <c r="AC48" i="5"/>
  <c r="AJ49" i="5"/>
  <c r="AV49" i="5"/>
  <c r="Y49" i="5" s="1"/>
  <c r="V51" i="5"/>
  <c r="AQ50" i="5"/>
  <c r="AA50" i="5"/>
  <c r="AC50" i="5"/>
  <c r="AC51" i="5" s="1"/>
  <c r="AJ47" i="5"/>
  <c r="AL47" i="5" s="1"/>
  <c r="AM47" i="5" s="1"/>
  <c r="AP47" i="5" s="1"/>
  <c r="AV47" i="5"/>
  <c r="Y47" i="5" s="1"/>
  <c r="AV39" i="5"/>
  <c r="Y39" i="5" s="1"/>
  <c r="AQ41" i="5"/>
  <c r="AC41" i="5"/>
  <c r="AA41" i="5"/>
  <c r="AC44" i="5"/>
  <c r="V44" i="5"/>
  <c r="AJ43" i="5"/>
  <c r="AL43" i="5" s="1"/>
  <c r="AM43" i="5" s="1"/>
  <c r="AP43" i="5" s="1"/>
  <c r="AV43" i="5"/>
  <c r="Y43" i="5" s="1"/>
  <c r="AJ40" i="5"/>
  <c r="AL40" i="5" s="1"/>
  <c r="AM40" i="5" s="1"/>
  <c r="AP40" i="5" s="1"/>
  <c r="AV40" i="5"/>
  <c r="Y40" i="5" s="1"/>
  <c r="AQ42" i="5"/>
  <c r="AQ44" i="5" s="1"/>
  <c r="AB41" i="4" s="1"/>
  <c r="AC42" i="5"/>
  <c r="AA42" i="5"/>
  <c r="AA44" i="5" s="1"/>
  <c r="AQ35" i="5"/>
  <c r="AC35" i="5"/>
  <c r="AA35" i="5"/>
  <c r="AQ34" i="5"/>
  <c r="AC34" i="5"/>
  <c r="AC37" i="5" s="1"/>
  <c r="O34" i="4" s="1"/>
  <c r="AA34" i="5"/>
  <c r="AJ32" i="5"/>
  <c r="AV32" i="5"/>
  <c r="Y32" i="5" s="1"/>
  <c r="AJ33" i="5"/>
  <c r="AL33" i="5" s="1"/>
  <c r="AM33" i="5" s="1"/>
  <c r="AP33" i="5" s="1"/>
  <c r="AV33" i="5"/>
  <c r="Y33" i="5" s="1"/>
  <c r="V37" i="5"/>
  <c r="AQ37" i="5"/>
  <c r="AB34" i="4" s="1"/>
  <c r="AQ29" i="5"/>
  <c r="AC29" i="5"/>
  <c r="AA29" i="5"/>
  <c r="AJ26" i="5"/>
  <c r="AL26" i="5" s="1"/>
  <c r="AM26" i="5" s="1"/>
  <c r="AP26" i="5" s="1"/>
  <c r="AV26" i="5"/>
  <c r="Y26" i="5" s="1"/>
  <c r="X29" i="5"/>
  <c r="AG29" i="5"/>
  <c r="AH29" i="5" s="1"/>
  <c r="AJ27" i="5"/>
  <c r="AL27" i="5" s="1"/>
  <c r="AM27" i="5" s="1"/>
  <c r="AP27" i="5" s="1"/>
  <c r="AV27" i="5"/>
  <c r="Y27" i="5" s="1"/>
  <c r="X28" i="5"/>
  <c r="AQ28" i="5"/>
  <c r="AC28" i="5"/>
  <c r="AA28" i="5"/>
  <c r="AQ25" i="5"/>
  <c r="V30" i="5"/>
  <c r="AC25" i="5"/>
  <c r="AA25" i="5"/>
  <c r="AQ27" i="5"/>
  <c r="AC27" i="5"/>
  <c r="AA27" i="5"/>
  <c r="AJ22" i="5"/>
  <c r="AL22" i="5" s="1"/>
  <c r="AM22" i="5" s="1"/>
  <c r="AP22" i="5" s="1"/>
  <c r="AV22" i="5"/>
  <c r="Y22" i="5" s="1"/>
  <c r="AV18" i="5"/>
  <c r="Y18" i="5" s="1"/>
  <c r="AJ19" i="5"/>
  <c r="AV19" i="5"/>
  <c r="Y19" i="5" s="1"/>
  <c r="AJ20" i="5"/>
  <c r="AL20" i="5" s="1"/>
  <c r="AM20" i="5" s="1"/>
  <c r="AP20" i="5" s="1"/>
  <c r="AV20" i="5"/>
  <c r="Y20" i="5" s="1"/>
  <c r="AQ21" i="5"/>
  <c r="AQ23" i="5" s="1"/>
  <c r="AB20" i="4" s="1"/>
  <c r="AC21" i="5"/>
  <c r="AA21" i="5"/>
  <c r="AA23" i="5" s="1"/>
  <c r="AC23" i="5"/>
  <c r="V23" i="5"/>
  <c r="H20" i="4" s="1"/>
  <c r="G14" i="2" s="1"/>
  <c r="AJ14" i="5"/>
  <c r="AV14" i="5"/>
  <c r="Y14" i="5" s="1"/>
  <c r="AV11" i="5"/>
  <c r="Y11" i="5" s="1"/>
  <c r="AQ14" i="5"/>
  <c r="AC14" i="5"/>
  <c r="AA14" i="5"/>
  <c r="AQ13" i="5"/>
  <c r="AB13" i="4" s="1"/>
  <c r="AC13" i="5"/>
  <c r="AA13" i="5"/>
  <c r="X9" i="5"/>
  <c r="Y9" i="5"/>
  <c r="AJ18" i="5"/>
  <c r="AH32" i="5"/>
  <c r="AH60" i="5"/>
  <c r="AH46" i="5"/>
  <c r="AH53" i="5"/>
  <c r="AH18" i="5"/>
  <c r="AJ4" i="5"/>
  <c r="AJ9" i="5" s="1"/>
  <c r="H62" i="4"/>
  <c r="G38" i="2" s="1"/>
  <c r="AG57" i="5"/>
  <c r="AH57" i="5" s="1"/>
  <c r="X42" i="5"/>
  <c r="AG35" i="5"/>
  <c r="AH35" i="5" s="1"/>
  <c r="X64" i="5"/>
  <c r="X13" i="5"/>
  <c r="AV13" i="5" s="1"/>
  <c r="Y13" i="5" s="1"/>
  <c r="AG13" i="5"/>
  <c r="AH13" i="5" s="1"/>
  <c r="AG42" i="5"/>
  <c r="AH42" i="5" s="1"/>
  <c r="P62" i="4"/>
  <c r="AG28" i="5"/>
  <c r="AH28" i="5" s="1"/>
  <c r="AG71" i="5"/>
  <c r="AH71" i="5" s="1"/>
  <c r="AG14" i="5"/>
  <c r="AH14" i="5" s="1"/>
  <c r="X35" i="5"/>
  <c r="X75" i="5"/>
  <c r="X57" i="5"/>
  <c r="X41" i="5"/>
  <c r="H13" i="4"/>
  <c r="G10" i="2" s="1"/>
  <c r="X71" i="5"/>
  <c r="AL7" i="5"/>
  <c r="AM7" i="5" s="1"/>
  <c r="AP7" i="5" s="1"/>
  <c r="P83" i="4"/>
  <c r="J83" i="4"/>
  <c r="X50" i="5"/>
  <c r="AG50" i="5"/>
  <c r="AH50" i="5" s="1"/>
  <c r="AG68" i="5"/>
  <c r="AH68" i="5" s="1"/>
  <c r="X68" i="5"/>
  <c r="AG74" i="5"/>
  <c r="P20" i="4"/>
  <c r="O20" i="4"/>
  <c r="X21" i="5"/>
  <c r="AV21" i="5" s="1"/>
  <c r="Y21" i="5" s="1"/>
  <c r="AG11" i="5"/>
  <c r="AG81" i="5"/>
  <c r="X34" i="5"/>
  <c r="AV34" i="5" s="1"/>
  <c r="Y34" i="5" s="1"/>
  <c r="P34" i="4"/>
  <c r="H34" i="4"/>
  <c r="G22" i="2" s="1"/>
  <c r="X25" i="5"/>
  <c r="AM5" i="5"/>
  <c r="AP5" i="5" s="1"/>
  <c r="W55" i="4"/>
  <c r="M83" i="4"/>
  <c r="AG76" i="5"/>
  <c r="AH76" i="5" s="1"/>
  <c r="P41" i="4"/>
  <c r="O62" i="4"/>
  <c r="X67" i="5"/>
  <c r="AG48" i="5"/>
  <c r="AH48" i="5" s="1"/>
  <c r="X48" i="5"/>
  <c r="AG39" i="5"/>
  <c r="X78" i="5"/>
  <c r="AG6" i="5"/>
  <c r="AH6" i="5" s="1"/>
  <c r="AL6" i="5" s="1"/>
  <c r="AM6" i="5" s="1"/>
  <c r="AP6" i="5" s="1"/>
  <c r="M7" i="4"/>
  <c r="W62" i="4"/>
  <c r="AG63" i="5"/>
  <c r="AL85" i="5" l="1"/>
  <c r="AM85" i="5" s="1"/>
  <c r="AP85" i="5" s="1"/>
  <c r="AL19" i="5"/>
  <c r="AM19" i="5" s="1"/>
  <c r="AP19" i="5" s="1"/>
  <c r="AL76" i="5"/>
  <c r="AM76" i="5" s="1"/>
  <c r="AP76" i="5" s="1"/>
  <c r="AL56" i="5"/>
  <c r="AM56" i="5" s="1"/>
  <c r="AP56" i="5" s="1"/>
  <c r="Y12" i="5"/>
  <c r="Y16" i="5" s="1"/>
  <c r="AV16" i="5"/>
  <c r="AV88" i="5" s="1"/>
  <c r="AL60" i="5"/>
  <c r="AM60" i="5" s="1"/>
  <c r="AP60" i="5" s="1"/>
  <c r="AA37" i="5"/>
  <c r="AL54" i="5"/>
  <c r="AM54" i="5" s="1"/>
  <c r="AP54" i="5" s="1"/>
  <c r="AL62" i="5"/>
  <c r="AM62" i="5" s="1"/>
  <c r="AP62" i="5" s="1"/>
  <c r="AQ30" i="5"/>
  <c r="AB27" i="4" s="1"/>
  <c r="AL32" i="5"/>
  <c r="AM32" i="5" s="1"/>
  <c r="AP32" i="5" s="1"/>
  <c r="AC30" i="5"/>
  <c r="AC88" i="5" s="1"/>
  <c r="AL49" i="5"/>
  <c r="AM49" i="5" s="1"/>
  <c r="AP49" i="5" s="1"/>
  <c r="AA51" i="5"/>
  <c r="Y86" i="5"/>
  <c r="K83" i="4" s="1"/>
  <c r="AJ78" i="5"/>
  <c r="AV78" i="5"/>
  <c r="Y78" i="5" s="1"/>
  <c r="AJ75" i="5"/>
  <c r="AL75" i="5" s="1"/>
  <c r="AM75" i="5" s="1"/>
  <c r="AP75" i="5" s="1"/>
  <c r="AV75" i="5"/>
  <c r="Y75" i="5" s="1"/>
  <c r="X79" i="5"/>
  <c r="Y79" i="5"/>
  <c r="AJ68" i="5"/>
  <c r="AL68" i="5" s="1"/>
  <c r="AM68" i="5" s="1"/>
  <c r="AP68" i="5" s="1"/>
  <c r="AV68" i="5"/>
  <c r="Y68" i="5" s="1"/>
  <c r="AQ72" i="5"/>
  <c r="AB69" i="4" s="1"/>
  <c r="AC72" i="5"/>
  <c r="AA72" i="5"/>
  <c r="AA88" i="5" s="1"/>
  <c r="AV67" i="5"/>
  <c r="Y67" i="5" s="1"/>
  <c r="X72" i="5"/>
  <c r="AJ71" i="5"/>
  <c r="AL71" i="5" s="1"/>
  <c r="AM71" i="5" s="1"/>
  <c r="AP71" i="5" s="1"/>
  <c r="AV71" i="5"/>
  <c r="Y71" i="5" s="1"/>
  <c r="AJ64" i="5"/>
  <c r="AV64" i="5"/>
  <c r="Y64" i="5" s="1"/>
  <c r="Y65" i="5" s="1"/>
  <c r="K62" i="4" s="1"/>
  <c r="X65" i="5"/>
  <c r="J62" i="4" s="1"/>
  <c r="AJ57" i="5"/>
  <c r="AL57" i="5" s="1"/>
  <c r="AM57" i="5" s="1"/>
  <c r="AP57" i="5" s="1"/>
  <c r="AV57" i="5"/>
  <c r="Y57" i="5" s="1"/>
  <c r="Y58" i="5" s="1"/>
  <c r="X58" i="5"/>
  <c r="AJ48" i="5"/>
  <c r="AL48" i="5" s="1"/>
  <c r="AV48" i="5"/>
  <c r="Y48" i="5" s="1"/>
  <c r="AJ50" i="5"/>
  <c r="AV50" i="5"/>
  <c r="Y50" i="5" s="1"/>
  <c r="Y51" i="5" s="1"/>
  <c r="X51" i="5"/>
  <c r="AJ41" i="5"/>
  <c r="AL41" i="5" s="1"/>
  <c r="AM41" i="5" s="1"/>
  <c r="AP41" i="5" s="1"/>
  <c r="AV41" i="5"/>
  <c r="Y41" i="5" s="1"/>
  <c r="AJ42" i="5"/>
  <c r="AL42" i="5" s="1"/>
  <c r="AM42" i="5" s="1"/>
  <c r="AP42" i="5" s="1"/>
  <c r="AV42" i="5"/>
  <c r="Y42" i="5" s="1"/>
  <c r="X44" i="5"/>
  <c r="Y44" i="5"/>
  <c r="AJ35" i="5"/>
  <c r="AL35" i="5" s="1"/>
  <c r="AM35" i="5" s="1"/>
  <c r="AP35" i="5" s="1"/>
  <c r="AV35" i="5"/>
  <c r="Y35" i="5" s="1"/>
  <c r="Y37" i="5" s="1"/>
  <c r="K34" i="4" s="1"/>
  <c r="X37" i="5"/>
  <c r="J34" i="4" s="1"/>
  <c r="AJ29" i="5"/>
  <c r="AV29" i="5"/>
  <c r="Y29" i="5" s="1"/>
  <c r="AV25" i="5"/>
  <c r="Y25" i="5" s="1"/>
  <c r="X30" i="5"/>
  <c r="AJ28" i="5"/>
  <c r="AV28" i="5"/>
  <c r="Y28" i="5" s="1"/>
  <c r="AA30" i="5"/>
  <c r="V88" i="5"/>
  <c r="X23" i="5"/>
  <c r="J20" i="4" s="1"/>
  <c r="AL18" i="5"/>
  <c r="AM18" i="5" s="1"/>
  <c r="AP18" i="5" s="1"/>
  <c r="Y23" i="5"/>
  <c r="K20" i="4" s="1"/>
  <c r="O13" i="4"/>
  <c r="AQ88" i="5"/>
  <c r="AB85" i="4" s="1"/>
  <c r="M13" i="4"/>
  <c r="J13" i="4"/>
  <c r="AJ39" i="5"/>
  <c r="AJ63" i="5"/>
  <c r="AJ53" i="5"/>
  <c r="AL53" i="5" s="1"/>
  <c r="AJ11" i="5"/>
  <c r="AJ81" i="5"/>
  <c r="AJ86" i="5" s="1"/>
  <c r="V83" i="4" s="1"/>
  <c r="U83" i="4"/>
  <c r="AG58" i="5"/>
  <c r="AJ74" i="5"/>
  <c r="AJ46" i="5"/>
  <c r="U62" i="4"/>
  <c r="AH58" i="5"/>
  <c r="AH51" i="5"/>
  <c r="AH63" i="5"/>
  <c r="AG51" i="5"/>
  <c r="S13" i="4"/>
  <c r="AH11" i="5"/>
  <c r="AH16" i="5" s="1"/>
  <c r="AH39" i="5"/>
  <c r="AG44" i="5"/>
  <c r="AH74" i="5"/>
  <c r="AG65" i="5"/>
  <c r="S62" i="4" s="1"/>
  <c r="AH81" i="5"/>
  <c r="AG86" i="5"/>
  <c r="S83" i="4" s="1"/>
  <c r="AG9" i="5"/>
  <c r="AH4" i="5"/>
  <c r="AL4" i="5" s="1"/>
  <c r="P13" i="4"/>
  <c r="AL14" i="5"/>
  <c r="AM14" i="5" s="1"/>
  <c r="AP14" i="5" s="1"/>
  <c r="AG67" i="5"/>
  <c r="AG78" i="5"/>
  <c r="AH78" i="5" s="1"/>
  <c r="U13" i="4"/>
  <c r="AL13" i="5"/>
  <c r="AM13" i="5" s="1"/>
  <c r="AP13" i="5" s="1"/>
  <c r="AG34" i="5"/>
  <c r="AG21" i="5"/>
  <c r="AG25" i="5"/>
  <c r="O84" i="1"/>
  <c r="E83" i="4" s="1"/>
  <c r="O77" i="1"/>
  <c r="E76" i="4" s="1"/>
  <c r="S45" i="2" s="1"/>
  <c r="E69" i="4"/>
  <c r="O63" i="1"/>
  <c r="O42" i="1"/>
  <c r="E41" i="4" s="1"/>
  <c r="S25" i="2" s="1"/>
  <c r="O35" i="1"/>
  <c r="E34" i="4" s="1"/>
  <c r="E27" i="4"/>
  <c r="O56" i="1"/>
  <c r="E55" i="4" s="1"/>
  <c r="E20" i="4"/>
  <c r="E13" i="4"/>
  <c r="AL12" i="5" l="1"/>
  <c r="AM12" i="5" s="1"/>
  <c r="AJ51" i="5"/>
  <c r="AL78" i="5"/>
  <c r="AM78" i="5" s="1"/>
  <c r="AP78" i="5" s="1"/>
  <c r="AJ65" i="5"/>
  <c r="V62" i="4" s="1"/>
  <c r="AP12" i="5"/>
  <c r="AL63" i="5"/>
  <c r="AM63" i="5" s="1"/>
  <c r="AP63" i="5" s="1"/>
  <c r="AJ16" i="5"/>
  <c r="V13" i="4" s="1"/>
  <c r="AL28" i="5"/>
  <c r="AM28" i="5" s="1"/>
  <c r="AP28" i="5" s="1"/>
  <c r="AL50" i="5"/>
  <c r="AM50" i="5" s="1"/>
  <c r="AP50" i="5" s="1"/>
  <c r="AL64" i="5"/>
  <c r="AM64" i="5" s="1"/>
  <c r="AP64" i="5" s="1"/>
  <c r="Y30" i="5"/>
  <c r="Y88" i="5" s="1"/>
  <c r="X88" i="5"/>
  <c r="AL29" i="5"/>
  <c r="AM29" i="5" s="1"/>
  <c r="AP29" i="5" s="1"/>
  <c r="AJ79" i="5"/>
  <c r="Y72" i="5"/>
  <c r="AL58" i="5"/>
  <c r="X55" i="4" s="1"/>
  <c r="AJ58" i="5"/>
  <c r="AJ44" i="5"/>
  <c r="AJ67" i="5"/>
  <c r="AJ72" i="5" s="1"/>
  <c r="AL46" i="5"/>
  <c r="AM46" i="5" s="1"/>
  <c r="AP46" i="5" s="1"/>
  <c r="AJ25" i="5"/>
  <c r="AJ30" i="5" s="1"/>
  <c r="AJ34" i="5"/>
  <c r="AJ37" i="5" s="1"/>
  <c r="AM53" i="5"/>
  <c r="AJ21" i="5"/>
  <c r="AJ23" i="5" s="1"/>
  <c r="AI23" i="5"/>
  <c r="T13" i="4"/>
  <c r="AL11" i="5"/>
  <c r="AL16" i="5" s="1"/>
  <c r="AG79" i="5"/>
  <c r="AH79" i="5"/>
  <c r="AL74" i="5"/>
  <c r="AH67" i="5"/>
  <c r="AG72" i="5"/>
  <c r="AH44" i="5"/>
  <c r="AL39" i="5"/>
  <c r="AH21" i="5"/>
  <c r="AG23" i="5"/>
  <c r="AG30" i="5"/>
  <c r="AH25" i="5"/>
  <c r="AH65" i="5"/>
  <c r="T62" i="4" s="1"/>
  <c r="AH34" i="5"/>
  <c r="AG37" i="5"/>
  <c r="AH86" i="5"/>
  <c r="T83" i="4" s="1"/>
  <c r="AL81" i="5"/>
  <c r="AH9" i="5"/>
  <c r="AL9" i="5"/>
  <c r="S46" i="2"/>
  <c r="U45" i="2"/>
  <c r="U46" i="2" s="1"/>
  <c r="K13" i="4"/>
  <c r="R33" i="2"/>
  <c r="R34" i="2" s="1"/>
  <c r="S33" i="2"/>
  <c r="S26" i="2"/>
  <c r="U25" i="2"/>
  <c r="U26" i="2" s="1"/>
  <c r="R41" i="2"/>
  <c r="Q26" i="2"/>
  <c r="S18" i="2"/>
  <c r="U13" i="2"/>
  <c r="U14" i="2" s="1"/>
  <c r="S14" i="2"/>
  <c r="E62" i="4"/>
  <c r="S37" i="2" s="1"/>
  <c r="U22" i="2"/>
  <c r="S22" i="2"/>
  <c r="U9" i="2"/>
  <c r="V9" i="2" s="1"/>
  <c r="S10" i="2"/>
  <c r="Z49" i="2"/>
  <c r="Z50" i="2" s="1"/>
  <c r="Q50" i="2"/>
  <c r="AM48" i="5"/>
  <c r="AP48" i="5" s="1"/>
  <c r="Q34" i="2"/>
  <c r="Z33" i="2"/>
  <c r="Z34" i="2" s="1"/>
  <c r="Z29" i="2"/>
  <c r="Z30" i="2" s="1"/>
  <c r="Q30" i="2"/>
  <c r="Z25" i="2"/>
  <c r="Z26" i="2" s="1"/>
  <c r="Z21" i="2"/>
  <c r="Z22" i="2" s="1"/>
  <c r="Q22" i="2"/>
  <c r="Q18" i="2"/>
  <c r="Z17" i="2"/>
  <c r="Z18" i="2" s="1"/>
  <c r="O86" i="1"/>
  <c r="E85" i="4" s="1"/>
  <c r="AJ6" i="1"/>
  <c r="AG6" i="1"/>
  <c r="AM58" i="5" l="1"/>
  <c r="AP53" i="5"/>
  <c r="AL65" i="5"/>
  <c r="X62" i="4" s="1"/>
  <c r="AM65" i="5"/>
  <c r="AI88" i="5"/>
  <c r="AJ88" i="5"/>
  <c r="AP58" i="5"/>
  <c r="AL51" i="5"/>
  <c r="AG88" i="5"/>
  <c r="S34" i="4"/>
  <c r="X13" i="4"/>
  <c r="AM11" i="5"/>
  <c r="AH72" i="5"/>
  <c r="AL67" i="5"/>
  <c r="AL86" i="5"/>
  <c r="X83" i="4" s="1"/>
  <c r="AM81" i="5"/>
  <c r="AP81" i="5" s="1"/>
  <c r="AH30" i="5"/>
  <c r="AL25" i="5"/>
  <c r="AM51" i="5"/>
  <c r="AH23" i="5"/>
  <c r="AL21" i="5"/>
  <c r="AL79" i="5"/>
  <c r="AM74" i="5"/>
  <c r="AP74" i="5" s="1"/>
  <c r="AP65" i="5"/>
  <c r="AL34" i="5"/>
  <c r="AH37" i="5"/>
  <c r="T34" i="4" s="1"/>
  <c r="AL44" i="5"/>
  <c r="X41" i="4" s="1"/>
  <c r="AM39" i="5"/>
  <c r="AP39" i="5" s="1"/>
  <c r="S53" i="2"/>
  <c r="U53" i="2" s="1"/>
  <c r="V53" i="2" s="1"/>
  <c r="V25" i="2"/>
  <c r="V26" i="2" s="1"/>
  <c r="V45" i="2"/>
  <c r="V46" i="2" s="1"/>
  <c r="R7" i="4"/>
  <c r="R85" i="4"/>
  <c r="S34" i="2"/>
  <c r="U33" i="2"/>
  <c r="U34" i="2" s="1"/>
  <c r="S38" i="2"/>
  <c r="U37" i="2"/>
  <c r="V13" i="2"/>
  <c r="V14" i="2" s="1"/>
  <c r="R53" i="2"/>
  <c r="R42" i="2"/>
  <c r="V18" i="2"/>
  <c r="U18" i="2"/>
  <c r="AM16" i="5" l="1"/>
  <c r="AP11" i="5"/>
  <c r="AH88" i="5"/>
  <c r="AL72" i="5"/>
  <c r="AM67" i="5"/>
  <c r="AP67" i="5" s="1"/>
  <c r="Y13" i="4"/>
  <c r="AP16" i="5"/>
  <c r="AP51" i="5"/>
  <c r="AM25" i="5"/>
  <c r="AP25" i="5" s="1"/>
  <c r="AL30" i="5"/>
  <c r="AM79" i="5"/>
  <c r="AP79" i="5"/>
  <c r="AM86" i="5"/>
  <c r="AM44" i="5"/>
  <c r="AP44" i="5"/>
  <c r="AL37" i="5"/>
  <c r="X34" i="4" s="1"/>
  <c r="AM34" i="5"/>
  <c r="AP34" i="5" s="1"/>
  <c r="AL23" i="5"/>
  <c r="X20" i="4" s="1"/>
  <c r="AM21" i="5"/>
  <c r="AP21" i="5" s="1"/>
  <c r="V33" i="2"/>
  <c r="V34" i="2" s="1"/>
  <c r="S54" i="2"/>
  <c r="V37" i="2"/>
  <c r="V38" i="2" s="1"/>
  <c r="U38" i="2"/>
  <c r="V22" i="2"/>
  <c r="AL88" i="5" l="1"/>
  <c r="AM37" i="5"/>
  <c r="AP37" i="5"/>
  <c r="AP86" i="5"/>
  <c r="AA13" i="4"/>
  <c r="AM30" i="5"/>
  <c r="AP30" i="5"/>
  <c r="AM23" i="5"/>
  <c r="AM72" i="5"/>
  <c r="AP72" i="5"/>
  <c r="AE6" i="1"/>
  <c r="AP23" i="5" l="1"/>
  <c r="AA20" i="4" s="1"/>
  <c r="W88" i="4"/>
  <c r="AJ76" i="1" l="1"/>
  <c r="Z76" i="4" s="1"/>
  <c r="E15" i="4"/>
  <c r="E16" i="4"/>
  <c r="E18" i="4"/>
  <c r="E19" i="4"/>
  <c r="E36" i="4"/>
  <c r="E37" i="4"/>
  <c r="E38" i="4"/>
  <c r="E39" i="4"/>
  <c r="E40" i="4"/>
  <c r="E43" i="4"/>
  <c r="E44" i="4"/>
  <c r="E50" i="4"/>
  <c r="E51" i="4"/>
  <c r="E52" i="4"/>
  <c r="E53" i="4"/>
  <c r="E54" i="4"/>
  <c r="E58" i="4"/>
  <c r="E59" i="4"/>
  <c r="Q55" i="1"/>
  <c r="G55" i="4" l="1"/>
  <c r="Q27" i="4"/>
  <c r="R69" i="4"/>
  <c r="P40" i="2" s="1"/>
  <c r="J36" i="2"/>
  <c r="J38" i="2" s="1"/>
  <c r="D22" i="2"/>
  <c r="Q46" i="2"/>
  <c r="Z37" i="2"/>
  <c r="Z38" i="2" s="1"/>
  <c r="Q42" i="2"/>
  <c r="D38" i="2"/>
  <c r="P48" i="2"/>
  <c r="V48" i="4"/>
  <c r="J28" i="2" s="1"/>
  <c r="J30" i="2" s="1"/>
  <c r="T48" i="4"/>
  <c r="D30" i="2" s="1"/>
  <c r="P32" i="2"/>
  <c r="Z48" i="4"/>
  <c r="R48" i="4"/>
  <c r="P28" i="2" s="1"/>
  <c r="Z27" i="4"/>
  <c r="Z13" i="2"/>
  <c r="Z14" i="2" s="1"/>
  <c r="Q14" i="2"/>
  <c r="Z9" i="2"/>
  <c r="Z10" i="2" s="1"/>
  <c r="Q10" i="2"/>
  <c r="I27" i="4"/>
  <c r="I48" i="4"/>
  <c r="Y24" i="2"/>
  <c r="Y26" i="2" s="1"/>
  <c r="Y36" i="2"/>
  <c r="Y38" i="2" s="1"/>
  <c r="Y40" i="2"/>
  <c r="Y42" i="2" s="1"/>
  <c r="I69" i="4"/>
  <c r="Y48" i="2"/>
  <c r="Y50" i="2" s="1"/>
  <c r="P24" i="2"/>
  <c r="P44" i="2"/>
  <c r="Q48" i="4"/>
  <c r="Y28" i="2" s="1"/>
  <c r="Y30" i="2" s="1"/>
  <c r="Y44" i="2"/>
  <c r="Y46" i="2" s="1"/>
  <c r="Y16" i="2" l="1"/>
  <c r="Y18" i="2" s="1"/>
  <c r="Q87" i="4"/>
  <c r="I87" i="4"/>
  <c r="O55" i="4"/>
  <c r="H55" i="4"/>
  <c r="G34" i="2" s="1"/>
  <c r="Y20" i="2"/>
  <c r="Y22" i="2" s="1"/>
  <c r="M55" i="4"/>
  <c r="Z55" i="1"/>
  <c r="Z56" i="1" s="1"/>
  <c r="R27" i="4"/>
  <c r="P46" i="2"/>
  <c r="Z45" i="2"/>
  <c r="Z46" i="2" s="1"/>
  <c r="P36" i="2"/>
  <c r="P38" i="2" s="1"/>
  <c r="P20" i="2"/>
  <c r="Q38" i="2"/>
  <c r="Z41" i="2"/>
  <c r="Z42" i="2" s="1"/>
  <c r="P42" i="2"/>
  <c r="F83" i="4"/>
  <c r="F69" i="4"/>
  <c r="P50" i="2"/>
  <c r="Y32" i="2"/>
  <c r="P34" i="2"/>
  <c r="P30" i="2"/>
  <c r="P26" i="2"/>
  <c r="F41" i="4"/>
  <c r="F48" i="4"/>
  <c r="F62" i="4"/>
  <c r="Q76" i="1"/>
  <c r="Q69" i="1"/>
  <c r="F20" i="4"/>
  <c r="Q41" i="1"/>
  <c r="F55" i="4"/>
  <c r="L10" i="2"/>
  <c r="R6" i="2"/>
  <c r="R54" i="2" s="1"/>
  <c r="T6" i="2"/>
  <c r="T54" i="2" s="1"/>
  <c r="U54" i="2" s="1"/>
  <c r="V54" i="2" s="1"/>
  <c r="Z5" i="2"/>
  <c r="P16" i="2" l="1"/>
  <c r="P18" i="2" s="1"/>
  <c r="R87" i="4"/>
  <c r="AQ55" i="1"/>
  <c r="U55" i="1" s="1"/>
  <c r="U56" i="1" s="1"/>
  <c r="K55" i="4" s="1"/>
  <c r="T56" i="1"/>
  <c r="J55" i="4" s="1"/>
  <c r="AG76" i="1"/>
  <c r="W76" i="4" s="1"/>
  <c r="G76" i="4"/>
  <c r="G69" i="4"/>
  <c r="AC55" i="1"/>
  <c r="AC56" i="1" s="1"/>
  <c r="P55" i="4"/>
  <c r="G41" i="4"/>
  <c r="AE55" i="1"/>
  <c r="AE56" i="1" s="1"/>
  <c r="M34" i="4"/>
  <c r="G27" i="4"/>
  <c r="P22" i="2"/>
  <c r="P53" i="2"/>
  <c r="Y34" i="2"/>
  <c r="Z6" i="2"/>
  <c r="Z54" i="2" s="1"/>
  <c r="Z53" i="2"/>
  <c r="Q6" i="2"/>
  <c r="Q54" i="2" s="1"/>
  <c r="Q53" i="2"/>
  <c r="V6" i="2"/>
  <c r="G48" i="4"/>
  <c r="AC41" i="1"/>
  <c r="AC42" i="1" s="1"/>
  <c r="W33" i="2"/>
  <c r="AJ2" i="1"/>
  <c r="G87" i="4" l="1"/>
  <c r="G85" i="4"/>
  <c r="O41" i="4"/>
  <c r="S41" i="4"/>
  <c r="S55" i="4"/>
  <c r="U55" i="4"/>
  <c r="Z7" i="4"/>
  <c r="Z87" i="4" s="1"/>
  <c r="Z85" i="4"/>
  <c r="H76" i="4"/>
  <c r="O76" i="4"/>
  <c r="H41" i="4"/>
  <c r="G26" i="2" s="1"/>
  <c r="Z69" i="1"/>
  <c r="Z70" i="1" s="1"/>
  <c r="M76" i="4"/>
  <c r="Z76" i="1"/>
  <c r="Z77" i="1" s="1"/>
  <c r="Z86" i="1" s="1"/>
  <c r="W25" i="2"/>
  <c r="W26" i="2" s="1"/>
  <c r="M41" i="4"/>
  <c r="AE34" i="1"/>
  <c r="AE35" i="1" s="1"/>
  <c r="W37" i="2"/>
  <c r="W38" i="2" s="1"/>
  <c r="W9" i="2"/>
  <c r="W48" i="4"/>
  <c r="W29" i="2" s="1"/>
  <c r="W34" i="2"/>
  <c r="W49" i="2"/>
  <c r="AM4" i="5"/>
  <c r="J8" i="2"/>
  <c r="J10" i="2" s="1"/>
  <c r="D10" i="2"/>
  <c r="AM28" i="3"/>
  <c r="AP28" i="3" s="1"/>
  <c r="J48" i="2"/>
  <c r="J50" i="2" s="1"/>
  <c r="D50" i="2"/>
  <c r="AM81" i="3"/>
  <c r="AP81" i="3" s="1"/>
  <c r="AP86" i="3" s="1"/>
  <c r="AM26" i="3"/>
  <c r="AP26" i="3" s="1"/>
  <c r="AM27" i="3"/>
  <c r="AP27" i="3" s="1"/>
  <c r="AM29" i="3"/>
  <c r="AP29" i="3" s="1"/>
  <c r="AM32" i="3"/>
  <c r="AP32" i="3" s="1"/>
  <c r="AM33" i="3"/>
  <c r="AP33" i="3" s="1"/>
  <c r="AM34" i="3"/>
  <c r="AP34" i="3" s="1"/>
  <c r="AM35" i="3"/>
  <c r="AP35" i="3" s="1"/>
  <c r="AM36" i="3"/>
  <c r="AP36" i="3" s="1"/>
  <c r="AM39" i="3"/>
  <c r="AP39" i="3" s="1"/>
  <c r="AM40" i="3"/>
  <c r="AP40" i="3" s="1"/>
  <c r="AM41" i="3"/>
  <c r="AP41" i="3" s="1"/>
  <c r="AM42" i="3"/>
  <c r="AP42" i="3" s="1"/>
  <c r="AM46" i="3"/>
  <c r="AP46" i="3" s="1"/>
  <c r="AP51" i="3" s="1"/>
  <c r="AM53" i="3"/>
  <c r="AP44" i="3" l="1"/>
  <c r="AP37" i="3"/>
  <c r="AM58" i="3"/>
  <c r="Y55" i="4" s="1"/>
  <c r="AP53" i="3"/>
  <c r="AP58" i="3" s="1"/>
  <c r="AM9" i="5"/>
  <c r="AM88" i="5" s="1"/>
  <c r="AP4" i="5"/>
  <c r="AP9" i="5" s="1"/>
  <c r="AP88" i="5" s="1"/>
  <c r="G46" i="2"/>
  <c r="AQ76" i="1"/>
  <c r="U76" i="1" s="1"/>
  <c r="U77" i="1" s="1"/>
  <c r="K76" i="4" s="1"/>
  <c r="T77" i="1"/>
  <c r="AE69" i="1"/>
  <c r="AE70" i="1" s="1"/>
  <c r="AQ69" i="1"/>
  <c r="U69" i="1" s="1"/>
  <c r="U70" i="1" s="1"/>
  <c r="T70" i="1"/>
  <c r="J69" i="4" s="1"/>
  <c r="AQ41" i="1"/>
  <c r="U41" i="1" s="1"/>
  <c r="U42" i="1" s="1"/>
  <c r="K41" i="4" s="1"/>
  <c r="T42" i="1"/>
  <c r="J41" i="4" s="1"/>
  <c r="AA83" i="4"/>
  <c r="AM86" i="3"/>
  <c r="Y83" i="4" s="1"/>
  <c r="AM51" i="3"/>
  <c r="AA41" i="4"/>
  <c r="AM44" i="3"/>
  <c r="Y41" i="4" s="1"/>
  <c r="AA34" i="4"/>
  <c r="AM37" i="3"/>
  <c r="Y34" i="4" s="1"/>
  <c r="AD56" i="1"/>
  <c r="T55" i="4" s="1"/>
  <c r="D34" i="2" s="1"/>
  <c r="AD42" i="1"/>
  <c r="T41" i="4" s="1"/>
  <c r="D26" i="2" s="1"/>
  <c r="AF56" i="1"/>
  <c r="V55" i="4" s="1"/>
  <c r="J32" i="2" s="1"/>
  <c r="J34" i="2" s="1"/>
  <c r="S20" i="4"/>
  <c r="U34" i="4"/>
  <c r="M27" i="4"/>
  <c r="C16" i="2" s="1"/>
  <c r="J76" i="4"/>
  <c r="AE76" i="1"/>
  <c r="AE77" i="1" s="1"/>
  <c r="AC77" i="1"/>
  <c r="P76" i="4"/>
  <c r="M20" i="4"/>
  <c r="M69" i="4"/>
  <c r="C40" i="2" s="1"/>
  <c r="H69" i="4"/>
  <c r="G42" i="2" s="1"/>
  <c r="W45" i="2"/>
  <c r="W46" i="2" s="1"/>
  <c r="C8" i="2"/>
  <c r="C9" i="2" s="1"/>
  <c r="H48" i="4"/>
  <c r="G30" i="2" s="1"/>
  <c r="W69" i="4"/>
  <c r="W41" i="2" s="1"/>
  <c r="W42" i="2" s="1"/>
  <c r="C24" i="2"/>
  <c r="M48" i="4"/>
  <c r="C28" i="2" s="1"/>
  <c r="C29" i="2" s="1"/>
  <c r="K48" i="2"/>
  <c r="V27" i="4"/>
  <c r="J16" i="2" s="1"/>
  <c r="J18" i="2" s="1"/>
  <c r="T27" i="4"/>
  <c r="D18" i="2" s="1"/>
  <c r="H27" i="4"/>
  <c r="G18" i="2" s="1"/>
  <c r="W27" i="4"/>
  <c r="W17" i="2" s="1"/>
  <c r="W21" i="2"/>
  <c r="W14" i="2"/>
  <c r="W10" i="2"/>
  <c r="F7" i="4"/>
  <c r="F87" i="4" s="1"/>
  <c r="W30" i="2"/>
  <c r="W50" i="2"/>
  <c r="O48" i="4"/>
  <c r="K28" i="2" s="1"/>
  <c r="J48" i="4"/>
  <c r="P48" i="4"/>
  <c r="X28" i="2" s="1"/>
  <c r="AB28" i="2" s="1"/>
  <c r="K24" i="2"/>
  <c r="P4" i="2"/>
  <c r="P6" i="2" s="1"/>
  <c r="C48" i="2"/>
  <c r="C49" i="2" s="1"/>
  <c r="C50" i="2" s="1"/>
  <c r="AM60" i="3"/>
  <c r="AP60" i="3" s="1"/>
  <c r="AP65" i="3" s="1"/>
  <c r="AM67" i="3"/>
  <c r="AP67" i="3" s="1"/>
  <c r="AP72" i="3" s="1"/>
  <c r="X48" i="2"/>
  <c r="X24" i="2"/>
  <c r="AE41" i="1"/>
  <c r="AE42" i="1" s="1"/>
  <c r="P8" i="2"/>
  <c r="AE20" i="1"/>
  <c r="AE21" i="1" s="1"/>
  <c r="K49" i="2"/>
  <c r="Y8" i="2"/>
  <c r="Y10" i="2" s="1"/>
  <c r="K25" i="2"/>
  <c r="C4" i="2"/>
  <c r="C5" i="2" s="1"/>
  <c r="C6" i="2" s="1"/>
  <c r="P12" i="2"/>
  <c r="P14" i="2" s="1"/>
  <c r="K29" i="2"/>
  <c r="X32" i="2"/>
  <c r="AG2" i="1"/>
  <c r="C32" i="2"/>
  <c r="AM25" i="3"/>
  <c r="C20" i="2"/>
  <c r="AM30" i="3" l="1"/>
  <c r="AP25" i="3"/>
  <c r="AP30" i="3" s="1"/>
  <c r="C12" i="2"/>
  <c r="C13" i="2" s="1"/>
  <c r="M87" i="4"/>
  <c r="AC86" i="1"/>
  <c r="U86" i="1"/>
  <c r="T86" i="1"/>
  <c r="AM72" i="3"/>
  <c r="AA62" i="4"/>
  <c r="AM65" i="3"/>
  <c r="Y62" i="4" s="1"/>
  <c r="AA55" i="4"/>
  <c r="AD21" i="1"/>
  <c r="AF70" i="1"/>
  <c r="V69" i="4" s="1"/>
  <c r="J40" i="2" s="1"/>
  <c r="J42" i="2" s="1"/>
  <c r="AF35" i="1"/>
  <c r="V34" i="4" s="1"/>
  <c r="J20" i="2" s="1"/>
  <c r="J22" i="2" s="1"/>
  <c r="U76" i="4"/>
  <c r="S76" i="4"/>
  <c r="AD77" i="1"/>
  <c r="U20" i="4"/>
  <c r="U41" i="4"/>
  <c r="S69" i="4"/>
  <c r="M85" i="4"/>
  <c r="W85" i="4"/>
  <c r="W7" i="4"/>
  <c r="W87" i="4" s="1"/>
  <c r="Y20" i="4"/>
  <c r="S48" i="4"/>
  <c r="K44" i="2"/>
  <c r="X44" i="2"/>
  <c r="O69" i="4"/>
  <c r="P69" i="4"/>
  <c r="X40" i="2" s="1"/>
  <c r="K69" i="4"/>
  <c r="AB32" i="2"/>
  <c r="X33" i="2"/>
  <c r="AB33" i="2" s="1"/>
  <c r="X25" i="2"/>
  <c r="AB24" i="2"/>
  <c r="W18" i="2"/>
  <c r="P27" i="4"/>
  <c r="X16" i="2" s="1"/>
  <c r="AB16" i="2" s="1"/>
  <c r="O27" i="4"/>
  <c r="K16" i="2" s="1"/>
  <c r="K17" i="2"/>
  <c r="J27" i="4"/>
  <c r="X36" i="2"/>
  <c r="K36" i="2"/>
  <c r="W22" i="2"/>
  <c r="K21" i="2"/>
  <c r="K20" i="2"/>
  <c r="X20" i="2"/>
  <c r="S27" i="4"/>
  <c r="K50" i="2"/>
  <c r="K13" i="2"/>
  <c r="K12" i="2"/>
  <c r="K9" i="2"/>
  <c r="U69" i="4"/>
  <c r="K41" i="2"/>
  <c r="K37" i="2"/>
  <c r="AA48" i="4"/>
  <c r="X49" i="2"/>
  <c r="AB49" i="2" s="1"/>
  <c r="AB48" i="2"/>
  <c r="C44" i="2"/>
  <c r="K32" i="2"/>
  <c r="K33" i="2"/>
  <c r="X29" i="2"/>
  <c r="P10" i="2"/>
  <c r="P52" i="2"/>
  <c r="X8" i="2"/>
  <c r="AB8" i="2" s="1"/>
  <c r="C10" i="2"/>
  <c r="E10" i="2" s="1"/>
  <c r="Y4" i="2"/>
  <c r="C36" i="2"/>
  <c r="X48" i="4"/>
  <c r="I44" i="2"/>
  <c r="K45" i="2"/>
  <c r="X27" i="4"/>
  <c r="K27" i="4"/>
  <c r="K48" i="4"/>
  <c r="C30" i="2"/>
  <c r="C21" i="2"/>
  <c r="C22" i="2" s="1"/>
  <c r="K30" i="2"/>
  <c r="E50" i="2"/>
  <c r="C25" i="2"/>
  <c r="C26" i="2" s="1"/>
  <c r="C17" i="2"/>
  <c r="C18" i="2" s="1"/>
  <c r="E18" i="2" s="1"/>
  <c r="K26" i="2"/>
  <c r="C41" i="2"/>
  <c r="C42" i="2" s="1"/>
  <c r="C33" i="2"/>
  <c r="C34" i="2" s="1"/>
  <c r="C14" i="2" l="1"/>
  <c r="K40" i="2"/>
  <c r="AP88" i="3"/>
  <c r="AM88" i="3"/>
  <c r="AD70" i="1"/>
  <c r="T69" i="4" s="1"/>
  <c r="D42" i="2" s="1"/>
  <c r="E42" i="2" s="1"/>
  <c r="T20" i="4"/>
  <c r="D14" i="2" s="1"/>
  <c r="E14" i="2" s="1"/>
  <c r="AF77" i="1"/>
  <c r="V76" i="4" s="1"/>
  <c r="J44" i="2" s="1"/>
  <c r="J46" i="2" s="1"/>
  <c r="AF42" i="1"/>
  <c r="V41" i="4" s="1"/>
  <c r="J24" i="2" s="1"/>
  <c r="J26" i="2" s="1"/>
  <c r="AF21" i="1"/>
  <c r="V20" i="4" s="1"/>
  <c r="J12" i="2" s="1"/>
  <c r="J14" i="2" s="1"/>
  <c r="T76" i="4"/>
  <c r="AH76" i="1"/>
  <c r="AH77" i="1" s="1"/>
  <c r="P85" i="4"/>
  <c r="P7" i="4"/>
  <c r="P87" i="4" s="1"/>
  <c r="O85" i="4"/>
  <c r="O7" i="4"/>
  <c r="O87" i="4" s="1"/>
  <c r="J85" i="4"/>
  <c r="J7" i="4"/>
  <c r="J87" i="4" s="1"/>
  <c r="AB7" i="4"/>
  <c r="AB87" i="4" s="1"/>
  <c r="H85" i="4"/>
  <c r="H7" i="4"/>
  <c r="K46" i="2"/>
  <c r="AB44" i="2"/>
  <c r="X45" i="2"/>
  <c r="AB45" i="2" s="1"/>
  <c r="AB34" i="2"/>
  <c r="AB50" i="2"/>
  <c r="Y27" i="4"/>
  <c r="AB40" i="2"/>
  <c r="X41" i="2"/>
  <c r="AB41" i="2" s="1"/>
  <c r="K42" i="2"/>
  <c r="AA27" i="4"/>
  <c r="K18" i="2"/>
  <c r="X17" i="2"/>
  <c r="AB17" i="2" s="1"/>
  <c r="AB18" i="2" s="1"/>
  <c r="AB36" i="2"/>
  <c r="X37" i="2"/>
  <c r="AB37" i="2" s="1"/>
  <c r="K38" i="2"/>
  <c r="AB25" i="2"/>
  <c r="AB26" i="2" s="1"/>
  <c r="X26" i="2"/>
  <c r="K22" i="2"/>
  <c r="AB20" i="2"/>
  <c r="X21" i="2"/>
  <c r="AB21" i="2" s="1"/>
  <c r="K14" i="2"/>
  <c r="K8" i="2"/>
  <c r="K10" i="2" s="1"/>
  <c r="Y48" i="4"/>
  <c r="Y12" i="2"/>
  <c r="X30" i="2"/>
  <c r="AB29" i="2"/>
  <c r="AB30" i="2" s="1"/>
  <c r="C52" i="2"/>
  <c r="X50" i="2"/>
  <c r="Y6" i="2"/>
  <c r="C45" i="2"/>
  <c r="C46" i="2" s="1"/>
  <c r="X34" i="2"/>
  <c r="K34" i="2"/>
  <c r="X13" i="2"/>
  <c r="AB13" i="2" s="1"/>
  <c r="P54" i="2"/>
  <c r="X9" i="2"/>
  <c r="W5" i="2"/>
  <c r="AE2" i="1"/>
  <c r="AF2" i="1" s="1"/>
  <c r="AA69" i="4"/>
  <c r="Y69" i="4"/>
  <c r="X69" i="4"/>
  <c r="C37" i="2"/>
  <c r="C38" i="2" s="1"/>
  <c r="E38" i="2" s="1"/>
  <c r="I48" i="2"/>
  <c r="I49" i="2" s="1"/>
  <c r="I50" i="2" s="1"/>
  <c r="M50" i="2" s="1"/>
  <c r="I28" i="2"/>
  <c r="I29" i="2" s="1"/>
  <c r="I30" i="2" s="1"/>
  <c r="M30" i="2" s="1"/>
  <c r="I36" i="2"/>
  <c r="I12" i="2"/>
  <c r="I13" i="2" s="1"/>
  <c r="I14" i="2" s="1"/>
  <c r="I20" i="2"/>
  <c r="I21" i="2" s="1"/>
  <c r="I22" i="2" s="1"/>
  <c r="I16" i="2"/>
  <c r="I17" i="2" s="1"/>
  <c r="I18" i="2" s="1"/>
  <c r="I45" i="2"/>
  <c r="I46" i="2" s="1"/>
  <c r="I40" i="2"/>
  <c r="L6" i="2"/>
  <c r="E26" i="2"/>
  <c r="E30" i="2"/>
  <c r="E22" i="2"/>
  <c r="E34" i="2"/>
  <c r="G6" i="2" l="1"/>
  <c r="G54" i="2" s="1"/>
  <c r="H87" i="4"/>
  <c r="D46" i="2"/>
  <c r="AE7" i="1"/>
  <c r="AE86" i="1" s="1"/>
  <c r="E46" i="2"/>
  <c r="AI76" i="1"/>
  <c r="AI77" i="1" s="1"/>
  <c r="X76" i="4"/>
  <c r="AB46" i="2"/>
  <c r="X46" i="2"/>
  <c r="X42" i="2"/>
  <c r="AB42" i="2"/>
  <c r="M18" i="2"/>
  <c r="X18" i="2"/>
  <c r="X4" i="2"/>
  <c r="AB4" i="2" s="1"/>
  <c r="I41" i="2"/>
  <c r="I42" i="2" s="1"/>
  <c r="X38" i="2"/>
  <c r="I8" i="2"/>
  <c r="I9" i="2" s="1"/>
  <c r="I10" i="2" s="1"/>
  <c r="M10" i="2" s="1"/>
  <c r="AB38" i="2"/>
  <c r="AB22" i="2"/>
  <c r="M22" i="2"/>
  <c r="X22" i="2"/>
  <c r="Y14" i="2"/>
  <c r="Y54" i="2" s="1"/>
  <c r="AB12" i="2"/>
  <c r="AB14" i="2" s="1"/>
  <c r="M14" i="2"/>
  <c r="X10" i="2"/>
  <c r="W53" i="2"/>
  <c r="Y52" i="2"/>
  <c r="C54" i="2"/>
  <c r="C53" i="2"/>
  <c r="X14" i="2"/>
  <c r="W6" i="2"/>
  <c r="W54" i="2" s="1"/>
  <c r="M46" i="2"/>
  <c r="I37" i="2"/>
  <c r="I38" i="2" s="1"/>
  <c r="M38" i="2" s="1"/>
  <c r="I32" i="2"/>
  <c r="K5" i="2"/>
  <c r="K53" i="2" s="1"/>
  <c r="I24" i="2"/>
  <c r="AF7" i="1" l="1"/>
  <c r="AK76" i="1"/>
  <c r="Y76" i="4"/>
  <c r="S85" i="4"/>
  <c r="S7" i="4"/>
  <c r="S87" i="4" s="1"/>
  <c r="U85" i="4"/>
  <c r="U7" i="4"/>
  <c r="U87" i="4" s="1"/>
  <c r="M42" i="2"/>
  <c r="X52" i="2"/>
  <c r="AB52" i="2" s="1"/>
  <c r="X5" i="2"/>
  <c r="AB5" i="2" s="1"/>
  <c r="AB6" i="2" s="1"/>
  <c r="I33" i="2"/>
  <c r="K4" i="2"/>
  <c r="K52" i="2" s="1"/>
  <c r="K54" i="2" s="1"/>
  <c r="I25" i="2"/>
  <c r="AK77" i="1" l="1"/>
  <c r="AA76" i="4" s="1"/>
  <c r="AF86" i="1"/>
  <c r="V85" i="4" s="1"/>
  <c r="V7" i="4"/>
  <c r="X6" i="2"/>
  <c r="X54" i="2" s="1"/>
  <c r="AB54" i="2" s="1"/>
  <c r="X53" i="2"/>
  <c r="AB53" i="2" s="1"/>
  <c r="K6" i="2"/>
  <c r="I34" i="2"/>
  <c r="M34" i="2" s="1"/>
  <c r="I26" i="2"/>
  <c r="M26" i="2" s="1"/>
  <c r="J4" i="2" l="1"/>
  <c r="J52" i="2" s="1"/>
  <c r="J54" i="2" s="1"/>
  <c r="V87" i="4"/>
  <c r="U10" i="2"/>
  <c r="J6" i="2" l="1"/>
  <c r="V10" i="2"/>
  <c r="AB9" i="2"/>
  <c r="AB10" i="2" s="1"/>
  <c r="K85" i="4" l="1"/>
  <c r="K7" i="4"/>
  <c r="I4" i="2" l="1"/>
  <c r="I52" i="2" s="1"/>
  <c r="K87" i="4"/>
  <c r="I5" i="2" l="1"/>
  <c r="I53" i="2" s="1"/>
  <c r="I54" i="2" s="1"/>
  <c r="M55" i="2" s="1"/>
  <c r="I6" i="2" l="1"/>
  <c r="M6" i="2" s="1"/>
  <c r="M54" i="2" s="1"/>
  <c r="AD7" i="1"/>
  <c r="AH2" i="1"/>
  <c r="AH7" i="1" l="1"/>
  <c r="AI2" i="1"/>
  <c r="AD86" i="1"/>
  <c r="T85" i="4" s="1"/>
  <c r="T7" i="4"/>
  <c r="T87" i="4" s="1"/>
  <c r="D6" i="2" l="1"/>
  <c r="AI7" i="1"/>
  <c r="AK2" i="1"/>
  <c r="AK7" i="1" s="1"/>
  <c r="AH86" i="1"/>
  <c r="X85" i="4" s="1"/>
  <c r="X7" i="4"/>
  <c r="X87" i="4" s="1"/>
  <c r="AI86" i="1" l="1"/>
  <c r="Y85" i="4" s="1"/>
  <c r="Y7" i="4"/>
  <c r="Y87" i="4" s="1"/>
  <c r="AK86" i="1"/>
  <c r="AA85" i="4" s="1"/>
  <c r="AA7" i="4"/>
  <c r="AA87" i="4" s="1"/>
  <c r="D54" i="2"/>
  <c r="E55" i="2" s="1"/>
  <c r="E6" i="2"/>
  <c r="E5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Lucie Forcier</author>
  </authors>
  <commentList>
    <comment ref="U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brut+vacances+avant. Imposable - 67,30$ X 4,95%
salaire max: 48300$
Cotisation max:2217,60$
Exemption annuelle: 3500$</t>
        </r>
      </text>
    </comment>
    <comment ref="W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 X 1,41%
salaire max 44200$
Cot. Max. 623,22$</t>
        </r>
      </text>
    </comment>
    <comment ref="X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maximum salaire annuel est de 44200$
Cotisation max. 623,22
taux de 1,41%</t>
        </r>
      </text>
    </comment>
    <comment ref="Y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 + vacances 
Taux de 0,537% employé
Taux de 0,752% employeur
maximum salaire annuel 64000$
cotisation max annuel:343,68 </t>
        </r>
      </text>
    </comment>
    <comment ref="Z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
X 0,75%</t>
        </r>
      </text>
    </comment>
    <comment ref="AA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15,26 par semaine et
0,130$ par heure inter ou
0,065$ par heure CSN et FTQ et
0,055 par heure CSD</t>
        </r>
      </text>
    </comment>
    <comment ref="AB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Employé 1,70$ X nb heure
Employeur 5,555 X nb heure</t>
        </r>
      </text>
    </comment>
    <comment ref="AC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fédéral</t>
        </r>
      </text>
    </comment>
    <comment ref="AD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brut+vacances - prél. CCQ, cot. Synd., avant.soc.
</t>
        </r>
      </text>
    </comment>
    <comment ref="AE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provincial</t>
        </r>
      </text>
    </comment>
    <comment ref="AF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 + avant. imposable - avantage sociaux</t>
        </r>
      </text>
    </comment>
    <comment ref="AG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soustaire le montant de vacances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Lucie Forcier</author>
  </authors>
  <commentList>
    <comment ref="Y1" authorId="0" shapeId="0" xr:uid="{3485506C-32B1-4040-8ED2-026A725EDA2B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brut+vacances+avant. Imposable - 67,30$ X 4,95%
salaire max: 48300$
Cotisation max:2217,60$
Exemption annuelle: 3500$</t>
        </r>
      </text>
    </comment>
    <comment ref="AA1" authorId="0" shapeId="0" xr:uid="{21192CE3-2A1C-4136-B249-3B1988AC944E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 X 1,41%
salaire max 44200$
Cot. Max. 623,22$</t>
        </r>
      </text>
    </comment>
    <comment ref="AB1" authorId="0" shapeId="0" xr:uid="{04CED70C-155F-45B2-BE5B-6A4D1864137D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maximum salaire annuel est de 44200$
Cotisation max. 623,22
taux de 1,41%</t>
        </r>
      </text>
    </comment>
    <comment ref="AC1" authorId="0" shapeId="0" xr:uid="{1A2B3B88-1BFA-40FF-B7EB-2339C4FFF458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 + vacances 
Taux de 0,537% employé
Taux de 0,752% employeur
maximum salaire annuel 64000$
cotisation max annuel:343,68 </t>
        </r>
      </text>
    </comment>
    <comment ref="AD1" authorId="0" shapeId="0" xr:uid="{D00CCD1F-3D28-4150-923A-3020E5A893C7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
X 0,75%</t>
        </r>
      </text>
    </comment>
    <comment ref="AE1" authorId="0" shapeId="0" xr:uid="{ADFA36B7-80A1-4D43-96A3-A7BDE72D3A8B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15,26 par semaine et
0,130$ par heure inter ou
0,065$ par heure CSN et FTQ et
0,055 par heure CSD</t>
        </r>
      </text>
    </comment>
    <comment ref="AF1" authorId="0" shapeId="0" xr:uid="{90C834A3-7240-4C71-BC95-10A70DB8F8BE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Employé 1,70$ X nb heure
Employeur 5,555 X nb heure</t>
        </r>
      </text>
    </comment>
    <comment ref="AG1" authorId="0" shapeId="0" xr:uid="{E1F06E1B-7EE1-411C-A576-3C08221A1A28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fédéral</t>
        </r>
      </text>
    </comment>
    <comment ref="AH1" authorId="0" shapeId="0" xr:uid="{22DA6BF2-1A02-4642-B52E-9765BD652A26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brut+vacances - prél. CCQ, cot. Synd., avant.soc.
</t>
        </r>
      </text>
    </comment>
    <comment ref="AI1" authorId="0" shapeId="0" xr:uid="{270A80F6-5742-4D97-8285-231D35932B73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provincial</t>
        </r>
      </text>
    </comment>
    <comment ref="AJ1" authorId="0" shapeId="0" xr:uid="{09BEFE25-44EF-48F3-A28B-CA2422F2656F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 + avant. imposable - avantage sociaux</t>
        </r>
      </text>
    </comment>
    <comment ref="AK1" authorId="0" shapeId="0" xr:uid="{2DD1B38D-22F9-4B27-AD17-69472433D138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soustaire le montant de vacances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Lucie Forcier</author>
  </authors>
  <commentList>
    <comment ref="Y1" authorId="0" shapeId="0" xr:uid="{B153A6DA-AD41-45AF-9CAD-60F838FC1ED2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brut+vacances+avant. Imposable - 67,30$ X 4,95%
salaire max: 48300$
Cotisation max:2217,60$
Exemption annuelle: 3500$</t>
        </r>
      </text>
    </comment>
    <comment ref="AA1" authorId="0" shapeId="0" xr:uid="{06190C6C-6979-4ED8-B8E0-FA028BF5DC2C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 X 1,41%
salaire max 44200$
Cot. Max. 623,22$</t>
        </r>
      </text>
    </comment>
    <comment ref="AB1" authorId="0" shapeId="0" xr:uid="{D9C27981-C57E-4C8F-9DCB-B02B65999465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maximum salaire annuel est de 44200$
Cotisation max. 623,22
taux de 1,41%</t>
        </r>
      </text>
    </comment>
    <comment ref="AC1" authorId="0" shapeId="0" xr:uid="{8474D68A-3AD8-4AB8-A2A6-86941A2906E3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 + vacances 
Taux de 0,537% employé
Taux de 0,752% employeur
maximum salaire annuel 64000$
cotisation max annuel:343,68 </t>
        </r>
      </text>
    </comment>
    <comment ref="AD1" authorId="0" shapeId="0" xr:uid="{7A2A9AFB-F95E-4CBB-B6C5-F79D20153231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
X 0,75%</t>
        </r>
      </text>
    </comment>
    <comment ref="AE1" authorId="0" shapeId="0" xr:uid="{EBE5595E-1CCC-4B50-A8AC-F2C7569082EB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15,26 par semaine et
0,130$ par heure inter ou
0,065$ par heure CSN et FTQ et
0,055 par heure CSD</t>
        </r>
      </text>
    </comment>
    <comment ref="AF1" authorId="0" shapeId="0" xr:uid="{D3EF2749-E9E7-4910-BC14-F32BC12B525A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Employé 1,70$ X nb heure
Employeur 5,555 X nb heure</t>
        </r>
      </text>
    </comment>
    <comment ref="AG1" authorId="0" shapeId="0" xr:uid="{57863072-CC3A-46D6-A53C-8EEB5A2EB72E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fédéral</t>
        </r>
      </text>
    </comment>
    <comment ref="AH1" authorId="0" shapeId="0" xr:uid="{C3852FE5-D491-45F4-AC9D-F3AC4F0CAD73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brut+vacances - prél. CCQ, cot. Synd., avant.soc.
</t>
        </r>
      </text>
    </comment>
    <comment ref="AI1" authorId="0" shapeId="0" xr:uid="{A837502E-3098-40A9-9B64-E49E19854689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provincial</t>
        </r>
      </text>
    </comment>
    <comment ref="AJ1" authorId="0" shapeId="0" xr:uid="{C2D16A9A-62C9-43B7-93E2-A731D5F9C3B2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 + avant. imposable - avantage sociaux</t>
        </r>
      </text>
    </comment>
    <comment ref="AK1" authorId="0" shapeId="0" xr:uid="{67BE126D-A41F-4120-8B0B-7E5462F14BE7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soustaire le montant de vacances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Lucie Forcier</author>
  </authors>
  <commentList>
    <comment ref="U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brut+vacances+avant. Imposable - 67,30$ X 4,95%
salaire max: 48300$
Cotisation max:2217,60$
Exemption annuelle: 3500$</t>
        </r>
      </text>
    </comment>
    <comment ref="W1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brut+vacances X 1,41%
salaire max 44200$
Cot. Max. 623,22$</t>
        </r>
      </text>
    </comment>
    <comment ref="X1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maximum salaire annuel est de 44200$
Cotisation max. 623,22
taux de 1,41%</t>
        </r>
      </text>
    </comment>
    <comment ref="Y1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imposé sur le salaire brut + vacances 
Taux de 0,537% employé
Taux de 0,752% employeur
maximum salaire annuel 64000$
cotisation max annuel:343,68 </t>
        </r>
      </text>
    </comment>
    <comment ref="Z1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
X 0,75%</t>
        </r>
      </text>
    </comment>
    <comment ref="AA1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15,26 par semaine et
0,130$ par heure inter ou
0,065$ par heure CSN et FTQ et
0,055 par heure CSD</t>
        </r>
      </text>
    </comment>
    <comment ref="AB1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Employé 1,70$ X nb heure
Employeur 5,555 X nb heure</t>
        </r>
      </text>
    </comment>
    <comment ref="AC1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fédéral</t>
        </r>
      </text>
    </comment>
    <comment ref="AD1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brut+vacances - prél. CCQ, cot. Synd., avant.soc.
</t>
        </r>
      </text>
    </comment>
    <comment ref="AE1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admissible provincial</t>
        </r>
      </text>
    </comment>
    <comment ref="AF1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 + avant. imposable - avantage sociaux</t>
        </r>
      </text>
    </comment>
    <comment ref="AG1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soustaire le montant de vacances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Lucie Forcier</author>
  </authors>
  <commentList>
    <comment ref="R2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Pas si C, E, F
salarié: 0,02 X hr</t>
        </r>
      </text>
    </comment>
    <comment ref="S2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0,03*heure ou minimum 5,00$</t>
        </r>
      </text>
    </comment>
    <comment ref="T2" authorId="0" shapeId="0" xr:uid="{00000000-0006-0000-0A00-000003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225$ le 15 novembre</t>
        </r>
      </text>
    </comment>
    <comment ref="Z2" authorId="0" shapeId="0" xr:uid="{00000000-0006-0000-0A00-000004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0,20 X hr
</t>
        </r>
      </text>
    </comment>
    <comment ref="AA2" authorId="0" shapeId="0" xr:uid="{00000000-0006-0000-0A00-000005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pas statut C, E, F
Salarié: 0,04 X hr
</t>
        </r>
      </text>
    </comment>
    <comment ref="G3" authorId="0" shapeId="0" xr:uid="{00000000-0006-0000-0A00-000006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pour le calcul: salaire brut, vacances, avant. Imposable
</t>
        </r>
      </text>
    </comment>
    <comment ref="L3" authorId="0" shapeId="0" xr:uid="{00000000-0006-0000-0A00-000007000000}">
      <text>
        <r>
          <rPr>
            <b/>
            <sz val="9"/>
            <color indexed="81"/>
            <rFont val="Tahoma"/>
            <family val="2"/>
          </rPr>
          <t>Lucie Forcier:</t>
        </r>
        <r>
          <rPr>
            <sz val="9"/>
            <color indexed="81"/>
            <rFont val="Tahoma"/>
            <family val="2"/>
          </rPr>
          <t xml:space="preserve">
salaire brut + vacances + avant. Imposable X taux
code métier charp.80110
taux: 12,65/100
Max salaire annuel 64000$
Max salaire par semaine 1227,46$
</t>
        </r>
      </text>
    </comment>
  </commentList>
</comments>
</file>

<file path=xl/sharedStrings.xml><?xml version="1.0" encoding="utf-8"?>
<sst xmlns="http://schemas.openxmlformats.org/spreadsheetml/2006/main" count="1477" uniqueCount="220">
  <si>
    <t>Déduction: Fédéral:  1</t>
  </si>
  <si>
    <t xml:space="preserve">            Provincial: A</t>
  </si>
  <si>
    <t>Emploi terminé:</t>
  </si>
  <si>
    <t>Mois</t>
  </si>
  <si>
    <t>dim.</t>
  </si>
  <si>
    <t>lun</t>
  </si>
  <si>
    <t>mar</t>
  </si>
  <si>
    <t>mer</t>
  </si>
  <si>
    <t>jeu</t>
  </si>
  <si>
    <t>ven</t>
  </si>
  <si>
    <t>sam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</si>
  <si>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</si>
  <si>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</si>
  <si>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</si>
  <si>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</si>
  <si>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</si>
  <si>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</si>
  <si>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</si>
  <si>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</si>
  <si>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</si>
  <si>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</si>
  <si>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</si>
  <si>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</si>
  <si>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supp.</t>
  </si>
  <si>
    <t>Rég.</t>
  </si>
  <si>
    <t>Vacances</t>
  </si>
  <si>
    <t>Impôt féd.</t>
  </si>
  <si>
    <t>Impôt prov.</t>
  </si>
  <si>
    <t>R.R.Q.</t>
  </si>
  <si>
    <t>Cumul.</t>
  </si>
  <si>
    <t>Déductions</t>
  </si>
  <si>
    <t>RQAP</t>
  </si>
  <si>
    <t>Total mois</t>
  </si>
  <si>
    <t>total mois</t>
  </si>
  <si>
    <t>total année</t>
  </si>
  <si>
    <r>
      <t>nb de dépendant:</t>
    </r>
    <r>
      <rPr>
        <b/>
        <sz val="10"/>
        <rFont val="Arial"/>
        <family val="2"/>
      </rPr>
      <t xml:space="preserve"> 0</t>
    </r>
  </si>
  <si>
    <t>SemFin</t>
  </si>
  <si>
    <t>MOIS</t>
  </si>
  <si>
    <t>Impôt</t>
  </si>
  <si>
    <t>TOTAL</t>
  </si>
  <si>
    <t>R.Q.A.P.</t>
  </si>
  <si>
    <t xml:space="preserve">TOTAL </t>
  </si>
  <si>
    <t>Janvier</t>
  </si>
  <si>
    <t>employé</t>
  </si>
  <si>
    <t>employeur</t>
  </si>
  <si>
    <t>remise</t>
  </si>
  <si>
    <t>ANNÉE</t>
  </si>
  <si>
    <t>validation</t>
  </si>
  <si>
    <t># assurance sociale :</t>
  </si>
  <si>
    <t xml:space="preserve">Date de naissance: </t>
  </si>
  <si>
    <t>Hr</t>
  </si>
  <si>
    <t>Genre de travail:</t>
  </si>
  <si>
    <t>juillet</t>
  </si>
  <si>
    <t>Ass.-emploi</t>
  </si>
  <si>
    <t>AssEmploi</t>
  </si>
  <si>
    <t>Rénum</t>
  </si>
  <si>
    <t>RQAPemp</t>
  </si>
  <si>
    <t>code</t>
  </si>
  <si>
    <t>Déduction</t>
  </si>
  <si>
    <t>Gainsass</t>
  </si>
  <si>
    <t>État civil:</t>
  </si>
  <si>
    <t>Date d'emploi:</t>
  </si>
  <si>
    <t xml:space="preserve">nb de dépendant: </t>
  </si>
  <si>
    <t>di</t>
  </si>
  <si>
    <t>lu</t>
  </si>
  <si>
    <t>ma</t>
  </si>
  <si>
    <t>me</t>
  </si>
  <si>
    <t>je</t>
  </si>
  <si>
    <t>ve</t>
  </si>
  <si>
    <t>sa</t>
  </si>
  <si>
    <t>Rég</t>
  </si>
  <si>
    <t xml:space="preserve"> Fédéral:  1</t>
  </si>
  <si>
    <t xml:space="preserve"> Provincial: A</t>
  </si>
  <si>
    <t>Déductions:</t>
  </si>
  <si>
    <t>cotis.synd</t>
  </si>
  <si>
    <t>RQAPempl</t>
  </si>
  <si>
    <t>Avant.Soc</t>
  </si>
  <si>
    <t>Sal/admféd</t>
  </si>
  <si>
    <t>Sal/admpr</t>
  </si>
  <si>
    <t>Impôt féd</t>
  </si>
  <si>
    <t>Rapport CCQ</t>
  </si>
  <si>
    <t>FSS</t>
  </si>
  <si>
    <t>fonds</t>
  </si>
  <si>
    <t>indemnité</t>
  </si>
  <si>
    <t>cotisation</t>
  </si>
  <si>
    <t>AECQ</t>
  </si>
  <si>
    <t xml:space="preserve"> AECQ</t>
  </si>
  <si>
    <t>TPS</t>
  </si>
  <si>
    <t>TVQ</t>
  </si>
  <si>
    <t>Congés</t>
  </si>
  <si>
    <t>CCQ</t>
  </si>
  <si>
    <t>Cotisation</t>
  </si>
  <si>
    <t>syndicale</t>
  </si>
  <si>
    <t>Fonds</t>
  </si>
  <si>
    <t>formation</t>
  </si>
  <si>
    <t xml:space="preserve">contribution </t>
  </si>
  <si>
    <t>sectorielle</t>
  </si>
  <si>
    <t xml:space="preserve">Total </t>
  </si>
  <si>
    <t>Cot.synd</t>
  </si>
  <si>
    <t>AvantSoc</t>
  </si>
  <si>
    <t>équip.</t>
  </si>
  <si>
    <t>taxe ass.9%</t>
  </si>
  <si>
    <t>1,95$ X hr</t>
  </si>
  <si>
    <t>CSST</t>
  </si>
  <si>
    <t>hrsalarié</t>
  </si>
  <si>
    <t>cot./ An</t>
  </si>
  <si>
    <t>Av.impos</t>
  </si>
  <si>
    <t>Total rén</t>
  </si>
  <si>
    <t>Vacanc</t>
  </si>
  <si>
    <t>Sal. Brut</t>
  </si>
  <si>
    <t>PrélCCQ</t>
  </si>
  <si>
    <t>Équip</t>
  </si>
  <si>
    <t>Sal. net</t>
  </si>
  <si>
    <t>Salairenet</t>
  </si>
  <si>
    <t>Impôtprov</t>
  </si>
  <si>
    <t xml:space="preserve">Totalrénum </t>
  </si>
  <si>
    <t>sal.brut</t>
  </si>
  <si>
    <t>Prélèv</t>
  </si>
  <si>
    <t xml:space="preserve">FÉDÉRAL      </t>
  </si>
  <si>
    <t xml:space="preserve">QUÉBEC      </t>
  </si>
  <si>
    <t xml:space="preserve">employé </t>
  </si>
  <si>
    <t>Célibataire</t>
  </si>
  <si>
    <t>TotalRén.</t>
  </si>
  <si>
    <t>avant.</t>
  </si>
  <si>
    <t>total</t>
  </si>
  <si>
    <t>prél.CCQ</t>
  </si>
  <si>
    <t>cumul.</t>
  </si>
  <si>
    <t>gains ass.</t>
  </si>
  <si>
    <t>sal/admfed</t>
  </si>
  <si>
    <t>sal/admprov</t>
  </si>
  <si>
    <t>vacances</t>
  </si>
  <si>
    <t>Taux horaire:</t>
  </si>
  <si>
    <t>sal/admféd</t>
  </si>
  <si>
    <t>salairenet</t>
  </si>
  <si>
    <t>cumul</t>
  </si>
  <si>
    <t>gainass.</t>
  </si>
  <si>
    <t>Avant.</t>
  </si>
  <si>
    <t>juin</t>
  </si>
  <si>
    <t>Syndicat:</t>
  </si>
  <si>
    <t>Genre de travail:Peintre</t>
  </si>
  <si>
    <t>Sem Fin</t>
  </si>
  <si>
    <t>avant.soc</t>
  </si>
  <si>
    <t>Taux horaire:31,67</t>
  </si>
  <si>
    <t>Syndicat: FTQ local 99</t>
  </si>
  <si>
    <t>Compagnon</t>
  </si>
  <si>
    <t>P.Q.</t>
  </si>
  <si>
    <t>FTQ: local 100</t>
  </si>
  <si>
    <t>Taux horaire: 32,42</t>
  </si>
  <si>
    <t>Av.soc.empl</t>
  </si>
  <si>
    <t>Tx ass</t>
  </si>
  <si>
    <t>tx ass</t>
  </si>
  <si>
    <t>cont. Sec.</t>
  </si>
  <si>
    <t>Tx assur</t>
  </si>
  <si>
    <t>cont.secto</t>
  </si>
  <si>
    <t>tx assur</t>
  </si>
  <si>
    <t>SemF</t>
  </si>
  <si>
    <t>sup</t>
  </si>
  <si>
    <t>av.soc.empl</t>
  </si>
  <si>
    <t>av.soc. Empl</t>
  </si>
  <si>
    <t>cession d'emploi</t>
  </si>
  <si>
    <t>gainsass</t>
  </si>
  <si>
    <t>AssEmpl</t>
  </si>
  <si>
    <t>prélCCQ</t>
  </si>
  <si>
    <t>vacanc</t>
  </si>
  <si>
    <t>Gainass</t>
  </si>
  <si>
    <t>code travail : 350</t>
  </si>
  <si>
    <t>syndicat:0099</t>
  </si>
  <si>
    <t>code travail 370</t>
  </si>
  <si>
    <t>nb de dépendant: 0</t>
  </si>
  <si>
    <t>syndicat:CSD</t>
  </si>
  <si>
    <t>Taux horaire:32,40</t>
  </si>
  <si>
    <t>Genre de travail:Peintre Apprenti</t>
  </si>
  <si>
    <t>syndicat:FTQ local 99</t>
  </si>
  <si>
    <t>Taux horaire:19,44$</t>
  </si>
  <si>
    <t>téléphone:</t>
  </si>
  <si>
    <t xml:space="preserve">Genre de travail:Peintre </t>
  </si>
  <si>
    <t>Taux horaire:$32,40</t>
  </si>
  <si>
    <t>hr</t>
  </si>
  <si>
    <t xml:space="preserve">téléphone: </t>
  </si>
  <si>
    <t>ville</t>
  </si>
  <si>
    <t>nom</t>
  </si>
  <si>
    <t>adresse</t>
  </si>
  <si>
    <t>code postale</t>
  </si>
  <si>
    <t>HrCCQ</t>
  </si>
  <si>
    <t>av. emp</t>
  </si>
  <si>
    <t>txass</t>
  </si>
  <si>
    <t>cont sec</t>
  </si>
  <si>
    <t>calcul</t>
  </si>
  <si>
    <t>min</t>
  </si>
  <si>
    <t>max</t>
  </si>
  <si>
    <t>Vac. à payer</t>
  </si>
  <si>
    <t>Nbr h.</t>
  </si>
  <si>
    <t>S. sem</t>
  </si>
  <si>
    <t>Remb. Km</t>
  </si>
  <si>
    <t>Période</t>
  </si>
  <si>
    <t>du :</t>
  </si>
  <si>
    <t>au :</t>
  </si>
  <si>
    <t>Heures et revenus</t>
  </si>
  <si>
    <t>Heure</t>
  </si>
  <si>
    <t>Total</t>
  </si>
  <si>
    <t>Vacances (4%)</t>
  </si>
  <si>
    <t>Description</t>
  </si>
  <si>
    <t>Cumulatif</t>
  </si>
  <si>
    <t>Déductions à la source</t>
  </si>
  <si>
    <t>Salaire reg</t>
  </si>
  <si>
    <t>Montant</t>
  </si>
  <si>
    <t>Salaire régulier</t>
  </si>
  <si>
    <t>Heures</t>
  </si>
  <si>
    <t xml:space="preserve">Remb. Km </t>
  </si>
  <si>
    <t>Payé le :</t>
  </si>
  <si>
    <t>Au montant de :</t>
  </si>
  <si>
    <t>Impôt fédéral</t>
  </si>
  <si>
    <t>Impôt provincial</t>
  </si>
  <si>
    <t>Assurance-emploi</t>
  </si>
  <si>
    <t>RRQ</t>
  </si>
  <si>
    <t>h. pér</t>
  </si>
  <si>
    <t>S. pér</t>
  </si>
  <si>
    <t>À payer :</t>
  </si>
  <si>
    <t xml:space="preserve">Ne pas prendre en compte celui-là! </t>
  </si>
  <si>
    <t>Ces deux colonnes là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</si>
</sst>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$&quot;_);[Red]\(#,##0.00\ &quot;$&quot;\)"/>
    <numFmt numFmtId="164" formatCode="_ * #,##0.00_)\ _$_ ;_ * \(#,##0.00\)\ _$_ ;_ * &quot;-&quot;??_)\ _$_ ;_ @_ "/>
    <numFmt numFmtId="165" formatCode="0.0"/>
    <numFmt numFmtId="166" formatCode="#,##0.000\ _$"/>
    <numFmt numFmtId="167" formatCode="0.000"/>
    <numFmt numFmtId="168" formatCode="[$-F800]dddd\,\ mmmm\ dd\,\ yyyy"/>
    <numFmt numFmtId="169" formatCode="#,##0.000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color theme="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0"/>
      <color theme="7"/>
      <name val="Arial"/>
      <family val="2"/>
    </font>
    <font>
      <b/>
      <sz val="10"/>
      <color theme="7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  <font>
      <sz val="12"/>
      <color theme="0"/>
      <name val="Arial"/>
      <family val="2"/>
    </font>
    <font>
      <b/>
      <sz val="13"/>
      <color theme="0"/>
      <name val="Arial"/>
      <family val="2"/>
    </font>
    <font>
      <b/>
      <sz val="11"/>
      <color theme="0"/>
      <name val="Arial"/>
      <family val="2"/>
    </font>
    <font>
      <b/>
      <sz val="9"/>
      <color theme="0"/>
      <name val="Arial"/>
      <family val="2"/>
    </font>
    <font>
      <b/>
      <sz val="11"/>
      <color rgb="FF00B0F0"/>
      <name val="Arial"/>
      <family val="2"/>
    </font>
    <font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31" fillId="0" borderId="0" applyFont="0" applyFill="0" applyBorder="0" applyAlignment="0" applyProtection="0"/>
  </cellStyleXfs>
  <cellXfs count="373">
    <xf numFmtId="0" fontId="0" fillId="0" borderId="0" xfId="0"/>
    <xf numFmtId="4" fontId="0" fillId="0" borderId="0" xfId="0" applyNumberForma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/>
    </xf>
    <xf numFmtId="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Alignment="1"/>
    <xf numFmtId="0" fontId="6" fillId="0" borderId="0" xfId="0" applyFont="1"/>
    <xf numFmtId="2" fontId="3" fillId="0" borderId="0" xfId="0" applyNumberFormat="1" applyFont="1"/>
    <xf numFmtId="4" fontId="7" fillId="0" borderId="0" xfId="0" applyNumberFormat="1" applyFont="1"/>
    <xf numFmtId="4" fontId="8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3" fillId="0" borderId="0" xfId="0" applyFont="1" applyAlignment="1">
      <alignment vertical="top"/>
    </xf>
    <xf numFmtId="4" fontId="3" fillId="0" borderId="0" xfId="0" applyNumberFormat="1" applyFont="1" applyAlignment="1">
      <alignment horizontal="fill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left"/>
    </xf>
    <xf numFmtId="4" fontId="12" fillId="0" borderId="0" xfId="0" applyNumberFormat="1" applyFont="1"/>
    <xf numFmtId="0" fontId="11" fillId="0" borderId="0" xfId="0" applyFont="1"/>
    <xf numFmtId="2" fontId="0" fillId="0" borderId="0" xfId="0" applyNumberFormat="1"/>
    <xf numFmtId="2" fontId="9" fillId="0" borderId="0" xfId="0" applyNumberFormat="1" applyFont="1"/>
    <xf numFmtId="2" fontId="6" fillId="0" borderId="0" xfId="0" applyNumberFormat="1" applyFont="1"/>
    <xf numFmtId="2" fontId="13" fillId="0" borderId="0" xfId="0" applyNumberFormat="1" applyFont="1"/>
    <xf numFmtId="2" fontId="12" fillId="0" borderId="0" xfId="0" applyNumberFormat="1" applyFont="1"/>
    <xf numFmtId="0" fontId="0" fillId="0" borderId="0" xfId="0" applyBorder="1"/>
    <xf numFmtId="2" fontId="17" fillId="0" borderId="0" xfId="0" applyNumberFormat="1" applyFont="1"/>
    <xf numFmtId="0" fontId="13" fillId="0" borderId="0" xfId="0" applyFont="1"/>
    <xf numFmtId="0" fontId="17" fillId="0" borderId="0" xfId="0" applyFont="1"/>
    <xf numFmtId="165" fontId="16" fillId="0" borderId="0" xfId="0" applyNumberFormat="1" applyFont="1" applyAlignment="1">
      <alignment horizontal="center"/>
    </xf>
    <xf numFmtId="2" fontId="18" fillId="0" borderId="0" xfId="0" applyNumberFormat="1" applyFont="1"/>
    <xf numFmtId="2" fontId="19" fillId="0" borderId="0" xfId="0" applyNumberFormat="1" applyFont="1"/>
    <xf numFmtId="0" fontId="18" fillId="0" borderId="0" xfId="0" applyFont="1"/>
    <xf numFmtId="4" fontId="17" fillId="0" borderId="0" xfId="0" applyNumberFormat="1" applyFont="1"/>
    <xf numFmtId="0" fontId="0" fillId="0" borderId="0" xfId="0" applyAlignment="1">
      <alignment horizontal="center"/>
    </xf>
    <xf numFmtId="166" fontId="0" fillId="0" borderId="0" xfId="0" applyNumberFormat="1"/>
    <xf numFmtId="4" fontId="13" fillId="0" borderId="0" xfId="0" applyNumberFormat="1" applyFont="1"/>
    <xf numFmtId="4" fontId="12" fillId="2" borderId="0" xfId="0" applyNumberFormat="1" applyFont="1" applyFill="1" applyAlignment="1">
      <alignment horizontal="center"/>
    </xf>
    <xf numFmtId="167" fontId="0" fillId="0" borderId="0" xfId="0" applyNumberFormat="1"/>
    <xf numFmtId="166" fontId="3" fillId="0" borderId="0" xfId="0" applyNumberFormat="1" applyFont="1"/>
    <xf numFmtId="168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2" fontId="7" fillId="0" borderId="0" xfId="0" applyNumberFormat="1" applyFont="1"/>
    <xf numFmtId="0" fontId="7" fillId="0" borderId="0" xfId="0" applyFont="1"/>
    <xf numFmtId="0" fontId="7" fillId="0" borderId="0" xfId="0" applyFont="1" applyAlignment="1"/>
    <xf numFmtId="15" fontId="7" fillId="0" borderId="0" xfId="0" applyNumberFormat="1" applyFont="1"/>
    <xf numFmtId="0" fontId="0" fillId="0" borderId="0" xfId="0" applyAlignment="1">
      <alignment horizontal="right"/>
    </xf>
    <xf numFmtId="0" fontId="12" fillId="0" borderId="0" xfId="0" applyFont="1" applyFill="1"/>
    <xf numFmtId="0" fontId="3" fillId="0" borderId="0" xfId="0" applyNumberFormat="1" applyFont="1"/>
    <xf numFmtId="0" fontId="0" fillId="0" borderId="0" xfId="0" applyFill="1"/>
    <xf numFmtId="0" fontId="20" fillId="0" borderId="0" xfId="0" applyFont="1"/>
    <xf numFmtId="2" fontId="20" fillId="0" borderId="0" xfId="0" applyNumberFormat="1" applyFont="1" applyFill="1"/>
    <xf numFmtId="2" fontId="21" fillId="0" borderId="0" xfId="0" applyNumberFormat="1" applyFont="1" applyFill="1"/>
    <xf numFmtId="0" fontId="20" fillId="0" borderId="0" xfId="0" applyFont="1" applyFill="1"/>
    <xf numFmtId="2" fontId="20" fillId="0" borderId="0" xfId="0" applyNumberFormat="1" applyFont="1"/>
    <xf numFmtId="2" fontId="21" fillId="0" borderId="0" xfId="0" applyNumberFormat="1" applyFont="1"/>
    <xf numFmtId="15" fontId="0" fillId="0" borderId="0" xfId="0" applyNumberFormat="1" applyFont="1" applyFill="1"/>
    <xf numFmtId="168" fontId="3" fillId="0" borderId="0" xfId="0" applyNumberFormat="1" applyFont="1" applyAlignment="1">
      <alignment horizontal="left"/>
    </xf>
    <xf numFmtId="168" fontId="0" fillId="0" borderId="0" xfId="0" applyNumberFormat="1" applyAlignment="1">
      <alignment horizontal="left"/>
    </xf>
    <xf numFmtId="8" fontId="2" fillId="0" borderId="0" xfId="0" applyNumberFormat="1" applyFont="1" applyAlignment="1"/>
    <xf numFmtId="8" fontId="3" fillId="0" borderId="0" xfId="0" applyNumberFormat="1" applyFont="1" applyAlignment="1"/>
    <xf numFmtId="3" fontId="3" fillId="0" borderId="0" xfId="0" applyNumberFormat="1" applyFont="1" applyFill="1" applyAlignment="1">
      <alignment horizontal="left"/>
    </xf>
    <xf numFmtId="2" fontId="0" fillId="0" borderId="0" xfId="0" applyNumberFormat="1" applyAlignment="1">
      <alignment horizontal="center"/>
    </xf>
    <xf numFmtId="2" fontId="22" fillId="0" borderId="0" xfId="0" applyNumberFormat="1" applyFont="1"/>
    <xf numFmtId="2" fontId="25" fillId="0" borderId="0" xfId="0" applyNumberFormat="1" applyFont="1"/>
    <xf numFmtId="0" fontId="25" fillId="0" borderId="0" xfId="0" applyFont="1"/>
    <xf numFmtId="0" fontId="22" fillId="0" borderId="0" xfId="0" applyFont="1" applyBorder="1"/>
    <xf numFmtId="167" fontId="28" fillId="0" borderId="0" xfId="0" applyNumberFormat="1" applyFont="1" applyAlignment="1">
      <alignment horizontal="center"/>
    </xf>
    <xf numFmtId="167" fontId="28" fillId="0" borderId="0" xfId="0" applyNumberFormat="1" applyFont="1" applyFill="1" applyBorder="1" applyAlignment="1">
      <alignment horizontal="center"/>
    </xf>
    <xf numFmtId="167" fontId="29" fillId="0" borderId="0" xfId="0" applyNumberFormat="1" applyFont="1" applyAlignment="1">
      <alignment horizontal="center"/>
    </xf>
    <xf numFmtId="167" fontId="22" fillId="0" borderId="0" xfId="0" applyNumberFormat="1" applyFont="1"/>
    <xf numFmtId="0" fontId="26" fillId="0" borderId="0" xfId="0" applyFont="1" applyBorder="1"/>
    <xf numFmtId="167" fontId="23" fillId="0" borderId="0" xfId="0" applyNumberFormat="1" applyFont="1" applyAlignment="1">
      <alignment horizontal="center"/>
    </xf>
    <xf numFmtId="0" fontId="23" fillId="0" borderId="0" xfId="0" applyFont="1" applyBorder="1"/>
    <xf numFmtId="167" fontId="23" fillId="0" borderId="0" xfId="0" applyNumberFormat="1" applyFont="1"/>
    <xf numFmtId="0" fontId="22" fillId="0" borderId="0" xfId="0" applyFont="1" applyFill="1" applyBorder="1"/>
    <xf numFmtId="169" fontId="23" fillId="0" borderId="0" xfId="0" applyNumberFormat="1" applyFont="1"/>
    <xf numFmtId="0" fontId="5" fillId="0" borderId="0" xfId="0" applyFont="1" applyBorder="1" applyProtection="1">
      <protection locked="0"/>
    </xf>
    <xf numFmtId="0" fontId="0" fillId="0" borderId="1" xfId="0" applyBorder="1" applyProtection="1">
      <protection locked="0"/>
    </xf>
    <xf numFmtId="0" fontId="5" fillId="0" borderId="1" xfId="0" applyFont="1" applyBorder="1" applyProtection="1">
      <protection locked="0"/>
    </xf>
    <xf numFmtId="0" fontId="3" fillId="0" borderId="1" xfId="0" applyFont="1" applyBorder="1" applyProtection="1">
      <protection locked="0"/>
    </xf>
    <xf numFmtId="2" fontId="0" fillId="4" borderId="7" xfId="0" applyNumberFormat="1" applyFill="1" applyBorder="1" applyProtection="1">
      <protection locked="0"/>
    </xf>
    <xf numFmtId="4" fontId="16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center" vertical="center"/>
    </xf>
    <xf numFmtId="2" fontId="0" fillId="0" borderId="0" xfId="0" applyNumberFormat="1" applyFill="1" applyProtection="1">
      <protection locked="0"/>
    </xf>
    <xf numFmtId="2" fontId="0" fillId="0" borderId="0" xfId="0" applyNumberFormat="1" applyFill="1"/>
    <xf numFmtId="2" fontId="25" fillId="0" borderId="0" xfId="0" applyNumberFormat="1" applyFont="1" applyFill="1"/>
    <xf numFmtId="4" fontId="30" fillId="0" borderId="0" xfId="0" applyNumberFormat="1" applyFont="1" applyFill="1" applyAlignment="1">
      <alignment horizontal="center" vertical="center"/>
    </xf>
    <xf numFmtId="0" fontId="25" fillId="0" borderId="0" xfId="0" applyFont="1" applyFill="1"/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4" fontId="0" fillId="0" borderId="9" xfId="0" applyNumberFormat="1" applyBorder="1"/>
    <xf numFmtId="4" fontId="13" fillId="0" borderId="9" xfId="0" applyNumberFormat="1" applyFont="1" applyBorder="1"/>
    <xf numFmtId="4" fontId="7" fillId="0" borderId="9" xfId="0" applyNumberFormat="1" applyFont="1" applyBorder="1"/>
    <xf numFmtId="4" fontId="9" fillId="0" borderId="6" xfId="0" applyNumberFormat="1" applyFont="1" applyBorder="1"/>
    <xf numFmtId="0" fontId="0" fillId="0" borderId="2" xfId="0" applyBorder="1"/>
    <xf numFmtId="0" fontId="0" fillId="0" borderId="0" xfId="0" applyBorder="1" applyAlignment="1">
      <alignment horizontal="center"/>
    </xf>
    <xf numFmtId="4" fontId="0" fillId="0" borderId="0" xfId="0" applyNumberFormat="1" applyBorder="1"/>
    <xf numFmtId="4" fontId="13" fillId="0" borderId="0" xfId="0" applyNumberFormat="1" applyFont="1" applyBorder="1"/>
    <xf numFmtId="4" fontId="7" fillId="0" borderId="0" xfId="0" applyNumberFormat="1" applyFont="1" applyBorder="1"/>
    <xf numFmtId="0" fontId="7" fillId="0" borderId="0" xfId="0" applyFont="1" applyBorder="1"/>
    <xf numFmtId="0" fontId="3" fillId="0" borderId="11" xfId="0" applyFont="1" applyBorder="1"/>
    <xf numFmtId="0" fontId="3" fillId="0" borderId="12" xfId="0" applyFont="1" applyBorder="1"/>
    <xf numFmtId="4" fontId="3" fillId="0" borderId="12" xfId="0" applyNumberFormat="1" applyFont="1" applyBorder="1"/>
    <xf numFmtId="4" fontId="3" fillId="0" borderId="13" xfId="0" applyNumberFormat="1" applyFont="1" applyBorder="1"/>
    <xf numFmtId="0" fontId="0" fillId="0" borderId="9" xfId="0" applyFill="1" applyBorder="1" applyAlignment="1">
      <alignment horizontal="center"/>
    </xf>
    <xf numFmtId="4" fontId="8" fillId="0" borderId="9" xfId="0" applyNumberFormat="1" applyFont="1" applyBorder="1"/>
    <xf numFmtId="0" fontId="0" fillId="0" borderId="0" xfId="0" applyFill="1" applyBorder="1" applyAlignment="1">
      <alignment horizontal="center"/>
    </xf>
    <xf numFmtId="4" fontId="8" fillId="0" borderId="0" xfId="0" applyNumberFormat="1" applyFont="1" applyBorder="1"/>
    <xf numFmtId="4" fontId="0" fillId="0" borderId="12" xfId="0" applyNumberFormat="1" applyBorder="1"/>
    <xf numFmtId="4" fontId="0" fillId="0" borderId="13" xfId="0" applyNumberFormat="1" applyBorder="1"/>
    <xf numFmtId="0" fontId="0" fillId="0" borderId="0" xfId="0" applyFill="1" applyBorder="1"/>
    <xf numFmtId="0" fontId="9" fillId="0" borderId="2" xfId="0" applyFont="1" applyBorder="1"/>
    <xf numFmtId="2" fontId="0" fillId="0" borderId="0" xfId="0" applyNumberFormat="1" applyBorder="1"/>
    <xf numFmtId="4" fontId="3" fillId="0" borderId="9" xfId="0" applyNumberFormat="1" applyFont="1" applyBorder="1"/>
    <xf numFmtId="4" fontId="3" fillId="0" borderId="0" xfId="0" applyNumberFormat="1" applyFont="1" applyBorder="1"/>
    <xf numFmtId="2" fontId="0" fillId="0" borderId="9" xfId="0" applyNumberFormat="1" applyBorder="1"/>
    <xf numFmtId="0" fontId="0" fillId="0" borderId="9" xfId="0" applyNumberFormat="1" applyBorder="1"/>
    <xf numFmtId="0" fontId="0" fillId="0" borderId="0" xfId="0" applyNumberFormat="1" applyBorder="1"/>
    <xf numFmtId="4" fontId="7" fillId="0" borderId="12" xfId="0" applyNumberFormat="1" applyFont="1" applyBorder="1"/>
    <xf numFmtId="0" fontId="0" fillId="0" borderId="9" xfId="0" applyBorder="1" applyAlignment="1" applyProtection="1">
      <alignment horizontal="center"/>
      <protection locked="0"/>
    </xf>
    <xf numFmtId="0" fontId="3" fillId="0" borderId="9" xfId="0" applyFont="1" applyBorder="1"/>
    <xf numFmtId="0" fontId="17" fillId="0" borderId="9" xfId="0" applyFont="1" applyBorder="1"/>
    <xf numFmtId="2" fontId="25" fillId="0" borderId="9" xfId="0" applyNumberFormat="1" applyFont="1" applyBorder="1"/>
    <xf numFmtId="2" fontId="18" fillId="0" borderId="9" xfId="0" applyNumberFormat="1" applyFont="1" applyBorder="1"/>
    <xf numFmtId="2" fontId="17" fillId="0" borderId="9" xfId="0" applyNumberFormat="1" applyFont="1" applyBorder="1"/>
    <xf numFmtId="2" fontId="0" fillId="3" borderId="9" xfId="0" applyNumberFormat="1" applyFill="1" applyBorder="1" applyProtection="1">
      <protection locked="0"/>
    </xf>
    <xf numFmtId="2" fontId="25" fillId="0" borderId="9" xfId="0" applyNumberFormat="1" applyFont="1" applyFill="1" applyBorder="1"/>
    <xf numFmtId="0" fontId="0" fillId="0" borderId="0" xfId="0" applyBorder="1" applyAlignment="1" applyProtection="1">
      <alignment horizontal="center"/>
      <protection locked="0"/>
    </xf>
    <xf numFmtId="0" fontId="17" fillId="0" borderId="0" xfId="0" applyFont="1" applyBorder="1"/>
    <xf numFmtId="2" fontId="25" fillId="0" borderId="0" xfId="0" applyNumberFormat="1" applyFont="1" applyBorder="1"/>
    <xf numFmtId="2" fontId="18" fillId="0" borderId="0" xfId="0" applyNumberFormat="1" applyFont="1" applyBorder="1"/>
    <xf numFmtId="2" fontId="7" fillId="0" borderId="0" xfId="0" applyNumberFormat="1" applyFont="1" applyBorder="1"/>
    <xf numFmtId="2" fontId="17" fillId="0" borderId="0" xfId="0" applyNumberFormat="1" applyFont="1" applyBorder="1"/>
    <xf numFmtId="2" fontId="0" fillId="3" borderId="0" xfId="0" applyNumberFormat="1" applyFill="1" applyBorder="1" applyProtection="1">
      <protection locked="0"/>
    </xf>
    <xf numFmtId="2" fontId="25" fillId="0" borderId="0" xfId="0" applyNumberFormat="1" applyFont="1" applyFill="1" applyBorder="1"/>
    <xf numFmtId="2" fontId="9" fillId="0" borderId="10" xfId="0" applyNumberFormat="1" applyFont="1" applyBorder="1"/>
    <xf numFmtId="2" fontId="3" fillId="0" borderId="12" xfId="0" applyNumberFormat="1" applyFont="1" applyBorder="1"/>
    <xf numFmtId="2" fontId="24" fillId="0" borderId="12" xfId="0" applyNumberFormat="1" applyFont="1" applyBorder="1"/>
    <xf numFmtId="2" fontId="3" fillId="3" borderId="12" xfId="0" applyNumberFormat="1" applyFont="1" applyFill="1" applyBorder="1" applyProtection="1">
      <protection locked="0"/>
    </xf>
    <xf numFmtId="2" fontId="24" fillId="0" borderId="12" xfId="0" applyNumberFormat="1" applyFont="1" applyFill="1" applyBorder="1"/>
    <xf numFmtId="2" fontId="3" fillId="0" borderId="12" xfId="0" applyNumberFormat="1" applyFont="1" applyBorder="1" applyProtection="1"/>
    <xf numFmtId="0" fontId="0" fillId="0" borderId="9" xfId="0" applyBorder="1" applyAlignment="1"/>
    <xf numFmtId="0" fontId="9" fillId="0" borderId="0" xfId="0" applyFont="1" applyBorder="1"/>
    <xf numFmtId="4" fontId="0" fillId="5" borderId="0" xfId="0" applyNumberFormat="1" applyFill="1" applyBorder="1"/>
    <xf numFmtId="4" fontId="0" fillId="5" borderId="12" xfId="0" applyNumberFormat="1" applyFill="1" applyBorder="1"/>
    <xf numFmtId="4" fontId="0" fillId="6" borderId="0" xfId="0" applyNumberFormat="1" applyFill="1" applyBorder="1"/>
    <xf numFmtId="4" fontId="0" fillId="6" borderId="12" xfId="0" applyNumberFormat="1" applyFill="1" applyBorder="1"/>
    <xf numFmtId="4" fontId="0" fillId="4" borderId="7" xfId="0" applyNumberFormat="1" applyFill="1" applyBorder="1"/>
    <xf numFmtId="0" fontId="3" fillId="0" borderId="15" xfId="0" applyFont="1" applyBorder="1"/>
    <xf numFmtId="0" fontId="3" fillId="0" borderId="14" xfId="0" applyFont="1" applyBorder="1" applyAlignment="1">
      <alignment horizontal="center"/>
    </xf>
    <xf numFmtId="0" fontId="3" fillId="0" borderId="14" xfId="0" applyFont="1" applyBorder="1"/>
    <xf numFmtId="4" fontId="3" fillId="0" borderId="14" xfId="0" applyNumberFormat="1" applyFont="1" applyBorder="1"/>
    <xf numFmtId="4" fontId="3" fillId="0" borderId="16" xfId="0" applyNumberFormat="1" applyFont="1" applyBorder="1"/>
    <xf numFmtId="2" fontId="0" fillId="5" borderId="9" xfId="0" applyNumberFormat="1" applyFill="1" applyBorder="1" applyProtection="1">
      <protection locked="0"/>
    </xf>
    <xf numFmtId="2" fontId="0" fillId="5" borderId="0" xfId="0" applyNumberFormat="1" applyFill="1" applyBorder="1" applyProtection="1">
      <protection locked="0"/>
    </xf>
    <xf numFmtId="2" fontId="3" fillId="5" borderId="12" xfId="0" applyNumberFormat="1" applyFont="1" applyFill="1" applyBorder="1" applyProtection="1">
      <protection locked="0"/>
    </xf>
    <xf numFmtId="0" fontId="23" fillId="7" borderId="0" xfId="0" applyFont="1" applyFill="1" applyAlignment="1">
      <alignment horizontal="center"/>
    </xf>
    <xf numFmtId="0" fontId="23" fillId="2" borderId="0" xfId="0" applyFont="1" applyFill="1" applyAlignment="1">
      <alignment horizontal="center"/>
    </xf>
    <xf numFmtId="2" fontId="23" fillId="7" borderId="0" xfId="2" applyNumberFormat="1" applyFont="1" applyFill="1" applyAlignment="1">
      <alignment horizontal="center"/>
    </xf>
    <xf numFmtId="2" fontId="0" fillId="0" borderId="0" xfId="2" applyNumberFormat="1" applyFont="1" applyAlignment="1">
      <alignment horizontal="center"/>
    </xf>
    <xf numFmtId="2" fontId="23" fillId="2" borderId="0" xfId="2" applyNumberFormat="1" applyFont="1" applyFill="1" applyAlignment="1">
      <alignment horizontal="center"/>
    </xf>
    <xf numFmtId="2" fontId="0" fillId="0" borderId="9" xfId="2" applyNumberFormat="1" applyFont="1" applyBorder="1" applyAlignment="1">
      <alignment horizontal="center"/>
    </xf>
    <xf numFmtId="2" fontId="0" fillId="0" borderId="6" xfId="2" applyNumberFormat="1" applyFont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2" fontId="0" fillId="0" borderId="10" xfId="2" applyNumberFormat="1" applyFont="1" applyBorder="1" applyAlignment="1">
      <alignment horizontal="center"/>
    </xf>
    <xf numFmtId="2" fontId="0" fillId="0" borderId="12" xfId="2" applyNumberFormat="1" applyFont="1" applyBorder="1" applyAlignment="1">
      <alignment horizontal="center"/>
    </xf>
    <xf numFmtId="2" fontId="0" fillId="0" borderId="13" xfId="2" applyNumberFormat="1" applyFon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2" fontId="3" fillId="0" borderId="14" xfId="0" applyNumberFormat="1" applyFont="1" applyBorder="1"/>
    <xf numFmtId="2" fontId="24" fillId="0" borderId="14" xfId="0" applyNumberFormat="1" applyFont="1" applyBorder="1"/>
    <xf numFmtId="2" fontId="24" fillId="0" borderId="14" xfId="0" applyNumberFormat="1" applyFont="1" applyFill="1" applyBorder="1"/>
    <xf numFmtId="2" fontId="3" fillId="0" borderId="16" xfId="0" applyNumberFormat="1" applyFont="1" applyBorder="1"/>
    <xf numFmtId="2" fontId="0" fillId="0" borderId="11" xfId="0" applyNumberFormat="1" applyBorder="1"/>
    <xf numFmtId="2" fontId="25" fillId="0" borderId="12" xfId="0" applyNumberFormat="1" applyFont="1" applyBorder="1"/>
    <xf numFmtId="2" fontId="0" fillId="0" borderId="12" xfId="0" applyNumberFormat="1" applyBorder="1"/>
    <xf numFmtId="2" fontId="18" fillId="0" borderId="12" xfId="0" applyNumberFormat="1" applyFont="1" applyBorder="1"/>
    <xf numFmtId="2" fontId="7" fillId="0" borderId="12" xfId="0" applyNumberFormat="1" applyFont="1" applyBorder="1"/>
    <xf numFmtId="2" fontId="17" fillId="0" borderId="12" xfId="0" applyNumberFormat="1" applyFont="1" applyBorder="1"/>
    <xf numFmtId="2" fontId="0" fillId="5" borderId="12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2" fontId="25" fillId="0" borderId="12" xfId="0" applyNumberFormat="1" applyFont="1" applyFill="1" applyBorder="1"/>
    <xf numFmtId="2" fontId="9" fillId="0" borderId="13" xfId="0" applyNumberFormat="1" applyFont="1" applyBorder="1"/>
    <xf numFmtId="2" fontId="0" fillId="0" borderId="2" xfId="0" applyNumberFormat="1" applyBorder="1"/>
    <xf numFmtId="2" fontId="9" fillId="0" borderId="12" xfId="0" applyNumberFormat="1" applyFont="1" applyBorder="1"/>
    <xf numFmtId="4" fontId="0" fillId="0" borderId="11" xfId="0" applyNumberFormat="1" applyBorder="1"/>
    <xf numFmtId="4" fontId="13" fillId="0" borderId="12" xfId="0" applyNumberFormat="1" applyFont="1" applyBorder="1"/>
    <xf numFmtId="4" fontId="8" fillId="0" borderId="12" xfId="0" applyNumberFormat="1" applyFont="1" applyBorder="1"/>
    <xf numFmtId="0" fontId="0" fillId="0" borderId="12" xfId="0" applyBorder="1"/>
    <xf numFmtId="0" fontId="22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5" fontId="0" fillId="0" borderId="0" xfId="0" applyNumberFormat="1" applyAlignment="1">
      <alignment horizontal="left"/>
    </xf>
    <xf numFmtId="0" fontId="0" fillId="0" borderId="2" xfId="0" applyFill="1" applyBorder="1" applyAlignment="1">
      <alignment horizontal="center"/>
    </xf>
    <xf numFmtId="2" fontId="0" fillId="0" borderId="0" xfId="2" applyNumberFormat="1" applyFont="1" applyFill="1" applyAlignment="1">
      <alignment horizontal="center"/>
    </xf>
    <xf numFmtId="168" fontId="7" fillId="0" borderId="0" xfId="0" applyNumberFormat="1" applyFont="1"/>
    <xf numFmtId="4" fontId="9" fillId="0" borderId="12" xfId="0" applyNumberFormat="1" applyFont="1" applyBorder="1"/>
    <xf numFmtId="0" fontId="0" fillId="0" borderId="17" xfId="0" applyBorder="1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Protection="1">
      <protection locked="0"/>
    </xf>
    <xf numFmtId="0" fontId="0" fillId="0" borderId="18" xfId="0" applyBorder="1"/>
    <xf numFmtId="0" fontId="4" fillId="0" borderId="18" xfId="0" applyFont="1" applyBorder="1" applyAlignment="1">
      <alignment horizontal="center"/>
    </xf>
    <xf numFmtId="0" fontId="3" fillId="0" borderId="18" xfId="0" applyFont="1" applyBorder="1"/>
    <xf numFmtId="0" fontId="0" fillId="0" borderId="19" xfId="0" applyBorder="1"/>
    <xf numFmtId="0" fontId="3" fillId="0" borderId="0" xfId="0" applyFont="1" applyBorder="1"/>
    <xf numFmtId="10" fontId="16" fillId="0" borderId="0" xfId="0" applyNumberFormat="1" applyFont="1" applyBorder="1"/>
    <xf numFmtId="0" fontId="0" fillId="0" borderId="10" xfId="0" applyBorder="1"/>
    <xf numFmtId="0" fontId="4" fillId="0" borderId="0" xfId="0" applyFont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4" fontId="3" fillId="0" borderId="10" xfId="0" applyNumberFormat="1" applyFont="1" applyBorder="1"/>
    <xf numFmtId="4" fontId="17" fillId="0" borderId="0" xfId="0" applyNumberFormat="1" applyFont="1" applyBorder="1"/>
    <xf numFmtId="39" fontId="3" fillId="0" borderId="0" xfId="0" applyNumberFormat="1" applyFont="1" applyBorder="1"/>
    <xf numFmtId="0" fontId="3" fillId="0" borderId="2" xfId="0" applyFont="1" applyBorder="1"/>
    <xf numFmtId="0" fontId="17" fillId="0" borderId="2" xfId="0" applyFont="1" applyBorder="1"/>
    <xf numFmtId="0" fontId="9" fillId="0" borderId="11" xfId="0" applyFont="1" applyBorder="1"/>
    <xf numFmtId="0" fontId="3" fillId="0" borderId="19" xfId="0" applyFont="1" applyBorder="1" applyAlignment="1">
      <alignment horizontal="left"/>
    </xf>
    <xf numFmtId="0" fontId="3" fillId="0" borderId="17" xfId="0" applyFont="1" applyBorder="1" applyProtection="1"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" fontId="9" fillId="0" borderId="8" xfId="0" applyNumberFormat="1" applyFont="1" applyBorder="1"/>
    <xf numFmtId="4" fontId="9" fillId="0" borderId="2" xfId="0" applyNumberFormat="1" applyFont="1" applyBorder="1"/>
    <xf numFmtId="4" fontId="9" fillId="0" borderId="11" xfId="0" applyNumberFormat="1" applyFont="1" applyBorder="1"/>
    <xf numFmtId="0" fontId="0" fillId="0" borderId="6" xfId="0" applyBorder="1"/>
    <xf numFmtId="0" fontId="22" fillId="0" borderId="9" xfId="0" applyFont="1" applyBorder="1"/>
    <xf numFmtId="4" fontId="3" fillId="0" borderId="15" xfId="0" applyNumberFormat="1" applyFont="1" applyBorder="1"/>
    <xf numFmtId="0" fontId="16" fillId="0" borderId="0" xfId="0" applyFont="1"/>
    <xf numFmtId="2" fontId="9" fillId="0" borderId="2" xfId="0" applyNumberFormat="1" applyFont="1" applyBorder="1"/>
    <xf numFmtId="2" fontId="3" fillId="0" borderId="15" xfId="0" applyNumberFormat="1" applyFont="1" applyBorder="1"/>
    <xf numFmtId="2" fontId="9" fillId="0" borderId="8" xfId="0" applyNumberFormat="1" applyFont="1" applyBorder="1"/>
    <xf numFmtId="2" fontId="3" fillId="0" borderId="7" xfId="0" applyNumberFormat="1" applyFont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2" fillId="0" borderId="12" xfId="0" applyFont="1" applyBorder="1"/>
    <xf numFmtId="0" fontId="0" fillId="0" borderId="13" xfId="0" applyBorder="1"/>
    <xf numFmtId="2" fontId="0" fillId="4" borderId="17" xfId="0" applyNumberFormat="1" applyFill="1" applyBorder="1" applyProtection="1">
      <protection locked="0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4" fontId="0" fillId="8" borderId="0" xfId="0" applyNumberFormat="1" applyFill="1" applyBorder="1"/>
    <xf numFmtId="4" fontId="0" fillId="8" borderId="9" xfId="0" applyNumberFormat="1" applyFill="1" applyBorder="1"/>
    <xf numFmtId="4" fontId="0" fillId="8" borderId="12" xfId="0" applyNumberFormat="1" applyFill="1" applyBorder="1"/>
    <xf numFmtId="2" fontId="0" fillId="5" borderId="9" xfId="0" applyNumberFormat="1" applyFill="1" applyBorder="1" applyProtection="1"/>
    <xf numFmtId="2" fontId="0" fillId="3" borderId="9" xfId="0" applyNumberFormat="1" applyFill="1" applyBorder="1" applyProtection="1"/>
    <xf numFmtId="0" fontId="3" fillId="0" borderId="21" xfId="0" applyFont="1" applyBorder="1"/>
    <xf numFmtId="0" fontId="3" fillId="0" borderId="22" xfId="0" applyFont="1" applyFill="1" applyBorder="1" applyAlignment="1">
      <alignment horizontal="center"/>
    </xf>
    <xf numFmtId="0" fontId="3" fillId="0" borderId="22" xfId="0" applyFont="1" applyBorder="1"/>
    <xf numFmtId="4" fontId="3" fillId="0" borderId="22" xfId="0" applyNumberFormat="1" applyFont="1" applyBorder="1"/>
    <xf numFmtId="4" fontId="3" fillId="5" borderId="22" xfId="0" applyNumberFormat="1" applyFont="1" applyFill="1" applyBorder="1"/>
    <xf numFmtId="4" fontId="3" fillId="6" borderId="22" xfId="0" applyNumberFormat="1" applyFont="1" applyFill="1" applyBorder="1"/>
    <xf numFmtId="4" fontId="3" fillId="0" borderId="21" xfId="0" applyNumberFormat="1" applyFont="1" applyBorder="1"/>
    <xf numFmtId="4" fontId="3" fillId="0" borderId="23" xfId="0" applyNumberFormat="1" applyFont="1" applyBorder="1"/>
    <xf numFmtId="4" fontId="3" fillId="0" borderId="24" xfId="0" applyNumberFormat="1" applyFont="1" applyBorder="1"/>
    <xf numFmtId="0" fontId="3" fillId="0" borderId="22" xfId="0" applyFont="1" applyBorder="1" applyAlignment="1">
      <alignment horizontal="center"/>
    </xf>
    <xf numFmtId="2" fontId="0" fillId="0" borderId="9" xfId="0" applyNumberFormat="1" applyBorder="1" applyProtection="1"/>
    <xf numFmtId="2" fontId="0" fillId="5" borderId="0" xfId="0" applyNumberFormat="1" applyFill="1" applyBorder="1" applyProtection="1"/>
    <xf numFmtId="2" fontId="0" fillId="0" borderId="0" xfId="0" applyNumberFormat="1" applyBorder="1" applyProtection="1"/>
    <xf numFmtId="2" fontId="0" fillId="3" borderId="0" xfId="0" applyNumberFormat="1" applyFill="1" applyBorder="1" applyProtection="1"/>
    <xf numFmtId="2" fontId="0" fillId="5" borderId="12" xfId="0" applyNumberFormat="1" applyFill="1" applyBorder="1" applyProtection="1"/>
    <xf numFmtId="2" fontId="0" fillId="0" borderId="12" xfId="0" applyNumberFormat="1" applyBorder="1" applyProtection="1"/>
    <xf numFmtId="2" fontId="0" fillId="3" borderId="12" xfId="0" applyNumberFormat="1" applyFill="1" applyBorder="1" applyProtection="1"/>
    <xf numFmtId="2" fontId="0" fillId="0" borderId="0" xfId="0" applyNumberFormat="1" applyFill="1" applyProtection="1"/>
    <xf numFmtId="2" fontId="0" fillId="0" borderId="0" xfId="0" applyNumberFormat="1" applyProtection="1"/>
    <xf numFmtId="2" fontId="3" fillId="0" borderId="14" xfId="0" applyNumberFormat="1" applyFont="1" applyBorder="1" applyProtection="1"/>
    <xf numFmtId="0" fontId="11" fillId="0" borderId="22" xfId="0" applyFont="1" applyBorder="1"/>
    <xf numFmtId="2" fontId="3" fillId="0" borderId="22" xfId="0" applyNumberFormat="1" applyFont="1" applyBorder="1"/>
    <xf numFmtId="2" fontId="24" fillId="0" borderId="22" xfId="0" applyNumberFormat="1" applyFont="1" applyBorder="1"/>
    <xf numFmtId="2" fontId="3" fillId="5" borderId="22" xfId="0" applyNumberFormat="1" applyFont="1" applyFill="1" applyBorder="1" applyProtection="1"/>
    <xf numFmtId="2" fontId="3" fillId="0" borderId="22" xfId="0" applyNumberFormat="1" applyFont="1" applyBorder="1" applyProtection="1"/>
    <xf numFmtId="2" fontId="3" fillId="3" borderId="22" xfId="0" applyNumberFormat="1" applyFont="1" applyFill="1" applyBorder="1" applyProtection="1"/>
    <xf numFmtId="2" fontId="24" fillId="0" borderId="22" xfId="0" applyNumberFormat="1" applyFont="1" applyFill="1" applyBorder="1"/>
    <xf numFmtId="2" fontId="3" fillId="0" borderId="23" xfId="0" applyNumberFormat="1" applyFont="1" applyBorder="1"/>
    <xf numFmtId="0" fontId="7" fillId="0" borderId="26" xfId="0" applyFont="1" applyBorder="1"/>
    <xf numFmtId="0" fontId="0" fillId="0" borderId="27" xfId="0" applyBorder="1"/>
    <xf numFmtId="0" fontId="7" fillId="0" borderId="27" xfId="0" applyFont="1" applyBorder="1"/>
    <xf numFmtId="3" fontId="3" fillId="0" borderId="28" xfId="0" applyNumberFormat="1" applyFont="1" applyBorder="1" applyAlignment="1"/>
    <xf numFmtId="0" fontId="0" fillId="0" borderId="29" xfId="0" applyBorder="1"/>
    <xf numFmtId="0" fontId="0" fillId="0" borderId="30" xfId="0" applyBorder="1"/>
    <xf numFmtId="0" fontId="0" fillId="0" borderId="22" xfId="0" applyBorder="1"/>
    <xf numFmtId="0" fontId="0" fillId="0" borderId="31" xfId="0" applyBorder="1"/>
    <xf numFmtId="0" fontId="7" fillId="0" borderId="4" xfId="0" applyFont="1" applyBorder="1"/>
    <xf numFmtId="0" fontId="7" fillId="0" borderId="2" xfId="0" applyFont="1" applyBorder="1"/>
    <xf numFmtId="0" fontId="7" fillId="0" borderId="2" xfId="0" applyFont="1" applyFill="1" applyBorder="1"/>
    <xf numFmtId="0" fontId="7" fillId="0" borderId="10" xfId="0" applyFont="1" applyBorder="1"/>
    <xf numFmtId="0" fontId="0" fillId="0" borderId="11" xfId="0" applyBorder="1"/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9" borderId="25" xfId="2" applyFont="1" applyFill="1" applyBorder="1"/>
    <xf numFmtId="164" fontId="0" fillId="0" borderId="10" xfId="2" applyFont="1" applyBorder="1"/>
    <xf numFmtId="164" fontId="0" fillId="0" borderId="0" xfId="2" applyFont="1"/>
    <xf numFmtId="164" fontId="0" fillId="0" borderId="0" xfId="2" applyFont="1" applyBorder="1"/>
    <xf numFmtId="0" fontId="7" fillId="0" borderId="9" xfId="0" applyFont="1" applyBorder="1"/>
    <xf numFmtId="0" fontId="0" fillId="0" borderId="0" xfId="0" applyNumberFormat="1" applyFill="1" applyBorder="1"/>
    <xf numFmtId="0" fontId="0" fillId="4" borderId="25" xfId="0" applyFill="1" applyBorder="1"/>
    <xf numFmtId="164" fontId="0" fillId="0" borderId="12" xfId="2" applyFont="1" applyBorder="1"/>
    <xf numFmtId="164" fontId="0" fillId="0" borderId="13" xfId="2" applyFont="1" applyBorder="1"/>
    <xf numFmtId="164" fontId="0" fillId="0" borderId="11" xfId="2" applyFont="1" applyBorder="1"/>
    <xf numFmtId="164" fontId="0" fillId="0" borderId="0" xfId="0" applyNumberFormat="1"/>
    <xf numFmtId="164" fontId="0" fillId="0" borderId="10" xfId="2" applyFont="1" applyBorder="1" applyAlignment="1">
      <alignment horizontal="left"/>
    </xf>
    <xf numFmtId="0" fontId="0" fillId="0" borderId="4" xfId="0" applyBorder="1"/>
    <xf numFmtId="0" fontId="0" fillId="0" borderId="14" xfId="0" applyBorder="1"/>
    <xf numFmtId="164" fontId="0" fillId="0" borderId="0" xfId="2" applyFont="1" applyBorder="1" applyAlignment="1">
      <alignment horizontal="left"/>
    </xf>
    <xf numFmtId="0" fontId="7" fillId="0" borderId="32" xfId="0" applyFont="1" applyBorder="1" applyAlignment="1">
      <alignment horizontal="center"/>
    </xf>
    <xf numFmtId="0" fontId="7" fillId="0" borderId="0" xfId="0" applyFont="1" applyFill="1" applyBorder="1" applyAlignment="1"/>
    <xf numFmtId="0" fontId="0" fillId="0" borderId="33" xfId="0" applyBorder="1" applyAlignment="1">
      <alignment horizontal="center"/>
    </xf>
    <xf numFmtId="164" fontId="7" fillId="0" borderId="11" xfId="2" applyFont="1" applyBorder="1"/>
    <xf numFmtId="0" fontId="7" fillId="0" borderId="3" xfId="0" applyFont="1" applyBorder="1"/>
    <xf numFmtId="0" fontId="7" fillId="0" borderId="5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/>
    <xf numFmtId="0" fontId="9" fillId="0" borderId="0" xfId="0" applyFont="1" applyAlignment="1"/>
    <xf numFmtId="0" fontId="7" fillId="0" borderId="18" xfId="0" applyFont="1" applyFill="1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3" fontId="3" fillId="0" borderId="0" xfId="0" applyNumberFormat="1" applyFont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7" fillId="0" borderId="2" xfId="2" applyFont="1" applyBorder="1"/>
  </cellXfs>
  <cellStyles count="3">
    <cellStyle name="Milliers" xfId="2" builtinId="3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754380</xdr:colOff>
      <xdr:row>13</xdr:row>
      <xdr:rowOff>68580</xdr:rowOff>
    </xdr:from>
    <xdr:to>
      <xdr:col>8</xdr:col>
      <xdr:colOff>38100</xdr:colOff>
      <xdr:row>15</xdr:row>
      <xdr:rowOff>83820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4B9D80B-A965-4D4A-8562-7D3BA1BBE633}"/>
            </a:ext>
          </a:extLst>
        </xdr:cNvPr>
        <xdr:cNvCxnSpPr/>
      </xdr:nvCxnSpPr>
      <xdr:spPr>
        <a:xfrm flipH="1">
          <a:off x="5600700" y="2293620"/>
          <a:ext cx="899160" cy="36576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739140</xdr:colOff>
      <xdr:row>13</xdr:row>
      <xdr:rowOff>53340</xdr:rowOff>
    </xdr:from>
    <xdr:to>
      <xdr:col>7</xdr:col>
      <xdr:colOff>777240</xdr:colOff>
      <xdr:row>16</xdr:row>
      <xdr:rowOff>15240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12B41E6-042D-46E3-9CC7-68E7FB534060}"/>
            </a:ext>
          </a:extLst>
        </xdr:cNvPr>
        <xdr:cNvCxnSpPr/>
      </xdr:nvCxnSpPr>
      <xdr:spPr>
        <a:xfrm flipH="1">
          <a:off x="2689860" y="2278380"/>
          <a:ext cx="3764280" cy="48006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89"/>
  <sheetViews>
    <sheetView showZeros="0" zoomScale="90" zoomScaleNormal="90" workbookViewId="0">
      <pane ySplit="1" topLeftCell="A71" activePane="bottomLeft" state="frozen"/>
      <selection activeCell="Y18" sqref="Y18"/>
      <selection pane="bottomLeft" activeCell="P3" sqref="P3"/>
    </sheetView>
  </sheetViews>
  <sheetFormatPr baseColWidth="10" defaultRowHeight="13.2" x14ac:dyDescent="0.25"/>
  <cols>
    <col min="1" max="1" width="22.44140625" customWidth="1"/>
    <col min="2" max="3" width="1.77734375" customWidth="1"/>
    <col min="4" max="4" width="10" customWidth="1"/>
    <col min="5" max="5" width="7" customWidth="1"/>
    <col min="6" max="6" width="2.109375" hidden="1" customWidth="1"/>
    <col min="7" max="7" width="2.33203125" hidden="1" customWidth="1"/>
    <col min="8" max="8" width="3.109375" hidden="1" customWidth="1"/>
    <col min="9" max="9" width="3" hidden="1" customWidth="1"/>
    <col min="10" max="10" width="2.109375" hidden="1" customWidth="1"/>
    <col min="11" max="11" width="2.33203125" hidden="1" customWidth="1"/>
    <col min="12" max="12" width="4.5546875" hidden="1" customWidth="1"/>
    <col min="13" max="13" width="8.6640625" hidden="1" customWidth="1"/>
    <col min="14" max="14" width="5.88671875" hidden="1" customWidth="1"/>
    <col min="15" max="15" width="6.88671875" hidden="1" customWidth="1"/>
    <col min="16" max="16" width="9.109375" customWidth="1"/>
    <col min="17" max="17" width="9.5546875" hidden="1" customWidth="1"/>
    <col min="18" max="18" width="11.44140625" style="75" customWidth="1"/>
    <col min="19" max="19" width="5" hidden="1" customWidth="1"/>
    <col min="20" max="20" width="14.88671875" style="37" customWidth="1"/>
    <col min="21" max="21" width="7.5546875" style="53" customWidth="1"/>
    <col min="22" max="22" width="4.6640625" hidden="1" customWidth="1"/>
    <col min="23" max="23" width="12" style="33" customWidth="1"/>
    <col min="24" max="24" width="8.5546875" hidden="1" customWidth="1"/>
    <col min="25" max="25" width="6.6640625" customWidth="1"/>
    <col min="26" max="26" width="8.33203125" hidden="1" customWidth="1"/>
    <col min="27" max="27" width="9.44140625" hidden="1" customWidth="1"/>
    <col min="28" max="28" width="9.6640625" hidden="1" customWidth="1"/>
    <col min="29" max="29" width="13" customWidth="1"/>
    <col min="30" max="30" width="11.44140625" customWidth="1"/>
    <col min="31" max="31" width="12.33203125" customWidth="1"/>
    <col min="32" max="32" width="13" customWidth="1"/>
    <col min="33" max="33" width="7.33203125" hidden="1" customWidth="1"/>
    <col min="34" max="34" width="11.5546875" customWidth="1"/>
    <col min="35" max="35" width="9.6640625" customWidth="1"/>
    <col min="36" max="36" width="7.44140625" hidden="1" customWidth="1"/>
    <col min="37" max="37" width="9.109375" style="98" customWidth="1"/>
    <col min="38" max="38" width="12.44140625" customWidth="1"/>
    <col min="39" max="39" width="11.6640625" hidden="1" customWidth="1"/>
    <col min="40" max="40" width="8.88671875" hidden="1" customWidth="1"/>
    <col min="41" max="41" width="9.6640625" hidden="1" customWidth="1"/>
    <col min="42" max="42" width="11.5546875" style="25" hidden="1" customWidth="1"/>
    <col min="43" max="43" width="0" style="73" hidden="1" customWidth="1"/>
  </cols>
  <sheetData>
    <row r="1" spans="1:43" ht="18.75" customHeight="1" x14ac:dyDescent="0.25">
      <c r="A1" s="20"/>
      <c r="B1" s="2"/>
      <c r="C1" s="4"/>
      <c r="D1" s="4" t="s">
        <v>3</v>
      </c>
      <c r="E1" s="5" t="s">
        <v>36</v>
      </c>
      <c r="F1" s="4" t="s">
        <v>63</v>
      </c>
      <c r="G1" s="4" t="s">
        <v>64</v>
      </c>
      <c r="H1" s="4" t="s">
        <v>65</v>
      </c>
      <c r="I1" s="4" t="s">
        <v>66</v>
      </c>
      <c r="J1" s="4" t="s">
        <v>67</v>
      </c>
      <c r="K1" s="4" t="s">
        <v>68</v>
      </c>
      <c r="L1" s="4" t="s">
        <v>69</v>
      </c>
      <c r="M1" s="4" t="s">
        <v>70</v>
      </c>
      <c r="N1" s="4" t="s">
        <v>177</v>
      </c>
      <c r="O1" s="24" t="s">
        <v>183</v>
      </c>
      <c r="P1" s="92" t="s">
        <v>109</v>
      </c>
      <c r="Q1" s="92" t="s">
        <v>108</v>
      </c>
      <c r="R1" s="93" t="s">
        <v>107</v>
      </c>
      <c r="S1" s="92" t="s">
        <v>106</v>
      </c>
      <c r="T1" s="92" t="s">
        <v>97</v>
      </c>
      <c r="U1" s="92" t="s">
        <v>28</v>
      </c>
      <c r="V1" s="92" t="s">
        <v>29</v>
      </c>
      <c r="W1" s="92" t="s">
        <v>54</v>
      </c>
      <c r="X1" s="92" t="s">
        <v>59</v>
      </c>
      <c r="Y1" s="92" t="s">
        <v>31</v>
      </c>
      <c r="Z1" s="92" t="s">
        <v>110</v>
      </c>
      <c r="AA1" s="92" t="s">
        <v>74</v>
      </c>
      <c r="AB1" s="92" t="s">
        <v>76</v>
      </c>
      <c r="AC1" s="92" t="s">
        <v>77</v>
      </c>
      <c r="AD1" s="92" t="s">
        <v>79</v>
      </c>
      <c r="AE1" s="92" t="s">
        <v>78</v>
      </c>
      <c r="AF1" s="92" t="s">
        <v>27</v>
      </c>
      <c r="AG1" s="92" t="s">
        <v>108</v>
      </c>
      <c r="AH1" s="92" t="s">
        <v>58</v>
      </c>
      <c r="AI1" s="92" t="s">
        <v>39</v>
      </c>
      <c r="AJ1" s="92" t="s">
        <v>111</v>
      </c>
      <c r="AK1" s="97" t="s">
        <v>112</v>
      </c>
      <c r="AL1" s="92" t="s">
        <v>75</v>
      </c>
      <c r="AM1" s="6" t="s">
        <v>148</v>
      </c>
      <c r="AN1" s="6" t="s">
        <v>149</v>
      </c>
      <c r="AO1" s="6" t="s">
        <v>153</v>
      </c>
      <c r="AQ1" s="73" t="s">
        <v>187</v>
      </c>
    </row>
    <row r="2" spans="1:43" x14ac:dyDescent="0.25">
      <c r="A2" s="21"/>
      <c r="B2" s="3"/>
      <c r="C2" s="4"/>
      <c r="D2" s="100" t="s">
        <v>11</v>
      </c>
      <c r="E2" s="132">
        <v>5</v>
      </c>
      <c r="F2" s="102"/>
      <c r="G2" s="102"/>
      <c r="H2" s="102"/>
      <c r="I2" s="102"/>
      <c r="J2" s="102"/>
      <c r="K2" s="102"/>
      <c r="L2" s="102"/>
      <c r="M2" s="102"/>
      <c r="N2" s="133"/>
      <c r="O2" s="134">
        <v>0</v>
      </c>
      <c r="P2" s="91"/>
      <c r="Q2" s="128"/>
      <c r="R2" s="135">
        <f>SUM(P2,Q2)</f>
        <v>0</v>
      </c>
      <c r="S2" s="128"/>
      <c r="T2" s="136">
        <f>SUM(R2,S2)</f>
        <v>0</v>
      </c>
      <c r="U2" s="103">
        <f>IF(AQ2&lt;0,0,(T2-67.3)*0.057)</f>
        <v>0</v>
      </c>
      <c r="V2" s="128"/>
      <c r="W2" s="137"/>
      <c r="X2" s="128"/>
      <c r="Y2" s="103">
        <f>R2*0.494%</f>
        <v>0</v>
      </c>
      <c r="Z2" s="128"/>
      <c r="AA2" s="128"/>
      <c r="AB2" s="128"/>
      <c r="AC2" s="128">
        <f>R2-Z2-AA2-AB2</f>
        <v>0</v>
      </c>
      <c r="AD2" s="276">
        <f>IF(P2=0,0,IF(VLOOKUP(AC2,'Table 52'!$A$2:$B$384,2,TRUE)&gt;=VLOOKUP(Emp.1!AC2,'Table 52'!$C$2:$D$384,2,TRUE),MAX(VLOOKUP(Emp.1!AC2,'Table 52'!$A$2:$B$384,2,TRUE),VLOOKUP(Emp.1!AC2,'Table 52'!$C$2:$D$384,2,TRUE)),0)+55)</f>
        <v>0</v>
      </c>
      <c r="AE2" s="288">
        <f>T2-AB2</f>
        <v>0</v>
      </c>
      <c r="AF2" s="277">
        <f>IF(P2=0,0,IF(VLOOKUP(AE2,'Table 52'!$E$2:$F$276,2,TRUE)&gt;=VLOOKUP(Emp.1!AE2,'Table 52'!$G$2:$H$276,2,TRUE),MAX(VLOOKUP(Emp.1!AE2,'Table 52'!$E$2:$F$276,2,TRUE),VLOOKUP(Emp.1!AE2,'Table 52'!$G$2:$H$276,2,TRUE)),0)+100)</f>
        <v>0</v>
      </c>
      <c r="AG2" s="128">
        <f>Q2</f>
        <v>0</v>
      </c>
      <c r="AH2" s="128">
        <f>SUM(U2,W2,Y2,Z2,AA2,AB2,AD2,AF2,AG2)</f>
        <v>0</v>
      </c>
      <c r="AI2" s="128">
        <f>R2-AH2</f>
        <v>0</v>
      </c>
      <c r="AJ2" s="128">
        <f>O2*0.6</f>
        <v>0</v>
      </c>
      <c r="AK2" s="139">
        <f>AI2+AJ2</f>
        <v>0</v>
      </c>
      <c r="AL2" s="106">
        <f>R2*0.692%</f>
        <v>0</v>
      </c>
      <c r="AM2" s="25"/>
      <c r="AN2" s="25"/>
      <c r="AQ2" s="73">
        <f>(T2-67.3)*0.057</f>
        <v>-3.8361000000000001</v>
      </c>
    </row>
    <row r="3" spans="1:43" x14ac:dyDescent="0.25">
      <c r="A3" s="21"/>
      <c r="B3" s="3"/>
      <c r="C3" s="4"/>
      <c r="D3" s="107" t="s">
        <v>11</v>
      </c>
      <c r="E3" s="140">
        <v>14</v>
      </c>
      <c r="F3" s="30"/>
      <c r="G3" s="30"/>
      <c r="H3" s="30"/>
      <c r="I3" s="30"/>
      <c r="J3" s="30"/>
      <c r="K3" s="30"/>
      <c r="L3" s="30"/>
      <c r="M3" s="30"/>
      <c r="N3" s="30"/>
      <c r="O3" s="141"/>
      <c r="P3" s="91"/>
      <c r="Q3" s="125"/>
      <c r="R3" s="142">
        <f t="shared" ref="R3:R6" si="0">SUM(P3,Q3)</f>
        <v>0</v>
      </c>
      <c r="S3" s="125"/>
      <c r="T3" s="143">
        <f t="shared" ref="T3:T6" si="1">SUM(R3,S3)</f>
        <v>0</v>
      </c>
      <c r="U3" s="144">
        <f t="shared" ref="U3:U6" si="2">IF(AQ3&lt;0,0,(T3-67.3)*0.057)</f>
        <v>0</v>
      </c>
      <c r="V3" s="125"/>
      <c r="W3" s="145"/>
      <c r="X3" s="125"/>
      <c r="Y3" s="125">
        <f t="shared" ref="Y3:Y6" si="3">R3*0.494%</f>
        <v>0</v>
      </c>
      <c r="Z3" s="125"/>
      <c r="AA3" s="125"/>
      <c r="AB3" s="125"/>
      <c r="AC3" s="125">
        <f t="shared" ref="AC3:AC6" si="4">R3-Z3-AA3-AB3</f>
        <v>0</v>
      </c>
      <c r="AD3" s="289">
        <f>IF(P3=0,0,IF(VLOOKUP(AC3,'Table 52'!$A$2:$B$384,2,TRUE)&gt;=VLOOKUP(Emp.1!AC3,'Table 52'!$C$2:$D$384,2,TRUE),MAX(VLOOKUP(Emp.1!AC3,'Table 52'!$A$2:$B$384,2,TRUE),VLOOKUP(Emp.1!AC3,'Table 52'!$C$2:$D$384,2,TRUE)),0)+55)</f>
        <v>0</v>
      </c>
      <c r="AE3" s="290">
        <f>T3-AB3</f>
        <v>0</v>
      </c>
      <c r="AF3" s="291">
        <f>IF(P3=0,0,IF(VLOOKUP(AE3,'Table 52'!$E$2:$F$276,2,TRUE)&gt;=VLOOKUP(Emp.1!AE3,'Table 52'!$G$2:$H$276,2,TRUE),MAX(VLOOKUP(Emp.1!AE3,'Table 52'!$E$2:$F$276,2,TRUE),VLOOKUP(Emp.1!AE3,'Table 52'!$G$2:$H$276,2,TRUE)),0)+100)</f>
        <v>0</v>
      </c>
      <c r="AG3" s="125">
        <f>Q3</f>
        <v>0</v>
      </c>
      <c r="AH3" s="125">
        <f>SUM(U3,W3,Y3,Z3,AA3,AB3,AD3,AF3,AG3)</f>
        <v>0</v>
      </c>
      <c r="AI3" s="125">
        <f>R3-AH3</f>
        <v>0</v>
      </c>
      <c r="AJ3" s="125">
        <f>O3*0.6</f>
        <v>0</v>
      </c>
      <c r="AK3" s="147">
        <f>AI3+AJ3</f>
        <v>0</v>
      </c>
      <c r="AL3" s="148">
        <f t="shared" ref="AL3:AL6" si="5">R3*0.692%</f>
        <v>0</v>
      </c>
      <c r="AM3" s="25"/>
      <c r="AN3" s="25"/>
      <c r="AQ3" s="73">
        <f t="shared" ref="AQ3:AQ6" si="6">(T3-67.3)*0.057</f>
        <v>-3.8361000000000001</v>
      </c>
    </row>
    <row r="4" spans="1:43" x14ac:dyDescent="0.25">
      <c r="A4" s="21"/>
      <c r="B4" s="3"/>
      <c r="C4" s="4"/>
      <c r="D4" s="107" t="s">
        <v>11</v>
      </c>
      <c r="E4" s="140">
        <v>18</v>
      </c>
      <c r="F4" s="30"/>
      <c r="G4" s="30"/>
      <c r="H4" s="30"/>
      <c r="I4" s="30"/>
      <c r="J4" s="30"/>
      <c r="K4" s="30"/>
      <c r="L4" s="30"/>
      <c r="M4" s="30"/>
      <c r="N4" s="30"/>
      <c r="O4" s="141"/>
      <c r="P4" s="91"/>
      <c r="Q4" s="125"/>
      <c r="R4" s="142">
        <f t="shared" si="0"/>
        <v>0</v>
      </c>
      <c r="S4" s="125"/>
      <c r="T4" s="143">
        <f t="shared" si="1"/>
        <v>0</v>
      </c>
      <c r="U4" s="144">
        <f t="shared" si="2"/>
        <v>0</v>
      </c>
      <c r="V4" s="125"/>
      <c r="W4" s="145"/>
      <c r="X4" s="125"/>
      <c r="Y4" s="125">
        <f t="shared" si="3"/>
        <v>0</v>
      </c>
      <c r="Z4" s="125"/>
      <c r="AA4" s="125"/>
      <c r="AB4" s="125"/>
      <c r="AC4" s="125">
        <f t="shared" si="4"/>
        <v>0</v>
      </c>
      <c r="AD4" s="289">
        <f>IF(P4=0,0,IF(VLOOKUP(AC4,'Table 52'!$A$2:$B$384,2,TRUE)&gt;=VLOOKUP(Emp.1!AC4,'Table 52'!$C$2:$D$384,2,TRUE),MAX(VLOOKUP(Emp.1!AC4,'Table 52'!$A$2:$B$384,2,TRUE),VLOOKUP(Emp.1!AC4,'Table 52'!$C$2:$D$384,2,TRUE)),0)+55)</f>
        <v>0</v>
      </c>
      <c r="AE4" s="290">
        <f>T4-AB4</f>
        <v>0</v>
      </c>
      <c r="AF4" s="291">
        <f>IF(P4=0,0,IF(VLOOKUP(AE4,'Table 52'!$E$2:$F$276,2,TRUE)&gt;=VLOOKUP(Emp.1!AE4,'Table 52'!$G$2:$H$276,2,TRUE),MAX(VLOOKUP(Emp.1!AE4,'Table 52'!$E$2:$F$276,2,TRUE),VLOOKUP(Emp.1!AE4,'Table 52'!$G$2:$H$276,2,TRUE)),0)+100)</f>
        <v>0</v>
      </c>
      <c r="AG4" s="125">
        <f>Q4</f>
        <v>0</v>
      </c>
      <c r="AH4" s="125">
        <f>SUM(U4,W4,Y4,Z4,AA4,AB4,AD4,AF4,AG4)</f>
        <v>0</v>
      </c>
      <c r="AI4" s="125">
        <f>R4-AH4</f>
        <v>0</v>
      </c>
      <c r="AJ4" s="125">
        <f>O4*0.6</f>
        <v>0</v>
      </c>
      <c r="AK4" s="147">
        <f>AI4+AJ4</f>
        <v>0</v>
      </c>
      <c r="AL4" s="148">
        <f t="shared" si="5"/>
        <v>0</v>
      </c>
      <c r="AM4" s="25"/>
      <c r="AN4" s="25"/>
      <c r="AQ4" s="73">
        <f t="shared" si="6"/>
        <v>-3.8361000000000001</v>
      </c>
    </row>
    <row r="5" spans="1:43" x14ac:dyDescent="0.25">
      <c r="A5" s="4"/>
      <c r="B5" s="4"/>
      <c r="C5" s="4"/>
      <c r="D5" s="107" t="s">
        <v>11</v>
      </c>
      <c r="E5" s="140">
        <v>22</v>
      </c>
      <c r="F5" s="30"/>
      <c r="G5" s="30"/>
      <c r="H5" s="30"/>
      <c r="I5" s="30"/>
      <c r="J5" s="30"/>
      <c r="K5" s="30"/>
      <c r="L5" s="30"/>
      <c r="M5" s="30"/>
      <c r="N5" s="30"/>
      <c r="O5" s="141"/>
      <c r="P5" s="91"/>
      <c r="Q5" s="125"/>
      <c r="R5" s="142">
        <f t="shared" si="0"/>
        <v>0</v>
      </c>
      <c r="S5" s="125"/>
      <c r="T5" s="143">
        <f t="shared" si="1"/>
        <v>0</v>
      </c>
      <c r="U5" s="144">
        <f t="shared" si="2"/>
        <v>0</v>
      </c>
      <c r="V5" s="125"/>
      <c r="W5" s="145"/>
      <c r="X5" s="125"/>
      <c r="Y5" s="125">
        <f t="shared" si="3"/>
        <v>0</v>
      </c>
      <c r="Z5" s="125"/>
      <c r="AA5" s="125"/>
      <c r="AB5" s="125"/>
      <c r="AC5" s="125">
        <f t="shared" si="4"/>
        <v>0</v>
      </c>
      <c r="AD5" s="289">
        <f>IF(P5=0,0,IF(VLOOKUP(AC5,'Table 52'!$A$2:$B$384,2,TRUE)&gt;=VLOOKUP(Emp.1!AC5,'Table 52'!$C$2:$D$384,2,TRUE),MAX(VLOOKUP(Emp.1!AC5,'Table 52'!$A$2:$B$384,2,TRUE),VLOOKUP(Emp.1!AC5,'Table 52'!$C$2:$D$384,2,TRUE)),0)+55)</f>
        <v>0</v>
      </c>
      <c r="AE5" s="290">
        <f>T5-AB5</f>
        <v>0</v>
      </c>
      <c r="AF5" s="291">
        <f>IF(P5=0,0,IF(VLOOKUP(AE5,'Table 52'!$E$2:$F$276,2,TRUE)&gt;=VLOOKUP(Emp.1!AE5,'Table 52'!$G$2:$H$276,2,TRUE),MAX(VLOOKUP(Emp.1!AE5,'Table 52'!$E$2:$F$276,2,TRUE),VLOOKUP(Emp.1!AE5,'Table 52'!$G$2:$H$276,2,TRUE)),0)+100)</f>
        <v>0</v>
      </c>
      <c r="AG5" s="125">
        <f>Q5</f>
        <v>0</v>
      </c>
      <c r="AH5" s="125">
        <f>SUM(U5,W5,Y5,Z5,AA5,AB5,AD5,AF5,AG5)</f>
        <v>0</v>
      </c>
      <c r="AI5" s="125">
        <f>R5-AH5</f>
        <v>0</v>
      </c>
      <c r="AJ5" s="125">
        <f>O5*0.6</f>
        <v>0</v>
      </c>
      <c r="AK5" s="147">
        <f>AI5+AJ5</f>
        <v>0</v>
      </c>
      <c r="AL5" s="148">
        <f t="shared" si="5"/>
        <v>0</v>
      </c>
      <c r="AM5" s="25"/>
      <c r="AN5" s="25"/>
      <c r="AQ5" s="73">
        <f t="shared" si="6"/>
        <v>-3.8361000000000001</v>
      </c>
    </row>
    <row r="6" spans="1:43" x14ac:dyDescent="0.25">
      <c r="A6" s="4"/>
      <c r="B6" s="4"/>
      <c r="C6" s="4"/>
      <c r="D6" s="107" t="s">
        <v>11</v>
      </c>
      <c r="E6" s="140">
        <v>25</v>
      </c>
      <c r="F6" s="30"/>
      <c r="G6" s="30"/>
      <c r="H6" s="30"/>
      <c r="I6" s="30"/>
      <c r="J6" s="30"/>
      <c r="K6" s="30"/>
      <c r="L6" s="30"/>
      <c r="M6" s="30"/>
      <c r="N6" s="30"/>
      <c r="O6" s="141">
        <v>0</v>
      </c>
      <c r="P6" s="91"/>
      <c r="Q6" s="204"/>
      <c r="R6" s="205">
        <f t="shared" si="0"/>
        <v>0</v>
      </c>
      <c r="S6" s="206"/>
      <c r="T6" s="207">
        <f t="shared" si="1"/>
        <v>0</v>
      </c>
      <c r="U6" s="208">
        <f t="shared" si="2"/>
        <v>0</v>
      </c>
      <c r="V6" s="206"/>
      <c r="W6" s="209">
        <v>0</v>
      </c>
      <c r="X6" s="206"/>
      <c r="Y6" s="206">
        <f t="shared" si="3"/>
        <v>0</v>
      </c>
      <c r="Z6" s="206"/>
      <c r="AA6" s="206"/>
      <c r="AB6" s="206"/>
      <c r="AC6" s="206">
        <f t="shared" si="4"/>
        <v>0</v>
      </c>
      <c r="AD6" s="292">
        <f>IF(P6=0,0,IF(VLOOKUP(AC6,'Table 52'!$A$2:$B$384,2,TRUE)&gt;=VLOOKUP(Emp.1!AC6,'Table 52'!$C$2:$D$384,2,TRUE),MAX(VLOOKUP(Emp.1!AC6,'Table 52'!$A$2:$B$384,2,TRUE),VLOOKUP(Emp.1!AC6,'Table 52'!$C$2:$D$384,2,TRUE)),0)+55)</f>
        <v>0</v>
      </c>
      <c r="AE6" s="293">
        <f t="shared" ref="AE6" si="7">T6-AB6</f>
        <v>0</v>
      </c>
      <c r="AF6" s="294">
        <f>IF(P6=0,0,IF(VLOOKUP(AE6,'Table 52'!$E$2:$F$276,2,TRUE)&gt;=VLOOKUP(Emp.1!AE6,'Table 52'!$G$2:$H$276,2,TRUE),MAX(VLOOKUP(Emp.1!AE6,'Table 52'!$E$2:$F$276,2,TRUE),VLOOKUP(Emp.1!AE6,'Table 52'!$G$2:$H$276,2,TRUE)),0)+100)</f>
        <v>0</v>
      </c>
      <c r="AG6" s="206">
        <f t="shared" ref="AG6" si="8">Q6</f>
        <v>0</v>
      </c>
      <c r="AH6" s="206">
        <f>SUM(AD6+AF6+U6+W6+Y6+Z6+AA6+AB6+AG6)</f>
        <v>0</v>
      </c>
      <c r="AI6" s="206">
        <f>R6-AH6</f>
        <v>0</v>
      </c>
      <c r="AJ6" s="206">
        <f>O6*0.6</f>
        <v>0</v>
      </c>
      <c r="AK6" s="212">
        <f>AI6+AJ6</f>
        <v>0</v>
      </c>
      <c r="AL6" s="213">
        <f t="shared" si="5"/>
        <v>0</v>
      </c>
      <c r="AM6" s="25"/>
      <c r="AN6" s="25"/>
      <c r="AQ6" s="73">
        <f t="shared" si="6"/>
        <v>-3.8361000000000001</v>
      </c>
    </row>
    <row r="7" spans="1:43" ht="13.8" thickBot="1" x14ac:dyDescent="0.3">
      <c r="A7" s="3"/>
      <c r="B7" s="3"/>
      <c r="C7" s="3"/>
      <c r="D7" s="278" t="s">
        <v>32</v>
      </c>
      <c r="E7" s="287"/>
      <c r="F7" s="280"/>
      <c r="G7" s="280"/>
      <c r="H7" s="280"/>
      <c r="I7" s="280"/>
      <c r="J7" s="280"/>
      <c r="K7" s="280"/>
      <c r="L7" s="280"/>
      <c r="M7" s="280"/>
      <c r="N7" s="280"/>
      <c r="O7" s="298">
        <f>SUM(O2:O6)</f>
        <v>0</v>
      </c>
      <c r="P7" s="299">
        <f>SUM(P2:P6)</f>
        <v>0</v>
      </c>
      <c r="Q7" s="299">
        <f t="shared" ref="Q7:AP7" si="9">SUM(Q2:Q6)</f>
        <v>0</v>
      </c>
      <c r="R7" s="300">
        <f t="shared" si="9"/>
        <v>0</v>
      </c>
      <c r="S7" s="299">
        <f t="shared" si="9"/>
        <v>0</v>
      </c>
      <c r="T7" s="299">
        <f t="shared" si="9"/>
        <v>0</v>
      </c>
      <c r="U7" s="299">
        <f t="shared" si="9"/>
        <v>0</v>
      </c>
      <c r="V7" s="299">
        <f t="shared" si="9"/>
        <v>0</v>
      </c>
      <c r="W7" s="299">
        <f t="shared" si="9"/>
        <v>0</v>
      </c>
      <c r="X7" s="299">
        <f t="shared" si="9"/>
        <v>0</v>
      </c>
      <c r="Y7" s="299">
        <f t="shared" si="9"/>
        <v>0</v>
      </c>
      <c r="Z7" s="299">
        <f t="shared" si="9"/>
        <v>0</v>
      </c>
      <c r="AA7" s="299">
        <f t="shared" si="9"/>
        <v>0</v>
      </c>
      <c r="AB7" s="299">
        <f t="shared" si="9"/>
        <v>0</v>
      </c>
      <c r="AC7" s="299">
        <f t="shared" si="9"/>
        <v>0</v>
      </c>
      <c r="AD7" s="301">
        <f t="shared" si="9"/>
        <v>0</v>
      </c>
      <c r="AE7" s="302">
        <f t="shared" si="9"/>
        <v>0</v>
      </c>
      <c r="AF7" s="303">
        <f t="shared" si="9"/>
        <v>0</v>
      </c>
      <c r="AG7" s="299">
        <f t="shared" si="9"/>
        <v>0</v>
      </c>
      <c r="AH7" s="299">
        <f t="shared" si="9"/>
        <v>0</v>
      </c>
      <c r="AI7" s="299">
        <f t="shared" si="9"/>
        <v>0</v>
      </c>
      <c r="AJ7" s="299">
        <f t="shared" si="9"/>
        <v>0</v>
      </c>
      <c r="AK7" s="304">
        <f t="shared" si="9"/>
        <v>0</v>
      </c>
      <c r="AL7" s="305">
        <f t="shared" si="9"/>
        <v>0</v>
      </c>
      <c r="AM7" s="13">
        <f t="shared" si="9"/>
        <v>0</v>
      </c>
      <c r="AN7" s="13">
        <f t="shared" si="9"/>
        <v>0</v>
      </c>
      <c r="AO7" s="13">
        <f t="shared" si="9"/>
        <v>0</v>
      </c>
      <c r="AP7" s="25">
        <f t="shared" si="9"/>
        <v>0</v>
      </c>
    </row>
    <row r="8" spans="1:43" x14ac:dyDescent="0.25">
      <c r="A8" s="71"/>
      <c r="B8" s="4"/>
      <c r="C8" s="4"/>
      <c r="E8" s="7"/>
      <c r="P8" s="25"/>
      <c r="Q8" s="25"/>
      <c r="R8" s="74">
        <f t="shared" ref="R8:R64" si="10">P8+Q8</f>
        <v>0</v>
      </c>
      <c r="S8" s="25"/>
      <c r="T8" s="35">
        <f t="shared" ref="T8:T64" si="11">R8+S8</f>
        <v>0</v>
      </c>
      <c r="U8" s="52"/>
      <c r="V8" s="25"/>
      <c r="W8" s="31"/>
      <c r="X8" s="25"/>
      <c r="Y8" s="25">
        <f t="shared" ref="Y8:Y64" si="12">R8*0.559%</f>
        <v>0</v>
      </c>
      <c r="Z8" s="25">
        <f t="shared" ref="Z8" si="13">R8*0.75%</f>
        <v>0</v>
      </c>
      <c r="AA8" s="25"/>
      <c r="AB8" s="25"/>
      <c r="AC8" s="25"/>
      <c r="AD8" s="94"/>
      <c r="AE8" s="95"/>
      <c r="AF8" s="94"/>
      <c r="AG8" s="25"/>
      <c r="AH8" s="25"/>
      <c r="AI8" s="25"/>
      <c r="AJ8" s="25"/>
      <c r="AK8" s="96"/>
      <c r="AL8" s="26">
        <f t="shared" ref="AL8:AL64" si="14">R8*0.752%</f>
        <v>0</v>
      </c>
      <c r="AM8" s="25">
        <f t="shared" ref="AM8:AM64" si="15">O8*5.335</f>
        <v>0</v>
      </c>
      <c r="AN8" s="25">
        <f t="shared" ref="AN8:AN64" si="16">2*O8</f>
        <v>0</v>
      </c>
    </row>
    <row r="9" spans="1:43" x14ac:dyDescent="0.25">
      <c r="A9" s="3"/>
      <c r="B9" s="3"/>
      <c r="C9" s="3"/>
      <c r="D9" s="100" t="s">
        <v>12</v>
      </c>
      <c r="E9" s="132">
        <v>28</v>
      </c>
      <c r="F9" s="102"/>
      <c r="G9" s="102"/>
      <c r="H9" s="102"/>
      <c r="I9" s="102"/>
      <c r="J9" s="102"/>
      <c r="K9" s="102"/>
      <c r="L9" s="102"/>
      <c r="M9" s="102"/>
      <c r="N9" s="102"/>
      <c r="O9" s="102">
        <v>0</v>
      </c>
      <c r="P9" s="91"/>
      <c r="Q9" s="128"/>
      <c r="R9" s="135">
        <f>SUM(P9,Q9)</f>
        <v>0</v>
      </c>
      <c r="S9" s="128"/>
      <c r="T9" s="136">
        <f>SUM(R9,S9)</f>
        <v>0</v>
      </c>
      <c r="U9" s="103">
        <f>IF(AQ9&lt;0,0,(T9-67.3)*0.057)</f>
        <v>0</v>
      </c>
      <c r="V9" s="128"/>
      <c r="W9" s="137"/>
      <c r="X9" s="128"/>
      <c r="Y9" s="103">
        <f>R9*0.494%</f>
        <v>0</v>
      </c>
      <c r="Z9" s="128"/>
      <c r="AA9" s="128"/>
      <c r="AB9" s="128"/>
      <c r="AC9" s="128">
        <f>R9-Z9-AA9-AB9</f>
        <v>0</v>
      </c>
      <c r="AD9" s="276">
        <f>IF(P9=0,0,IF(VLOOKUP(AC9,'Table 52'!$A$2:$B$384,2,TRUE)&gt;=VLOOKUP(Emp.1!AC9,'Table 52'!$C$2:$D$384,2,TRUE),MAX(VLOOKUP(Emp.1!AC9,'Table 52'!$A$2:$B$384,2,TRUE),VLOOKUP(Emp.1!AC9,'Table 52'!$C$2:$D$384,2,TRUE)),0)+55)</f>
        <v>0</v>
      </c>
      <c r="AE9" s="288">
        <f>T9-AB9</f>
        <v>0</v>
      </c>
      <c r="AF9" s="277">
        <f>IF(P9=0,0,IF(VLOOKUP(AE9,'Table 52'!$E$2:$F$276,2,TRUE)&gt;=VLOOKUP(Emp.1!AE9,'Table 52'!$G$2:$H$276,2,TRUE),MAX(VLOOKUP(Emp.1!AE9,'Table 52'!$E$2:$F$276,2,TRUE),VLOOKUP(Emp.1!AE9,'Table 52'!$G$2:$H$276,2,TRUE)),0)+100)</f>
        <v>0</v>
      </c>
      <c r="AG9" s="128">
        <f>Q9</f>
        <v>0</v>
      </c>
      <c r="AH9" s="128">
        <f>SUM(U9,W9,Y9,Z9,AA9,AB9,AD9,AF9,AG9)</f>
        <v>0</v>
      </c>
      <c r="AI9" s="128">
        <f>R9-AH9</f>
        <v>0</v>
      </c>
      <c r="AJ9" s="128">
        <f>O9*0.6</f>
        <v>0</v>
      </c>
      <c r="AK9" s="139">
        <f>AI9+AJ9</f>
        <v>0</v>
      </c>
      <c r="AL9" s="106">
        <f>R9*0.692%</f>
        <v>0</v>
      </c>
      <c r="AM9" s="25"/>
      <c r="AN9" s="25"/>
      <c r="AQ9" s="73">
        <f>(T9-67.3)*0.057</f>
        <v>-3.8361000000000001</v>
      </c>
    </row>
    <row r="10" spans="1:43" x14ac:dyDescent="0.25">
      <c r="A10" s="67"/>
      <c r="B10" s="4"/>
      <c r="C10" s="4"/>
      <c r="D10" s="107" t="s">
        <v>12</v>
      </c>
      <c r="E10" s="140"/>
      <c r="F10" s="30"/>
      <c r="G10" s="112"/>
      <c r="H10" s="30"/>
      <c r="I10" s="30"/>
      <c r="J10" s="30"/>
      <c r="K10" s="30"/>
      <c r="L10" s="30"/>
      <c r="M10" s="30"/>
      <c r="N10" s="30"/>
      <c r="O10" s="30"/>
      <c r="P10" s="91"/>
      <c r="Q10" s="125"/>
      <c r="R10" s="142">
        <f>SUM(P10,Q10)</f>
        <v>0</v>
      </c>
      <c r="S10" s="125"/>
      <c r="T10" s="143">
        <f>SUM(R10,S10)</f>
        <v>0</v>
      </c>
      <c r="U10" s="144">
        <f t="shared" ref="U10:U12" si="17">IF(AQ10&lt;0,0,(T10-67.3)*0.057)</f>
        <v>0</v>
      </c>
      <c r="V10" s="125"/>
      <c r="W10" s="145"/>
      <c r="X10" s="125"/>
      <c r="Y10" s="125">
        <f t="shared" ref="Y10:Y12" si="18">R10*0.494%</f>
        <v>0</v>
      </c>
      <c r="Z10" s="125"/>
      <c r="AA10" s="125"/>
      <c r="AB10" s="125"/>
      <c r="AC10" s="125">
        <f>R10-Z10-AA10-AB10</f>
        <v>0</v>
      </c>
      <c r="AD10" s="289">
        <f>IF(P10=0,0,IF(VLOOKUP(AC10,'Table 52'!$A$2:$B$384,2,TRUE)&gt;=VLOOKUP(Emp.1!AC10,'Table 52'!$C$2:$D$384,2,TRUE),MAX(VLOOKUP(Emp.1!AC10,'Table 52'!$A$2:$B$384,2,TRUE),VLOOKUP(Emp.1!AC10,'Table 52'!$C$2:$D$384,2,TRUE)),0)+55)</f>
        <v>0</v>
      </c>
      <c r="AE10" s="290">
        <f>T10-AB10</f>
        <v>0</v>
      </c>
      <c r="AF10" s="291">
        <f>IF(P10=0,0,IF(VLOOKUP(AE10,'Table 52'!$E$2:$F$276,2,TRUE)&gt;=VLOOKUP(Emp.1!AE10,'Table 52'!$G$2:$H$276,2,TRUE),MAX(VLOOKUP(Emp.1!AE10,'Table 52'!$E$2:$F$276,2,TRUE),VLOOKUP(Emp.1!AE10,'Table 52'!$G$2:$H$276,2,TRUE)),0)+100)</f>
        <v>0</v>
      </c>
      <c r="AG10" s="125">
        <f>Q10</f>
        <v>0</v>
      </c>
      <c r="AH10" s="125">
        <f>SUM(U10,W10,Y10,Z10,AA10,AB10,AD10,AF10,AG10)</f>
        <v>0</v>
      </c>
      <c r="AI10" s="125">
        <f>R10-AH10</f>
        <v>0</v>
      </c>
      <c r="AJ10" s="125">
        <f>O10*0.6</f>
        <v>0</v>
      </c>
      <c r="AK10" s="147">
        <f>AI10+AJ10</f>
        <v>0</v>
      </c>
      <c r="AL10" s="148">
        <f t="shared" ref="AL10:AL12" si="19">R10*0.692%</f>
        <v>0</v>
      </c>
      <c r="AM10" s="25"/>
      <c r="AN10" s="25"/>
      <c r="AQ10" s="73">
        <f>(T10-67.3)*0.057</f>
        <v>-3.8361000000000001</v>
      </c>
    </row>
    <row r="11" spans="1:43" x14ac:dyDescent="0.25">
      <c r="A11" s="3"/>
      <c r="B11" s="3"/>
      <c r="C11" s="4"/>
      <c r="D11" s="107" t="s">
        <v>12</v>
      </c>
      <c r="E11" s="140"/>
      <c r="F11" s="30"/>
      <c r="G11" s="112"/>
      <c r="H11" s="30"/>
      <c r="I11" s="30"/>
      <c r="J11" s="30"/>
      <c r="K11" s="30"/>
      <c r="L11" s="30"/>
      <c r="M11" s="30"/>
      <c r="N11" s="30"/>
      <c r="O11" s="30"/>
      <c r="P11" s="91"/>
      <c r="Q11" s="125"/>
      <c r="R11" s="142">
        <f>SUM(P11,Q11)</f>
        <v>0</v>
      </c>
      <c r="S11" s="125"/>
      <c r="T11" s="143">
        <f>SUM(R11,S11)</f>
        <v>0</v>
      </c>
      <c r="U11" s="144">
        <f t="shared" si="17"/>
        <v>0</v>
      </c>
      <c r="V11" s="125"/>
      <c r="W11" s="145"/>
      <c r="X11" s="125"/>
      <c r="Y11" s="125">
        <f t="shared" si="18"/>
        <v>0</v>
      </c>
      <c r="Z11" s="125"/>
      <c r="AA11" s="125"/>
      <c r="AB11" s="125"/>
      <c r="AC11" s="125">
        <f>R11-Z11-AA11-AB11</f>
        <v>0</v>
      </c>
      <c r="AD11" s="289">
        <f>IF(P11=0,0,IF(VLOOKUP(AC11,'Table 52'!$A$2:$B$384,2,TRUE)&gt;=VLOOKUP(Emp.1!AC11,'Table 52'!$C$2:$D$384,2,TRUE),MAX(VLOOKUP(Emp.1!AC11,'Table 52'!$A$2:$B$384,2,TRUE),VLOOKUP(Emp.1!AC11,'Table 52'!$C$2:$D$384,2,TRUE)),0)+55)</f>
        <v>0</v>
      </c>
      <c r="AE11" s="290">
        <f>T11-AB11</f>
        <v>0</v>
      </c>
      <c r="AF11" s="291">
        <f>IF(P11=0,0,IF(VLOOKUP(AE11,'Table 52'!$E$2:$F$276,2,TRUE)&gt;=VLOOKUP(Emp.1!AE11,'Table 52'!$G$2:$H$276,2,TRUE),MAX(VLOOKUP(Emp.1!AE11,'Table 52'!$E$2:$F$276,2,TRUE),VLOOKUP(Emp.1!AE11,'Table 52'!$G$2:$H$276,2,TRUE)),0)+100)</f>
        <v>0</v>
      </c>
      <c r="AG11" s="125">
        <f>Q11</f>
        <v>0</v>
      </c>
      <c r="AH11" s="125">
        <f>SUM(U11,W11,Y11,Z11,AA11,AB11,AD11,AF11,AG11)</f>
        <v>0</v>
      </c>
      <c r="AI11" s="125">
        <f>R11-AH11</f>
        <v>0</v>
      </c>
      <c r="AJ11" s="125">
        <f>O11*0.6</f>
        <v>0</v>
      </c>
      <c r="AK11" s="147">
        <f>AI11+AJ11</f>
        <v>0</v>
      </c>
      <c r="AL11" s="148">
        <f t="shared" si="19"/>
        <v>0</v>
      </c>
      <c r="AM11" s="25"/>
      <c r="AN11" s="25"/>
      <c r="AQ11" s="73">
        <f t="shared" ref="AQ11:AQ12" si="20">(T11-67.3)*0.057</f>
        <v>-3.8361000000000001</v>
      </c>
    </row>
    <row r="12" spans="1:43" x14ac:dyDescent="0.25">
      <c r="A12" s="3"/>
      <c r="B12" s="3"/>
      <c r="C12" s="4"/>
      <c r="D12" s="107" t="s">
        <v>12</v>
      </c>
      <c r="E12" s="140">
        <v>11</v>
      </c>
      <c r="F12" s="30"/>
      <c r="G12" s="112"/>
      <c r="H12" s="30"/>
      <c r="I12" s="30"/>
      <c r="J12" s="30"/>
      <c r="K12" s="30"/>
      <c r="L12" s="30"/>
      <c r="M12" s="30"/>
      <c r="N12" s="30"/>
      <c r="O12" s="30"/>
      <c r="P12" s="91"/>
      <c r="Q12" s="214"/>
      <c r="R12" s="142">
        <f>SUM(P12,Q12)</f>
        <v>0</v>
      </c>
      <c r="S12" s="125"/>
      <c r="T12" s="143">
        <f>SUM(R12,S12)</f>
        <v>0</v>
      </c>
      <c r="U12" s="144">
        <f t="shared" si="17"/>
        <v>0</v>
      </c>
      <c r="V12" s="125"/>
      <c r="W12" s="145"/>
      <c r="X12" s="125"/>
      <c r="Y12" s="125">
        <f t="shared" si="18"/>
        <v>0</v>
      </c>
      <c r="Z12" s="125"/>
      <c r="AA12" s="125"/>
      <c r="AB12" s="125"/>
      <c r="AC12" s="125">
        <f>R12-Z12-AA12-AB12</f>
        <v>0</v>
      </c>
      <c r="AD12" s="289">
        <f>IF(P12=0,0,IF(VLOOKUP(AC12,'Table 52'!$A$2:$B$384,2,TRUE)&gt;=VLOOKUP(Emp.1!AC12,'Table 52'!$C$2:$D$384,2,TRUE),MAX(VLOOKUP(Emp.1!AC12,'Table 52'!$A$2:$B$384,2,TRUE),VLOOKUP(Emp.1!AC12,'Table 52'!$C$2:$D$384,2,TRUE)),0)+55)</f>
        <v>0</v>
      </c>
      <c r="AE12" s="290">
        <f>T12-AB12</f>
        <v>0</v>
      </c>
      <c r="AF12" s="291">
        <f>IF(P12=0,0,IF(VLOOKUP(AE12,'Table 52'!$E$2:$F$276,2,TRUE)&gt;=VLOOKUP(Emp.1!AE12,'Table 52'!$G$2:$H$276,2,TRUE),MAX(VLOOKUP(Emp.1!AE12,'Table 52'!$E$2:$F$276,2,TRUE),VLOOKUP(Emp.1!AE12,'Table 52'!$G$2:$H$276,2,TRUE)),0)+100)</f>
        <v>0</v>
      </c>
      <c r="AG12" s="125">
        <f>Q12</f>
        <v>0</v>
      </c>
      <c r="AH12" s="125">
        <f>SUM(U12,W12,Y12,Z12,AA12,AB12,AD12,AF12,AG12)</f>
        <v>0</v>
      </c>
      <c r="AI12" s="125">
        <f>R12-AH12</f>
        <v>0</v>
      </c>
      <c r="AJ12" s="125">
        <f>O12*0.6</f>
        <v>0</v>
      </c>
      <c r="AK12" s="147">
        <f>AI12+AJ12</f>
        <v>0</v>
      </c>
      <c r="AL12" s="148">
        <f t="shared" si="19"/>
        <v>0</v>
      </c>
      <c r="AM12" s="25"/>
      <c r="AN12" s="25"/>
      <c r="AQ12" s="73">
        <f t="shared" si="20"/>
        <v>-3.8361000000000001</v>
      </c>
    </row>
    <row r="13" spans="1:43" x14ac:dyDescent="0.25">
      <c r="A13" s="3"/>
      <c r="B13" s="3"/>
      <c r="C13" s="4"/>
      <c r="D13" s="107"/>
      <c r="E13" s="140"/>
      <c r="F13" s="30"/>
      <c r="G13" s="112"/>
      <c r="H13" s="30"/>
      <c r="I13" s="30"/>
      <c r="J13" s="30"/>
      <c r="K13" s="30"/>
      <c r="L13" s="30"/>
      <c r="M13" s="30"/>
      <c r="N13" s="30"/>
      <c r="O13" s="30"/>
      <c r="P13" s="268"/>
      <c r="Q13" s="206"/>
      <c r="R13" s="205"/>
      <c r="S13" s="206"/>
      <c r="T13" s="207"/>
      <c r="U13" s="208"/>
      <c r="V13" s="206"/>
      <c r="W13" s="209"/>
      <c r="X13" s="206"/>
      <c r="Y13" s="206"/>
      <c r="Z13" s="206"/>
      <c r="AA13" s="206"/>
      <c r="AB13" s="206"/>
      <c r="AC13" s="206"/>
      <c r="AD13" s="292"/>
      <c r="AE13" s="293"/>
      <c r="AF13" s="294"/>
      <c r="AG13" s="206"/>
      <c r="AH13" s="206"/>
      <c r="AI13" s="206"/>
      <c r="AJ13" s="206"/>
      <c r="AK13" s="212"/>
      <c r="AL13" s="213"/>
      <c r="AM13" s="25"/>
      <c r="AN13" s="25"/>
    </row>
    <row r="14" spans="1:43" ht="13.8" thickBot="1" x14ac:dyDescent="0.3">
      <c r="A14" s="4"/>
      <c r="B14" s="4"/>
      <c r="C14" s="4"/>
      <c r="D14" s="278" t="s">
        <v>32</v>
      </c>
      <c r="E14" s="287"/>
      <c r="F14" s="280"/>
      <c r="G14" s="280"/>
      <c r="H14" s="280"/>
      <c r="I14" s="280"/>
      <c r="J14" s="280"/>
      <c r="K14" s="280"/>
      <c r="L14" s="280"/>
      <c r="M14" s="280"/>
      <c r="N14" s="280"/>
      <c r="O14" s="298">
        <f>SUM(O10:O12)</f>
        <v>0</v>
      </c>
      <c r="P14" s="299">
        <f>SUM(P9:P13)</f>
        <v>0</v>
      </c>
      <c r="Q14" s="299">
        <f t="shared" ref="Q14:AL14" si="21">SUM(Q9:Q13)</f>
        <v>0</v>
      </c>
      <c r="R14" s="300">
        <f t="shared" si="21"/>
        <v>0</v>
      </c>
      <c r="S14" s="299">
        <f t="shared" si="21"/>
        <v>0</v>
      </c>
      <c r="T14" s="299">
        <f t="shared" si="21"/>
        <v>0</v>
      </c>
      <c r="U14" s="299">
        <f t="shared" si="21"/>
        <v>0</v>
      </c>
      <c r="V14" s="299">
        <f t="shared" si="21"/>
        <v>0</v>
      </c>
      <c r="W14" s="299">
        <f t="shared" si="21"/>
        <v>0</v>
      </c>
      <c r="X14" s="299">
        <f t="shared" si="21"/>
        <v>0</v>
      </c>
      <c r="Y14" s="299">
        <f t="shared" si="21"/>
        <v>0</v>
      </c>
      <c r="Z14" s="299">
        <f t="shared" si="21"/>
        <v>0</v>
      </c>
      <c r="AA14" s="299">
        <f t="shared" si="21"/>
        <v>0</v>
      </c>
      <c r="AB14" s="299">
        <f t="shared" si="21"/>
        <v>0</v>
      </c>
      <c r="AC14" s="299">
        <f t="shared" si="21"/>
        <v>0</v>
      </c>
      <c r="AD14" s="301">
        <f t="shared" si="21"/>
        <v>0</v>
      </c>
      <c r="AE14" s="302">
        <f t="shared" si="21"/>
        <v>0</v>
      </c>
      <c r="AF14" s="303">
        <f t="shared" si="21"/>
        <v>0</v>
      </c>
      <c r="AG14" s="299">
        <f t="shared" si="21"/>
        <v>0</v>
      </c>
      <c r="AH14" s="299">
        <f t="shared" si="21"/>
        <v>0</v>
      </c>
      <c r="AI14" s="299">
        <f t="shared" si="21"/>
        <v>0</v>
      </c>
      <c r="AJ14" s="299">
        <f t="shared" si="21"/>
        <v>0</v>
      </c>
      <c r="AK14" s="304">
        <f t="shared" si="21"/>
        <v>0</v>
      </c>
      <c r="AL14" s="305">
        <f t="shared" si="21"/>
        <v>0</v>
      </c>
      <c r="AM14" s="13">
        <f t="shared" ref="AM14" si="22">SUM(AM8:AM12)</f>
        <v>0</v>
      </c>
      <c r="AN14" s="52">
        <f t="shared" ref="AN14:AO14" si="23">SUM(AN9:AN12)</f>
        <v>0</v>
      </c>
      <c r="AO14" s="52">
        <f t="shared" si="23"/>
        <v>0</v>
      </c>
    </row>
    <row r="15" spans="1:43" x14ac:dyDescent="0.25">
      <c r="A15" s="4"/>
      <c r="B15" s="3"/>
      <c r="C15" s="4"/>
      <c r="E15" s="7"/>
      <c r="P15" s="25"/>
      <c r="Q15" s="25"/>
      <c r="R15" s="74">
        <f t="shared" si="10"/>
        <v>0</v>
      </c>
      <c r="S15" s="25"/>
      <c r="T15" s="35">
        <f t="shared" si="11"/>
        <v>0</v>
      </c>
      <c r="U15" s="52"/>
      <c r="V15" s="25"/>
      <c r="W15" s="31"/>
      <c r="X15" s="25"/>
      <c r="Y15" s="25">
        <f t="shared" si="12"/>
        <v>0</v>
      </c>
      <c r="Z15" s="25">
        <f t="shared" ref="Z15:Z20" si="24">R15*0.75%</f>
        <v>0</v>
      </c>
      <c r="AA15" s="25"/>
      <c r="AB15" s="25">
        <f t="shared" ref="AB15:AB36" si="25">0.8*O15</f>
        <v>0</v>
      </c>
      <c r="AC15" s="25"/>
      <c r="AD15" s="295"/>
      <c r="AE15" s="295"/>
      <c r="AF15" s="295"/>
      <c r="AG15" s="25"/>
      <c r="AH15" s="25"/>
      <c r="AI15" s="25"/>
      <c r="AJ15" s="25"/>
      <c r="AK15" s="96"/>
      <c r="AL15" s="26">
        <f t="shared" si="14"/>
        <v>0</v>
      </c>
      <c r="AM15" s="25">
        <f t="shared" si="15"/>
        <v>0</v>
      </c>
      <c r="AN15" s="25">
        <f t="shared" si="16"/>
        <v>0</v>
      </c>
    </row>
    <row r="16" spans="1:43" x14ac:dyDescent="0.25">
      <c r="A16" s="3"/>
      <c r="B16" s="4"/>
      <c r="C16" s="4"/>
      <c r="D16" s="100" t="s">
        <v>13</v>
      </c>
      <c r="E16" s="132">
        <v>8</v>
      </c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91"/>
      <c r="Q16" s="128"/>
      <c r="R16" s="135">
        <f>SUM(P16,Q16)</f>
        <v>0</v>
      </c>
      <c r="S16" s="128"/>
      <c r="T16" s="136">
        <f>SUM(R16,S16)</f>
        <v>0</v>
      </c>
      <c r="U16" s="103">
        <f>IF(AQ16&lt;0,0,(T16-67.3)*0.057)</f>
        <v>0</v>
      </c>
      <c r="V16" s="128"/>
      <c r="W16" s="137"/>
      <c r="X16" s="128"/>
      <c r="Y16" s="103">
        <f>R16*0.494%</f>
        <v>0</v>
      </c>
      <c r="Z16" s="128"/>
      <c r="AA16" s="128"/>
      <c r="AB16" s="128"/>
      <c r="AC16" s="128">
        <f>R16-Z16-AA16-AB16</f>
        <v>0</v>
      </c>
      <c r="AD16" s="276">
        <f>IF(P16=0,0,IF(VLOOKUP(AC16,'Table 52'!$A$2:$B$384,2,TRUE)&gt;=VLOOKUP(Emp.1!AC16,'Table 52'!$C$2:$D$384,2,TRUE),MAX(VLOOKUP(Emp.1!AC16,'Table 52'!$A$2:$B$384,2,TRUE),VLOOKUP(Emp.1!AC16,'Table 52'!$C$2:$D$384,2,TRUE)),0)+55)</f>
        <v>0</v>
      </c>
      <c r="AE16" s="288">
        <f>T16-AB16</f>
        <v>0</v>
      </c>
      <c r="AF16" s="277">
        <f>IF(P16=0,0,IF(VLOOKUP(AE16,'Table 52'!$E$2:$F$276,2,TRUE)&gt;=VLOOKUP(Emp.1!AE16,'Table 52'!$G$2:$H$276,2,TRUE),MAX(VLOOKUP(Emp.1!AE16,'Table 52'!$E$2:$F$276,2,TRUE),VLOOKUP(Emp.1!AE16,'Table 52'!$G$2:$H$276,2,TRUE)),0)+100)</f>
        <v>0</v>
      </c>
      <c r="AG16" s="128">
        <f>Q16</f>
        <v>0</v>
      </c>
      <c r="AH16" s="128">
        <f>SUM(U16,W16,Y16,Z16,AA16,AB16,AD16,AF16,AG16)</f>
        <v>0</v>
      </c>
      <c r="AI16" s="128">
        <f>R16-AH16</f>
        <v>0</v>
      </c>
      <c r="AJ16" s="128">
        <f>O16*0.6</f>
        <v>0</v>
      </c>
      <c r="AK16" s="139">
        <f>AI16+AJ16</f>
        <v>0</v>
      </c>
      <c r="AL16" s="106">
        <f>R16*0.692%</f>
        <v>0</v>
      </c>
      <c r="AM16" s="25"/>
      <c r="AN16" s="25"/>
      <c r="AQ16" s="73">
        <f>(T16-67.3)*0.057</f>
        <v>-3.8361000000000001</v>
      </c>
    </row>
    <row r="17" spans="1:43" x14ac:dyDescent="0.25">
      <c r="A17" s="4"/>
      <c r="B17" s="4"/>
      <c r="C17" s="4"/>
      <c r="D17" s="107" t="s">
        <v>13</v>
      </c>
      <c r="E17" s="140">
        <v>12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91"/>
      <c r="Q17" s="125"/>
      <c r="R17" s="142">
        <f t="shared" ref="R17:R20" si="26">SUM(P17,Q17)</f>
        <v>0</v>
      </c>
      <c r="S17" s="125"/>
      <c r="T17" s="143">
        <f t="shared" ref="T17:T20" si="27">SUM(R17,S17)</f>
        <v>0</v>
      </c>
      <c r="U17" s="144">
        <f t="shared" ref="U17:U20" si="28">IF(AQ17&lt;0,0,(T17-67.3)*0.057)</f>
        <v>0</v>
      </c>
      <c r="V17" s="125"/>
      <c r="W17" s="145"/>
      <c r="X17" s="125"/>
      <c r="Y17" s="125">
        <f t="shared" ref="Y17:Y20" si="29">R17*0.494%</f>
        <v>0</v>
      </c>
      <c r="Z17" s="125"/>
      <c r="AA17" s="125"/>
      <c r="AB17" s="125"/>
      <c r="AC17" s="125">
        <f t="shared" ref="AC17:AC20" si="30">R17-Z17-AA17-AB17</f>
        <v>0</v>
      </c>
      <c r="AD17" s="289">
        <f>IF(P17=0,0,IF(VLOOKUP(AC17,'Table 52'!$A$2:$B$384,2,TRUE)&gt;=VLOOKUP(Emp.1!AC17,'Table 52'!$C$2:$D$384,2,TRUE),MAX(VLOOKUP(Emp.1!AC17,'Table 52'!$A$2:$B$384,2,TRUE),VLOOKUP(Emp.1!AC17,'Table 52'!$C$2:$D$384,2,TRUE)),0)+55)</f>
        <v>0</v>
      </c>
      <c r="AE17" s="290">
        <f>T17-AB17</f>
        <v>0</v>
      </c>
      <c r="AF17" s="291">
        <f>IF(P17=0,0,IF(VLOOKUP(AE17,'Table 52'!$E$2:$F$276,2,TRUE)&gt;=VLOOKUP(Emp.1!AE17,'Table 52'!$G$2:$H$276,2,TRUE),MAX(VLOOKUP(Emp.1!AE17,'Table 52'!$E$2:$F$276,2,TRUE),VLOOKUP(Emp.1!AE17,'Table 52'!$G$2:$H$276,2,TRUE)),0)+100)</f>
        <v>0</v>
      </c>
      <c r="AG17" s="125">
        <f>Q17</f>
        <v>0</v>
      </c>
      <c r="AH17" s="125">
        <f>SUM(U17,W17,Y17,Z17,AA17,AB17,AD17,AF17,AG17)</f>
        <v>0</v>
      </c>
      <c r="AI17" s="125">
        <f>R17-AH17</f>
        <v>0</v>
      </c>
      <c r="AJ17" s="125">
        <f>O17*0.6</f>
        <v>0</v>
      </c>
      <c r="AK17" s="147">
        <f>AI17+AJ17</f>
        <v>0</v>
      </c>
      <c r="AL17" s="148">
        <f t="shared" ref="AL17:AL20" si="31">R17*0.692%</f>
        <v>0</v>
      </c>
      <c r="AM17" s="25"/>
      <c r="AN17" s="25"/>
      <c r="AQ17" s="73">
        <f t="shared" ref="AQ17:AQ20" si="32">(T17-67.3)*0.057</f>
        <v>-3.8361000000000001</v>
      </c>
    </row>
    <row r="18" spans="1:43" x14ac:dyDescent="0.25">
      <c r="A18" s="3"/>
      <c r="B18" s="3"/>
      <c r="C18" s="3"/>
      <c r="D18" s="107" t="s">
        <v>13</v>
      </c>
      <c r="E18" s="14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91"/>
      <c r="Q18" s="125"/>
      <c r="R18" s="142">
        <f t="shared" si="26"/>
        <v>0</v>
      </c>
      <c r="S18" s="125"/>
      <c r="T18" s="143">
        <f t="shared" si="27"/>
        <v>0</v>
      </c>
      <c r="U18" s="144">
        <f t="shared" si="28"/>
        <v>0</v>
      </c>
      <c r="V18" s="125"/>
      <c r="W18" s="145"/>
      <c r="X18" s="125"/>
      <c r="Y18" s="125">
        <f t="shared" si="29"/>
        <v>0</v>
      </c>
      <c r="Z18" s="125"/>
      <c r="AA18" s="125"/>
      <c r="AB18" s="125"/>
      <c r="AC18" s="125">
        <f t="shared" si="30"/>
        <v>0</v>
      </c>
      <c r="AD18" s="289">
        <f>IF(P18=0,0,IF(VLOOKUP(AC18,'Table 52'!$A$2:$B$384,2,TRUE)&gt;=VLOOKUP(Emp.1!AC18,'Table 52'!$C$2:$D$384,2,TRUE),MAX(VLOOKUP(Emp.1!AC18,'Table 52'!$A$2:$B$384,2,TRUE),VLOOKUP(Emp.1!AC18,'Table 52'!$C$2:$D$384,2,TRUE)),0)+55)</f>
        <v>0</v>
      </c>
      <c r="AE18" s="290">
        <f>T18-AB18</f>
        <v>0</v>
      </c>
      <c r="AF18" s="291">
        <f>IF(P18=0,0,IF(VLOOKUP(AE18,'Table 52'!$E$2:$F$276,2,TRUE)&gt;=VLOOKUP(Emp.1!AE18,'Table 52'!$G$2:$H$276,2,TRUE),MAX(VLOOKUP(Emp.1!AE18,'Table 52'!$E$2:$F$276,2,TRUE),VLOOKUP(Emp.1!AE18,'Table 52'!$G$2:$H$276,2,TRUE)),0)+100)</f>
        <v>0</v>
      </c>
      <c r="AG18" s="125">
        <f>Q18</f>
        <v>0</v>
      </c>
      <c r="AH18" s="125">
        <f>SUM(U18,W18,Y18,Z18,AA18,AB18,AD18,AF18,AG18)</f>
        <v>0</v>
      </c>
      <c r="AI18" s="125">
        <f>R18-AH18</f>
        <v>0</v>
      </c>
      <c r="AJ18" s="125">
        <f>O18*0.6</f>
        <v>0</v>
      </c>
      <c r="AK18" s="147">
        <f>AI18+AJ18</f>
        <v>0</v>
      </c>
      <c r="AL18" s="148">
        <f t="shared" si="31"/>
        <v>0</v>
      </c>
      <c r="AM18" s="25"/>
      <c r="AN18" s="25"/>
      <c r="AQ18" s="73">
        <f t="shared" si="32"/>
        <v>-3.8361000000000001</v>
      </c>
    </row>
    <row r="19" spans="1:43" x14ac:dyDescent="0.25">
      <c r="A19" s="3"/>
      <c r="B19" s="3"/>
      <c r="C19" s="3"/>
      <c r="D19" s="107" t="s">
        <v>13</v>
      </c>
      <c r="E19" s="14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91"/>
      <c r="Q19" s="214"/>
      <c r="R19" s="142">
        <f t="shared" si="26"/>
        <v>0</v>
      </c>
      <c r="S19" s="125"/>
      <c r="T19" s="143">
        <f t="shared" si="27"/>
        <v>0</v>
      </c>
      <c r="U19" s="144">
        <f t="shared" si="28"/>
        <v>0</v>
      </c>
      <c r="V19" s="125"/>
      <c r="W19" s="145"/>
      <c r="X19" s="125"/>
      <c r="Y19" s="125">
        <f t="shared" si="29"/>
        <v>0</v>
      </c>
      <c r="Z19" s="125"/>
      <c r="AA19" s="125"/>
      <c r="AB19" s="125"/>
      <c r="AC19" s="125">
        <f t="shared" si="30"/>
        <v>0</v>
      </c>
      <c r="AD19" s="289">
        <f>IF(P19=0,0,IF(VLOOKUP(AC19,'Table 52'!$A$2:$B$384,2,TRUE)&gt;=VLOOKUP(Emp.1!AC19,'Table 52'!$C$2:$D$384,2,TRUE),MAX(VLOOKUP(Emp.1!AC19,'Table 52'!$A$2:$B$384,2,TRUE),VLOOKUP(Emp.1!AC19,'Table 52'!$C$2:$D$384,2,TRUE)),0)+55)</f>
        <v>0</v>
      </c>
      <c r="AE19" s="290">
        <f>T19-AB19</f>
        <v>0</v>
      </c>
      <c r="AF19" s="291">
        <f>IF(P19=0,0,IF(VLOOKUP(AE19,'Table 52'!$E$2:$F$276,2,TRUE)&gt;=VLOOKUP(Emp.1!AE19,'Table 52'!$G$2:$H$276,2,TRUE),MAX(VLOOKUP(Emp.1!AE19,'Table 52'!$E$2:$F$276,2,TRUE),VLOOKUP(Emp.1!AE19,'Table 52'!$G$2:$H$276,2,TRUE)),0)+100)</f>
        <v>0</v>
      </c>
      <c r="AG19" s="125">
        <f>Q19</f>
        <v>0</v>
      </c>
      <c r="AH19" s="125">
        <f>SUM(U19,W19,Y19,Z19,AA19,AB19,AD19,AF19,AG19)</f>
        <v>0</v>
      </c>
      <c r="AI19" s="125">
        <f>R19-AH19</f>
        <v>0</v>
      </c>
      <c r="AJ19" s="125">
        <f>O19*0.6</f>
        <v>0</v>
      </c>
      <c r="AK19" s="147">
        <f>AI19+AJ19</f>
        <v>0</v>
      </c>
      <c r="AL19" s="148">
        <f t="shared" si="31"/>
        <v>0</v>
      </c>
      <c r="AM19" s="25"/>
      <c r="AN19" s="25"/>
      <c r="AQ19" s="73">
        <f t="shared" si="32"/>
        <v>-3.8361000000000001</v>
      </c>
    </row>
    <row r="20" spans="1:43" x14ac:dyDescent="0.25">
      <c r="A20" s="3"/>
      <c r="B20" s="3"/>
      <c r="C20" s="4"/>
      <c r="D20" s="107" t="s">
        <v>13</v>
      </c>
      <c r="E20" s="14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91"/>
      <c r="Q20" s="204">
        <f t="shared" ref="Q20:Q29" si="33">P20*13%</f>
        <v>0</v>
      </c>
      <c r="R20" s="205">
        <f t="shared" si="26"/>
        <v>0</v>
      </c>
      <c r="S20" s="206"/>
      <c r="T20" s="207">
        <f t="shared" si="27"/>
        <v>0</v>
      </c>
      <c r="U20" s="208">
        <f t="shared" si="28"/>
        <v>0</v>
      </c>
      <c r="V20" s="206"/>
      <c r="W20" s="209">
        <v>0</v>
      </c>
      <c r="X20" s="206"/>
      <c r="Y20" s="206">
        <f t="shared" si="29"/>
        <v>0</v>
      </c>
      <c r="Z20" s="206">
        <f t="shared" si="24"/>
        <v>0</v>
      </c>
      <c r="AA20" s="206"/>
      <c r="AB20" s="206"/>
      <c r="AC20" s="206">
        <f t="shared" si="30"/>
        <v>0</v>
      </c>
      <c r="AD20" s="292">
        <f>IF(P20=0,0,IF(VLOOKUP(AC20,'Table 52'!$A$2:$B$384,2,TRUE)&gt;=VLOOKUP(Emp.1!AC20,'Table 52'!$C$2:$D$384,2,TRUE),MAX(VLOOKUP(Emp.1!AC20,'Table 52'!$A$2:$B$384,2,TRUE),VLOOKUP(Emp.1!AC20,'Table 52'!$C$2:$D$384,2,TRUE)),0)+55)</f>
        <v>0</v>
      </c>
      <c r="AE20" s="293">
        <f t="shared" ref="AE20" si="34">T20-AB20</f>
        <v>0</v>
      </c>
      <c r="AF20" s="294">
        <f>IF(P20=0,0,IF(VLOOKUP(AE20,'Table 52'!$E$2:$F$276,2,TRUE)&gt;=VLOOKUP(Emp.1!AE20,'Table 52'!$G$2:$H$276,2,TRUE),MAX(VLOOKUP(Emp.1!AE20,'Table 52'!$E$2:$F$276,2,TRUE),VLOOKUP(Emp.1!AE20,'Table 52'!$G$2:$H$276,2,TRUE)),0)+100)</f>
        <v>0</v>
      </c>
      <c r="AG20" s="206"/>
      <c r="AH20" s="206"/>
      <c r="AI20" s="206"/>
      <c r="AJ20" s="206"/>
      <c r="AK20" s="212"/>
      <c r="AL20" s="213">
        <f t="shared" si="31"/>
        <v>0</v>
      </c>
      <c r="AM20" s="25"/>
      <c r="AN20" s="25"/>
      <c r="AQ20" s="73">
        <f t="shared" si="32"/>
        <v>-3.8361000000000001</v>
      </c>
    </row>
    <row r="21" spans="1:43" ht="13.8" thickBot="1" x14ac:dyDescent="0.3">
      <c r="A21" s="68"/>
      <c r="B21" s="4"/>
      <c r="C21" s="4"/>
      <c r="D21" s="278" t="s">
        <v>32</v>
      </c>
      <c r="E21" s="287"/>
      <c r="F21" s="280"/>
      <c r="G21" s="280"/>
      <c r="H21" s="280"/>
      <c r="I21" s="280"/>
      <c r="J21" s="280"/>
      <c r="K21" s="280"/>
      <c r="L21" s="280"/>
      <c r="M21" s="280"/>
      <c r="N21" s="280"/>
      <c r="O21" s="298"/>
      <c r="P21" s="299">
        <f>SUM(P16:P20)</f>
        <v>0</v>
      </c>
      <c r="Q21" s="299">
        <f t="shared" ref="Q21:AL21" si="35">SUM(Q16:Q20)</f>
        <v>0</v>
      </c>
      <c r="R21" s="300">
        <f t="shared" si="35"/>
        <v>0</v>
      </c>
      <c r="S21" s="299">
        <f>SUM(S16:S20)</f>
        <v>0</v>
      </c>
      <c r="T21" s="299">
        <f t="shared" si="35"/>
        <v>0</v>
      </c>
      <c r="U21" s="299">
        <f t="shared" si="35"/>
        <v>0</v>
      </c>
      <c r="V21" s="299">
        <f t="shared" si="35"/>
        <v>0</v>
      </c>
      <c r="W21" s="299">
        <f t="shared" si="35"/>
        <v>0</v>
      </c>
      <c r="X21" s="299">
        <f t="shared" si="35"/>
        <v>0</v>
      </c>
      <c r="Y21" s="299">
        <f t="shared" si="35"/>
        <v>0</v>
      </c>
      <c r="Z21" s="299">
        <f t="shared" si="35"/>
        <v>0</v>
      </c>
      <c r="AA21" s="299">
        <f t="shared" si="35"/>
        <v>0</v>
      </c>
      <c r="AB21" s="299">
        <f t="shared" si="35"/>
        <v>0</v>
      </c>
      <c r="AC21" s="299">
        <f t="shared" si="35"/>
        <v>0</v>
      </c>
      <c r="AD21" s="301">
        <f t="shared" si="35"/>
        <v>0</v>
      </c>
      <c r="AE21" s="302">
        <f t="shared" si="35"/>
        <v>0</v>
      </c>
      <c r="AF21" s="303">
        <f t="shared" si="35"/>
        <v>0</v>
      </c>
      <c r="AG21" s="299">
        <f t="shared" si="35"/>
        <v>0</v>
      </c>
      <c r="AH21" s="299">
        <f t="shared" si="35"/>
        <v>0</v>
      </c>
      <c r="AI21" s="299">
        <f t="shared" si="35"/>
        <v>0</v>
      </c>
      <c r="AJ21" s="299">
        <f t="shared" si="35"/>
        <v>0</v>
      </c>
      <c r="AK21" s="304">
        <f t="shared" si="35"/>
        <v>0</v>
      </c>
      <c r="AL21" s="305">
        <f t="shared" si="35"/>
        <v>0</v>
      </c>
      <c r="AM21" s="13">
        <f t="shared" ref="AM21" si="36">SUM(AM16:AM20)</f>
        <v>0</v>
      </c>
      <c r="AN21" s="52">
        <f t="shared" ref="AN21:AO21" si="37">SUM(AN16:AN20)</f>
        <v>0</v>
      </c>
      <c r="AO21" s="52">
        <f t="shared" si="37"/>
        <v>0</v>
      </c>
    </row>
    <row r="22" spans="1:43" x14ac:dyDescent="0.25">
      <c r="A22" s="3"/>
      <c r="E22" s="7"/>
      <c r="P22" s="25"/>
      <c r="Q22" s="25">
        <f t="shared" si="33"/>
        <v>0</v>
      </c>
      <c r="R22" s="74">
        <f t="shared" si="10"/>
        <v>0</v>
      </c>
      <c r="S22" s="25"/>
      <c r="T22" s="35">
        <f t="shared" si="11"/>
        <v>0</v>
      </c>
      <c r="U22" s="52"/>
      <c r="V22" s="25"/>
      <c r="W22" s="31"/>
      <c r="X22" s="25"/>
      <c r="Y22" s="25">
        <f t="shared" si="12"/>
        <v>0</v>
      </c>
      <c r="Z22" s="25"/>
      <c r="AA22" s="25"/>
      <c r="AB22" s="25"/>
      <c r="AC22" s="25">
        <f t="shared" ref="AC22:AC78" si="38">R22-Z22-AA22-AB22</f>
        <v>0</v>
      </c>
      <c r="AD22" s="295"/>
      <c r="AE22" s="295"/>
      <c r="AF22" s="295"/>
      <c r="AG22" s="25"/>
      <c r="AH22" s="25"/>
      <c r="AI22" s="25"/>
      <c r="AJ22" s="25"/>
      <c r="AK22" s="96"/>
      <c r="AL22" s="26">
        <f t="shared" si="14"/>
        <v>0</v>
      </c>
      <c r="AM22" s="25">
        <f t="shared" si="15"/>
        <v>0</v>
      </c>
      <c r="AN22" s="25">
        <f t="shared" si="16"/>
        <v>0</v>
      </c>
    </row>
    <row r="23" spans="1:43" x14ac:dyDescent="0.25">
      <c r="D23" s="100" t="s">
        <v>14</v>
      </c>
      <c r="E23" s="13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91"/>
      <c r="Q23" s="128"/>
      <c r="R23" s="135">
        <f>SUM(P23,Q23)</f>
        <v>0</v>
      </c>
      <c r="S23" s="128"/>
      <c r="T23" s="136">
        <f>SUM(R23,S23)</f>
        <v>0</v>
      </c>
      <c r="U23" s="103">
        <f>IF(AQ23&lt;0,0,(T23-67.3)*0.057)</f>
        <v>0</v>
      </c>
      <c r="V23" s="128"/>
      <c r="W23" s="137"/>
      <c r="X23" s="128"/>
      <c r="Y23" s="103">
        <f>R23*0.494%</f>
        <v>0</v>
      </c>
      <c r="Z23" s="128"/>
      <c r="AA23" s="128"/>
      <c r="AB23" s="128"/>
      <c r="AC23" s="128">
        <f>R23-Z23-AA23-AB23</f>
        <v>0</v>
      </c>
      <c r="AD23" s="276">
        <f>IF(P23=0,0,IF(VLOOKUP(AC23,'Table 52'!$A$2:$B$384,2,TRUE)&gt;=VLOOKUP(Emp.1!AC23,'Table 52'!$C$2:$D$384,2,TRUE),MAX(VLOOKUP(Emp.1!AC23,'Table 52'!$A$2:$B$384,2,TRUE),VLOOKUP(Emp.1!AC23,'Table 52'!$C$2:$D$384,2,TRUE)),0)+55)</f>
        <v>0</v>
      </c>
      <c r="AE23" s="288">
        <f>T23-AB23</f>
        <v>0</v>
      </c>
      <c r="AF23" s="277">
        <f>IF(P23=0,0,IF(VLOOKUP(AE23,'Table 52'!$E$2:$F$276,2,TRUE)&gt;=VLOOKUP(Emp.1!AE23,'Table 52'!$G$2:$H$276,2,TRUE),MAX(VLOOKUP(Emp.1!AE23,'Table 52'!$E$2:$F$276,2,TRUE),VLOOKUP(Emp.1!AE23,'Table 52'!$G$2:$H$276,2,TRUE)),0)+100)</f>
        <v>0</v>
      </c>
      <c r="AG23" s="128">
        <f>Q23</f>
        <v>0</v>
      </c>
      <c r="AH23" s="128">
        <f>SUM(U23,W23,Y23,Z23,AA23,AB23,AD23,AF23,AG23)</f>
        <v>0</v>
      </c>
      <c r="AI23" s="128">
        <f>R23-AH23</f>
        <v>0</v>
      </c>
      <c r="AJ23" s="128">
        <f>O23*0.6</f>
        <v>0</v>
      </c>
      <c r="AK23" s="139">
        <f>AI23+AJ23</f>
        <v>0</v>
      </c>
      <c r="AL23" s="106">
        <f>R23*0.692%</f>
        <v>0</v>
      </c>
      <c r="AM23" s="25"/>
      <c r="AN23" s="25"/>
      <c r="AQ23" s="73">
        <f>(T23-67.3)*0.057</f>
        <v>-3.8361000000000001</v>
      </c>
    </row>
    <row r="24" spans="1:43" x14ac:dyDescent="0.25">
      <c r="A24" s="4"/>
      <c r="B24" s="12"/>
      <c r="D24" s="107" t="s">
        <v>14</v>
      </c>
      <c r="E24" s="140">
        <v>12</v>
      </c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91"/>
      <c r="Q24" s="125"/>
      <c r="R24" s="142">
        <f>SUM(P24,Q24)</f>
        <v>0</v>
      </c>
      <c r="S24" s="125"/>
      <c r="T24" s="143">
        <f>SUM(R24,S24)</f>
        <v>0</v>
      </c>
      <c r="U24" s="144">
        <f t="shared" ref="U24:U27" si="39">IF(AQ24&lt;0,0,(T24-67.3)*0.057)</f>
        <v>0</v>
      </c>
      <c r="V24" s="125"/>
      <c r="W24" s="145"/>
      <c r="X24" s="125"/>
      <c r="Y24" s="125">
        <f t="shared" ref="Y24:Y27" si="40">R24*0.494%</f>
        <v>0</v>
      </c>
      <c r="Z24" s="125"/>
      <c r="AA24" s="125"/>
      <c r="AB24" s="125"/>
      <c r="AC24" s="125">
        <f>R24-Z24-AA24-AB24</f>
        <v>0</v>
      </c>
      <c r="AD24" s="289">
        <f>IF(P24=0,0,IF(VLOOKUP(AC24,'Table 52'!$A$2:$B$384,2,TRUE)&gt;=VLOOKUP(Emp.1!AC24,'Table 52'!$C$2:$D$384,2,TRUE),MAX(VLOOKUP(Emp.1!AC24,'Table 52'!$A$2:$B$384,2,TRUE),VLOOKUP(Emp.1!AC24,'Table 52'!$C$2:$D$384,2,TRUE)),0)+55)</f>
        <v>0</v>
      </c>
      <c r="AE24" s="290">
        <f>T24-AB24</f>
        <v>0</v>
      </c>
      <c r="AF24" s="291">
        <f>IF(P24=0,0,IF(VLOOKUP(AE24,'Table 52'!$E$2:$F$276,2,TRUE)&gt;=VLOOKUP(Emp.1!AE24,'Table 52'!$G$2:$H$276,2,TRUE),MAX(VLOOKUP(Emp.1!AE24,'Table 52'!$E$2:$F$276,2,TRUE),VLOOKUP(Emp.1!AE24,'Table 52'!$G$2:$H$276,2,TRUE)),0)+100)</f>
        <v>0</v>
      </c>
      <c r="AG24" s="125">
        <f>Q24</f>
        <v>0</v>
      </c>
      <c r="AH24" s="125">
        <f>SUM(U24,W24,Y24,Z24,AA24,AB24,AD24,AF24,AG24)</f>
        <v>0</v>
      </c>
      <c r="AI24" s="125">
        <f>R24-AH24</f>
        <v>0</v>
      </c>
      <c r="AJ24" s="125">
        <f>O24*0.6</f>
        <v>0</v>
      </c>
      <c r="AK24" s="147">
        <f>AI24+AJ24</f>
        <v>0</v>
      </c>
      <c r="AL24" s="148">
        <f t="shared" ref="AL24:AL27" si="41">R24*0.692%</f>
        <v>0</v>
      </c>
      <c r="AM24" s="25"/>
      <c r="AN24" s="25"/>
      <c r="AQ24" s="73">
        <f t="shared" ref="AQ24:AQ27" si="42">(T24-67.3)*0.057</f>
        <v>-3.8361000000000001</v>
      </c>
    </row>
    <row r="25" spans="1:43" x14ac:dyDescent="0.25">
      <c r="D25" s="107" t="s">
        <v>14</v>
      </c>
      <c r="E25" s="14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91"/>
      <c r="Q25" s="125"/>
      <c r="R25" s="142">
        <f>SUM(P25,Q25)</f>
        <v>0</v>
      </c>
      <c r="S25" s="125"/>
      <c r="T25" s="143">
        <f>SUM(R25,S25)</f>
        <v>0</v>
      </c>
      <c r="U25" s="144">
        <f t="shared" si="39"/>
        <v>0</v>
      </c>
      <c r="V25" s="125"/>
      <c r="W25" s="145"/>
      <c r="X25" s="125"/>
      <c r="Y25" s="125">
        <f t="shared" si="40"/>
        <v>0</v>
      </c>
      <c r="Z25" s="125"/>
      <c r="AA25" s="125"/>
      <c r="AB25" s="125"/>
      <c r="AC25" s="125">
        <f>R25-Z25-AA25-AB25</f>
        <v>0</v>
      </c>
      <c r="AD25" s="289">
        <f>IF(P25=0,0,IF(VLOOKUP(AC25,'Table 52'!$A$2:$B$384,2,TRUE)&gt;=VLOOKUP(Emp.1!AC25,'Table 52'!$C$2:$D$384,2,TRUE),MAX(VLOOKUP(Emp.1!AC25,'Table 52'!$A$2:$B$384,2,TRUE),VLOOKUP(Emp.1!AC25,'Table 52'!$C$2:$D$384,2,TRUE)),0)+55)</f>
        <v>0</v>
      </c>
      <c r="AE25" s="290">
        <f>T25-AB25</f>
        <v>0</v>
      </c>
      <c r="AF25" s="291">
        <f>IF(P25=0,0,IF(VLOOKUP(AE25,'Table 52'!$E$2:$F$276,2,TRUE)&gt;=VLOOKUP(Emp.1!AE25,'Table 52'!$G$2:$H$276,2,TRUE),MAX(VLOOKUP(Emp.1!AE25,'Table 52'!$E$2:$F$276,2,TRUE),VLOOKUP(Emp.1!AE25,'Table 52'!$G$2:$H$276,2,TRUE)),0)+100)</f>
        <v>0</v>
      </c>
      <c r="AG25" s="125">
        <f>Q25</f>
        <v>0</v>
      </c>
      <c r="AH25" s="125">
        <f>SUM(U25,W25,Y25,Z25,AA25,AB25,AD25,AF25,AG25)</f>
        <v>0</v>
      </c>
      <c r="AI25" s="125">
        <f>R25-AH25</f>
        <v>0</v>
      </c>
      <c r="AJ25" s="125">
        <f>O25*0.6</f>
        <v>0</v>
      </c>
      <c r="AK25" s="147">
        <f>AI25+AJ25</f>
        <v>0</v>
      </c>
      <c r="AL25" s="148">
        <f t="shared" si="41"/>
        <v>0</v>
      </c>
      <c r="AM25" s="25"/>
      <c r="AN25" s="25"/>
      <c r="AQ25" s="73">
        <f t="shared" si="42"/>
        <v>-3.8361000000000001</v>
      </c>
    </row>
    <row r="26" spans="1:43" x14ac:dyDescent="0.25">
      <c r="A26" s="24"/>
      <c r="D26" s="107" t="s">
        <v>14</v>
      </c>
      <c r="E26" s="14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91"/>
      <c r="Q26" s="214"/>
      <c r="R26" s="142">
        <f>SUM(P26,Q26)</f>
        <v>0</v>
      </c>
      <c r="S26" s="125"/>
      <c r="T26" s="143">
        <f>SUM(R26,S26)</f>
        <v>0</v>
      </c>
      <c r="U26" s="144">
        <f t="shared" si="39"/>
        <v>0</v>
      </c>
      <c r="V26" s="125"/>
      <c r="W26" s="145"/>
      <c r="X26" s="125"/>
      <c r="Y26" s="125">
        <f t="shared" si="40"/>
        <v>0</v>
      </c>
      <c r="Z26" s="125"/>
      <c r="AA26" s="125"/>
      <c r="AB26" s="125"/>
      <c r="AC26" s="125">
        <f>R26-Z26-AA26-AB26</f>
        <v>0</v>
      </c>
      <c r="AD26" s="289">
        <f>IF(P26=0,0,IF(VLOOKUP(AC26,'Table 52'!$A$2:$B$384,2,TRUE)&gt;=VLOOKUP(Emp.1!AC26,'Table 52'!$C$2:$D$384,2,TRUE),MAX(VLOOKUP(Emp.1!AC26,'Table 52'!$A$2:$B$384,2,TRUE),VLOOKUP(Emp.1!AC26,'Table 52'!$C$2:$D$384,2,TRUE)),0)+55)</f>
        <v>0</v>
      </c>
      <c r="AE26" s="290">
        <f>T26-AB26</f>
        <v>0</v>
      </c>
      <c r="AF26" s="291">
        <f>IF(P26=0,0,IF(VLOOKUP(AE26,'Table 52'!$E$2:$F$276,2,TRUE)&gt;=VLOOKUP(Emp.1!AE26,'Table 52'!$G$2:$H$276,2,TRUE),MAX(VLOOKUP(Emp.1!AE26,'Table 52'!$E$2:$F$276,2,TRUE),VLOOKUP(Emp.1!AE26,'Table 52'!$G$2:$H$276,2,TRUE)),0)+100)</f>
        <v>0</v>
      </c>
      <c r="AG26" s="125">
        <f>Q26</f>
        <v>0</v>
      </c>
      <c r="AH26" s="125">
        <f>SUM(U26,W26,Y26,Z26,AA26,AB26,AD26,AF26,AG26)</f>
        <v>0</v>
      </c>
      <c r="AI26" s="125">
        <f>R26-AH26</f>
        <v>0</v>
      </c>
      <c r="AJ26" s="125">
        <f>O26*0.6</f>
        <v>0</v>
      </c>
      <c r="AK26" s="147">
        <f>AI26+AJ26</f>
        <v>0</v>
      </c>
      <c r="AL26" s="148">
        <f t="shared" si="41"/>
        <v>0</v>
      </c>
      <c r="AM26" s="25"/>
      <c r="AN26" s="25"/>
      <c r="AQ26" s="73">
        <f t="shared" si="42"/>
        <v>-3.8361000000000001</v>
      </c>
    </row>
    <row r="27" spans="1:43" x14ac:dyDescent="0.25">
      <c r="D27" s="107" t="s">
        <v>14</v>
      </c>
      <c r="E27" s="14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91"/>
      <c r="Q27" s="204"/>
      <c r="R27" s="205">
        <f>SUM(P27,Q27)</f>
        <v>0</v>
      </c>
      <c r="S27" s="206"/>
      <c r="T27" s="207">
        <f>SUM(R27,S27)</f>
        <v>0</v>
      </c>
      <c r="U27" s="208">
        <f t="shared" si="39"/>
        <v>0</v>
      </c>
      <c r="V27" s="206"/>
      <c r="W27" s="209">
        <v>0</v>
      </c>
      <c r="X27" s="206"/>
      <c r="Y27" s="206">
        <f t="shared" si="40"/>
        <v>0</v>
      </c>
      <c r="Z27" s="206"/>
      <c r="AA27" s="206"/>
      <c r="AB27" s="206"/>
      <c r="AC27" s="206">
        <f>R27-Z27-AA27-AB27</f>
        <v>0</v>
      </c>
      <c r="AD27" s="292">
        <f>IF(P27=0,0,IF(VLOOKUP(AC27,'Table 52'!$A$2:$B$384,2,TRUE)&gt;=VLOOKUP(Emp.1!AC27,'Table 52'!$C$2:$D$384,2,TRUE),MAX(VLOOKUP(Emp.1!AC27,'Table 52'!$A$2:$B$384,2,TRUE),VLOOKUP(Emp.1!AC27,'Table 52'!$C$2:$D$384,2,TRUE)),0)+55)</f>
        <v>0</v>
      </c>
      <c r="AE27" s="293">
        <f>T27-AB27</f>
        <v>0</v>
      </c>
      <c r="AF27" s="294">
        <f>IF(P27=0,0,IF(VLOOKUP(AE27,'Table 52'!$E$2:$F$276,2,TRUE)&gt;=VLOOKUP(Emp.1!AE27,'Table 52'!$G$2:$H$276,2,TRUE),MAX(VLOOKUP(Emp.1!AE27,'Table 52'!$E$2:$F$276,2,TRUE),VLOOKUP(Emp.1!AE27,'Table 52'!$G$2:$H$276,2,TRUE)),0)+100)</f>
        <v>0</v>
      </c>
      <c r="AG27" s="206">
        <f>Q27</f>
        <v>0</v>
      </c>
      <c r="AH27" s="206">
        <f>SUM(U27,W27,Y27,Z27,AA27,AB27,AD27,AF27,AG27)</f>
        <v>0</v>
      </c>
      <c r="AI27" s="206">
        <f>R27-AH27</f>
        <v>0</v>
      </c>
      <c r="AJ27" s="206">
        <f>O27*0.6</f>
        <v>0</v>
      </c>
      <c r="AK27" s="212">
        <f>AI27+AJ27</f>
        <v>0</v>
      </c>
      <c r="AL27" s="213">
        <f t="shared" si="41"/>
        <v>0</v>
      </c>
      <c r="AM27" s="25"/>
      <c r="AN27" s="25"/>
      <c r="AQ27" s="73">
        <f t="shared" si="42"/>
        <v>-3.8361000000000001</v>
      </c>
    </row>
    <row r="28" spans="1:43" ht="13.8" thickBot="1" x14ac:dyDescent="0.3">
      <c r="A28" s="18"/>
      <c r="B28" s="4"/>
      <c r="C28" s="4"/>
      <c r="D28" s="278" t="s">
        <v>33</v>
      </c>
      <c r="E28" s="287"/>
      <c r="F28" s="280"/>
      <c r="G28" s="280"/>
      <c r="H28" s="280"/>
      <c r="I28" s="280"/>
      <c r="J28" s="280"/>
      <c r="K28" s="280"/>
      <c r="L28" s="280"/>
      <c r="M28" s="280"/>
      <c r="N28" s="280"/>
      <c r="O28" s="298">
        <f>SUM(O23:O27)</f>
        <v>0</v>
      </c>
      <c r="P28" s="299">
        <f>SUM(P23:P27)</f>
        <v>0</v>
      </c>
      <c r="Q28" s="299">
        <f t="shared" ref="Q28:AL28" si="43">SUM(Q23:Q27)</f>
        <v>0</v>
      </c>
      <c r="R28" s="300">
        <f t="shared" si="43"/>
        <v>0</v>
      </c>
      <c r="S28" s="299">
        <f t="shared" si="43"/>
        <v>0</v>
      </c>
      <c r="T28" s="299">
        <f t="shared" si="43"/>
        <v>0</v>
      </c>
      <c r="U28" s="299">
        <f t="shared" si="43"/>
        <v>0</v>
      </c>
      <c r="V28" s="299">
        <f t="shared" si="43"/>
        <v>0</v>
      </c>
      <c r="W28" s="299">
        <f t="shared" si="43"/>
        <v>0</v>
      </c>
      <c r="X28" s="299">
        <f t="shared" si="43"/>
        <v>0</v>
      </c>
      <c r="Y28" s="299">
        <f t="shared" si="43"/>
        <v>0</v>
      </c>
      <c r="Z28" s="299">
        <f t="shared" si="43"/>
        <v>0</v>
      </c>
      <c r="AA28" s="299">
        <f t="shared" si="43"/>
        <v>0</v>
      </c>
      <c r="AB28" s="299">
        <f t="shared" si="43"/>
        <v>0</v>
      </c>
      <c r="AC28" s="299">
        <f t="shared" si="43"/>
        <v>0</v>
      </c>
      <c r="AD28" s="301">
        <f t="shared" si="43"/>
        <v>0</v>
      </c>
      <c r="AE28" s="302">
        <f t="shared" si="43"/>
        <v>0</v>
      </c>
      <c r="AF28" s="303">
        <f t="shared" si="43"/>
        <v>0</v>
      </c>
      <c r="AG28" s="299">
        <f t="shared" si="43"/>
        <v>0</v>
      </c>
      <c r="AH28" s="299">
        <f t="shared" si="43"/>
        <v>0</v>
      </c>
      <c r="AI28" s="299">
        <f t="shared" si="43"/>
        <v>0</v>
      </c>
      <c r="AJ28" s="299">
        <f t="shared" si="43"/>
        <v>0</v>
      </c>
      <c r="AK28" s="304">
        <f t="shared" si="43"/>
        <v>0</v>
      </c>
      <c r="AL28" s="305">
        <f t="shared" si="43"/>
        <v>0</v>
      </c>
      <c r="AM28" s="13">
        <f t="shared" ref="AM28" si="44">SUM(AM23:AM27)</f>
        <v>0</v>
      </c>
      <c r="AN28" s="13">
        <f t="shared" ref="AN28:AO28" si="45">SUM(AN23:AN27)</f>
        <v>0</v>
      </c>
      <c r="AO28" s="13">
        <f t="shared" si="45"/>
        <v>0</v>
      </c>
    </row>
    <row r="29" spans="1:43" x14ac:dyDescent="0.25">
      <c r="E29" s="7"/>
      <c r="P29" s="25"/>
      <c r="Q29" s="25">
        <f t="shared" si="33"/>
        <v>0</v>
      </c>
      <c r="R29" s="74">
        <f t="shared" si="10"/>
        <v>0</v>
      </c>
      <c r="S29" s="25"/>
      <c r="T29" s="35">
        <f t="shared" si="11"/>
        <v>0</v>
      </c>
      <c r="U29" s="52"/>
      <c r="V29" s="13"/>
      <c r="W29" s="31"/>
      <c r="X29" s="25"/>
      <c r="Y29" s="25">
        <f t="shared" si="12"/>
        <v>0</v>
      </c>
      <c r="Z29" s="25"/>
      <c r="AA29" s="25"/>
      <c r="AB29" s="25"/>
      <c r="AC29" s="25">
        <f t="shared" si="38"/>
        <v>0</v>
      </c>
      <c r="AD29" s="295"/>
      <c r="AE29" s="295"/>
      <c r="AF29" s="295"/>
      <c r="AG29" s="25"/>
      <c r="AH29" s="25"/>
      <c r="AI29" s="25"/>
      <c r="AJ29" s="25"/>
      <c r="AK29" s="96"/>
      <c r="AL29" s="26">
        <f t="shared" si="14"/>
        <v>0</v>
      </c>
      <c r="AM29" s="25">
        <f t="shared" si="15"/>
        <v>0</v>
      </c>
      <c r="AN29" s="25">
        <f t="shared" si="16"/>
        <v>0</v>
      </c>
    </row>
    <row r="30" spans="1:43" x14ac:dyDescent="0.25">
      <c r="A30" s="4"/>
      <c r="D30" s="100" t="s">
        <v>15</v>
      </c>
      <c r="E30" s="132"/>
      <c r="F30" s="102"/>
      <c r="G30" s="102"/>
      <c r="H30" s="102"/>
      <c r="I30" s="102"/>
      <c r="J30" s="102"/>
      <c r="K30" s="102"/>
      <c r="L30" s="102"/>
      <c r="M30" s="102"/>
      <c r="N30" s="102"/>
      <c r="O30" s="102">
        <v>0</v>
      </c>
      <c r="P30" s="91"/>
      <c r="Q30" s="128"/>
      <c r="R30" s="135">
        <f>SUM(P30,Q30)</f>
        <v>0</v>
      </c>
      <c r="S30" s="128"/>
      <c r="T30" s="136">
        <f>SUM(R30,S30)</f>
        <v>0</v>
      </c>
      <c r="U30" s="103">
        <f>IF(AQ30&lt;0,0,(T30-67.3)*0.057)</f>
        <v>0</v>
      </c>
      <c r="V30" s="128"/>
      <c r="W30" s="137"/>
      <c r="X30" s="128"/>
      <c r="Y30" s="103">
        <f>R30*0.494%</f>
        <v>0</v>
      </c>
      <c r="Z30" s="128"/>
      <c r="AA30" s="128"/>
      <c r="AB30" s="128"/>
      <c r="AC30" s="128">
        <f>R30-Z30-AA30-AB30</f>
        <v>0</v>
      </c>
      <c r="AD30" s="276">
        <f>IF(P30=0,0,IF(VLOOKUP(AC30,'Table 52'!$A$2:$B$384,2,TRUE)&gt;=VLOOKUP(Emp.1!AC30,'Table 52'!$C$2:$D$384,2,TRUE),MAX(VLOOKUP(Emp.1!AC30,'Table 52'!$A$2:$B$384,2,TRUE),VLOOKUP(Emp.1!AC30,'Table 52'!$C$2:$D$384,2,TRUE)),0)+55)</f>
        <v>0</v>
      </c>
      <c r="AE30" s="288">
        <f>T30-AB30</f>
        <v>0</v>
      </c>
      <c r="AF30" s="277">
        <f>IF(P30=0,0,IF(VLOOKUP(AE30,'Table 52'!$E$2:$F$276,2,TRUE)&gt;=VLOOKUP(Emp.1!AE30,'Table 52'!$G$2:$H$276,2,TRUE),MAX(VLOOKUP(Emp.1!AE30,'Table 52'!$E$2:$F$276,2,TRUE),VLOOKUP(Emp.1!AE30,'Table 52'!$G$2:$H$276,2,TRUE)),0)+100)</f>
        <v>0</v>
      </c>
      <c r="AG30" s="128">
        <f>Q30</f>
        <v>0</v>
      </c>
      <c r="AH30" s="128">
        <f>SUM(U30,W30,Y30,Z30,AA30,AB30,AD30,AF30,AG30)</f>
        <v>0</v>
      </c>
      <c r="AI30" s="128">
        <f>R30-AH30</f>
        <v>0</v>
      </c>
      <c r="AJ30" s="128">
        <f>O30*0.6</f>
        <v>0</v>
      </c>
      <c r="AK30" s="139">
        <f>AI30+AJ30</f>
        <v>0</v>
      </c>
      <c r="AL30" s="106">
        <f>R30*0.692%</f>
        <v>0</v>
      </c>
      <c r="AM30" s="25"/>
      <c r="AN30" s="25"/>
      <c r="AQ30" s="73">
        <f>(T30-67.3)*0.057</f>
        <v>-3.8361000000000001</v>
      </c>
    </row>
    <row r="31" spans="1:43" x14ac:dyDescent="0.25">
      <c r="D31" s="107" t="s">
        <v>15</v>
      </c>
      <c r="E31" s="140">
        <v>17</v>
      </c>
      <c r="F31" s="112"/>
      <c r="G31" s="30"/>
      <c r="H31" s="30"/>
      <c r="I31" s="30"/>
      <c r="J31" s="30"/>
      <c r="K31" s="30"/>
      <c r="L31" s="30"/>
      <c r="M31" s="30"/>
      <c r="N31" s="30"/>
      <c r="O31" s="30"/>
      <c r="P31" s="91"/>
      <c r="Q31" s="125"/>
      <c r="R31" s="142">
        <f t="shared" ref="R31:R34" si="46">SUM(P31,Q31)</f>
        <v>0</v>
      </c>
      <c r="S31" s="125"/>
      <c r="T31" s="143">
        <f t="shared" ref="T31:T34" si="47">SUM(R31,S31)</f>
        <v>0</v>
      </c>
      <c r="U31" s="144">
        <f t="shared" ref="U31:U34" si="48">IF(AQ31&lt;0,0,(T31-67.3)*0.057)</f>
        <v>0</v>
      </c>
      <c r="V31" s="125"/>
      <c r="W31" s="145"/>
      <c r="X31" s="125"/>
      <c r="Y31" s="125">
        <f t="shared" ref="Y31:Y34" si="49">R31*0.494%</f>
        <v>0</v>
      </c>
      <c r="Z31" s="125"/>
      <c r="AA31" s="125"/>
      <c r="AB31" s="125"/>
      <c r="AC31" s="125">
        <f>R31-Z31-AA31-AB31</f>
        <v>0</v>
      </c>
      <c r="AD31" s="289">
        <f>IF(P31=0,0,IF(VLOOKUP(AC31,'Table 52'!$A$2:$B$384,2,TRUE)&gt;=VLOOKUP(Emp.1!AC31,'Table 52'!$C$2:$D$384,2,TRUE),MAX(VLOOKUP(Emp.1!AC31,'Table 52'!$A$2:$B$384,2,TRUE),VLOOKUP(Emp.1!AC31,'Table 52'!$C$2:$D$384,2,TRUE)),0)+55)</f>
        <v>0</v>
      </c>
      <c r="AE31" s="290">
        <f>T31-AB31</f>
        <v>0</v>
      </c>
      <c r="AF31" s="291">
        <f>IF(P31=0,0,IF(VLOOKUP(AE31,'Table 52'!$E$2:$F$276,2,TRUE)&gt;=VLOOKUP(Emp.1!AE31,'Table 52'!$G$2:$H$276,2,TRUE),MAX(VLOOKUP(Emp.1!AE31,'Table 52'!$E$2:$F$276,2,TRUE),VLOOKUP(Emp.1!AE31,'Table 52'!$G$2:$H$276,2,TRUE)),0)+100)</f>
        <v>0</v>
      </c>
      <c r="AG31" s="125">
        <f>Q31</f>
        <v>0</v>
      </c>
      <c r="AH31" s="125">
        <f>SUM(U31,W31,Y31,Z31,AA31,AB31,AD31,AF31,AG31)</f>
        <v>0</v>
      </c>
      <c r="AI31" s="125">
        <f>R31-AH31</f>
        <v>0</v>
      </c>
      <c r="AJ31" s="125">
        <f>O31*0.6</f>
        <v>0</v>
      </c>
      <c r="AK31" s="147">
        <f>AI31+AJ31</f>
        <v>0</v>
      </c>
      <c r="AL31" s="148">
        <f t="shared" ref="AL31:AL34" si="50">R31*0.692%</f>
        <v>0</v>
      </c>
      <c r="AM31" s="25"/>
      <c r="AN31" s="25"/>
      <c r="AQ31" s="73">
        <f t="shared" ref="AQ31:AQ34" si="51">(T31-67.3)*0.057</f>
        <v>-3.8361000000000001</v>
      </c>
    </row>
    <row r="32" spans="1:43" x14ac:dyDescent="0.25">
      <c r="D32" s="107" t="s">
        <v>15</v>
      </c>
      <c r="E32" s="14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91"/>
      <c r="Q32" s="125"/>
      <c r="R32" s="142">
        <f t="shared" si="46"/>
        <v>0</v>
      </c>
      <c r="S32" s="125"/>
      <c r="T32" s="143">
        <f t="shared" si="47"/>
        <v>0</v>
      </c>
      <c r="U32" s="144">
        <f t="shared" si="48"/>
        <v>0</v>
      </c>
      <c r="V32" s="125"/>
      <c r="W32" s="145"/>
      <c r="X32" s="125"/>
      <c r="Y32" s="125">
        <f t="shared" si="49"/>
        <v>0</v>
      </c>
      <c r="Z32" s="125"/>
      <c r="AA32" s="125"/>
      <c r="AB32" s="125"/>
      <c r="AC32" s="125">
        <f>R32-Z32-AA32-AB32</f>
        <v>0</v>
      </c>
      <c r="AD32" s="289">
        <f>IF(P32=0,0,IF(VLOOKUP(AC32,'Table 52'!$A$2:$B$384,2,TRUE)&gt;=VLOOKUP(Emp.1!AC32,'Table 52'!$C$2:$D$384,2,TRUE),MAX(VLOOKUP(Emp.1!AC32,'Table 52'!$A$2:$B$384,2,TRUE),VLOOKUP(Emp.1!AC32,'Table 52'!$C$2:$D$384,2,TRUE)),0)+55)</f>
        <v>0</v>
      </c>
      <c r="AE32" s="290">
        <f>T32-AB32</f>
        <v>0</v>
      </c>
      <c r="AF32" s="291">
        <f>IF(P32=0,0,IF(VLOOKUP(AE32,'Table 52'!$E$2:$F$276,2,TRUE)&gt;=VLOOKUP(Emp.1!AE32,'Table 52'!$G$2:$H$276,2,TRUE),MAX(VLOOKUP(Emp.1!AE32,'Table 52'!$E$2:$F$276,2,TRUE),VLOOKUP(Emp.1!AE32,'Table 52'!$G$2:$H$276,2,TRUE)),0)+100)</f>
        <v>0</v>
      </c>
      <c r="AG32" s="125">
        <f>Q32</f>
        <v>0</v>
      </c>
      <c r="AH32" s="125">
        <f>SUM(U32,W32,Y32,Z32,AA32,AB32,AD32,AF32,AG32)</f>
        <v>0</v>
      </c>
      <c r="AI32" s="125">
        <f>R32-AH32</f>
        <v>0</v>
      </c>
      <c r="AJ32" s="125">
        <f>O32*0.6</f>
        <v>0</v>
      </c>
      <c r="AK32" s="147">
        <f>AI32+AJ32</f>
        <v>0</v>
      </c>
      <c r="AL32" s="148">
        <f t="shared" si="50"/>
        <v>0</v>
      </c>
      <c r="AM32" s="25"/>
      <c r="AN32" s="25"/>
      <c r="AQ32" s="73">
        <f t="shared" si="51"/>
        <v>-3.8361000000000001</v>
      </c>
    </row>
    <row r="33" spans="1:43" x14ac:dyDescent="0.25">
      <c r="D33" s="107" t="s">
        <v>15</v>
      </c>
      <c r="E33" s="14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91"/>
      <c r="Q33" s="214"/>
      <c r="R33" s="142">
        <f t="shared" si="46"/>
        <v>0</v>
      </c>
      <c r="S33" s="125"/>
      <c r="T33" s="143">
        <f t="shared" si="47"/>
        <v>0</v>
      </c>
      <c r="U33" s="144">
        <f t="shared" si="48"/>
        <v>0</v>
      </c>
      <c r="V33" s="125"/>
      <c r="W33" s="145"/>
      <c r="X33" s="125"/>
      <c r="Y33" s="125">
        <f t="shared" si="49"/>
        <v>0</v>
      </c>
      <c r="Z33" s="125"/>
      <c r="AA33" s="125"/>
      <c r="AB33" s="125"/>
      <c r="AC33" s="125">
        <f>R33-Z33-AA33-AB33</f>
        <v>0</v>
      </c>
      <c r="AD33" s="289">
        <f>IF(P33=0,0,IF(VLOOKUP(AC33,'Table 52'!$A$2:$B$384,2,TRUE)&gt;=VLOOKUP(Emp.1!AC33,'Table 52'!$C$2:$D$384,2,TRUE),MAX(VLOOKUP(Emp.1!AC33,'Table 52'!$A$2:$B$384,2,TRUE),VLOOKUP(Emp.1!AC33,'Table 52'!$C$2:$D$384,2,TRUE)),0)+55)</f>
        <v>0</v>
      </c>
      <c r="AE33" s="290">
        <f>T33-AB33</f>
        <v>0</v>
      </c>
      <c r="AF33" s="291">
        <f>IF(P33=0,0,IF(VLOOKUP(AE33,'Table 52'!$E$2:$F$276,2,TRUE)&gt;=VLOOKUP(Emp.1!AE33,'Table 52'!$G$2:$H$276,2,TRUE),MAX(VLOOKUP(Emp.1!AE33,'Table 52'!$E$2:$F$276,2,TRUE),VLOOKUP(Emp.1!AE33,'Table 52'!$G$2:$H$276,2,TRUE)),0)+100)</f>
        <v>0</v>
      </c>
      <c r="AG33" s="125">
        <f>Q33</f>
        <v>0</v>
      </c>
      <c r="AH33" s="125">
        <f>SUM(U33,W33,Y33,Z33,AA33,AB33,AD33,AF33,AG33)</f>
        <v>0</v>
      </c>
      <c r="AI33" s="125">
        <f>R33-AH33</f>
        <v>0</v>
      </c>
      <c r="AJ33" s="125">
        <f>O33*0.6</f>
        <v>0</v>
      </c>
      <c r="AK33" s="147">
        <f>AI33+AJ33</f>
        <v>0</v>
      </c>
      <c r="AL33" s="148">
        <f t="shared" si="50"/>
        <v>0</v>
      </c>
      <c r="AM33" s="25"/>
      <c r="AN33" s="25"/>
      <c r="AQ33" s="73">
        <f t="shared" si="51"/>
        <v>-3.8361000000000001</v>
      </c>
    </row>
    <row r="34" spans="1:43" x14ac:dyDescent="0.25">
      <c r="D34" s="107" t="s">
        <v>15</v>
      </c>
      <c r="E34" s="14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91"/>
      <c r="Q34" s="204"/>
      <c r="R34" s="205">
        <f t="shared" si="46"/>
        <v>0</v>
      </c>
      <c r="S34" s="206"/>
      <c r="T34" s="207">
        <f t="shared" si="47"/>
        <v>0</v>
      </c>
      <c r="U34" s="208">
        <f t="shared" si="48"/>
        <v>0</v>
      </c>
      <c r="V34" s="206"/>
      <c r="W34" s="209">
        <v>0</v>
      </c>
      <c r="X34" s="206"/>
      <c r="Y34" s="206">
        <f t="shared" si="49"/>
        <v>0</v>
      </c>
      <c r="Z34" s="206"/>
      <c r="AA34" s="206"/>
      <c r="AB34" s="206"/>
      <c r="AC34" s="206">
        <f t="shared" si="38"/>
        <v>0</v>
      </c>
      <c r="AD34" s="292">
        <f>IF(P34=0,0,IF(VLOOKUP(AC34,'Table 52'!$A$2:$B$384,2,TRUE)&gt;=VLOOKUP(Emp.1!AC34,'Table 52'!$C$2:$D$384,2,TRUE),MAX(VLOOKUP(Emp.1!AC34,'Table 52'!$A$2:$B$384,2,TRUE),VLOOKUP(Emp.1!AC34,'Table 52'!$C$2:$D$384,2,TRUE)),0)+55)</f>
        <v>0</v>
      </c>
      <c r="AE34" s="293">
        <f>T34-AB34</f>
        <v>0</v>
      </c>
      <c r="AF34" s="294">
        <f>IF(P34=0,0,IF(VLOOKUP(AE34,'Table 52'!$E$2:$F$276,2,TRUE)&gt;=VLOOKUP(Emp.1!AE34,'Table 52'!$G$2:$H$276,2,TRUE),MAX(VLOOKUP(Emp.1!AE34,'Table 52'!$E$2:$F$276,2,TRUE),VLOOKUP(Emp.1!AE34,'Table 52'!$G$2:$H$276,2,TRUE)),0)+100)</f>
        <v>0</v>
      </c>
      <c r="AG34" s="206"/>
      <c r="AH34" s="206"/>
      <c r="AI34" s="206"/>
      <c r="AJ34" s="206"/>
      <c r="AK34" s="212"/>
      <c r="AL34" s="213">
        <f t="shared" si="50"/>
        <v>0</v>
      </c>
      <c r="AM34" s="25"/>
      <c r="AN34" s="25"/>
      <c r="AQ34" s="73">
        <f t="shared" si="51"/>
        <v>-3.8361000000000001</v>
      </c>
    </row>
    <row r="35" spans="1:43" ht="13.8" thickBot="1" x14ac:dyDescent="0.3">
      <c r="A35" s="4"/>
      <c r="B35" s="4"/>
      <c r="C35" s="4"/>
      <c r="D35" s="278" t="s">
        <v>33</v>
      </c>
      <c r="E35" s="287"/>
      <c r="F35" s="280"/>
      <c r="G35" s="280"/>
      <c r="H35" s="280"/>
      <c r="I35" s="280"/>
      <c r="J35" s="280"/>
      <c r="K35" s="280"/>
      <c r="L35" s="280"/>
      <c r="M35" s="280"/>
      <c r="N35" s="280"/>
      <c r="O35" s="298">
        <f>SUM(O30:O34)</f>
        <v>0</v>
      </c>
      <c r="P35" s="299">
        <f>SUM(P30:P34)</f>
        <v>0</v>
      </c>
      <c r="Q35" s="299">
        <f t="shared" ref="Q35:AL35" si="52">SUM(Q30:Q34)</f>
        <v>0</v>
      </c>
      <c r="R35" s="300">
        <f t="shared" si="52"/>
        <v>0</v>
      </c>
      <c r="S35" s="299">
        <f t="shared" si="52"/>
        <v>0</v>
      </c>
      <c r="T35" s="299">
        <f t="shared" si="52"/>
        <v>0</v>
      </c>
      <c r="U35" s="299">
        <f t="shared" si="52"/>
        <v>0</v>
      </c>
      <c r="V35" s="299">
        <f t="shared" si="52"/>
        <v>0</v>
      </c>
      <c r="W35" s="299">
        <f t="shared" si="52"/>
        <v>0</v>
      </c>
      <c r="X35" s="299">
        <f t="shared" si="52"/>
        <v>0</v>
      </c>
      <c r="Y35" s="299">
        <f t="shared" si="52"/>
        <v>0</v>
      </c>
      <c r="Z35" s="299">
        <f t="shared" si="52"/>
        <v>0</v>
      </c>
      <c r="AA35" s="299">
        <f t="shared" si="52"/>
        <v>0</v>
      </c>
      <c r="AB35" s="299">
        <f t="shared" si="52"/>
        <v>0</v>
      </c>
      <c r="AC35" s="299">
        <f t="shared" si="52"/>
        <v>0</v>
      </c>
      <c r="AD35" s="301">
        <f t="shared" si="52"/>
        <v>0</v>
      </c>
      <c r="AE35" s="302">
        <f t="shared" si="52"/>
        <v>0</v>
      </c>
      <c r="AF35" s="303">
        <f t="shared" si="52"/>
        <v>0</v>
      </c>
      <c r="AG35" s="299">
        <f t="shared" si="52"/>
        <v>0</v>
      </c>
      <c r="AH35" s="299">
        <f t="shared" si="52"/>
        <v>0</v>
      </c>
      <c r="AI35" s="299">
        <f t="shared" si="52"/>
        <v>0</v>
      </c>
      <c r="AJ35" s="299">
        <f t="shared" si="52"/>
        <v>0</v>
      </c>
      <c r="AK35" s="304">
        <f t="shared" si="52"/>
        <v>0</v>
      </c>
      <c r="AL35" s="305">
        <f t="shared" si="52"/>
        <v>0</v>
      </c>
      <c r="AM35" s="13">
        <f t="shared" ref="AM35" si="53">SUM(AM30:AM34)</f>
        <v>0</v>
      </c>
      <c r="AN35" s="13">
        <f t="shared" ref="AN35:AO35" si="54">SUM(AN30:AN34)</f>
        <v>0</v>
      </c>
      <c r="AO35" s="13">
        <f t="shared" si="54"/>
        <v>0</v>
      </c>
    </row>
    <row r="36" spans="1:43" x14ac:dyDescent="0.25">
      <c r="E36" s="7"/>
      <c r="P36" s="25"/>
      <c r="Q36" s="25"/>
      <c r="R36" s="74">
        <f t="shared" si="10"/>
        <v>0</v>
      </c>
      <c r="S36" s="25"/>
      <c r="T36" s="35">
        <f t="shared" si="11"/>
        <v>0</v>
      </c>
      <c r="U36" s="52"/>
      <c r="V36" s="13"/>
      <c r="W36" s="31"/>
      <c r="X36" s="25"/>
      <c r="Y36" s="25">
        <f t="shared" si="12"/>
        <v>0</v>
      </c>
      <c r="Z36" s="25"/>
      <c r="AA36" s="25"/>
      <c r="AB36" s="25">
        <f t="shared" si="25"/>
        <v>0</v>
      </c>
      <c r="AC36" s="25">
        <f t="shared" si="38"/>
        <v>0</v>
      </c>
      <c r="AD36" s="295"/>
      <c r="AE36" s="295"/>
      <c r="AF36" s="295"/>
      <c r="AG36" s="25"/>
      <c r="AH36" s="25"/>
      <c r="AI36" s="25"/>
      <c r="AJ36" s="25"/>
      <c r="AK36" s="96"/>
      <c r="AL36" s="26">
        <f t="shared" si="14"/>
        <v>0</v>
      </c>
      <c r="AM36" s="25">
        <f t="shared" si="15"/>
        <v>0</v>
      </c>
      <c r="AN36" s="25">
        <f t="shared" si="16"/>
        <v>0</v>
      </c>
    </row>
    <row r="37" spans="1:43" x14ac:dyDescent="0.25">
      <c r="D37" s="100" t="s">
        <v>16</v>
      </c>
      <c r="E37" s="13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91"/>
      <c r="Q37" s="128"/>
      <c r="R37" s="135">
        <f>SUM(P37,Q37)</f>
        <v>0</v>
      </c>
      <c r="S37" s="128"/>
      <c r="T37" s="136">
        <f>SUM(R37,S37)</f>
        <v>0</v>
      </c>
      <c r="U37" s="103">
        <f>IF(AQ37&lt;0,0,(T37-67.3)*0.057)</f>
        <v>0</v>
      </c>
      <c r="V37" s="128"/>
      <c r="W37" s="137"/>
      <c r="X37" s="128"/>
      <c r="Y37" s="103">
        <f>R37*0.494%</f>
        <v>0</v>
      </c>
      <c r="Z37" s="128"/>
      <c r="AA37" s="128"/>
      <c r="AB37" s="128"/>
      <c r="AC37" s="128">
        <f>R37-Z37-AA37-AB37</f>
        <v>0</v>
      </c>
      <c r="AD37" s="276">
        <f>IF(P37=0,0,IF(VLOOKUP(AC37,'Table 52'!$A$2:$B$384,2,TRUE)&gt;=VLOOKUP(Emp.1!AC37,'Table 52'!$C$2:$D$384,2,TRUE),MAX(VLOOKUP(Emp.1!AC37,'Table 52'!$A$2:$B$384,2,TRUE),VLOOKUP(Emp.1!AC37,'Table 52'!$C$2:$D$384,2,TRUE)),0)+55)</f>
        <v>0</v>
      </c>
      <c r="AE37" s="288">
        <f>T37-AB37</f>
        <v>0</v>
      </c>
      <c r="AF37" s="277">
        <f>IF(P37=0,0,IF(VLOOKUP(AE37,'Table 52'!$E$2:$F$276,2,TRUE)&gt;=VLOOKUP(Emp.1!AE37,'Table 52'!$G$2:$H$276,2,TRUE),MAX(VLOOKUP(Emp.1!AE37,'Table 52'!$E$2:$F$276,2,TRUE),VLOOKUP(Emp.1!AE37,'Table 52'!$G$2:$H$276,2,TRUE)),0)+100)</f>
        <v>0</v>
      </c>
      <c r="AG37" s="128">
        <f>Q37</f>
        <v>0</v>
      </c>
      <c r="AH37" s="128">
        <f>SUM(U37,W37,Y37,Z37,AA37,AB37,AD37,AF37,AG37)</f>
        <v>0</v>
      </c>
      <c r="AI37" s="128">
        <f>R37-AH37</f>
        <v>0</v>
      </c>
      <c r="AJ37" s="128">
        <f>O37*0.6</f>
        <v>0</v>
      </c>
      <c r="AK37" s="139">
        <f>AI37+AJ37</f>
        <v>0</v>
      </c>
      <c r="AL37" s="106">
        <f>R37*0.692%</f>
        <v>0</v>
      </c>
      <c r="AM37" s="25"/>
      <c r="AN37" s="25"/>
      <c r="AQ37" s="73">
        <f>(T37-67.3)*0.057</f>
        <v>-3.8361000000000001</v>
      </c>
    </row>
    <row r="38" spans="1:43" x14ac:dyDescent="0.25">
      <c r="D38" s="107" t="s">
        <v>16</v>
      </c>
      <c r="E38" s="140">
        <v>21</v>
      </c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91"/>
      <c r="Q38" s="125"/>
      <c r="R38" s="142">
        <f t="shared" ref="R38:R41" si="55">SUM(P38,Q38)</f>
        <v>0</v>
      </c>
      <c r="S38" s="125"/>
      <c r="T38" s="143">
        <f t="shared" ref="T38:T41" si="56">SUM(R38,S38)</f>
        <v>0</v>
      </c>
      <c r="U38" s="144">
        <f t="shared" ref="U38:U41" si="57">IF(AQ38&lt;0,0,(T38-67.3)*0.057)</f>
        <v>0</v>
      </c>
      <c r="V38" s="125"/>
      <c r="W38" s="145"/>
      <c r="X38" s="125"/>
      <c r="Y38" s="125">
        <f t="shared" ref="Y38:Y41" si="58">R38*0.494%</f>
        <v>0</v>
      </c>
      <c r="Z38" s="125"/>
      <c r="AA38" s="125"/>
      <c r="AB38" s="125"/>
      <c r="AC38" s="125">
        <f>R38-Z38-AA38-AB38</f>
        <v>0</v>
      </c>
      <c r="AD38" s="289">
        <f>IF(P38=0,0,IF(VLOOKUP(AC38,'Table 52'!$A$2:$B$384,2,TRUE)&gt;=VLOOKUP(Emp.1!AC38,'Table 52'!$C$2:$D$384,2,TRUE),MAX(VLOOKUP(Emp.1!AC38,'Table 52'!$A$2:$B$384,2,TRUE),VLOOKUP(Emp.1!AC38,'Table 52'!$C$2:$D$384,2,TRUE)),0)+55)</f>
        <v>0</v>
      </c>
      <c r="AE38" s="290">
        <f>T38-AB38</f>
        <v>0</v>
      </c>
      <c r="AF38" s="291">
        <f>IF(P38=0,0,IF(VLOOKUP(AE38,'Table 52'!$E$2:$F$276,2,TRUE)&gt;=VLOOKUP(Emp.1!AE38,'Table 52'!$G$2:$H$276,2,TRUE),MAX(VLOOKUP(Emp.1!AE38,'Table 52'!$E$2:$F$276,2,TRUE),VLOOKUP(Emp.1!AE38,'Table 52'!$G$2:$H$276,2,TRUE)),0)+100)</f>
        <v>0</v>
      </c>
      <c r="AG38" s="125">
        <f>Q38</f>
        <v>0</v>
      </c>
      <c r="AH38" s="125">
        <f>SUM(U38,W38,Y38,Z38,AA38,AB38,AD38,AF38,AG38)</f>
        <v>0</v>
      </c>
      <c r="AI38" s="125">
        <f>R38-AH38</f>
        <v>0</v>
      </c>
      <c r="AJ38" s="125">
        <f>O38*0.6</f>
        <v>0</v>
      </c>
      <c r="AK38" s="147">
        <f>AI38+AJ38</f>
        <v>0</v>
      </c>
      <c r="AL38" s="148">
        <f t="shared" ref="AL38:AL41" si="59">R38*0.692%</f>
        <v>0</v>
      </c>
      <c r="AM38" s="25"/>
      <c r="AN38" s="25"/>
      <c r="AQ38" s="73">
        <f t="shared" ref="AQ38:AQ41" si="60">(T38-67.3)*0.057</f>
        <v>-3.8361000000000001</v>
      </c>
    </row>
    <row r="39" spans="1:43" x14ac:dyDescent="0.25">
      <c r="D39" s="107" t="s">
        <v>16</v>
      </c>
      <c r="E39" s="140"/>
      <c r="F39" s="112"/>
      <c r="G39" s="30"/>
      <c r="H39" s="30"/>
      <c r="I39" s="30"/>
      <c r="J39" s="30"/>
      <c r="K39" s="30"/>
      <c r="L39" s="30"/>
      <c r="M39" s="30"/>
      <c r="N39" s="30"/>
      <c r="O39" s="30"/>
      <c r="P39" s="91"/>
      <c r="Q39" s="125"/>
      <c r="R39" s="142">
        <f t="shared" si="55"/>
        <v>0</v>
      </c>
      <c r="S39" s="125"/>
      <c r="T39" s="143">
        <f t="shared" si="56"/>
        <v>0</v>
      </c>
      <c r="U39" s="144">
        <f t="shared" si="57"/>
        <v>0</v>
      </c>
      <c r="V39" s="125"/>
      <c r="W39" s="145"/>
      <c r="X39" s="125"/>
      <c r="Y39" s="125">
        <f t="shared" si="58"/>
        <v>0</v>
      </c>
      <c r="Z39" s="125"/>
      <c r="AA39" s="125"/>
      <c r="AB39" s="125"/>
      <c r="AC39" s="125">
        <f>R39-Z39-AA39-AB39</f>
        <v>0</v>
      </c>
      <c r="AD39" s="289">
        <f>IF(P39=0,0,IF(VLOOKUP(AC39,'Table 52'!$A$2:$B$384,2,TRUE)&gt;=VLOOKUP(Emp.1!AC39,'Table 52'!$C$2:$D$384,2,TRUE),MAX(VLOOKUP(Emp.1!AC39,'Table 52'!$A$2:$B$384,2,TRUE),VLOOKUP(Emp.1!AC39,'Table 52'!$C$2:$D$384,2,TRUE)),0)+55)</f>
        <v>0</v>
      </c>
      <c r="AE39" s="290">
        <f>T39-AB39</f>
        <v>0</v>
      </c>
      <c r="AF39" s="291">
        <f>IF(P39=0,0,IF(VLOOKUP(AE39,'Table 52'!$E$2:$F$276,2,TRUE)&gt;=VLOOKUP(Emp.1!AE39,'Table 52'!$G$2:$H$276,2,TRUE),MAX(VLOOKUP(Emp.1!AE39,'Table 52'!$E$2:$F$276,2,TRUE),VLOOKUP(Emp.1!AE39,'Table 52'!$G$2:$H$276,2,TRUE)),0)+100)</f>
        <v>0</v>
      </c>
      <c r="AG39" s="125">
        <f>Q39</f>
        <v>0</v>
      </c>
      <c r="AH39" s="125">
        <f>SUM(U39,W39,Y39,Z39,AA39,AB39,AD39,AF39,AG39)</f>
        <v>0</v>
      </c>
      <c r="AI39" s="125">
        <f>R39-AH39</f>
        <v>0</v>
      </c>
      <c r="AJ39" s="125">
        <f>O39*0.6</f>
        <v>0</v>
      </c>
      <c r="AK39" s="147">
        <f>AI39+AJ39</f>
        <v>0</v>
      </c>
      <c r="AL39" s="148">
        <f t="shared" si="59"/>
        <v>0</v>
      </c>
      <c r="AM39" s="25"/>
      <c r="AN39" s="25"/>
      <c r="AQ39" s="73">
        <f t="shared" si="60"/>
        <v>-3.8361000000000001</v>
      </c>
    </row>
    <row r="40" spans="1:43" x14ac:dyDescent="0.25">
      <c r="D40" s="107" t="s">
        <v>16</v>
      </c>
      <c r="E40" s="14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91"/>
      <c r="Q40" s="125"/>
      <c r="R40" s="142">
        <f t="shared" si="55"/>
        <v>0</v>
      </c>
      <c r="S40" s="125"/>
      <c r="T40" s="143">
        <f t="shared" si="56"/>
        <v>0</v>
      </c>
      <c r="U40" s="144">
        <f t="shared" si="57"/>
        <v>0</v>
      </c>
      <c r="V40" s="125"/>
      <c r="W40" s="145"/>
      <c r="X40" s="125"/>
      <c r="Y40" s="125">
        <f t="shared" si="58"/>
        <v>0</v>
      </c>
      <c r="Z40" s="125"/>
      <c r="AA40" s="125"/>
      <c r="AB40" s="125"/>
      <c r="AC40" s="125">
        <f>R40-Z40-AA40-AB40</f>
        <v>0</v>
      </c>
      <c r="AD40" s="289">
        <f>IF(P40=0,0,IF(VLOOKUP(AC40,'Table 52'!$A$2:$B$384,2,TRUE)&gt;=VLOOKUP(Emp.1!AC40,'Table 52'!$C$2:$D$384,2,TRUE),MAX(VLOOKUP(Emp.1!AC40,'Table 52'!$A$2:$B$384,2,TRUE),VLOOKUP(Emp.1!AC40,'Table 52'!$C$2:$D$384,2,TRUE)),0)+55)</f>
        <v>0</v>
      </c>
      <c r="AE40" s="290">
        <f>T40-AB40</f>
        <v>0</v>
      </c>
      <c r="AF40" s="291">
        <f>IF(P40=0,0,IF(VLOOKUP(AE40,'Table 52'!$E$2:$F$276,2,TRUE)&gt;=VLOOKUP(Emp.1!AE40,'Table 52'!$G$2:$H$276,2,TRUE),MAX(VLOOKUP(Emp.1!AE40,'Table 52'!$E$2:$F$276,2,TRUE),VLOOKUP(Emp.1!AE40,'Table 52'!$G$2:$H$276,2,TRUE)),0)+100)</f>
        <v>0</v>
      </c>
      <c r="AG40" s="125">
        <f>Q40</f>
        <v>0</v>
      </c>
      <c r="AH40" s="125">
        <f>SUM(U40,W40,Y40,Z40,AA40,AB40,AD40,AF40,AG40)</f>
        <v>0</v>
      </c>
      <c r="AI40" s="125">
        <f>R40-AH40</f>
        <v>0</v>
      </c>
      <c r="AJ40" s="125">
        <f>O40*0.6</f>
        <v>0</v>
      </c>
      <c r="AK40" s="147">
        <f>AI40+AJ40</f>
        <v>0</v>
      </c>
      <c r="AL40" s="148">
        <f t="shared" si="59"/>
        <v>0</v>
      </c>
      <c r="AM40" s="25"/>
      <c r="AN40" s="25"/>
      <c r="AQ40" s="73">
        <f t="shared" si="60"/>
        <v>-3.8361000000000001</v>
      </c>
    </row>
    <row r="41" spans="1:43" x14ac:dyDescent="0.25">
      <c r="D41" s="107" t="s">
        <v>16</v>
      </c>
      <c r="E41" s="14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91"/>
      <c r="Q41" s="204">
        <f t="shared" ref="Q41" si="61">P41*13%</f>
        <v>0</v>
      </c>
      <c r="R41" s="205">
        <f t="shared" si="55"/>
        <v>0</v>
      </c>
      <c r="S41" s="206"/>
      <c r="T41" s="207">
        <f t="shared" si="56"/>
        <v>0</v>
      </c>
      <c r="U41" s="208">
        <f t="shared" si="57"/>
        <v>0</v>
      </c>
      <c r="V41" s="206"/>
      <c r="W41" s="209">
        <v>0</v>
      </c>
      <c r="X41" s="206"/>
      <c r="Y41" s="206">
        <f t="shared" si="58"/>
        <v>0</v>
      </c>
      <c r="Z41" s="206"/>
      <c r="AA41" s="215"/>
      <c r="AB41" s="215"/>
      <c r="AC41" s="206">
        <f t="shared" si="38"/>
        <v>0</v>
      </c>
      <c r="AD41" s="292">
        <f>IF(P41=0,0,IF(VLOOKUP(AC41,'Table 52'!$A$2:$B$384,2,TRUE)&gt;=VLOOKUP(Emp.1!AC41,'Table 52'!$C$2:$D$384,2,TRUE),MAX(VLOOKUP(Emp.1!AC41,'Table 52'!$A$2:$B$384,2,TRUE),VLOOKUP(Emp.1!AC41,'Table 52'!$C$2:$D$384,2,TRUE)),0)+55)</f>
        <v>0</v>
      </c>
      <c r="AE41" s="293">
        <f t="shared" ref="AE41" si="62">T41-AB41</f>
        <v>0</v>
      </c>
      <c r="AF41" s="294">
        <f>IF(P41=0,0,IF(VLOOKUP(AE41,'Table 52'!$E$2:$F$276,2,TRUE)&gt;=VLOOKUP(Emp.1!AE41,'Table 52'!$G$2:$H$276,2,TRUE),MAX(VLOOKUP(Emp.1!AE41,'Table 52'!$E$2:$F$276,2,TRUE),VLOOKUP(Emp.1!AE41,'Table 52'!$G$2:$H$276,2,TRUE)),0)+100)</f>
        <v>0</v>
      </c>
      <c r="AG41" s="206"/>
      <c r="AH41" s="206"/>
      <c r="AI41" s="206"/>
      <c r="AJ41" s="206"/>
      <c r="AK41" s="212"/>
      <c r="AL41" s="213">
        <f t="shared" si="59"/>
        <v>0</v>
      </c>
      <c r="AM41" s="25"/>
      <c r="AN41" s="25"/>
      <c r="AQ41" s="73">
        <f t="shared" si="60"/>
        <v>-3.8361000000000001</v>
      </c>
    </row>
    <row r="42" spans="1:43" ht="13.8" thickBot="1" x14ac:dyDescent="0.3">
      <c r="A42" s="4"/>
      <c r="B42" s="4"/>
      <c r="C42" s="4"/>
      <c r="D42" s="278" t="s">
        <v>33</v>
      </c>
      <c r="E42" s="287"/>
      <c r="F42" s="280"/>
      <c r="G42" s="280"/>
      <c r="H42" s="280"/>
      <c r="I42" s="280"/>
      <c r="J42" s="280"/>
      <c r="K42" s="280"/>
      <c r="L42" s="280"/>
      <c r="M42" s="280"/>
      <c r="N42" s="280"/>
      <c r="O42" s="298">
        <f>SUM(O37:O41)</f>
        <v>0</v>
      </c>
      <c r="P42" s="299">
        <f>SUM(P37:P41)</f>
        <v>0</v>
      </c>
      <c r="Q42" s="299">
        <f t="shared" ref="Q42:AL42" si="63">SUM(Q37:Q41)</f>
        <v>0</v>
      </c>
      <c r="R42" s="300">
        <f t="shared" si="63"/>
        <v>0</v>
      </c>
      <c r="S42" s="299">
        <f t="shared" si="63"/>
        <v>0</v>
      </c>
      <c r="T42" s="299">
        <f t="shared" si="63"/>
        <v>0</v>
      </c>
      <c r="U42" s="299">
        <f t="shared" si="63"/>
        <v>0</v>
      </c>
      <c r="V42" s="299">
        <f t="shared" si="63"/>
        <v>0</v>
      </c>
      <c r="W42" s="299">
        <f t="shared" si="63"/>
        <v>0</v>
      </c>
      <c r="X42" s="299">
        <f t="shared" si="63"/>
        <v>0</v>
      </c>
      <c r="Y42" s="299">
        <f t="shared" si="63"/>
        <v>0</v>
      </c>
      <c r="Z42" s="299">
        <f t="shared" si="63"/>
        <v>0</v>
      </c>
      <c r="AA42" s="299">
        <f t="shared" si="63"/>
        <v>0</v>
      </c>
      <c r="AB42" s="299">
        <f t="shared" si="63"/>
        <v>0</v>
      </c>
      <c r="AC42" s="299">
        <f t="shared" si="63"/>
        <v>0</v>
      </c>
      <c r="AD42" s="301">
        <f t="shared" si="63"/>
        <v>0</v>
      </c>
      <c r="AE42" s="302">
        <f t="shared" si="63"/>
        <v>0</v>
      </c>
      <c r="AF42" s="303">
        <f t="shared" si="63"/>
        <v>0</v>
      </c>
      <c r="AG42" s="299">
        <f t="shared" si="63"/>
        <v>0</v>
      </c>
      <c r="AH42" s="299">
        <f t="shared" si="63"/>
        <v>0</v>
      </c>
      <c r="AI42" s="299">
        <f t="shared" si="63"/>
        <v>0</v>
      </c>
      <c r="AJ42" s="299">
        <f t="shared" si="63"/>
        <v>0</v>
      </c>
      <c r="AK42" s="304">
        <f t="shared" si="63"/>
        <v>0</v>
      </c>
      <c r="AL42" s="305">
        <f t="shared" si="63"/>
        <v>0</v>
      </c>
      <c r="AM42" s="13">
        <f t="shared" ref="AM42" si="64">SUM(AM37:AM41)</f>
        <v>0</v>
      </c>
      <c r="AN42" s="13">
        <f t="shared" ref="AN42:AO42" si="65">SUM(AN37:AN41)</f>
        <v>0</v>
      </c>
      <c r="AO42" s="13">
        <f t="shared" si="65"/>
        <v>0</v>
      </c>
    </row>
    <row r="43" spans="1:43" x14ac:dyDescent="0.25">
      <c r="E43" s="7"/>
      <c r="P43" s="25"/>
      <c r="Q43" s="25"/>
      <c r="R43" s="74">
        <f t="shared" si="10"/>
        <v>0</v>
      </c>
      <c r="S43" s="25"/>
      <c r="T43" s="35">
        <f t="shared" si="11"/>
        <v>0</v>
      </c>
      <c r="U43" s="52"/>
      <c r="V43" s="13"/>
      <c r="W43" s="31"/>
      <c r="X43" s="25"/>
      <c r="Y43" s="25">
        <f t="shared" si="12"/>
        <v>0</v>
      </c>
      <c r="Z43" s="25"/>
      <c r="AA43" s="25"/>
      <c r="AB43" s="25"/>
      <c r="AC43" s="25">
        <f t="shared" si="38"/>
        <v>0</v>
      </c>
      <c r="AD43" s="295"/>
      <c r="AE43" s="295"/>
      <c r="AF43" s="295"/>
      <c r="AG43" s="25"/>
      <c r="AH43" s="25"/>
      <c r="AI43" s="25"/>
      <c r="AJ43" s="25"/>
      <c r="AK43" s="96"/>
      <c r="AL43" s="26">
        <f t="shared" si="14"/>
        <v>0</v>
      </c>
      <c r="AM43" s="25">
        <f t="shared" si="15"/>
        <v>0</v>
      </c>
      <c r="AN43" s="25">
        <f t="shared" si="16"/>
        <v>0</v>
      </c>
    </row>
    <row r="44" spans="1:43" x14ac:dyDescent="0.25">
      <c r="D44" s="100" t="s">
        <v>17</v>
      </c>
      <c r="E44" s="132"/>
      <c r="F44" s="102"/>
      <c r="G44" s="102"/>
      <c r="H44" s="102"/>
      <c r="I44" s="102"/>
      <c r="J44" s="102"/>
      <c r="K44" s="102"/>
      <c r="L44" s="102"/>
      <c r="M44" s="102"/>
      <c r="N44" s="102"/>
      <c r="O44" s="102">
        <v>0</v>
      </c>
      <c r="P44" s="91"/>
      <c r="Q44" s="128"/>
      <c r="R44" s="135">
        <f>SUM(P44,Q44)</f>
        <v>0</v>
      </c>
      <c r="S44" s="128"/>
      <c r="T44" s="136">
        <f>SUM(R44,S44)</f>
        <v>0</v>
      </c>
      <c r="U44" s="103">
        <f>IF(AQ44&lt;0,0,(T44-67.3)*0.057)</f>
        <v>0</v>
      </c>
      <c r="V44" s="128"/>
      <c r="W44" s="137"/>
      <c r="X44" s="128"/>
      <c r="Y44" s="103">
        <f>R44*0.494%</f>
        <v>0</v>
      </c>
      <c r="Z44" s="128"/>
      <c r="AA44" s="128"/>
      <c r="AB44" s="128"/>
      <c r="AC44" s="128">
        <f>R44-Z44-AA44-AB44</f>
        <v>0</v>
      </c>
      <c r="AD44" s="276">
        <f>IF(P44=0,0,IF(VLOOKUP(AC44,'Table 52'!$A$2:$B$384,2,TRUE)&gt;=VLOOKUP(Emp.1!AC44,'Table 52'!$C$2:$D$384,2,TRUE),MAX(VLOOKUP(Emp.1!AC44,'Table 52'!$A$2:$B$384,2,TRUE),VLOOKUP(Emp.1!AC44,'Table 52'!$C$2:$D$384,2,TRUE)),0)+55)</f>
        <v>0</v>
      </c>
      <c r="AE44" s="288">
        <f>T44-AB44</f>
        <v>0</v>
      </c>
      <c r="AF44" s="277">
        <f>IF(P44=0,0,IF(VLOOKUP(AE44,'Table 52'!$E$2:$F$276,2,TRUE)&gt;=VLOOKUP(Emp.1!AE44,'Table 52'!$G$2:$H$276,2,TRUE),MAX(VLOOKUP(Emp.1!AE44,'Table 52'!$E$2:$F$276,2,TRUE),VLOOKUP(Emp.1!AE44,'Table 52'!$G$2:$H$276,2,TRUE)),0)+100)</f>
        <v>0</v>
      </c>
      <c r="AG44" s="128">
        <f>Q44</f>
        <v>0</v>
      </c>
      <c r="AH44" s="128">
        <f>SUM(U44,W44,Y44,Z44,AA44,AB44,AD44,AF44,AG44)</f>
        <v>0</v>
      </c>
      <c r="AI44" s="128">
        <f>R44-AH44</f>
        <v>0</v>
      </c>
      <c r="AJ44" s="128">
        <f>O44*0.6</f>
        <v>0</v>
      </c>
      <c r="AK44" s="139">
        <f>AI44+AJ44</f>
        <v>0</v>
      </c>
      <c r="AL44" s="106">
        <f>R44*0.692%</f>
        <v>0</v>
      </c>
      <c r="AM44" s="25"/>
      <c r="AN44" s="25"/>
      <c r="AQ44" s="73">
        <f>(T44-67.3)*0.057</f>
        <v>-3.8361000000000001</v>
      </c>
    </row>
    <row r="45" spans="1:43" x14ac:dyDescent="0.25">
      <c r="D45" s="107" t="s">
        <v>17</v>
      </c>
      <c r="E45" s="140">
        <v>21</v>
      </c>
      <c r="F45" s="112"/>
      <c r="G45" s="30"/>
      <c r="H45" s="30"/>
      <c r="I45" s="30"/>
      <c r="J45" s="30"/>
      <c r="K45" s="30"/>
      <c r="L45" s="30"/>
      <c r="M45" s="30"/>
      <c r="N45" s="30"/>
      <c r="O45" s="30"/>
      <c r="P45" s="91"/>
      <c r="Q45" s="125"/>
      <c r="R45" s="142">
        <f>SUM(P45,Q45)</f>
        <v>0</v>
      </c>
      <c r="S45" s="125"/>
      <c r="T45" s="143">
        <f>SUM(R45,S45)</f>
        <v>0</v>
      </c>
      <c r="U45" s="144">
        <f t="shared" ref="U45:U48" si="66">IF(AQ45&lt;0,0,(T45-67.3)*0.057)</f>
        <v>0</v>
      </c>
      <c r="V45" s="125"/>
      <c r="W45" s="145"/>
      <c r="X45" s="125"/>
      <c r="Y45" s="125">
        <f t="shared" ref="Y45:Y48" si="67">R45*0.494%</f>
        <v>0</v>
      </c>
      <c r="Z45" s="125"/>
      <c r="AA45" s="125"/>
      <c r="AB45" s="125"/>
      <c r="AC45" s="125">
        <f>R45-Z45-AA45-AB45</f>
        <v>0</v>
      </c>
      <c r="AD45" s="289">
        <f>IF(P45=0,0,IF(VLOOKUP(AC45,'Table 52'!$A$2:$B$384,2,TRUE)&gt;=VLOOKUP(Emp.1!AC45,'Table 52'!$C$2:$D$384,2,TRUE),MAX(VLOOKUP(Emp.1!AC45,'Table 52'!$A$2:$B$384,2,TRUE),VLOOKUP(Emp.1!AC45,'Table 52'!$C$2:$D$384,2,TRUE)),0)+55)</f>
        <v>0</v>
      </c>
      <c r="AE45" s="290">
        <f>T45-AB45</f>
        <v>0</v>
      </c>
      <c r="AF45" s="291">
        <f>IF(P45=0,0,IF(VLOOKUP(AE45,'Table 52'!$E$2:$F$276,2,TRUE)&gt;=VLOOKUP(Emp.1!AE45,'Table 52'!$G$2:$H$276,2,TRUE),MAX(VLOOKUP(Emp.1!AE45,'Table 52'!$E$2:$F$276,2,TRUE),VLOOKUP(Emp.1!AE45,'Table 52'!$G$2:$H$276,2,TRUE)),0)+100)</f>
        <v>0</v>
      </c>
      <c r="AG45" s="125">
        <f>Q45</f>
        <v>0</v>
      </c>
      <c r="AH45" s="125">
        <f>SUM(U45,W45,Y45,Z45,AA45,AB45,AD45,AF45,AG45)</f>
        <v>0</v>
      </c>
      <c r="AI45" s="125">
        <f>R45-AH45</f>
        <v>0</v>
      </c>
      <c r="AJ45" s="125">
        <f>O45*0.6</f>
        <v>0</v>
      </c>
      <c r="AK45" s="147">
        <f>AI45+AJ45</f>
        <v>0</v>
      </c>
      <c r="AL45" s="148">
        <f t="shared" ref="AL45:AL48" si="68">R45*0.692%</f>
        <v>0</v>
      </c>
      <c r="AM45" s="25"/>
      <c r="AN45" s="25"/>
      <c r="AQ45" s="73">
        <f t="shared" ref="AQ45:AQ48" si="69">(T45-67.3)*0.057</f>
        <v>-3.8361000000000001</v>
      </c>
    </row>
    <row r="46" spans="1:43" x14ac:dyDescent="0.25">
      <c r="D46" s="107" t="s">
        <v>17</v>
      </c>
      <c r="E46" s="14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91"/>
      <c r="Q46" s="125"/>
      <c r="R46" s="142">
        <f>SUM(P46,Q46)</f>
        <v>0</v>
      </c>
      <c r="S46" s="125"/>
      <c r="T46" s="143">
        <f>SUM(R46,S46)</f>
        <v>0</v>
      </c>
      <c r="U46" s="144">
        <f t="shared" si="66"/>
        <v>0</v>
      </c>
      <c r="V46" s="125"/>
      <c r="W46" s="145"/>
      <c r="X46" s="125"/>
      <c r="Y46" s="125">
        <f t="shared" si="67"/>
        <v>0</v>
      </c>
      <c r="Z46" s="125"/>
      <c r="AA46" s="125"/>
      <c r="AB46" s="125"/>
      <c r="AC46" s="125">
        <f>R46-Z46-AA46-AB46</f>
        <v>0</v>
      </c>
      <c r="AD46" s="289">
        <f>IF(P46=0,0,IF(VLOOKUP(AC46,'Table 52'!$A$2:$B$384,2,TRUE)&gt;=VLOOKUP(Emp.1!AC46,'Table 52'!$C$2:$D$384,2,TRUE),MAX(VLOOKUP(Emp.1!AC46,'Table 52'!$A$2:$B$384,2,TRUE),VLOOKUP(Emp.1!AC46,'Table 52'!$C$2:$D$384,2,TRUE)),0)+55)</f>
        <v>0</v>
      </c>
      <c r="AE46" s="290">
        <f>T46-AB46</f>
        <v>0</v>
      </c>
      <c r="AF46" s="291">
        <f>IF(P46=0,0,IF(VLOOKUP(AE46,'Table 52'!$E$2:$F$276,2,TRUE)&gt;=VLOOKUP(Emp.1!AE46,'Table 52'!$G$2:$H$276,2,TRUE),MAX(VLOOKUP(Emp.1!AE46,'Table 52'!$E$2:$F$276,2,TRUE),VLOOKUP(Emp.1!AE46,'Table 52'!$G$2:$H$276,2,TRUE)),0)+100)</f>
        <v>0</v>
      </c>
      <c r="AG46" s="125">
        <f>Q46</f>
        <v>0</v>
      </c>
      <c r="AH46" s="125">
        <f>SUM(U46,W46,Y46,Z46,AA46,AB46,AD46,AF46,AG46)</f>
        <v>0</v>
      </c>
      <c r="AI46" s="125">
        <f>R46-AH46</f>
        <v>0</v>
      </c>
      <c r="AJ46" s="125">
        <f>O46*0.6</f>
        <v>0</v>
      </c>
      <c r="AK46" s="147">
        <f>AI46+AJ46</f>
        <v>0</v>
      </c>
      <c r="AL46" s="148">
        <f t="shared" si="68"/>
        <v>0</v>
      </c>
      <c r="AM46" s="25"/>
      <c r="AN46" s="25"/>
      <c r="AQ46" s="73">
        <f t="shared" si="69"/>
        <v>-3.8361000000000001</v>
      </c>
    </row>
    <row r="47" spans="1:43" x14ac:dyDescent="0.25">
      <c r="D47" s="107" t="s">
        <v>17</v>
      </c>
      <c r="E47" s="14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91"/>
      <c r="Q47" s="214"/>
      <c r="R47" s="142">
        <f>SUM(P47,Q47)</f>
        <v>0</v>
      </c>
      <c r="S47" s="125"/>
      <c r="T47" s="143">
        <f>SUM(R47,S47)</f>
        <v>0</v>
      </c>
      <c r="U47" s="144">
        <f t="shared" si="66"/>
        <v>0</v>
      </c>
      <c r="V47" s="125"/>
      <c r="W47" s="145"/>
      <c r="X47" s="125"/>
      <c r="Y47" s="125">
        <f t="shared" si="67"/>
        <v>0</v>
      </c>
      <c r="Z47" s="125"/>
      <c r="AA47" s="125"/>
      <c r="AB47" s="125"/>
      <c r="AC47" s="125">
        <f>R47-Z47-AA47-AB47</f>
        <v>0</v>
      </c>
      <c r="AD47" s="289">
        <f>IF(P47=0,0,IF(VLOOKUP(AC47,'Table 52'!$A$2:$B$384,2,TRUE)&gt;=VLOOKUP(Emp.1!AC47,'Table 52'!$C$2:$D$384,2,TRUE),MAX(VLOOKUP(Emp.1!AC47,'Table 52'!$A$2:$B$384,2,TRUE),VLOOKUP(Emp.1!AC47,'Table 52'!$C$2:$D$384,2,TRUE)),0)+55)</f>
        <v>0</v>
      </c>
      <c r="AE47" s="290">
        <f>T47-AB47</f>
        <v>0</v>
      </c>
      <c r="AF47" s="291">
        <f>IF(P47=0,0,IF(VLOOKUP(AE47,'Table 52'!$E$2:$F$276,2,TRUE)&gt;=VLOOKUP(Emp.1!AE47,'Table 52'!$G$2:$H$276,2,TRUE),MAX(VLOOKUP(Emp.1!AE47,'Table 52'!$E$2:$F$276,2,TRUE),VLOOKUP(Emp.1!AE47,'Table 52'!$G$2:$H$276,2,TRUE)),0)+100)</f>
        <v>0</v>
      </c>
      <c r="AG47" s="125">
        <f>Q47</f>
        <v>0</v>
      </c>
      <c r="AH47" s="125">
        <f>SUM(U47,W47,Y47,Z47,AA47,AB47,AD47,AF47,AG47)</f>
        <v>0</v>
      </c>
      <c r="AI47" s="125">
        <f>R47-AH47</f>
        <v>0</v>
      </c>
      <c r="AJ47" s="125">
        <f>O47*0.6</f>
        <v>0</v>
      </c>
      <c r="AK47" s="147">
        <f>AI47+AJ47</f>
        <v>0</v>
      </c>
      <c r="AL47" s="148">
        <f t="shared" si="68"/>
        <v>0</v>
      </c>
      <c r="AM47" s="25"/>
      <c r="AN47" s="25"/>
      <c r="AQ47" s="73">
        <f t="shared" si="69"/>
        <v>-3.8361000000000001</v>
      </c>
    </row>
    <row r="48" spans="1:43" x14ac:dyDescent="0.25">
      <c r="D48" s="107" t="s">
        <v>52</v>
      </c>
      <c r="E48" s="14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91"/>
      <c r="Q48" s="204"/>
      <c r="R48" s="205">
        <f>SUM(P48,Q48)</f>
        <v>0</v>
      </c>
      <c r="S48" s="206"/>
      <c r="T48" s="207">
        <f>SUM(R48,S48)</f>
        <v>0</v>
      </c>
      <c r="U48" s="208">
        <f t="shared" si="66"/>
        <v>0</v>
      </c>
      <c r="V48" s="206"/>
      <c r="W48" s="209">
        <v>0</v>
      </c>
      <c r="X48" s="206"/>
      <c r="Y48" s="206">
        <f t="shared" si="67"/>
        <v>0</v>
      </c>
      <c r="Z48" s="206"/>
      <c r="AA48" s="206"/>
      <c r="AB48" s="206"/>
      <c r="AC48" s="206">
        <f>R48-Z48-AA48-AB48</f>
        <v>0</v>
      </c>
      <c r="AD48" s="292">
        <f>IF(P48=0,0,IF(VLOOKUP(AC48,'Table 52'!$A$2:$B$384,2,TRUE)&gt;=VLOOKUP(Emp.1!AC48,'Table 52'!$C$2:$D$384,2,TRUE),MAX(VLOOKUP(Emp.1!AC48,'Table 52'!$A$2:$B$384,2,TRUE),VLOOKUP(Emp.1!AC48,'Table 52'!$C$2:$D$384,2,TRUE)),0)+55)</f>
        <v>0</v>
      </c>
      <c r="AE48" s="293">
        <f>T48-AB48</f>
        <v>0</v>
      </c>
      <c r="AF48" s="294">
        <f>IF(P48=0,0,IF(VLOOKUP(AE48,'Table 52'!$E$2:$F$276,2,TRUE)&gt;=VLOOKUP(Emp.1!AE48,'Table 52'!$G$2:$H$276,2,TRUE),MAX(VLOOKUP(Emp.1!AE48,'Table 52'!$E$2:$F$276,2,TRUE),VLOOKUP(Emp.1!AE48,'Table 52'!$G$2:$H$276,2,TRUE)),0)+100)</f>
        <v>0</v>
      </c>
      <c r="AG48" s="206">
        <f>Q48</f>
        <v>0</v>
      </c>
      <c r="AH48" s="206">
        <f>SUM(U48,W48,Y48,Z48,AA48,AB48,AD48,AF48,AG48)</f>
        <v>0</v>
      </c>
      <c r="AI48" s="206">
        <f>R48-AH48</f>
        <v>0</v>
      </c>
      <c r="AJ48" s="206">
        <f>O48*0.6</f>
        <v>0</v>
      </c>
      <c r="AK48" s="212">
        <f>AI48+AJ48</f>
        <v>0</v>
      </c>
      <c r="AL48" s="213">
        <f t="shared" si="68"/>
        <v>0</v>
      </c>
      <c r="AM48" s="25"/>
      <c r="AN48" s="25"/>
      <c r="AQ48" s="73">
        <f t="shared" si="69"/>
        <v>-3.8361000000000001</v>
      </c>
    </row>
    <row r="49" spans="1:43" ht="13.8" thickBot="1" x14ac:dyDescent="0.3">
      <c r="A49" s="4"/>
      <c r="B49" s="4"/>
      <c r="C49" s="4"/>
      <c r="D49" s="278" t="s">
        <v>33</v>
      </c>
      <c r="E49" s="287"/>
      <c r="F49" s="280"/>
      <c r="G49" s="280"/>
      <c r="H49" s="280"/>
      <c r="I49" s="280"/>
      <c r="J49" s="280"/>
      <c r="K49" s="280"/>
      <c r="L49" s="280"/>
      <c r="M49" s="280"/>
      <c r="N49" s="280"/>
      <c r="O49" s="298">
        <f>SUM(O44:O48)</f>
        <v>0</v>
      </c>
      <c r="P49" s="299">
        <f>SUM(P44:P48)</f>
        <v>0</v>
      </c>
      <c r="Q49" s="299">
        <f t="shared" ref="Q49:AP49" si="70">SUM(Q44:Q48)</f>
        <v>0</v>
      </c>
      <c r="R49" s="300">
        <f t="shared" si="70"/>
        <v>0</v>
      </c>
      <c r="S49" s="299">
        <f t="shared" si="70"/>
        <v>0</v>
      </c>
      <c r="T49" s="299">
        <f t="shared" si="70"/>
        <v>0</v>
      </c>
      <c r="U49" s="299">
        <f t="shared" si="70"/>
        <v>0</v>
      </c>
      <c r="V49" s="299">
        <f t="shared" si="70"/>
        <v>0</v>
      </c>
      <c r="W49" s="299">
        <f t="shared" si="70"/>
        <v>0</v>
      </c>
      <c r="X49" s="299">
        <f t="shared" si="70"/>
        <v>0</v>
      </c>
      <c r="Y49" s="299">
        <f t="shared" si="70"/>
        <v>0</v>
      </c>
      <c r="Z49" s="299">
        <f t="shared" si="70"/>
        <v>0</v>
      </c>
      <c r="AA49" s="299">
        <f t="shared" si="70"/>
        <v>0</v>
      </c>
      <c r="AB49" s="299">
        <f t="shared" si="70"/>
        <v>0</v>
      </c>
      <c r="AC49" s="299">
        <f t="shared" si="70"/>
        <v>0</v>
      </c>
      <c r="AD49" s="301">
        <f t="shared" si="70"/>
        <v>0</v>
      </c>
      <c r="AE49" s="302">
        <f t="shared" si="70"/>
        <v>0</v>
      </c>
      <c r="AF49" s="303">
        <f t="shared" si="70"/>
        <v>0</v>
      </c>
      <c r="AG49" s="299">
        <f t="shared" si="70"/>
        <v>0</v>
      </c>
      <c r="AH49" s="299">
        <f t="shared" si="70"/>
        <v>0</v>
      </c>
      <c r="AI49" s="299">
        <f t="shared" si="70"/>
        <v>0</v>
      </c>
      <c r="AJ49" s="299">
        <f t="shared" si="70"/>
        <v>0</v>
      </c>
      <c r="AK49" s="304">
        <f t="shared" si="70"/>
        <v>0</v>
      </c>
      <c r="AL49" s="305">
        <f t="shared" si="70"/>
        <v>0</v>
      </c>
      <c r="AM49" s="13">
        <f t="shared" si="70"/>
        <v>0</v>
      </c>
      <c r="AN49" s="13">
        <f t="shared" si="70"/>
        <v>0</v>
      </c>
      <c r="AO49" s="13">
        <f t="shared" si="70"/>
        <v>0</v>
      </c>
      <c r="AP49" s="25">
        <f t="shared" si="70"/>
        <v>0</v>
      </c>
    </row>
    <row r="50" spans="1:43" x14ac:dyDescent="0.25">
      <c r="E50" s="7"/>
      <c r="P50" s="25"/>
      <c r="Q50" s="25"/>
      <c r="R50" s="74">
        <f t="shared" si="10"/>
        <v>0</v>
      </c>
      <c r="S50" s="25"/>
      <c r="T50" s="35">
        <f t="shared" si="11"/>
        <v>0</v>
      </c>
      <c r="U50" s="52"/>
      <c r="V50" s="13"/>
      <c r="W50" s="31"/>
      <c r="X50" s="25"/>
      <c r="Y50" s="25">
        <f t="shared" si="12"/>
        <v>0</v>
      </c>
      <c r="Z50" s="25"/>
      <c r="AA50" s="25"/>
      <c r="AB50" s="25"/>
      <c r="AC50" s="25">
        <f t="shared" si="38"/>
        <v>0</v>
      </c>
      <c r="AD50" s="295"/>
      <c r="AE50" s="295"/>
      <c r="AF50" s="295"/>
      <c r="AG50" s="25"/>
      <c r="AH50" s="25"/>
      <c r="AI50" s="13"/>
      <c r="AJ50" s="25"/>
      <c r="AK50" s="96"/>
      <c r="AL50" s="26">
        <f t="shared" si="14"/>
        <v>0</v>
      </c>
      <c r="AM50" s="25">
        <f t="shared" si="15"/>
        <v>0</v>
      </c>
      <c r="AN50" s="25">
        <f t="shared" si="16"/>
        <v>0</v>
      </c>
    </row>
    <row r="51" spans="1:43" x14ac:dyDescent="0.25">
      <c r="D51" s="100" t="s">
        <v>18</v>
      </c>
      <c r="E51" s="13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91"/>
      <c r="Q51" s="128"/>
      <c r="R51" s="135">
        <f>SUM(P51,Q51)</f>
        <v>0</v>
      </c>
      <c r="S51" s="128"/>
      <c r="T51" s="136">
        <f>SUM(R51,S51)</f>
        <v>0</v>
      </c>
      <c r="U51" s="103">
        <f>IF(AQ51&lt;0,0,(T51-67.3)*0.057)</f>
        <v>0</v>
      </c>
      <c r="V51" s="128"/>
      <c r="W51" s="137"/>
      <c r="X51" s="128"/>
      <c r="Y51" s="103">
        <f>R51*0.494%</f>
        <v>0</v>
      </c>
      <c r="Z51" s="128"/>
      <c r="AA51" s="128"/>
      <c r="AB51" s="128"/>
      <c r="AC51" s="128">
        <f>R51-Z51-AA51-AB51</f>
        <v>0</v>
      </c>
      <c r="AD51" s="276">
        <f>IF(P51=0,0,IF(VLOOKUP(AC51,'Table 52'!$A$2:$B$384,2,TRUE)&gt;=VLOOKUP(Emp.1!AC51,'Table 52'!$C$2:$D$384,2,TRUE),MAX(VLOOKUP(Emp.1!AC51,'Table 52'!$A$2:$B$384,2,TRUE),VLOOKUP(Emp.1!AC51,'Table 52'!$C$2:$D$384,2,TRUE)),0)+55)</f>
        <v>0</v>
      </c>
      <c r="AE51" s="288">
        <f>T51-AB51</f>
        <v>0</v>
      </c>
      <c r="AF51" s="277">
        <f>IF(P51=0,0,IF(VLOOKUP(AE51,'Table 52'!$E$2:$F$276,2,TRUE)&gt;=VLOOKUP(Emp.1!AE51,'Table 52'!$G$2:$H$276,2,TRUE),MAX(VLOOKUP(Emp.1!AE51,'Table 52'!$E$2:$F$276,2,TRUE),VLOOKUP(Emp.1!AE51,'Table 52'!$G$2:$H$276,2,TRUE)),0)+100)</f>
        <v>0</v>
      </c>
      <c r="AG51" s="128">
        <f>Q51</f>
        <v>0</v>
      </c>
      <c r="AH51" s="128">
        <f>SUM(U51,W51,Y51,Z51,AA51,AB51,AD51,AF51,AG51)</f>
        <v>0</v>
      </c>
      <c r="AI51" s="128">
        <f>R51-AH51</f>
        <v>0</v>
      </c>
      <c r="AJ51" s="128">
        <f>O51*0.6</f>
        <v>0</v>
      </c>
      <c r="AK51" s="139">
        <f>AI51+AJ51</f>
        <v>0</v>
      </c>
      <c r="AL51" s="106">
        <f>R51*0.692%</f>
        <v>0</v>
      </c>
      <c r="AM51" s="25"/>
      <c r="AN51" s="25"/>
      <c r="AQ51" s="73">
        <f>(T51-67.3)*0.057</f>
        <v>-3.8361000000000001</v>
      </c>
    </row>
    <row r="52" spans="1:43" x14ac:dyDescent="0.25">
      <c r="D52" s="107" t="s">
        <v>18</v>
      </c>
      <c r="E52" s="140">
        <v>22</v>
      </c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91"/>
      <c r="Q52" s="125"/>
      <c r="R52" s="142">
        <f t="shared" ref="R52:R55" si="71">SUM(P52,Q52)</f>
        <v>0</v>
      </c>
      <c r="S52" s="125"/>
      <c r="T52" s="143">
        <f t="shared" ref="T52:T55" si="72">SUM(R52,S52)</f>
        <v>0</v>
      </c>
      <c r="U52" s="144">
        <f t="shared" ref="U52:U55" si="73">IF(AQ52&lt;0,0,(T52-67.3)*0.057)</f>
        <v>0</v>
      </c>
      <c r="V52" s="125"/>
      <c r="W52" s="145"/>
      <c r="X52" s="125"/>
      <c r="Y52" s="125">
        <f t="shared" ref="Y52:Y55" si="74">R52*0.494%</f>
        <v>0</v>
      </c>
      <c r="Z52" s="125"/>
      <c r="AA52" s="125"/>
      <c r="AB52" s="125"/>
      <c r="AC52" s="125">
        <f>R52-Z52-AA52-AB52</f>
        <v>0</v>
      </c>
      <c r="AD52" s="289">
        <f>IF(P52=0,0,IF(VLOOKUP(AC52,'Table 52'!$A$2:$B$384,2,TRUE)&gt;=VLOOKUP(Emp.1!AC52,'Table 52'!$C$2:$D$384,2,TRUE),MAX(VLOOKUP(Emp.1!AC52,'Table 52'!$A$2:$B$384,2,TRUE),VLOOKUP(Emp.1!AC52,'Table 52'!$C$2:$D$384,2,TRUE)),0)+55)</f>
        <v>0</v>
      </c>
      <c r="AE52" s="290">
        <f>T52-AB52</f>
        <v>0</v>
      </c>
      <c r="AF52" s="291">
        <f>IF(P52=0,0,IF(VLOOKUP(AE52,'Table 52'!$E$2:$F$276,2,TRUE)&gt;=VLOOKUP(Emp.1!AE52,'Table 52'!$G$2:$H$276,2,TRUE),MAX(VLOOKUP(Emp.1!AE52,'Table 52'!$E$2:$F$276,2,TRUE),VLOOKUP(Emp.1!AE52,'Table 52'!$G$2:$H$276,2,TRUE)),0)+100)</f>
        <v>0</v>
      </c>
      <c r="AG52" s="125">
        <f>Q52</f>
        <v>0</v>
      </c>
      <c r="AH52" s="125">
        <f>SUM(U52,W52,Y52,Z52,AA52,AB52,AD52,AF52,AG52)</f>
        <v>0</v>
      </c>
      <c r="AI52" s="125">
        <f>R52-AH52</f>
        <v>0</v>
      </c>
      <c r="AJ52" s="125">
        <f>O52*0.6</f>
        <v>0</v>
      </c>
      <c r="AK52" s="147">
        <f>AI52+AJ52</f>
        <v>0</v>
      </c>
      <c r="AL52" s="148">
        <f t="shared" ref="AL52:AL55" si="75">R52*0.692%</f>
        <v>0</v>
      </c>
      <c r="AM52" s="25"/>
      <c r="AN52" s="25"/>
      <c r="AQ52" s="73">
        <f t="shared" ref="AQ52:AQ55" si="76">(T52-67.3)*0.057</f>
        <v>-3.8361000000000001</v>
      </c>
    </row>
    <row r="53" spans="1:43" x14ac:dyDescent="0.25">
      <c r="D53" s="107" t="s">
        <v>18</v>
      </c>
      <c r="E53" s="14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91"/>
      <c r="Q53" s="125"/>
      <c r="R53" s="142">
        <f t="shared" si="71"/>
        <v>0</v>
      </c>
      <c r="S53" s="125"/>
      <c r="T53" s="143">
        <f t="shared" si="72"/>
        <v>0</v>
      </c>
      <c r="U53" s="144">
        <f t="shared" si="73"/>
        <v>0</v>
      </c>
      <c r="V53" s="125"/>
      <c r="W53" s="145"/>
      <c r="X53" s="125"/>
      <c r="Y53" s="125">
        <f t="shared" si="74"/>
        <v>0</v>
      </c>
      <c r="Z53" s="125"/>
      <c r="AA53" s="125"/>
      <c r="AB53" s="125"/>
      <c r="AC53" s="125">
        <f>R53-Z53-AA53-AB53</f>
        <v>0</v>
      </c>
      <c r="AD53" s="289">
        <f>IF(P53=0,0,IF(VLOOKUP(AC53,'Table 52'!$A$2:$B$384,2,TRUE)&gt;=VLOOKUP(Emp.1!AC53,'Table 52'!$C$2:$D$384,2,TRUE),MAX(VLOOKUP(Emp.1!AC53,'Table 52'!$A$2:$B$384,2,TRUE),VLOOKUP(Emp.1!AC53,'Table 52'!$C$2:$D$384,2,TRUE)),0)+55)</f>
        <v>0</v>
      </c>
      <c r="AE53" s="290">
        <f>T53-AB53</f>
        <v>0</v>
      </c>
      <c r="AF53" s="291">
        <f>IF(P53=0,0,IF(VLOOKUP(AE53,'Table 52'!$E$2:$F$276,2,TRUE)&gt;=VLOOKUP(Emp.1!AE53,'Table 52'!$G$2:$H$276,2,TRUE),MAX(VLOOKUP(Emp.1!AE53,'Table 52'!$E$2:$F$276,2,TRUE),VLOOKUP(Emp.1!AE53,'Table 52'!$G$2:$H$276,2,TRUE)),0)+100)</f>
        <v>0</v>
      </c>
      <c r="AG53" s="125">
        <f>Q53</f>
        <v>0</v>
      </c>
      <c r="AH53" s="125">
        <f>SUM(U53,W53,Y53,Z53,AA53,AB53,AD53,AF53,AG53)</f>
        <v>0</v>
      </c>
      <c r="AI53" s="125">
        <f>R53-AH53</f>
        <v>0</v>
      </c>
      <c r="AJ53" s="125">
        <f>O53*0.6</f>
        <v>0</v>
      </c>
      <c r="AK53" s="147">
        <f>AI53+AJ53</f>
        <v>0</v>
      </c>
      <c r="AL53" s="148">
        <f t="shared" si="75"/>
        <v>0</v>
      </c>
      <c r="AM53" s="25"/>
      <c r="AN53" s="25"/>
      <c r="AQ53" s="73">
        <f t="shared" si="76"/>
        <v>-3.8361000000000001</v>
      </c>
    </row>
    <row r="54" spans="1:43" x14ac:dyDescent="0.25">
      <c r="D54" s="107" t="s">
        <v>18</v>
      </c>
      <c r="E54" s="14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91"/>
      <c r="Q54" s="214"/>
      <c r="R54" s="142">
        <f t="shared" si="71"/>
        <v>0</v>
      </c>
      <c r="S54" s="125"/>
      <c r="T54" s="143">
        <f t="shared" si="72"/>
        <v>0</v>
      </c>
      <c r="U54" s="144">
        <f t="shared" si="73"/>
        <v>0</v>
      </c>
      <c r="V54" s="125"/>
      <c r="W54" s="145"/>
      <c r="X54" s="125"/>
      <c r="Y54" s="125">
        <f t="shared" si="74"/>
        <v>0</v>
      </c>
      <c r="Z54" s="125"/>
      <c r="AA54" s="125"/>
      <c r="AB54" s="125"/>
      <c r="AC54" s="125">
        <f>R54-Z54-AA54-AB54</f>
        <v>0</v>
      </c>
      <c r="AD54" s="289">
        <f>IF(P54=0,0,IF(VLOOKUP(AC54,'Table 52'!$A$2:$B$384,2,TRUE)&gt;=VLOOKUP(Emp.1!AC54,'Table 52'!$C$2:$D$384,2,TRUE),MAX(VLOOKUP(Emp.1!AC54,'Table 52'!$A$2:$B$384,2,TRUE),VLOOKUP(Emp.1!AC54,'Table 52'!$C$2:$D$384,2,TRUE)),0)+55)</f>
        <v>0</v>
      </c>
      <c r="AE54" s="290">
        <f>T54-AB54</f>
        <v>0</v>
      </c>
      <c r="AF54" s="291">
        <f>IF(P54=0,0,IF(VLOOKUP(AE54,'Table 52'!$E$2:$F$276,2,TRUE)&gt;=VLOOKUP(Emp.1!AE54,'Table 52'!$G$2:$H$276,2,TRUE),MAX(VLOOKUP(Emp.1!AE54,'Table 52'!$E$2:$F$276,2,TRUE),VLOOKUP(Emp.1!AE54,'Table 52'!$G$2:$H$276,2,TRUE)),0)+100)</f>
        <v>0</v>
      </c>
      <c r="AG54" s="125">
        <f>Q54</f>
        <v>0</v>
      </c>
      <c r="AH54" s="125">
        <f>SUM(U54,W54,Y54,Z54,AA54,AB54,AD54,AF54,AG54)</f>
        <v>0</v>
      </c>
      <c r="AI54" s="125">
        <f>R54-AH54</f>
        <v>0</v>
      </c>
      <c r="AJ54" s="125">
        <f>O54*0.6</f>
        <v>0</v>
      </c>
      <c r="AK54" s="147">
        <f>AI54+AJ54</f>
        <v>0</v>
      </c>
      <c r="AL54" s="148">
        <f t="shared" si="75"/>
        <v>0</v>
      </c>
      <c r="AM54" s="25"/>
      <c r="AN54" s="25"/>
      <c r="AQ54" s="73">
        <f t="shared" si="76"/>
        <v>-3.8361000000000001</v>
      </c>
    </row>
    <row r="55" spans="1:43" x14ac:dyDescent="0.25">
      <c r="D55" s="107" t="s">
        <v>18</v>
      </c>
      <c r="E55" s="14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91"/>
      <c r="Q55" s="204">
        <f t="shared" ref="Q55" si="77">P55*13%</f>
        <v>0</v>
      </c>
      <c r="R55" s="205">
        <f t="shared" si="71"/>
        <v>0</v>
      </c>
      <c r="S55" s="206"/>
      <c r="T55" s="207">
        <f t="shared" si="72"/>
        <v>0</v>
      </c>
      <c r="U55" s="208">
        <f t="shared" si="73"/>
        <v>0</v>
      </c>
      <c r="V55" s="206"/>
      <c r="W55" s="209">
        <v>0</v>
      </c>
      <c r="X55" s="206"/>
      <c r="Y55" s="206">
        <f t="shared" si="74"/>
        <v>0</v>
      </c>
      <c r="Z55" s="206">
        <f t="shared" ref="Z55" si="78">R55*0.75%</f>
        <v>0</v>
      </c>
      <c r="AA55" s="206"/>
      <c r="AB55" s="206"/>
      <c r="AC55" s="206">
        <f t="shared" si="38"/>
        <v>0</v>
      </c>
      <c r="AD55" s="292">
        <f>IF(P55=0,0,IF(VLOOKUP(AC55,'Table 52'!$A$2:$B$384,2,TRUE)&gt;=VLOOKUP(Emp.1!AC55,'Table 52'!$C$2:$D$384,2,TRUE),MAX(VLOOKUP(Emp.1!AC55,'Table 52'!$A$2:$B$384,2,TRUE),VLOOKUP(Emp.1!AC55,'Table 52'!$C$2:$D$384,2,TRUE)),0)+55)</f>
        <v>0</v>
      </c>
      <c r="AE55" s="293">
        <f t="shared" ref="AE55" si="79">T55-AB55</f>
        <v>0</v>
      </c>
      <c r="AF55" s="294">
        <f>IF(P55=0,0,IF(VLOOKUP(AE55,'Table 52'!$E$2:$F$276,2,TRUE)&gt;=VLOOKUP(Emp.1!AE55,'Table 52'!$G$2:$H$276,2,TRUE),MAX(VLOOKUP(Emp.1!AE55,'Table 52'!$E$2:$F$276,2,TRUE),VLOOKUP(Emp.1!AE55,'Table 52'!$G$2:$H$276,2,TRUE)),0)+100)</f>
        <v>0</v>
      </c>
      <c r="AG55" s="206"/>
      <c r="AH55" s="206"/>
      <c r="AI55" s="215"/>
      <c r="AJ55" s="206"/>
      <c r="AK55" s="212"/>
      <c r="AL55" s="213">
        <f t="shared" si="75"/>
        <v>0</v>
      </c>
      <c r="AM55" s="25"/>
      <c r="AN55" s="25"/>
      <c r="AQ55" s="73">
        <f t="shared" si="76"/>
        <v>-3.8361000000000001</v>
      </c>
    </row>
    <row r="56" spans="1:43" ht="13.8" thickBot="1" x14ac:dyDescent="0.3">
      <c r="A56" s="4"/>
      <c r="B56" s="4"/>
      <c r="C56" s="4"/>
      <c r="D56" s="278" t="s">
        <v>33</v>
      </c>
      <c r="E56" s="287"/>
      <c r="F56" s="280"/>
      <c r="G56" s="280"/>
      <c r="H56" s="280"/>
      <c r="I56" s="280"/>
      <c r="J56" s="280"/>
      <c r="K56" s="280"/>
      <c r="L56" s="280"/>
      <c r="M56" s="280"/>
      <c r="N56" s="280"/>
      <c r="O56" s="298">
        <f>SUM(O51:O55)</f>
        <v>0</v>
      </c>
      <c r="P56" s="299">
        <f>SUM(P51:P55)</f>
        <v>0</v>
      </c>
      <c r="Q56" s="299">
        <f t="shared" ref="Q56:AL56" si="80">SUM(Q51:Q55)</f>
        <v>0</v>
      </c>
      <c r="R56" s="300">
        <f t="shared" si="80"/>
        <v>0</v>
      </c>
      <c r="S56" s="299">
        <f t="shared" si="80"/>
        <v>0</v>
      </c>
      <c r="T56" s="299">
        <f t="shared" si="80"/>
        <v>0</v>
      </c>
      <c r="U56" s="299">
        <f t="shared" si="80"/>
        <v>0</v>
      </c>
      <c r="V56" s="299">
        <f t="shared" si="80"/>
        <v>0</v>
      </c>
      <c r="W56" s="299">
        <f t="shared" si="80"/>
        <v>0</v>
      </c>
      <c r="X56" s="299">
        <f t="shared" si="80"/>
        <v>0</v>
      </c>
      <c r="Y56" s="299">
        <f t="shared" si="80"/>
        <v>0</v>
      </c>
      <c r="Z56" s="299">
        <f t="shared" si="80"/>
        <v>0</v>
      </c>
      <c r="AA56" s="299">
        <f t="shared" si="80"/>
        <v>0</v>
      </c>
      <c r="AB56" s="299">
        <f t="shared" si="80"/>
        <v>0</v>
      </c>
      <c r="AC56" s="299">
        <f t="shared" si="80"/>
        <v>0</v>
      </c>
      <c r="AD56" s="301">
        <f t="shared" si="80"/>
        <v>0</v>
      </c>
      <c r="AE56" s="302">
        <f t="shared" si="80"/>
        <v>0</v>
      </c>
      <c r="AF56" s="303">
        <f t="shared" si="80"/>
        <v>0</v>
      </c>
      <c r="AG56" s="299">
        <f t="shared" si="80"/>
        <v>0</v>
      </c>
      <c r="AH56" s="299">
        <f t="shared" si="80"/>
        <v>0</v>
      </c>
      <c r="AI56" s="299">
        <f t="shared" si="80"/>
        <v>0</v>
      </c>
      <c r="AJ56" s="299">
        <f t="shared" si="80"/>
        <v>0</v>
      </c>
      <c r="AK56" s="304">
        <f t="shared" si="80"/>
        <v>0</v>
      </c>
      <c r="AL56" s="305">
        <f t="shared" si="80"/>
        <v>0</v>
      </c>
      <c r="AM56" s="13">
        <f t="shared" ref="AM56" si="81">SUM(AM51:AM55)</f>
        <v>0</v>
      </c>
      <c r="AN56" s="13">
        <f t="shared" ref="AN56:AO56" si="82">SUM(AN51:AN55)</f>
        <v>0</v>
      </c>
      <c r="AO56" s="13">
        <f t="shared" si="82"/>
        <v>0</v>
      </c>
    </row>
    <row r="57" spans="1:43" x14ac:dyDescent="0.25">
      <c r="E57" s="7"/>
      <c r="P57" s="25"/>
      <c r="Q57" s="25"/>
      <c r="R57" s="74">
        <f t="shared" si="10"/>
        <v>0</v>
      </c>
      <c r="S57" s="25"/>
      <c r="T57" s="35">
        <f t="shared" si="11"/>
        <v>0</v>
      </c>
      <c r="U57" s="52"/>
      <c r="V57" s="13"/>
      <c r="W57" s="31"/>
      <c r="X57" s="25"/>
      <c r="Y57" s="25">
        <f t="shared" si="12"/>
        <v>0</v>
      </c>
      <c r="Z57" s="25"/>
      <c r="AA57" s="25"/>
      <c r="AB57" s="25"/>
      <c r="AC57" s="25">
        <f t="shared" si="38"/>
        <v>0</v>
      </c>
      <c r="AD57" s="295"/>
      <c r="AE57" s="295"/>
      <c r="AF57" s="295"/>
      <c r="AG57" s="25"/>
      <c r="AH57" s="25"/>
      <c r="AI57" s="25"/>
      <c r="AJ57" s="25"/>
      <c r="AK57" s="96"/>
      <c r="AL57" s="26">
        <f t="shared" si="14"/>
        <v>0</v>
      </c>
      <c r="AM57" s="25">
        <f t="shared" si="15"/>
        <v>0</v>
      </c>
      <c r="AN57" s="25">
        <f t="shared" si="16"/>
        <v>0</v>
      </c>
    </row>
    <row r="58" spans="1:43" x14ac:dyDescent="0.25">
      <c r="D58" s="100" t="s">
        <v>19</v>
      </c>
      <c r="E58" s="13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91"/>
      <c r="Q58" s="128"/>
      <c r="R58" s="135">
        <f>SUM(P58,Q58)</f>
        <v>0</v>
      </c>
      <c r="S58" s="128"/>
      <c r="T58" s="136">
        <f>SUM(R58,S58)</f>
        <v>0</v>
      </c>
      <c r="U58" s="103">
        <f>IF(AQ58&lt;0,0,(T58-67.3)*0.057)</f>
        <v>0</v>
      </c>
      <c r="V58" s="128"/>
      <c r="W58" s="137"/>
      <c r="X58" s="128"/>
      <c r="Y58" s="103">
        <f>R58*0.494%</f>
        <v>0</v>
      </c>
      <c r="Z58" s="128"/>
      <c r="AA58" s="128"/>
      <c r="AB58" s="128"/>
      <c r="AC58" s="128">
        <f>R58-Z58-AA58-AB58</f>
        <v>0</v>
      </c>
      <c r="AD58" s="276">
        <f>IF(P58=0,0,IF(VLOOKUP(AC58,'Table 52'!$A$2:$B$384,2,TRUE)&gt;=VLOOKUP(Emp.1!AC58,'Table 52'!$C$2:$D$384,2,TRUE),MAX(VLOOKUP(Emp.1!AC58,'Table 52'!$A$2:$B$384,2,TRUE),VLOOKUP(Emp.1!AC58,'Table 52'!$C$2:$D$384,2,TRUE)),0)+55)</f>
        <v>0</v>
      </c>
      <c r="AE58" s="288">
        <f>T58-AB58</f>
        <v>0</v>
      </c>
      <c r="AF58" s="277">
        <f>IF(P58=0,0,IF(VLOOKUP(AE58,'Table 52'!$E$2:$F$276,2,TRUE)&gt;=VLOOKUP(Emp.1!AE58,'Table 52'!$G$2:$H$276,2,TRUE),MAX(VLOOKUP(Emp.1!AE58,'Table 52'!$E$2:$F$276,2,TRUE),VLOOKUP(Emp.1!AE58,'Table 52'!$G$2:$H$276,2,TRUE)),0)+100)</f>
        <v>0</v>
      </c>
      <c r="AG58" s="128">
        <f>Q58</f>
        <v>0</v>
      </c>
      <c r="AH58" s="128">
        <f>SUM(U58,W58,Y58,Z58,AA58,AB58,AD58,AF58,AG58)</f>
        <v>0</v>
      </c>
      <c r="AI58" s="128">
        <f>R58-AH58</f>
        <v>0</v>
      </c>
      <c r="AJ58" s="128">
        <f>O58*0.6</f>
        <v>0</v>
      </c>
      <c r="AK58" s="139">
        <f>AI58+AJ58</f>
        <v>0</v>
      </c>
      <c r="AL58" s="106">
        <f>R58*0.692%</f>
        <v>0</v>
      </c>
      <c r="AM58" s="25"/>
      <c r="AN58" s="25"/>
      <c r="AQ58" s="73">
        <f>(T58-67.3)*0.057</f>
        <v>-3.8361000000000001</v>
      </c>
    </row>
    <row r="59" spans="1:43" x14ac:dyDescent="0.25">
      <c r="D59" s="107" t="s">
        <v>19</v>
      </c>
      <c r="E59" s="140">
        <v>12</v>
      </c>
      <c r="F59" s="112"/>
      <c r="G59" s="30"/>
      <c r="H59" s="30"/>
      <c r="I59" s="30"/>
      <c r="J59" s="30"/>
      <c r="K59" s="30"/>
      <c r="L59" s="30"/>
      <c r="M59" s="30"/>
      <c r="N59" s="30"/>
      <c r="O59" s="30"/>
      <c r="P59" s="91"/>
      <c r="Q59" s="125"/>
      <c r="R59" s="142">
        <f>SUM(P59,Q59)</f>
        <v>0</v>
      </c>
      <c r="S59" s="125"/>
      <c r="T59" s="143">
        <f>SUM(R59,S59)</f>
        <v>0</v>
      </c>
      <c r="U59" s="144">
        <f t="shared" ref="U59:U62" si="83">IF(AQ59&lt;0,0,(T59-67.3)*0.057)</f>
        <v>0</v>
      </c>
      <c r="V59" s="125"/>
      <c r="W59" s="145"/>
      <c r="X59" s="125"/>
      <c r="Y59" s="125">
        <f t="shared" ref="Y59:Y62" si="84">R59*0.494%</f>
        <v>0</v>
      </c>
      <c r="Z59" s="125"/>
      <c r="AA59" s="125"/>
      <c r="AB59" s="125"/>
      <c r="AC59" s="125">
        <f>R59-Z59-AA59-AB59</f>
        <v>0</v>
      </c>
      <c r="AD59" s="289">
        <f>IF(P59=0,0,IF(VLOOKUP(AC59,'Table 52'!$A$2:$B$384,2,TRUE)&gt;=VLOOKUP(Emp.1!AC59,'Table 52'!$C$2:$D$384,2,TRUE),MAX(VLOOKUP(Emp.1!AC59,'Table 52'!$A$2:$B$384,2,TRUE),VLOOKUP(Emp.1!AC59,'Table 52'!$C$2:$D$384,2,TRUE)),0)+55)</f>
        <v>0</v>
      </c>
      <c r="AE59" s="290">
        <f>T59-AB59</f>
        <v>0</v>
      </c>
      <c r="AF59" s="291">
        <f>IF(P59=0,0,IF(VLOOKUP(AE59,'Table 52'!$E$2:$F$276,2,TRUE)&gt;=VLOOKUP(Emp.1!AE59,'Table 52'!$G$2:$H$276,2,TRUE),MAX(VLOOKUP(Emp.1!AE59,'Table 52'!$E$2:$F$276,2,TRUE),VLOOKUP(Emp.1!AE59,'Table 52'!$G$2:$H$276,2,TRUE)),0)+100)</f>
        <v>0</v>
      </c>
      <c r="AG59" s="125">
        <f>Q59</f>
        <v>0</v>
      </c>
      <c r="AH59" s="125">
        <f>SUM(U59,W59,Y59,Z59,AA59,AB59,AD59,AF59,AG59)</f>
        <v>0</v>
      </c>
      <c r="AI59" s="125">
        <f>R59-AH59</f>
        <v>0</v>
      </c>
      <c r="AJ59" s="125">
        <f>O59*0.6</f>
        <v>0</v>
      </c>
      <c r="AK59" s="147">
        <f>AI59+AJ59</f>
        <v>0</v>
      </c>
      <c r="AL59" s="148">
        <f t="shared" ref="AL59:AL62" si="85">R59*0.692%</f>
        <v>0</v>
      </c>
      <c r="AM59" s="25"/>
      <c r="AN59" s="25"/>
      <c r="AQ59" s="73">
        <f t="shared" ref="AQ59:AQ62" si="86">(T59-67.3)*0.057</f>
        <v>-3.8361000000000001</v>
      </c>
    </row>
    <row r="60" spans="1:43" x14ac:dyDescent="0.25">
      <c r="D60" s="107" t="s">
        <v>19</v>
      </c>
      <c r="E60" s="140">
        <v>19</v>
      </c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91"/>
      <c r="Q60" s="125"/>
      <c r="R60" s="142">
        <f>SUM(P60,Q60)</f>
        <v>0</v>
      </c>
      <c r="S60" s="125"/>
      <c r="T60" s="143">
        <f>SUM(R60,S60)</f>
        <v>0</v>
      </c>
      <c r="U60" s="144">
        <f t="shared" si="83"/>
        <v>0</v>
      </c>
      <c r="V60" s="125"/>
      <c r="W60" s="145"/>
      <c r="X60" s="125"/>
      <c r="Y60" s="125">
        <f t="shared" si="84"/>
        <v>0</v>
      </c>
      <c r="Z60" s="125"/>
      <c r="AA60" s="125"/>
      <c r="AB60" s="125"/>
      <c r="AC60" s="125">
        <f>R60-Z60-AA60-AB60</f>
        <v>0</v>
      </c>
      <c r="AD60" s="289">
        <f>IF(P60=0,0,IF(VLOOKUP(AC60,'Table 52'!$A$2:$B$384,2,TRUE)&gt;=VLOOKUP(Emp.1!AC60,'Table 52'!$C$2:$D$384,2,TRUE),MAX(VLOOKUP(Emp.1!AC60,'Table 52'!$A$2:$B$384,2,TRUE),VLOOKUP(Emp.1!AC60,'Table 52'!$C$2:$D$384,2,TRUE)),0)+55)</f>
        <v>0</v>
      </c>
      <c r="AE60" s="290">
        <f>T60-AB60</f>
        <v>0</v>
      </c>
      <c r="AF60" s="291">
        <f>IF(P60=0,0,IF(VLOOKUP(AE60,'Table 52'!$E$2:$F$276,2,TRUE)&gt;=VLOOKUP(Emp.1!AE60,'Table 52'!$G$2:$H$276,2,TRUE),MAX(VLOOKUP(Emp.1!AE60,'Table 52'!$E$2:$F$276,2,TRUE),VLOOKUP(Emp.1!AE60,'Table 52'!$G$2:$H$276,2,TRUE)),0)+100)</f>
        <v>0</v>
      </c>
      <c r="AG60" s="125">
        <f>Q60</f>
        <v>0</v>
      </c>
      <c r="AH60" s="125">
        <f>SUM(U60,W60,Y60,Z60,AA60,AB60,AD60,AF60,AG60)</f>
        <v>0</v>
      </c>
      <c r="AI60" s="125">
        <f>R60-AH60</f>
        <v>0</v>
      </c>
      <c r="AJ60" s="125">
        <f>O60*0.6</f>
        <v>0</v>
      </c>
      <c r="AK60" s="147">
        <f>AI60+AJ60</f>
        <v>0</v>
      </c>
      <c r="AL60" s="148">
        <f t="shared" si="85"/>
        <v>0</v>
      </c>
      <c r="AM60" s="25"/>
      <c r="AN60" s="25"/>
      <c r="AQ60" s="73">
        <f t="shared" si="86"/>
        <v>-3.8361000000000001</v>
      </c>
    </row>
    <row r="61" spans="1:43" x14ac:dyDescent="0.25">
      <c r="D61" s="107" t="s">
        <v>19</v>
      </c>
      <c r="E61" s="140">
        <v>26</v>
      </c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91"/>
      <c r="Q61" s="214"/>
      <c r="R61" s="142">
        <f>SUM(P61,Q61)</f>
        <v>0</v>
      </c>
      <c r="S61" s="125"/>
      <c r="T61" s="143">
        <f>SUM(R61,S61)</f>
        <v>0</v>
      </c>
      <c r="U61" s="144">
        <f t="shared" si="83"/>
        <v>0</v>
      </c>
      <c r="V61" s="125"/>
      <c r="W61" s="145"/>
      <c r="X61" s="125"/>
      <c r="Y61" s="125">
        <f t="shared" si="84"/>
        <v>0</v>
      </c>
      <c r="Z61" s="125"/>
      <c r="AA61" s="125"/>
      <c r="AB61" s="125"/>
      <c r="AC61" s="125">
        <f>R61-Z61-AA61-AB61</f>
        <v>0</v>
      </c>
      <c r="AD61" s="289">
        <f>IF(P61=0,0,IF(VLOOKUP(AC61,'Table 52'!$A$2:$B$384,2,TRUE)&gt;=VLOOKUP(Emp.1!AC61,'Table 52'!$C$2:$D$384,2,TRUE),MAX(VLOOKUP(Emp.1!AC61,'Table 52'!$A$2:$B$384,2,TRUE),VLOOKUP(Emp.1!AC61,'Table 52'!$C$2:$D$384,2,TRUE)),0)+55)</f>
        <v>0</v>
      </c>
      <c r="AE61" s="290">
        <f>T61-AB61</f>
        <v>0</v>
      </c>
      <c r="AF61" s="291">
        <f>IF(P61=0,0,IF(VLOOKUP(AE61,'Table 52'!$E$2:$F$276,2,TRUE)&gt;=VLOOKUP(Emp.1!AE61,'Table 52'!$G$2:$H$276,2,TRUE),MAX(VLOOKUP(Emp.1!AE61,'Table 52'!$E$2:$F$276,2,TRUE),VLOOKUP(Emp.1!AE61,'Table 52'!$G$2:$H$276,2,TRUE)),0)+100)</f>
        <v>0</v>
      </c>
      <c r="AG61" s="125">
        <f>Q61</f>
        <v>0</v>
      </c>
      <c r="AH61" s="125">
        <f>SUM(U61,W61,Y61,Z61,AA61,AB61,AD61,AF61,AG61)</f>
        <v>0</v>
      </c>
      <c r="AI61" s="125">
        <f>R61-AH61</f>
        <v>0</v>
      </c>
      <c r="AJ61" s="125">
        <f>O61*0.6</f>
        <v>0</v>
      </c>
      <c r="AK61" s="147">
        <f>AI61+AJ61</f>
        <v>0</v>
      </c>
      <c r="AL61" s="148">
        <f t="shared" si="85"/>
        <v>0</v>
      </c>
      <c r="AM61" s="25"/>
      <c r="AN61" s="25"/>
      <c r="AQ61" s="73">
        <f t="shared" si="86"/>
        <v>-3.8361000000000001</v>
      </c>
    </row>
    <row r="62" spans="1:43" x14ac:dyDescent="0.25">
      <c r="D62" s="107" t="s">
        <v>19</v>
      </c>
      <c r="E62" s="14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91"/>
      <c r="Q62" s="204"/>
      <c r="R62" s="205">
        <f>SUM(P62,Q62)</f>
        <v>0</v>
      </c>
      <c r="S62" s="206"/>
      <c r="T62" s="207">
        <f>SUM(R62,S62)</f>
        <v>0</v>
      </c>
      <c r="U62" s="208">
        <f t="shared" si="83"/>
        <v>0</v>
      </c>
      <c r="V62" s="206"/>
      <c r="W62" s="209">
        <v>0</v>
      </c>
      <c r="X62" s="206"/>
      <c r="Y62" s="206">
        <f t="shared" si="84"/>
        <v>0</v>
      </c>
      <c r="Z62" s="206"/>
      <c r="AA62" s="206"/>
      <c r="AB62" s="206"/>
      <c r="AC62" s="206">
        <f>R62-Z62-AA62-AB62</f>
        <v>0</v>
      </c>
      <c r="AD62" s="292">
        <f>IF(P62=0,0,IF(VLOOKUP(AC62,'Table 52'!$A$2:$B$384,2,TRUE)&gt;=VLOOKUP(Emp.1!AC62,'Table 52'!$C$2:$D$384,2,TRUE),MAX(VLOOKUP(Emp.1!AC62,'Table 52'!$A$2:$B$384,2,TRUE),VLOOKUP(Emp.1!AC62,'Table 52'!$C$2:$D$384,2,TRUE)),0)+55)</f>
        <v>0</v>
      </c>
      <c r="AE62" s="293">
        <f>T62-AB62</f>
        <v>0</v>
      </c>
      <c r="AF62" s="294">
        <f>IF(P62=0,0,IF(VLOOKUP(AE62,'Table 52'!$E$2:$F$276,2,TRUE)&gt;=VLOOKUP(Emp.1!AE62,'Table 52'!$G$2:$H$276,2,TRUE),MAX(VLOOKUP(Emp.1!AE62,'Table 52'!$E$2:$F$276,2,TRUE),VLOOKUP(Emp.1!AE62,'Table 52'!$G$2:$H$276,2,TRUE)),0)+100)</f>
        <v>0</v>
      </c>
      <c r="AG62" s="206">
        <f>Q62</f>
        <v>0</v>
      </c>
      <c r="AH62" s="206">
        <f>SUM(U62,W62,Y62,Z62,AA62,AB62,AD62,AF62,AG62)</f>
        <v>0</v>
      </c>
      <c r="AI62" s="206">
        <f>R62-AH62</f>
        <v>0</v>
      </c>
      <c r="AJ62" s="206">
        <f>O62*0.6</f>
        <v>0</v>
      </c>
      <c r="AK62" s="212">
        <f>AI62+AJ62</f>
        <v>0</v>
      </c>
      <c r="AL62" s="213">
        <f t="shared" si="85"/>
        <v>0</v>
      </c>
      <c r="AM62" s="25"/>
      <c r="AN62" s="25"/>
      <c r="AQ62" s="73">
        <f t="shared" si="86"/>
        <v>-3.8361000000000001</v>
      </c>
    </row>
    <row r="63" spans="1:43" ht="13.8" thickBot="1" x14ac:dyDescent="0.3">
      <c r="A63" s="4"/>
      <c r="B63" s="4"/>
      <c r="C63" s="4"/>
      <c r="D63" s="278" t="s">
        <v>33</v>
      </c>
      <c r="E63" s="287"/>
      <c r="F63" s="280"/>
      <c r="G63" s="280"/>
      <c r="H63" s="280"/>
      <c r="I63" s="280"/>
      <c r="J63" s="280"/>
      <c r="K63" s="280"/>
      <c r="L63" s="280"/>
      <c r="M63" s="280"/>
      <c r="N63" s="280"/>
      <c r="O63" s="298">
        <f>SUM(O58:O62)</f>
        <v>0</v>
      </c>
      <c r="P63" s="299">
        <f>SUM(P58:P62)</f>
        <v>0</v>
      </c>
      <c r="Q63" s="299">
        <f t="shared" ref="Q63:AP63" si="87">SUM(Q58:Q62)</f>
        <v>0</v>
      </c>
      <c r="R63" s="300">
        <f t="shared" si="87"/>
        <v>0</v>
      </c>
      <c r="S63" s="299">
        <f t="shared" si="87"/>
        <v>0</v>
      </c>
      <c r="T63" s="299">
        <f t="shared" si="87"/>
        <v>0</v>
      </c>
      <c r="U63" s="299">
        <f t="shared" si="87"/>
        <v>0</v>
      </c>
      <c r="V63" s="299">
        <f t="shared" si="87"/>
        <v>0</v>
      </c>
      <c r="W63" s="299">
        <f t="shared" si="87"/>
        <v>0</v>
      </c>
      <c r="X63" s="299">
        <f t="shared" si="87"/>
        <v>0</v>
      </c>
      <c r="Y63" s="299">
        <f t="shared" si="87"/>
        <v>0</v>
      </c>
      <c r="Z63" s="299">
        <f t="shared" si="87"/>
        <v>0</v>
      </c>
      <c r="AA63" s="299">
        <f t="shared" si="87"/>
        <v>0</v>
      </c>
      <c r="AB63" s="299">
        <f t="shared" si="87"/>
        <v>0</v>
      </c>
      <c r="AC63" s="299">
        <f t="shared" si="87"/>
        <v>0</v>
      </c>
      <c r="AD63" s="301">
        <f t="shared" si="87"/>
        <v>0</v>
      </c>
      <c r="AE63" s="302">
        <f t="shared" si="87"/>
        <v>0</v>
      </c>
      <c r="AF63" s="303">
        <f t="shared" si="87"/>
        <v>0</v>
      </c>
      <c r="AG63" s="299">
        <f t="shared" si="87"/>
        <v>0</v>
      </c>
      <c r="AH63" s="299">
        <f t="shared" si="87"/>
        <v>0</v>
      </c>
      <c r="AI63" s="299">
        <f t="shared" si="87"/>
        <v>0</v>
      </c>
      <c r="AJ63" s="299">
        <f t="shared" si="87"/>
        <v>0</v>
      </c>
      <c r="AK63" s="304">
        <f t="shared" si="87"/>
        <v>0</v>
      </c>
      <c r="AL63" s="305">
        <f t="shared" si="87"/>
        <v>0</v>
      </c>
      <c r="AM63" s="13">
        <f t="shared" si="87"/>
        <v>0</v>
      </c>
      <c r="AN63" s="13">
        <f t="shared" si="87"/>
        <v>0</v>
      </c>
      <c r="AO63" s="13">
        <f t="shared" si="87"/>
        <v>0</v>
      </c>
      <c r="AP63" s="25">
        <f t="shared" si="87"/>
        <v>0</v>
      </c>
    </row>
    <row r="64" spans="1:43" x14ac:dyDescent="0.25">
      <c r="E64" s="7"/>
      <c r="P64" s="25"/>
      <c r="Q64" s="25"/>
      <c r="R64" s="74">
        <f t="shared" si="10"/>
        <v>0</v>
      </c>
      <c r="S64" s="25"/>
      <c r="T64" s="35">
        <f t="shared" si="11"/>
        <v>0</v>
      </c>
      <c r="U64" s="52"/>
      <c r="V64" s="13"/>
      <c r="W64" s="31"/>
      <c r="X64" s="25"/>
      <c r="Y64" s="25">
        <f t="shared" si="12"/>
        <v>0</v>
      </c>
      <c r="Z64" s="25"/>
      <c r="AA64" s="25"/>
      <c r="AB64" s="25"/>
      <c r="AC64" s="25">
        <f t="shared" si="38"/>
        <v>0</v>
      </c>
      <c r="AD64" s="295"/>
      <c r="AE64" s="295"/>
      <c r="AF64" s="295"/>
      <c r="AG64" s="25"/>
      <c r="AH64" s="25"/>
      <c r="AI64" s="25"/>
      <c r="AJ64" s="25"/>
      <c r="AK64" s="96"/>
      <c r="AL64" s="26">
        <f t="shared" si="14"/>
        <v>0</v>
      </c>
      <c r="AM64" s="25">
        <f t="shared" si="15"/>
        <v>0</v>
      </c>
      <c r="AN64" s="25">
        <f t="shared" si="16"/>
        <v>0</v>
      </c>
    </row>
    <row r="65" spans="1:43" x14ac:dyDescent="0.25">
      <c r="D65" s="100" t="s">
        <v>20</v>
      </c>
      <c r="E65" s="13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91"/>
      <c r="Q65" s="128"/>
      <c r="R65" s="135">
        <f>SUM(P65,Q65)</f>
        <v>0</v>
      </c>
      <c r="S65" s="128"/>
      <c r="T65" s="136">
        <f>SUM(R65,S65)</f>
        <v>0</v>
      </c>
      <c r="U65" s="103">
        <f>IF(AQ65&lt;0,0,(T65-67.3)*0.057)</f>
        <v>0</v>
      </c>
      <c r="V65" s="128"/>
      <c r="W65" s="137"/>
      <c r="X65" s="128"/>
      <c r="Y65" s="103">
        <f>R65*0.494%</f>
        <v>0</v>
      </c>
      <c r="Z65" s="128"/>
      <c r="AA65" s="128"/>
      <c r="AB65" s="128"/>
      <c r="AC65" s="128">
        <f>R65-Z65-AA65-AB65</f>
        <v>0</v>
      </c>
      <c r="AD65" s="276">
        <f>IF(P65=0,0,IF(VLOOKUP(AC65,'Table 52'!$A$2:$B$384,2,TRUE)&gt;=VLOOKUP(Emp.1!AC65,'Table 52'!$C$2:$D$384,2,TRUE),MAX(VLOOKUP(Emp.1!AC65,'Table 52'!$A$2:$B$384,2,TRUE),VLOOKUP(Emp.1!AC65,'Table 52'!$C$2:$D$384,2,TRUE)),0)+55)</f>
        <v>0</v>
      </c>
      <c r="AE65" s="288">
        <f>T65-AB65</f>
        <v>0</v>
      </c>
      <c r="AF65" s="277">
        <f>IF(P65=0,0,IF(VLOOKUP(AE65,'Table 52'!$E$2:$F$276,2,TRUE)&gt;=VLOOKUP(Emp.1!AE65,'Table 52'!$G$2:$H$276,2,TRUE),MAX(VLOOKUP(Emp.1!AE65,'Table 52'!$E$2:$F$276,2,TRUE),VLOOKUP(Emp.1!AE65,'Table 52'!$G$2:$H$276,2,TRUE)),0)+100)</f>
        <v>0</v>
      </c>
      <c r="AG65" s="128">
        <f>Q65</f>
        <v>0</v>
      </c>
      <c r="AH65" s="128">
        <f>SUM(U65,W65,Y65,Z65,AA65,AB65,AD65,AF65,AG65)</f>
        <v>0</v>
      </c>
      <c r="AI65" s="128">
        <f>R65-AH65</f>
        <v>0</v>
      </c>
      <c r="AJ65" s="128">
        <f>O65*0.6</f>
        <v>0</v>
      </c>
      <c r="AK65" s="139">
        <f>AI65+AJ65</f>
        <v>0</v>
      </c>
      <c r="AL65" s="106">
        <f>R65*0.692%</f>
        <v>0</v>
      </c>
      <c r="AM65" s="25"/>
      <c r="AN65" s="25"/>
      <c r="AQ65" s="73">
        <f>(T65-67.3)*0.057</f>
        <v>-3.8361000000000001</v>
      </c>
    </row>
    <row r="66" spans="1:43" x14ac:dyDescent="0.25">
      <c r="D66" s="107" t="s">
        <v>20</v>
      </c>
      <c r="E66" s="140">
        <v>10</v>
      </c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91"/>
      <c r="Q66" s="125"/>
      <c r="R66" s="142">
        <f t="shared" ref="R66:R69" si="88">SUM(P66,Q66)</f>
        <v>0</v>
      </c>
      <c r="S66" s="125"/>
      <c r="T66" s="143">
        <f t="shared" ref="T66:T69" si="89">SUM(R66,S66)</f>
        <v>0</v>
      </c>
      <c r="U66" s="144">
        <f t="shared" ref="U66:U69" si="90">IF(AQ66&lt;0,0,(T66-67.3)*0.057)</f>
        <v>0</v>
      </c>
      <c r="V66" s="125"/>
      <c r="W66" s="145"/>
      <c r="X66" s="125"/>
      <c r="Y66" s="125">
        <f t="shared" ref="Y66:Y69" si="91">R66*0.494%</f>
        <v>0</v>
      </c>
      <c r="Z66" s="125"/>
      <c r="AA66" s="125"/>
      <c r="AB66" s="125"/>
      <c r="AC66" s="125">
        <f t="shared" ref="AC66:AC69" si="92">R66-Z66-AA66-AB66</f>
        <v>0</v>
      </c>
      <c r="AD66" s="289">
        <f>IF(P66=0,0,IF(VLOOKUP(AC66,'Table 52'!$A$2:$B$384,2,TRUE)&gt;=VLOOKUP(Emp.1!AC66,'Table 52'!$C$2:$D$384,2,TRUE),MAX(VLOOKUP(Emp.1!AC66,'Table 52'!$A$2:$B$384,2,TRUE),VLOOKUP(Emp.1!AC66,'Table 52'!$C$2:$D$384,2,TRUE)),0)+55)</f>
        <v>0</v>
      </c>
      <c r="AE66" s="290">
        <f>T66-AB66</f>
        <v>0</v>
      </c>
      <c r="AF66" s="291">
        <f>IF(P66=0,0,IF(VLOOKUP(AE66,'Table 52'!$E$2:$F$276,2,TRUE)&gt;=VLOOKUP(Emp.1!AE66,'Table 52'!$G$2:$H$276,2,TRUE),MAX(VLOOKUP(Emp.1!AE66,'Table 52'!$E$2:$F$276,2,TRUE),VLOOKUP(Emp.1!AE66,'Table 52'!$G$2:$H$276,2,TRUE)),0)+100)</f>
        <v>0</v>
      </c>
      <c r="AG66" s="125">
        <f>Q66</f>
        <v>0</v>
      </c>
      <c r="AH66" s="125">
        <f>SUM(U66,W66,Y66,Z66,AA66,AB66,AD66,AF66,AG66)</f>
        <v>0</v>
      </c>
      <c r="AI66" s="125">
        <f>R66-AH66</f>
        <v>0</v>
      </c>
      <c r="AJ66" s="125">
        <f>O66*0.6</f>
        <v>0</v>
      </c>
      <c r="AK66" s="147">
        <f>AI66+AJ66</f>
        <v>0</v>
      </c>
      <c r="AL66" s="148">
        <f t="shared" ref="AL66:AL69" si="93">R66*0.692%</f>
        <v>0</v>
      </c>
      <c r="AM66" s="25"/>
      <c r="AN66" s="25"/>
      <c r="AQ66" s="73">
        <f t="shared" ref="AQ66:AQ69" si="94">(T66-67.3)*0.057</f>
        <v>-3.8361000000000001</v>
      </c>
    </row>
    <row r="67" spans="1:43" x14ac:dyDescent="0.25">
      <c r="D67" s="107" t="s">
        <v>20</v>
      </c>
      <c r="E67" s="140">
        <v>24</v>
      </c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91"/>
      <c r="Q67" s="125"/>
      <c r="R67" s="142">
        <f t="shared" si="88"/>
        <v>0</v>
      </c>
      <c r="S67" s="125"/>
      <c r="T67" s="143">
        <f t="shared" si="89"/>
        <v>0</v>
      </c>
      <c r="U67" s="144">
        <f t="shared" si="90"/>
        <v>0</v>
      </c>
      <c r="V67" s="125"/>
      <c r="W67" s="145"/>
      <c r="X67" s="125"/>
      <c r="Y67" s="125">
        <f t="shared" si="91"/>
        <v>0</v>
      </c>
      <c r="Z67" s="125"/>
      <c r="AA67" s="125"/>
      <c r="AB67" s="125"/>
      <c r="AC67" s="125">
        <f t="shared" si="92"/>
        <v>0</v>
      </c>
      <c r="AD67" s="289">
        <f>IF(P67=0,0,IF(VLOOKUP(AC67,'Table 52'!$A$2:$B$384,2,TRUE)&gt;=VLOOKUP(Emp.1!AC67,'Table 52'!$C$2:$D$384,2,TRUE),MAX(VLOOKUP(Emp.1!AC67,'Table 52'!$A$2:$B$384,2,TRUE),VLOOKUP(Emp.1!AC67,'Table 52'!$C$2:$D$384,2,TRUE)),0)+55)</f>
        <v>0</v>
      </c>
      <c r="AE67" s="290">
        <f>T67-AB67</f>
        <v>0</v>
      </c>
      <c r="AF67" s="291">
        <f>IF(P67=0,0,IF(VLOOKUP(AE67,'Table 52'!$E$2:$F$276,2,TRUE)&gt;=VLOOKUP(Emp.1!AE67,'Table 52'!$G$2:$H$276,2,TRUE),MAX(VLOOKUP(Emp.1!AE67,'Table 52'!$E$2:$F$276,2,TRUE),VLOOKUP(Emp.1!AE67,'Table 52'!$G$2:$H$276,2,TRUE)),0)+100)</f>
        <v>0</v>
      </c>
      <c r="AG67" s="125">
        <f>Q67</f>
        <v>0</v>
      </c>
      <c r="AH67" s="125">
        <f>SUM(U67,W67,Y67,Z67,AA67,AB67,AD67,AF67,AG67)</f>
        <v>0</v>
      </c>
      <c r="AI67" s="125">
        <f>R67-AH67</f>
        <v>0</v>
      </c>
      <c r="AJ67" s="125">
        <f>O67*0.6</f>
        <v>0</v>
      </c>
      <c r="AK67" s="147">
        <f>AI67+AJ67</f>
        <v>0</v>
      </c>
      <c r="AL67" s="148">
        <f t="shared" si="93"/>
        <v>0</v>
      </c>
      <c r="AM67" s="25"/>
      <c r="AN67" s="25"/>
      <c r="AQ67" s="73">
        <f t="shared" si="94"/>
        <v>-3.8361000000000001</v>
      </c>
    </row>
    <row r="68" spans="1:43" x14ac:dyDescent="0.25">
      <c r="D68" s="107" t="s">
        <v>20</v>
      </c>
      <c r="E68" s="140">
        <v>31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91"/>
      <c r="Q68" s="214"/>
      <c r="R68" s="142">
        <f t="shared" si="88"/>
        <v>0</v>
      </c>
      <c r="S68" s="125"/>
      <c r="T68" s="143">
        <f t="shared" si="89"/>
        <v>0</v>
      </c>
      <c r="U68" s="144">
        <f t="shared" si="90"/>
        <v>0</v>
      </c>
      <c r="V68" s="125"/>
      <c r="W68" s="145"/>
      <c r="X68" s="125"/>
      <c r="Y68" s="125">
        <f t="shared" si="91"/>
        <v>0</v>
      </c>
      <c r="Z68" s="125"/>
      <c r="AA68" s="125"/>
      <c r="AB68" s="125"/>
      <c r="AC68" s="125">
        <f t="shared" si="92"/>
        <v>0</v>
      </c>
      <c r="AD68" s="289">
        <f>IF(P68=0,0,IF(VLOOKUP(AC68,'Table 52'!$A$2:$B$384,2,TRUE)&gt;=VLOOKUP(Emp.1!AC68,'Table 52'!$C$2:$D$384,2,TRUE),MAX(VLOOKUP(Emp.1!AC68,'Table 52'!$A$2:$B$384,2,TRUE),VLOOKUP(Emp.1!AC68,'Table 52'!$C$2:$D$384,2,TRUE)),0)+55)</f>
        <v>0</v>
      </c>
      <c r="AE68" s="290">
        <f>T68-AB68</f>
        <v>0</v>
      </c>
      <c r="AF68" s="291">
        <f>IF(P68=0,0,IF(VLOOKUP(AE68,'Table 52'!$E$2:$F$276,2,TRUE)&gt;=VLOOKUP(Emp.1!AE68,'Table 52'!$G$2:$H$276,2,TRUE),MAX(VLOOKUP(Emp.1!AE68,'Table 52'!$E$2:$F$276,2,TRUE),VLOOKUP(Emp.1!AE68,'Table 52'!$G$2:$H$276,2,TRUE)),0)+100)</f>
        <v>0</v>
      </c>
      <c r="AG68" s="125">
        <f>Q68</f>
        <v>0</v>
      </c>
      <c r="AH68" s="125">
        <f>SUM(U68,W68,Y68,Z68,AA68,AB68,AD68,AF68,AG68)</f>
        <v>0</v>
      </c>
      <c r="AI68" s="125">
        <f>R68-AH68</f>
        <v>0</v>
      </c>
      <c r="AJ68" s="125">
        <f>O68*0.6</f>
        <v>0</v>
      </c>
      <c r="AK68" s="147">
        <f>AI68+AJ68</f>
        <v>0</v>
      </c>
      <c r="AL68" s="148">
        <f t="shared" si="93"/>
        <v>0</v>
      </c>
      <c r="AM68" s="25"/>
      <c r="AN68" s="25"/>
      <c r="AQ68" s="73">
        <f t="shared" si="94"/>
        <v>-3.8361000000000001</v>
      </c>
    </row>
    <row r="69" spans="1:43" x14ac:dyDescent="0.25">
      <c r="D69" s="107" t="s">
        <v>20</v>
      </c>
      <c r="E69" s="14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91"/>
      <c r="Q69" s="204">
        <f t="shared" ref="Q69" si="95">P69*13%</f>
        <v>0</v>
      </c>
      <c r="R69" s="205">
        <f t="shared" si="88"/>
        <v>0</v>
      </c>
      <c r="S69" s="206"/>
      <c r="T69" s="207">
        <f t="shared" si="89"/>
        <v>0</v>
      </c>
      <c r="U69" s="208">
        <f t="shared" si="90"/>
        <v>0</v>
      </c>
      <c r="V69" s="206"/>
      <c r="W69" s="209">
        <v>0</v>
      </c>
      <c r="X69" s="206"/>
      <c r="Y69" s="206">
        <f t="shared" si="91"/>
        <v>0</v>
      </c>
      <c r="Z69" s="206">
        <f t="shared" ref="Z69" si="96">R69*0.75%</f>
        <v>0</v>
      </c>
      <c r="AA69" s="206"/>
      <c r="AB69" s="206"/>
      <c r="AC69" s="206">
        <f t="shared" si="92"/>
        <v>0</v>
      </c>
      <c r="AD69" s="292">
        <f>IF(P69=0,0,IF(VLOOKUP(AC69,'Table 52'!$A$2:$B$384,2,TRUE)&gt;=VLOOKUP(Emp.1!AC69,'Table 52'!$C$2:$D$384,2,TRUE),MAX(VLOOKUP(Emp.1!AC69,'Table 52'!$A$2:$B$384,2,TRUE),VLOOKUP(Emp.1!AC69,'Table 52'!$C$2:$D$384,2,TRUE)),0)+55)</f>
        <v>0</v>
      </c>
      <c r="AE69" s="293">
        <f t="shared" ref="AE69" si="97">T69-AB69</f>
        <v>0</v>
      </c>
      <c r="AF69" s="294">
        <f>IF(P69=0,0,IF(VLOOKUP(AE69,'Table 52'!$E$2:$F$276,2,TRUE)&gt;=VLOOKUP(Emp.1!AE69,'Table 52'!$G$2:$H$276,2,TRUE),MAX(VLOOKUP(Emp.1!AE69,'Table 52'!$E$2:$F$276,2,TRUE),VLOOKUP(Emp.1!AE69,'Table 52'!$G$2:$H$276,2,TRUE)),0)+100)</f>
        <v>0</v>
      </c>
      <c r="AG69" s="206"/>
      <c r="AH69" s="206"/>
      <c r="AI69" s="206"/>
      <c r="AJ69" s="206"/>
      <c r="AK69" s="212"/>
      <c r="AL69" s="213">
        <f t="shared" si="93"/>
        <v>0</v>
      </c>
      <c r="AM69" s="25"/>
      <c r="AN69" s="25"/>
      <c r="AO69" s="25">
        <f>0.04*O69</f>
        <v>0</v>
      </c>
      <c r="AQ69" s="73">
        <f t="shared" si="94"/>
        <v>-3.8361000000000001</v>
      </c>
    </row>
    <row r="70" spans="1:43" ht="13.8" thickBot="1" x14ac:dyDescent="0.3">
      <c r="A70" s="4"/>
      <c r="B70" s="4"/>
      <c r="C70" s="4"/>
      <c r="D70" s="278" t="s">
        <v>33</v>
      </c>
      <c r="E70" s="287"/>
      <c r="F70" s="280"/>
      <c r="G70" s="280"/>
      <c r="H70" s="280"/>
      <c r="I70" s="280"/>
      <c r="J70" s="280"/>
      <c r="K70" s="280"/>
      <c r="L70" s="280"/>
      <c r="M70" s="280"/>
      <c r="N70" s="280"/>
      <c r="O70" s="298">
        <f>SUM(O65:O69)</f>
        <v>0</v>
      </c>
      <c r="P70" s="299">
        <f>SUM(P65:P69)</f>
        <v>0</v>
      </c>
      <c r="Q70" s="299">
        <f t="shared" ref="Q70:AP70" si="98">SUM(Q65:Q69)</f>
        <v>0</v>
      </c>
      <c r="R70" s="300">
        <f t="shared" si="98"/>
        <v>0</v>
      </c>
      <c r="S70" s="299">
        <f t="shared" si="98"/>
        <v>0</v>
      </c>
      <c r="T70" s="299">
        <f t="shared" si="98"/>
        <v>0</v>
      </c>
      <c r="U70" s="299">
        <f t="shared" si="98"/>
        <v>0</v>
      </c>
      <c r="V70" s="299">
        <f t="shared" si="98"/>
        <v>0</v>
      </c>
      <c r="W70" s="299">
        <f t="shared" si="98"/>
        <v>0</v>
      </c>
      <c r="X70" s="299">
        <f t="shared" si="98"/>
        <v>0</v>
      </c>
      <c r="Y70" s="299">
        <f t="shared" si="98"/>
        <v>0</v>
      </c>
      <c r="Z70" s="299">
        <f t="shared" si="98"/>
        <v>0</v>
      </c>
      <c r="AA70" s="299">
        <f t="shared" si="98"/>
        <v>0</v>
      </c>
      <c r="AB70" s="299">
        <f t="shared" si="98"/>
        <v>0</v>
      </c>
      <c r="AC70" s="299">
        <f>SUM(AC65:AC69)</f>
        <v>0</v>
      </c>
      <c r="AD70" s="301">
        <f t="shared" si="98"/>
        <v>0</v>
      </c>
      <c r="AE70" s="302">
        <f t="shared" si="98"/>
        <v>0</v>
      </c>
      <c r="AF70" s="303">
        <f t="shared" si="98"/>
        <v>0</v>
      </c>
      <c r="AG70" s="299">
        <f t="shared" si="98"/>
        <v>0</v>
      </c>
      <c r="AH70" s="299">
        <f t="shared" si="98"/>
        <v>0</v>
      </c>
      <c r="AI70" s="299">
        <f t="shared" si="98"/>
        <v>0</v>
      </c>
      <c r="AJ70" s="299">
        <f t="shared" si="98"/>
        <v>0</v>
      </c>
      <c r="AK70" s="304">
        <f t="shared" si="98"/>
        <v>0</v>
      </c>
      <c r="AL70" s="305">
        <f t="shared" si="98"/>
        <v>0</v>
      </c>
      <c r="AM70" s="13">
        <f t="shared" si="98"/>
        <v>0</v>
      </c>
      <c r="AN70" s="13">
        <f t="shared" si="98"/>
        <v>0</v>
      </c>
      <c r="AO70" s="13">
        <f t="shared" si="98"/>
        <v>0</v>
      </c>
      <c r="AP70" s="25">
        <f t="shared" si="98"/>
        <v>0</v>
      </c>
    </row>
    <row r="71" spans="1:43" x14ac:dyDescent="0.25">
      <c r="E71" s="7"/>
      <c r="P71" s="25"/>
      <c r="Q71" s="25"/>
      <c r="R71" s="74">
        <f t="shared" ref="R71:R78" si="99">P71+Q71</f>
        <v>0</v>
      </c>
      <c r="S71" s="25"/>
      <c r="T71" s="35">
        <f t="shared" ref="T71:T78" si="100">R71+S71</f>
        <v>0</v>
      </c>
      <c r="U71" s="52"/>
      <c r="V71" s="13"/>
      <c r="W71" s="31"/>
      <c r="X71" s="25"/>
      <c r="Y71" s="25">
        <f t="shared" ref="Y71:Y78" si="101">R71*0.559%</f>
        <v>0</v>
      </c>
      <c r="Z71" s="25"/>
      <c r="AA71" s="25"/>
      <c r="AB71" s="25"/>
      <c r="AC71" s="25">
        <f t="shared" si="38"/>
        <v>0</v>
      </c>
      <c r="AD71" s="295"/>
      <c r="AE71" s="295"/>
      <c r="AF71" s="295"/>
      <c r="AG71" s="25"/>
      <c r="AH71" s="25"/>
      <c r="AI71" s="25"/>
      <c r="AJ71" s="25"/>
      <c r="AK71" s="96"/>
      <c r="AL71" s="26">
        <f t="shared" ref="AL71:AL78" si="102">R71*0.752%</f>
        <v>0</v>
      </c>
      <c r="AM71" s="25">
        <f t="shared" ref="AM71:AM78" si="103">O71*5.335</f>
        <v>0</v>
      </c>
      <c r="AN71" s="25">
        <f t="shared" ref="AN71:AN78" si="104">2*O71</f>
        <v>0</v>
      </c>
      <c r="AO71" s="25"/>
    </row>
    <row r="72" spans="1:43" x14ac:dyDescent="0.25">
      <c r="D72" s="100" t="s">
        <v>21</v>
      </c>
      <c r="E72" s="132"/>
      <c r="F72" s="154"/>
      <c r="G72" s="154"/>
      <c r="H72" s="154"/>
      <c r="I72" s="154"/>
      <c r="J72" s="154"/>
      <c r="K72" s="154"/>
      <c r="L72" s="154"/>
      <c r="M72" s="102"/>
      <c r="N72" s="102"/>
      <c r="O72" s="102"/>
      <c r="P72" s="91"/>
      <c r="Q72" s="128"/>
      <c r="R72" s="135">
        <f>SUM(P72,Q72)</f>
        <v>0</v>
      </c>
      <c r="S72" s="128"/>
      <c r="T72" s="136">
        <f>SUM(R72,S72)</f>
        <v>0</v>
      </c>
      <c r="U72" s="103">
        <f>IF(AQ72&lt;0,0,(T72-67.3)*0.057)</f>
        <v>0</v>
      </c>
      <c r="V72" s="128"/>
      <c r="W72" s="137"/>
      <c r="X72" s="128"/>
      <c r="Y72" s="103">
        <f>R72*0.494%</f>
        <v>0</v>
      </c>
      <c r="Z72" s="128"/>
      <c r="AA72" s="128"/>
      <c r="AB72" s="128"/>
      <c r="AC72" s="128">
        <f>R72-Z72-AA72-AB72</f>
        <v>0</v>
      </c>
      <c r="AD72" s="276">
        <f>IF(P72=0,0,IF(VLOOKUP(AC72,'Table 52'!$A$2:$B$384,2,TRUE)&gt;=VLOOKUP(Emp.1!AC72,'Table 52'!$C$2:$D$384,2,TRUE),MAX(VLOOKUP(Emp.1!AC72,'Table 52'!$A$2:$B$384,2,TRUE),VLOOKUP(Emp.1!AC72,'Table 52'!$C$2:$D$384,2,TRUE)),0)+55)</f>
        <v>0</v>
      </c>
      <c r="AE72" s="288">
        <f>T72-AB72</f>
        <v>0</v>
      </c>
      <c r="AF72" s="277">
        <f>IF(P72=0,0,IF(VLOOKUP(AE72,'Table 52'!$E$2:$F$276,2,TRUE)&gt;=VLOOKUP(Emp.1!AE72,'Table 52'!$G$2:$H$276,2,TRUE),MAX(VLOOKUP(Emp.1!AE72,'Table 52'!$E$2:$F$276,2,TRUE),VLOOKUP(Emp.1!AE72,'Table 52'!$G$2:$H$276,2,TRUE)),0)+100)</f>
        <v>0</v>
      </c>
      <c r="AG72" s="128">
        <f>Q72</f>
        <v>0</v>
      </c>
      <c r="AH72" s="128">
        <f>SUM(U72,W72,Y72,Z72,AA72,AB72,AD72,AF72,AG72)</f>
        <v>0</v>
      </c>
      <c r="AI72" s="128">
        <f>R72-AH72</f>
        <v>0</v>
      </c>
      <c r="AJ72" s="128">
        <f>O72*0.6</f>
        <v>0</v>
      </c>
      <c r="AK72" s="139">
        <f>AI72+AJ72</f>
        <v>0</v>
      </c>
      <c r="AL72" s="106">
        <f>R72*0.692%</f>
        <v>0</v>
      </c>
      <c r="AM72" s="25"/>
      <c r="AN72" s="25"/>
      <c r="AQ72" s="73">
        <f>(T72-67.3)*0.057</f>
        <v>-3.8361000000000001</v>
      </c>
    </row>
    <row r="73" spans="1:43" x14ac:dyDescent="0.25">
      <c r="D73" s="107" t="s">
        <v>21</v>
      </c>
      <c r="E73" s="140">
        <v>7</v>
      </c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91"/>
      <c r="Q73" s="125"/>
      <c r="R73" s="142">
        <f t="shared" ref="R73:R76" si="105">SUM(P73,Q73)</f>
        <v>0</v>
      </c>
      <c r="S73" s="125"/>
      <c r="T73" s="143">
        <f t="shared" ref="T73:T76" si="106">SUM(R73,S73)</f>
        <v>0</v>
      </c>
      <c r="U73" s="144">
        <f t="shared" ref="U73:U76" si="107">IF(AQ73&lt;0,0,(T73-67.3)*0.057)</f>
        <v>0</v>
      </c>
      <c r="V73" s="125"/>
      <c r="W73" s="145"/>
      <c r="X73" s="125"/>
      <c r="Y73" s="125">
        <f t="shared" ref="Y73:Y76" si="108">R73*0.494%</f>
        <v>0</v>
      </c>
      <c r="Z73" s="125"/>
      <c r="AA73" s="125"/>
      <c r="AB73" s="125"/>
      <c r="AC73" s="125">
        <f t="shared" ref="AC73:AC76" si="109">R73-Z73-AA73-AB73</f>
        <v>0</v>
      </c>
      <c r="AD73" s="289">
        <f>IF(P73=0,0,IF(VLOOKUP(AC73,'Table 52'!$A$2:$B$384,2,TRUE)&gt;=VLOOKUP(Emp.1!AC73,'Table 52'!$C$2:$D$384,2,TRUE),MAX(VLOOKUP(Emp.1!AC73,'Table 52'!$A$2:$B$384,2,TRUE),VLOOKUP(Emp.1!AC73,'Table 52'!$C$2:$D$384,2,TRUE)),0)+55)</f>
        <v>0</v>
      </c>
      <c r="AE73" s="290">
        <f>T73-AB73</f>
        <v>0</v>
      </c>
      <c r="AF73" s="291">
        <f>IF(P73=0,0,IF(VLOOKUP(AE73,'Table 52'!$E$2:$F$276,2,TRUE)&gt;=VLOOKUP(Emp.1!AE73,'Table 52'!$G$2:$H$276,2,TRUE),MAX(VLOOKUP(Emp.1!AE73,'Table 52'!$E$2:$F$276,2,TRUE),VLOOKUP(Emp.1!AE73,'Table 52'!$G$2:$H$276,2,TRUE)),0)+100)</f>
        <v>0</v>
      </c>
      <c r="AG73" s="125">
        <f>Q73</f>
        <v>0</v>
      </c>
      <c r="AH73" s="125">
        <f>SUM(U73,W73,Y73,Z73,AA73,AB73,AD73,AF73,AG73)</f>
        <v>0</v>
      </c>
      <c r="AI73" s="125">
        <f>R73-AH73</f>
        <v>0</v>
      </c>
      <c r="AJ73" s="125">
        <f>O73*0.6</f>
        <v>0</v>
      </c>
      <c r="AK73" s="147">
        <f>AI73+AJ73</f>
        <v>0</v>
      </c>
      <c r="AL73" s="148">
        <f t="shared" ref="AL73:AL76" si="110">R73*0.692%</f>
        <v>0</v>
      </c>
      <c r="AM73" s="25"/>
      <c r="AN73" s="25"/>
      <c r="AQ73" s="73">
        <f t="shared" ref="AQ73:AQ76" si="111">(T73-67.3)*0.057</f>
        <v>-3.8361000000000001</v>
      </c>
    </row>
    <row r="74" spans="1:43" x14ac:dyDescent="0.25">
      <c r="D74" s="107" t="s">
        <v>21</v>
      </c>
      <c r="E74" s="140">
        <v>14</v>
      </c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91"/>
      <c r="Q74" s="125"/>
      <c r="R74" s="142">
        <f t="shared" si="105"/>
        <v>0</v>
      </c>
      <c r="S74" s="125"/>
      <c r="T74" s="143">
        <f t="shared" si="106"/>
        <v>0</v>
      </c>
      <c r="U74" s="144">
        <f t="shared" si="107"/>
        <v>0</v>
      </c>
      <c r="V74" s="125"/>
      <c r="W74" s="145"/>
      <c r="X74" s="125"/>
      <c r="Y74" s="125">
        <f t="shared" si="108"/>
        <v>0</v>
      </c>
      <c r="Z74" s="125"/>
      <c r="AA74" s="125"/>
      <c r="AB74" s="125"/>
      <c r="AC74" s="125">
        <f t="shared" si="109"/>
        <v>0</v>
      </c>
      <c r="AD74" s="289">
        <f>IF(P74=0,0,IF(VLOOKUP(AC74,'Table 52'!$A$2:$B$384,2,TRUE)&gt;=VLOOKUP(Emp.1!AC74,'Table 52'!$C$2:$D$384,2,TRUE),MAX(VLOOKUP(Emp.1!AC74,'Table 52'!$A$2:$B$384,2,TRUE),VLOOKUP(Emp.1!AC74,'Table 52'!$C$2:$D$384,2,TRUE)),0)+55)</f>
        <v>0</v>
      </c>
      <c r="AE74" s="290">
        <f>T74-AB74</f>
        <v>0</v>
      </c>
      <c r="AF74" s="291">
        <f>IF(P74=0,0,IF(VLOOKUP(AE74,'Table 52'!$E$2:$F$276,2,TRUE)&gt;=VLOOKUP(Emp.1!AE74,'Table 52'!$G$2:$H$276,2,TRUE),MAX(VLOOKUP(Emp.1!AE74,'Table 52'!$E$2:$F$276,2,TRUE),VLOOKUP(Emp.1!AE74,'Table 52'!$G$2:$H$276,2,TRUE)),0)+100)</f>
        <v>0</v>
      </c>
      <c r="AG74" s="125">
        <f>Q74</f>
        <v>0</v>
      </c>
      <c r="AH74" s="125">
        <f>SUM(U74,W74,Y74,Z74,AA74,AB74,AD74,AF74,AG74)</f>
        <v>0</v>
      </c>
      <c r="AI74" s="125">
        <f>R74-AH74</f>
        <v>0</v>
      </c>
      <c r="AJ74" s="125">
        <f>O74*0.6</f>
        <v>0</v>
      </c>
      <c r="AK74" s="147">
        <f>AI74+AJ74</f>
        <v>0</v>
      </c>
      <c r="AL74" s="148">
        <f t="shared" si="110"/>
        <v>0</v>
      </c>
      <c r="AM74" s="25"/>
      <c r="AN74" s="25"/>
      <c r="AQ74" s="73">
        <f t="shared" si="111"/>
        <v>-3.8361000000000001</v>
      </c>
    </row>
    <row r="75" spans="1:43" x14ac:dyDescent="0.25">
      <c r="D75" s="107" t="s">
        <v>21</v>
      </c>
      <c r="E75" s="140">
        <v>21</v>
      </c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91"/>
      <c r="Q75" s="214"/>
      <c r="R75" s="142">
        <f t="shared" si="105"/>
        <v>0</v>
      </c>
      <c r="S75" s="125"/>
      <c r="T75" s="143">
        <f t="shared" si="106"/>
        <v>0</v>
      </c>
      <c r="U75" s="144">
        <f t="shared" si="107"/>
        <v>0</v>
      </c>
      <c r="V75" s="125"/>
      <c r="W75" s="145"/>
      <c r="X75" s="125"/>
      <c r="Y75" s="125">
        <f t="shared" si="108"/>
        <v>0</v>
      </c>
      <c r="Z75" s="125"/>
      <c r="AA75" s="125"/>
      <c r="AB75" s="125"/>
      <c r="AC75" s="125">
        <f t="shared" si="109"/>
        <v>0</v>
      </c>
      <c r="AD75" s="289">
        <f>IF(P75=0,0,IF(VLOOKUP(AC75,'Table 52'!$A$2:$B$384,2,TRUE)&gt;=VLOOKUP(Emp.1!AC75,'Table 52'!$C$2:$D$384,2,TRUE),MAX(VLOOKUP(Emp.1!AC75,'Table 52'!$A$2:$B$384,2,TRUE),VLOOKUP(Emp.1!AC75,'Table 52'!$C$2:$D$384,2,TRUE)),0)+55)</f>
        <v>0</v>
      </c>
      <c r="AE75" s="290">
        <f>T75-AB75</f>
        <v>0</v>
      </c>
      <c r="AF75" s="291">
        <f>IF(P75=0,0,IF(VLOOKUP(AE75,'Table 52'!$E$2:$F$276,2,TRUE)&gt;=VLOOKUP(Emp.1!AE75,'Table 52'!$G$2:$H$276,2,TRUE),MAX(VLOOKUP(Emp.1!AE75,'Table 52'!$E$2:$F$276,2,TRUE),VLOOKUP(Emp.1!AE75,'Table 52'!$G$2:$H$276,2,TRUE)),0)+100)</f>
        <v>0</v>
      </c>
      <c r="AG75" s="125">
        <f>Q75</f>
        <v>0</v>
      </c>
      <c r="AH75" s="125">
        <f>SUM(U75,W75,Y75,Z75,AA75,AB75,AD75,AF75,AG75)</f>
        <v>0</v>
      </c>
      <c r="AI75" s="125">
        <f>R75-AH75</f>
        <v>0</v>
      </c>
      <c r="AJ75" s="125">
        <f>O75*0.6</f>
        <v>0</v>
      </c>
      <c r="AK75" s="147">
        <f>AI75+AJ75</f>
        <v>0</v>
      </c>
      <c r="AL75" s="148">
        <f t="shared" si="110"/>
        <v>0</v>
      </c>
      <c r="AM75" s="25"/>
      <c r="AN75" s="25"/>
      <c r="AQ75" s="73">
        <f t="shared" si="111"/>
        <v>-3.8361000000000001</v>
      </c>
    </row>
    <row r="76" spans="1:43" x14ac:dyDescent="0.25">
      <c r="D76" s="107" t="s">
        <v>21</v>
      </c>
      <c r="E76" s="14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91"/>
      <c r="Q76" s="204">
        <f t="shared" ref="Q76" si="112">P76*13%</f>
        <v>0</v>
      </c>
      <c r="R76" s="205">
        <f t="shared" si="105"/>
        <v>0</v>
      </c>
      <c r="S76" s="206"/>
      <c r="T76" s="207">
        <f t="shared" si="106"/>
        <v>0</v>
      </c>
      <c r="U76" s="208">
        <f t="shared" si="107"/>
        <v>0</v>
      </c>
      <c r="V76" s="206"/>
      <c r="W76" s="209">
        <v>0</v>
      </c>
      <c r="X76" s="206"/>
      <c r="Y76" s="206">
        <f t="shared" si="108"/>
        <v>0</v>
      </c>
      <c r="Z76" s="206">
        <f t="shared" ref="Z76" si="113">R76*0.75%</f>
        <v>0</v>
      </c>
      <c r="AA76" s="206"/>
      <c r="AB76" s="206">
        <f t="shared" ref="AB76" si="114">1.7*O76</f>
        <v>0</v>
      </c>
      <c r="AC76" s="206">
        <f t="shared" si="109"/>
        <v>0</v>
      </c>
      <c r="AD76" s="292">
        <f>IF(P76=0,0,IF(VLOOKUP(AC76,'Table 52'!$A$2:$B$384,2,TRUE)&gt;=VLOOKUP(Emp.1!AC76,'Table 52'!$C$2:$D$384,2,TRUE),MAX(VLOOKUP(Emp.1!AC76,'Table 52'!$A$2:$B$384,2,TRUE),VLOOKUP(Emp.1!AC76,'Table 52'!$C$2:$D$384,2,TRUE)),0)+55)</f>
        <v>0</v>
      </c>
      <c r="AE76" s="293">
        <f t="shared" ref="AE76" si="115">T76-AB76</f>
        <v>0</v>
      </c>
      <c r="AF76" s="294">
        <f>IF(P76=0,0,IF(VLOOKUP(AE76,'Table 52'!$E$2:$F$276,2,TRUE)&gt;=VLOOKUP(Emp.1!AE76,'Table 52'!$G$2:$H$276,2,TRUE),MAX(VLOOKUP(Emp.1!AE76,'Table 52'!$E$2:$F$276,2,TRUE),VLOOKUP(Emp.1!AE76,'Table 52'!$G$2:$H$276,2,TRUE)),0)+100)</f>
        <v>0</v>
      </c>
      <c r="AG76" s="206">
        <f t="shared" ref="AG76" si="116">Q76</f>
        <v>0</v>
      </c>
      <c r="AH76" s="206">
        <f t="shared" ref="AH76" si="117">SUM(U76+W76+Y76+Z76+AA76+AB76+AD76+AF76+AG76)</f>
        <v>0</v>
      </c>
      <c r="AI76" s="206">
        <f t="shared" ref="AI76" si="118">R76-AH76</f>
        <v>0</v>
      </c>
      <c r="AJ76" s="206">
        <f t="shared" ref="AJ76" si="119">O76*0.6</f>
        <v>0</v>
      </c>
      <c r="AK76" s="212">
        <f t="shared" ref="AK76" si="120">AI76+AJ76</f>
        <v>0</v>
      </c>
      <c r="AL76" s="213">
        <f t="shared" si="110"/>
        <v>0</v>
      </c>
      <c r="AM76" s="25"/>
      <c r="AN76" s="25"/>
      <c r="AO76" s="25">
        <f t="shared" ref="AO76" si="121">0.04*O76</f>
        <v>0</v>
      </c>
      <c r="AQ76" s="73">
        <f t="shared" si="111"/>
        <v>-3.8361000000000001</v>
      </c>
    </row>
    <row r="77" spans="1:43" ht="13.8" thickBot="1" x14ac:dyDescent="0.3">
      <c r="A77" s="4"/>
      <c r="B77" s="4"/>
      <c r="C77" s="4"/>
      <c r="D77" s="278" t="s">
        <v>33</v>
      </c>
      <c r="E77" s="287"/>
      <c r="F77" s="280"/>
      <c r="G77" s="280"/>
      <c r="H77" s="280"/>
      <c r="I77" s="280"/>
      <c r="J77" s="280"/>
      <c r="K77" s="280"/>
      <c r="L77" s="280"/>
      <c r="M77" s="280"/>
      <c r="N77" s="280"/>
      <c r="O77" s="298">
        <f>SUM(O72:O76)</f>
        <v>0</v>
      </c>
      <c r="P77" s="299">
        <f>SUM(P72:P76)</f>
        <v>0</v>
      </c>
      <c r="Q77" s="299">
        <f t="shared" ref="Q77:AL77" si="122">SUM(Q72:Q76)</f>
        <v>0</v>
      </c>
      <c r="R77" s="300">
        <f t="shared" si="122"/>
        <v>0</v>
      </c>
      <c r="S77" s="299">
        <f t="shared" si="122"/>
        <v>0</v>
      </c>
      <c r="T77" s="299">
        <f t="shared" si="122"/>
        <v>0</v>
      </c>
      <c r="U77" s="299">
        <f t="shared" si="122"/>
        <v>0</v>
      </c>
      <c r="V77" s="299">
        <f t="shared" si="122"/>
        <v>0</v>
      </c>
      <c r="W77" s="299">
        <f t="shared" si="122"/>
        <v>0</v>
      </c>
      <c r="X77" s="299">
        <f t="shared" si="122"/>
        <v>0</v>
      </c>
      <c r="Y77" s="299">
        <f t="shared" si="122"/>
        <v>0</v>
      </c>
      <c r="Z77" s="299">
        <f t="shared" si="122"/>
        <v>0</v>
      </c>
      <c r="AA77" s="299">
        <f t="shared" si="122"/>
        <v>0</v>
      </c>
      <c r="AB77" s="299">
        <f t="shared" si="122"/>
        <v>0</v>
      </c>
      <c r="AC77" s="299">
        <f t="shared" si="122"/>
        <v>0</v>
      </c>
      <c r="AD77" s="301">
        <f t="shared" si="122"/>
        <v>0</v>
      </c>
      <c r="AE77" s="302">
        <f t="shared" si="122"/>
        <v>0</v>
      </c>
      <c r="AF77" s="303">
        <f t="shared" si="122"/>
        <v>0</v>
      </c>
      <c r="AG77" s="299">
        <f t="shared" si="122"/>
        <v>0</v>
      </c>
      <c r="AH77" s="299">
        <f t="shared" si="122"/>
        <v>0</v>
      </c>
      <c r="AI77" s="299">
        <f t="shared" si="122"/>
        <v>0</v>
      </c>
      <c r="AJ77" s="299">
        <f t="shared" si="122"/>
        <v>0</v>
      </c>
      <c r="AK77" s="304">
        <f t="shared" si="122"/>
        <v>0</v>
      </c>
      <c r="AL77" s="305">
        <f t="shared" si="122"/>
        <v>0</v>
      </c>
      <c r="AM77" s="13">
        <f t="shared" ref="AM77" si="123">SUM(AM72:AM76)</f>
        <v>0</v>
      </c>
      <c r="AN77" s="13">
        <f t="shared" ref="AN77:AO77" si="124">SUM(AN72:AN76)</f>
        <v>0</v>
      </c>
      <c r="AO77" s="13">
        <f t="shared" si="124"/>
        <v>0</v>
      </c>
    </row>
    <row r="78" spans="1:43" x14ac:dyDescent="0.25">
      <c r="E78" s="7"/>
      <c r="O78" s="1"/>
      <c r="P78" s="25"/>
      <c r="Q78" s="25"/>
      <c r="R78" s="74">
        <f t="shared" si="99"/>
        <v>0</v>
      </c>
      <c r="S78" s="25"/>
      <c r="T78" s="35">
        <f t="shared" si="100"/>
        <v>0</v>
      </c>
      <c r="U78" s="52"/>
      <c r="V78" s="13"/>
      <c r="W78" s="52"/>
      <c r="X78" s="25"/>
      <c r="Y78" s="25">
        <f t="shared" si="101"/>
        <v>0</v>
      </c>
      <c r="Z78" s="25"/>
      <c r="AA78" s="25"/>
      <c r="AB78" s="25"/>
      <c r="AC78" s="95">
        <f t="shared" si="38"/>
        <v>0</v>
      </c>
      <c r="AD78" s="295"/>
      <c r="AE78" s="295"/>
      <c r="AF78" s="295"/>
      <c r="AG78" s="25"/>
      <c r="AH78" s="25"/>
      <c r="AI78" s="25"/>
      <c r="AJ78" s="25"/>
      <c r="AK78" s="96"/>
      <c r="AL78" s="26">
        <f t="shared" si="102"/>
        <v>0</v>
      </c>
      <c r="AM78" s="25">
        <f t="shared" si="103"/>
        <v>0</v>
      </c>
      <c r="AN78" s="25">
        <f t="shared" si="104"/>
        <v>0</v>
      </c>
      <c r="AO78" s="25"/>
    </row>
    <row r="79" spans="1:43" x14ac:dyDescent="0.25">
      <c r="D79" s="100" t="s">
        <v>22</v>
      </c>
      <c r="E79" s="132"/>
      <c r="F79" s="102"/>
      <c r="G79" s="102"/>
      <c r="H79" s="102"/>
      <c r="I79" s="102"/>
      <c r="J79" s="102"/>
      <c r="K79" s="102"/>
      <c r="L79" s="102"/>
      <c r="M79" s="102"/>
      <c r="N79" s="102"/>
      <c r="O79" s="129">
        <v>0</v>
      </c>
      <c r="P79" s="91"/>
      <c r="Q79" s="128"/>
      <c r="R79" s="135">
        <f>SUM(P79,Q79)</f>
        <v>0</v>
      </c>
      <c r="S79" s="128"/>
      <c r="T79" s="136">
        <f>SUM(R79,S79)</f>
        <v>0</v>
      </c>
      <c r="U79" s="103">
        <f>IF(AQ79&lt;0,0,(T79-67.3)*0.057)</f>
        <v>0</v>
      </c>
      <c r="V79" s="128"/>
      <c r="W79" s="137"/>
      <c r="X79" s="128"/>
      <c r="Y79" s="103">
        <f>R79*0.494%</f>
        <v>0</v>
      </c>
      <c r="Z79" s="128"/>
      <c r="AA79" s="128"/>
      <c r="AB79" s="128"/>
      <c r="AC79" s="128">
        <f>R79-Z79-AA79-AB79</f>
        <v>0</v>
      </c>
      <c r="AD79" s="276">
        <f>IF(P79=0,0,IF(VLOOKUP(AC79,'Table 52'!$A$2:$B$384,2,TRUE)&gt;=VLOOKUP(Emp.1!AC79,'Table 52'!$C$2:$D$384,2,TRUE),MAX(VLOOKUP(Emp.1!AC79,'Table 52'!$A$2:$B$384,2,TRUE),VLOOKUP(Emp.1!AC79,'Table 52'!$C$2:$D$384,2,TRUE)),0)+55)</f>
        <v>0</v>
      </c>
      <c r="AE79" s="288">
        <f>T79-AB79</f>
        <v>0</v>
      </c>
      <c r="AF79" s="277">
        <f>IF(P79=0,0,IF(VLOOKUP(AE79,'Table 52'!$E$2:$F$276,2,TRUE)&gt;=VLOOKUP(Emp.1!AE79,'Table 52'!$G$2:$H$276,2,TRUE),MAX(VLOOKUP(Emp.1!AE79,'Table 52'!$E$2:$F$276,2,TRUE),VLOOKUP(Emp.1!AE79,'Table 52'!$G$2:$H$276,2,TRUE)),0)+100)</f>
        <v>0</v>
      </c>
      <c r="AG79" s="128">
        <f>Q79</f>
        <v>0</v>
      </c>
      <c r="AH79" s="128">
        <f>SUM(U79,W79,Y79,Z79,AA79,AB79,AD79,AF79,AG79)</f>
        <v>0</v>
      </c>
      <c r="AI79" s="128">
        <f>R79-AH79</f>
        <v>0</v>
      </c>
      <c r="AJ79" s="128">
        <f>O79*0.6</f>
        <v>0</v>
      </c>
      <c r="AK79" s="139">
        <f>AI79+AJ79</f>
        <v>0</v>
      </c>
      <c r="AL79" s="106">
        <f>R79*0.692%</f>
        <v>0</v>
      </c>
      <c r="AM79" s="25">
        <f>R79*0.767%</f>
        <v>0</v>
      </c>
      <c r="AN79" s="25"/>
      <c r="AQ79" s="73">
        <f>(T79-67.3)*0.057</f>
        <v>-3.8361000000000001</v>
      </c>
    </row>
    <row r="80" spans="1:43" x14ac:dyDescent="0.25">
      <c r="D80" s="107" t="s">
        <v>22</v>
      </c>
      <c r="E80" s="140">
        <v>4</v>
      </c>
      <c r="F80" s="30"/>
      <c r="G80" s="30"/>
      <c r="H80" s="30"/>
      <c r="I80" s="30"/>
      <c r="J80" s="30"/>
      <c r="K80" s="30"/>
      <c r="L80" s="30"/>
      <c r="M80" s="30"/>
      <c r="N80" s="30"/>
      <c r="O80" s="130"/>
      <c r="P80" s="91"/>
      <c r="Q80" s="125"/>
      <c r="R80" s="142">
        <f>SUM(P80,Q80)</f>
        <v>0</v>
      </c>
      <c r="S80" s="125"/>
      <c r="T80" s="143">
        <f>SUM(R80,S80)</f>
        <v>0</v>
      </c>
      <c r="U80" s="144">
        <f t="shared" ref="U80:U83" si="125">IF(AQ80&lt;0,0,(T80-67.3)*0.057)</f>
        <v>0</v>
      </c>
      <c r="V80" s="125"/>
      <c r="W80" s="145"/>
      <c r="X80" s="125"/>
      <c r="Y80" s="125">
        <f t="shared" ref="Y80:Y83" si="126">R80*0.494%</f>
        <v>0</v>
      </c>
      <c r="Z80" s="125"/>
      <c r="AA80" s="125"/>
      <c r="AB80" s="125"/>
      <c r="AC80" s="125">
        <f>R80-Z80-AA80-AB80</f>
        <v>0</v>
      </c>
      <c r="AD80" s="289">
        <f>IF(P80=0,0,IF(VLOOKUP(AC80,'Table 52'!$A$2:$B$384,2,TRUE)&gt;=VLOOKUP(Emp.1!AC80,'Table 52'!$C$2:$D$384,2,TRUE),MAX(VLOOKUP(Emp.1!AC80,'Table 52'!$A$2:$B$384,2,TRUE),VLOOKUP(Emp.1!AC80,'Table 52'!$C$2:$D$384,2,TRUE)),0)+55)</f>
        <v>0</v>
      </c>
      <c r="AE80" s="290">
        <f>T80-AB80</f>
        <v>0</v>
      </c>
      <c r="AF80" s="291">
        <f>IF(P80=0,0,IF(VLOOKUP(AE80,'Table 52'!$E$2:$F$276,2,TRUE)&gt;=VLOOKUP(Emp.1!AE80,'Table 52'!$G$2:$H$276,2,TRUE),MAX(VLOOKUP(Emp.1!AE80,'Table 52'!$E$2:$F$276,2,TRUE),VLOOKUP(Emp.1!AE80,'Table 52'!$G$2:$H$276,2,TRUE)),0)+100)</f>
        <v>0</v>
      </c>
      <c r="AG80" s="125">
        <f>Q80</f>
        <v>0</v>
      </c>
      <c r="AH80" s="125">
        <f>SUM(U80,W80,Y80,Z80,AA80,AB80,AD80,AF80,AG80)</f>
        <v>0</v>
      </c>
      <c r="AI80" s="125">
        <f>R80-AH80</f>
        <v>0</v>
      </c>
      <c r="AJ80" s="125">
        <f>O80*0.6</f>
        <v>0</v>
      </c>
      <c r="AK80" s="147">
        <f>AI80+AJ80</f>
        <v>0</v>
      </c>
      <c r="AL80" s="148">
        <f t="shared" ref="AL80:AL83" si="127">R80*0.692%</f>
        <v>0</v>
      </c>
      <c r="AM80" s="25">
        <f>R80*0.767%</f>
        <v>0</v>
      </c>
      <c r="AN80" s="25"/>
      <c r="AQ80" s="73">
        <f t="shared" ref="AQ80:AQ83" si="128">(T80-67.3)*0.057</f>
        <v>-3.8361000000000001</v>
      </c>
    </row>
    <row r="81" spans="1:43" x14ac:dyDescent="0.25">
      <c r="D81" s="107" t="s">
        <v>22</v>
      </c>
      <c r="E81" s="140">
        <v>16</v>
      </c>
      <c r="F81" s="30"/>
      <c r="G81" s="30"/>
      <c r="H81" s="30"/>
      <c r="I81" s="30"/>
      <c r="J81" s="30"/>
      <c r="K81" s="30"/>
      <c r="L81" s="30"/>
      <c r="M81" s="30"/>
      <c r="N81" s="30"/>
      <c r="O81" s="130"/>
      <c r="P81" s="91"/>
      <c r="Q81" s="125"/>
      <c r="R81" s="142">
        <f>SUM(P81,Q81)</f>
        <v>0</v>
      </c>
      <c r="S81" s="125"/>
      <c r="T81" s="143">
        <f>SUM(R81,S81)</f>
        <v>0</v>
      </c>
      <c r="U81" s="144">
        <f t="shared" si="125"/>
        <v>0</v>
      </c>
      <c r="V81" s="125"/>
      <c r="W81" s="145"/>
      <c r="X81" s="125"/>
      <c r="Y81" s="125">
        <f t="shared" si="126"/>
        <v>0</v>
      </c>
      <c r="Z81" s="125"/>
      <c r="AA81" s="125"/>
      <c r="AB81" s="125"/>
      <c r="AC81" s="125">
        <f>R81-Z81-AA81-AB81</f>
        <v>0</v>
      </c>
      <c r="AD81" s="289">
        <f>IF(P81=0,0,IF(VLOOKUP(AC81,'Table 52'!$A$2:$B$384,2,TRUE)&gt;=VLOOKUP(Emp.1!AC81,'Table 52'!$C$2:$D$384,2,TRUE),MAX(VLOOKUP(Emp.1!AC81,'Table 52'!$A$2:$B$384,2,TRUE),VLOOKUP(Emp.1!AC81,'Table 52'!$C$2:$D$384,2,TRUE)),0)+55)</f>
        <v>0</v>
      </c>
      <c r="AE81" s="290">
        <f>T81-AB81</f>
        <v>0</v>
      </c>
      <c r="AF81" s="291">
        <f>IF(P81=0,0,IF(VLOOKUP(AE81,'Table 52'!$E$2:$F$276,2,TRUE)&gt;=VLOOKUP(Emp.1!AE81,'Table 52'!$G$2:$H$276,2,TRUE),MAX(VLOOKUP(Emp.1!AE81,'Table 52'!$E$2:$F$276,2,TRUE),VLOOKUP(Emp.1!AE81,'Table 52'!$G$2:$H$276,2,TRUE)),0)+100)</f>
        <v>0</v>
      </c>
      <c r="AG81" s="125">
        <f>Q81</f>
        <v>0</v>
      </c>
      <c r="AH81" s="125">
        <f>SUM(U81,W81,Y81,Z81,AA81,AB81,AD81,AF81,AG81)</f>
        <v>0</v>
      </c>
      <c r="AI81" s="125">
        <f>R81-AH81</f>
        <v>0</v>
      </c>
      <c r="AJ81" s="125">
        <f>O81*0.6</f>
        <v>0</v>
      </c>
      <c r="AK81" s="147">
        <f>AI81+AJ81</f>
        <v>0</v>
      </c>
      <c r="AL81" s="148">
        <f t="shared" si="127"/>
        <v>0</v>
      </c>
      <c r="AM81" s="25">
        <f>R81*0.767%</f>
        <v>0</v>
      </c>
      <c r="AN81" s="25"/>
      <c r="AQ81" s="73">
        <f t="shared" si="128"/>
        <v>-3.8361000000000001</v>
      </c>
    </row>
    <row r="82" spans="1:43" x14ac:dyDescent="0.25">
      <c r="D82" s="107" t="s">
        <v>22</v>
      </c>
      <c r="E82" s="140">
        <v>23</v>
      </c>
      <c r="F82" s="30"/>
      <c r="G82" s="30"/>
      <c r="H82" s="30"/>
      <c r="I82" s="30"/>
      <c r="J82" s="30"/>
      <c r="K82" s="30"/>
      <c r="L82" s="30"/>
      <c r="M82" s="30"/>
      <c r="N82" s="30"/>
      <c r="O82" s="130"/>
      <c r="P82" s="91"/>
      <c r="Q82" s="214"/>
      <c r="R82" s="142">
        <f>SUM(P82,Q82)</f>
        <v>0</v>
      </c>
      <c r="S82" s="125"/>
      <c r="T82" s="143">
        <f>SUM(R82,S82)</f>
        <v>0</v>
      </c>
      <c r="U82" s="144">
        <f t="shared" si="125"/>
        <v>0</v>
      </c>
      <c r="V82" s="125"/>
      <c r="W82" s="145"/>
      <c r="X82" s="125"/>
      <c r="Y82" s="125">
        <f t="shared" si="126"/>
        <v>0</v>
      </c>
      <c r="Z82" s="125"/>
      <c r="AA82" s="125"/>
      <c r="AB82" s="125"/>
      <c r="AC82" s="125">
        <f>R82-Z82-AA82-AB82</f>
        <v>0</v>
      </c>
      <c r="AD82" s="289">
        <f>IF(P82=0,0,IF(VLOOKUP(AC82,'Table 52'!$A$2:$B$384,2,TRUE)&gt;=VLOOKUP(Emp.1!AC82,'Table 52'!$C$2:$D$384,2,TRUE),MAX(VLOOKUP(Emp.1!AC82,'Table 52'!$A$2:$B$384,2,TRUE),VLOOKUP(Emp.1!AC82,'Table 52'!$C$2:$D$384,2,TRUE)),0)+55)</f>
        <v>0</v>
      </c>
      <c r="AE82" s="290">
        <f>T82-AB82</f>
        <v>0</v>
      </c>
      <c r="AF82" s="291">
        <f>IF(P82=0,0,IF(VLOOKUP(AE82,'Table 52'!$E$2:$F$276,2,TRUE)&gt;=VLOOKUP(Emp.1!AE82,'Table 52'!$G$2:$H$276,2,TRUE),MAX(VLOOKUP(Emp.1!AE82,'Table 52'!$E$2:$F$276,2,TRUE),VLOOKUP(Emp.1!AE82,'Table 52'!$G$2:$H$276,2,TRUE)),0)+100)</f>
        <v>0</v>
      </c>
      <c r="AG82" s="125">
        <f>Q82</f>
        <v>0</v>
      </c>
      <c r="AH82" s="125">
        <f>SUM(U82,W82,Y82,Z82,AA82,AB82,AD82,AF82,AG82)</f>
        <v>0</v>
      </c>
      <c r="AI82" s="125">
        <f>R82-AH82</f>
        <v>0</v>
      </c>
      <c r="AJ82" s="125">
        <f>O82*0.6</f>
        <v>0</v>
      </c>
      <c r="AK82" s="147">
        <f>AI82+AJ82</f>
        <v>0</v>
      </c>
      <c r="AL82" s="148">
        <f t="shared" si="127"/>
        <v>0</v>
      </c>
      <c r="AM82" s="25">
        <f>R82*0.767%</f>
        <v>0</v>
      </c>
      <c r="AN82" s="25"/>
      <c r="AQ82" s="73">
        <f t="shared" si="128"/>
        <v>-3.8361000000000001</v>
      </c>
    </row>
    <row r="83" spans="1:43" x14ac:dyDescent="0.25">
      <c r="D83" s="107" t="s">
        <v>22</v>
      </c>
      <c r="E83" s="140"/>
      <c r="F83" s="155"/>
      <c r="G83" s="30"/>
      <c r="H83" s="30"/>
      <c r="I83" s="30"/>
      <c r="J83" s="30"/>
      <c r="K83" s="30"/>
      <c r="L83" s="30"/>
      <c r="M83" s="30"/>
      <c r="N83" s="30"/>
      <c r="O83" s="130">
        <v>0</v>
      </c>
      <c r="P83" s="91"/>
      <c r="Q83" s="204"/>
      <c r="R83" s="205">
        <f>SUM(P83,Q83)</f>
        <v>0</v>
      </c>
      <c r="S83" s="206"/>
      <c r="T83" s="207">
        <f>SUM(R83,S83)</f>
        <v>0</v>
      </c>
      <c r="U83" s="208">
        <f t="shared" si="125"/>
        <v>0</v>
      </c>
      <c r="V83" s="206"/>
      <c r="W83" s="209">
        <v>0</v>
      </c>
      <c r="X83" s="206"/>
      <c r="Y83" s="206">
        <f t="shared" si="126"/>
        <v>0</v>
      </c>
      <c r="Z83" s="206"/>
      <c r="AA83" s="206"/>
      <c r="AB83" s="206"/>
      <c r="AC83" s="206">
        <f>R83-Z83-AA83-AB83</f>
        <v>0</v>
      </c>
      <c r="AD83" s="292">
        <f>IF(P83=0,0,IF(VLOOKUP(AC83,'Table 52'!$A$2:$B$384,2,TRUE)&gt;=VLOOKUP(Emp.1!AC83,'Table 52'!$C$2:$D$384,2,TRUE),MAX(VLOOKUP(Emp.1!AC83,'Table 52'!$A$2:$B$384,2,TRUE),VLOOKUP(Emp.1!AC83,'Table 52'!$C$2:$D$384,2,TRUE)),0)+55)</f>
        <v>0</v>
      </c>
      <c r="AE83" s="293">
        <f>T83-AB83</f>
        <v>0</v>
      </c>
      <c r="AF83" s="294">
        <f>IF(P83=0,0,IF(VLOOKUP(AE83,'Table 52'!$E$2:$F$276,2,TRUE)&gt;=VLOOKUP(Emp.1!AE83,'Table 52'!$G$2:$H$276,2,TRUE),MAX(VLOOKUP(Emp.1!AE83,'Table 52'!$E$2:$F$276,2,TRUE),VLOOKUP(Emp.1!AE83,'Table 52'!$G$2:$H$276,2,TRUE)),0)+100)</f>
        <v>0</v>
      </c>
      <c r="AG83" s="206">
        <f>Q83</f>
        <v>0</v>
      </c>
      <c r="AH83" s="206">
        <f>SUM(U83,W83,Y83,Z83,AA83,AB83,AD83,AF83,AG83)</f>
        <v>0</v>
      </c>
      <c r="AI83" s="206">
        <f>R83-AH83</f>
        <v>0</v>
      </c>
      <c r="AJ83" s="206">
        <f>O83*0.6</f>
        <v>0</v>
      </c>
      <c r="AK83" s="212">
        <f>AI83+AJ83</f>
        <v>0</v>
      </c>
      <c r="AL83" s="213">
        <f t="shared" si="127"/>
        <v>0</v>
      </c>
      <c r="AM83" s="25">
        <f>R83*0.767%</f>
        <v>0</v>
      </c>
      <c r="AN83" s="25"/>
      <c r="AQ83" s="73">
        <f t="shared" si="128"/>
        <v>-3.8361000000000001</v>
      </c>
    </row>
    <row r="84" spans="1:43" ht="13.8" thickBot="1" x14ac:dyDescent="0.3">
      <c r="A84" s="4"/>
      <c r="B84" s="4"/>
      <c r="C84" s="4"/>
      <c r="D84" s="278" t="s">
        <v>33</v>
      </c>
      <c r="E84" s="287"/>
      <c r="F84" s="280"/>
      <c r="G84" s="280"/>
      <c r="H84" s="280"/>
      <c r="I84" s="280"/>
      <c r="J84" s="280"/>
      <c r="K84" s="280"/>
      <c r="L84" s="280"/>
      <c r="M84" s="280"/>
      <c r="N84" s="280"/>
      <c r="O84" s="298">
        <f>SUM(O79:O83)</f>
        <v>0</v>
      </c>
      <c r="P84" s="299">
        <f>SUM(P79:P83)</f>
        <v>0</v>
      </c>
      <c r="Q84" s="299">
        <f t="shared" ref="Q84:AP84" si="129">SUM(Q79:Q83)</f>
        <v>0</v>
      </c>
      <c r="R84" s="300">
        <f t="shared" si="129"/>
        <v>0</v>
      </c>
      <c r="S84" s="299">
        <f t="shared" si="129"/>
        <v>0</v>
      </c>
      <c r="T84" s="299">
        <f t="shared" si="129"/>
        <v>0</v>
      </c>
      <c r="U84" s="299">
        <f t="shared" si="129"/>
        <v>0</v>
      </c>
      <c r="V84" s="299">
        <f t="shared" si="129"/>
        <v>0</v>
      </c>
      <c r="W84" s="299">
        <f t="shared" si="129"/>
        <v>0</v>
      </c>
      <c r="X84" s="299">
        <f t="shared" si="129"/>
        <v>0</v>
      </c>
      <c r="Y84" s="299">
        <f t="shared" si="129"/>
        <v>0</v>
      </c>
      <c r="Z84" s="299">
        <f t="shared" si="129"/>
        <v>0</v>
      </c>
      <c r="AA84" s="299">
        <f t="shared" si="129"/>
        <v>0</v>
      </c>
      <c r="AB84" s="299">
        <f t="shared" si="129"/>
        <v>0</v>
      </c>
      <c r="AC84" s="299">
        <f t="shared" si="129"/>
        <v>0</v>
      </c>
      <c r="AD84" s="301">
        <f t="shared" si="129"/>
        <v>0</v>
      </c>
      <c r="AE84" s="302">
        <f t="shared" si="129"/>
        <v>0</v>
      </c>
      <c r="AF84" s="303">
        <f t="shared" si="129"/>
        <v>0</v>
      </c>
      <c r="AG84" s="299">
        <f t="shared" si="129"/>
        <v>0</v>
      </c>
      <c r="AH84" s="299">
        <f t="shared" si="129"/>
        <v>0</v>
      </c>
      <c r="AI84" s="299">
        <f t="shared" si="129"/>
        <v>0</v>
      </c>
      <c r="AJ84" s="299">
        <f t="shared" si="129"/>
        <v>0</v>
      </c>
      <c r="AK84" s="304">
        <f t="shared" si="129"/>
        <v>0</v>
      </c>
      <c r="AL84" s="305">
        <f t="shared" si="129"/>
        <v>0</v>
      </c>
      <c r="AM84" s="13">
        <f t="shared" si="129"/>
        <v>0</v>
      </c>
      <c r="AN84" s="13">
        <f t="shared" si="129"/>
        <v>0</v>
      </c>
      <c r="AO84" s="13">
        <f t="shared" si="129"/>
        <v>0</v>
      </c>
      <c r="AP84" s="25">
        <f t="shared" si="129"/>
        <v>0</v>
      </c>
    </row>
    <row r="85" spans="1:43" x14ac:dyDescent="0.25">
      <c r="E85" s="7"/>
      <c r="O85" s="1"/>
      <c r="P85" s="25"/>
      <c r="Q85" s="25"/>
      <c r="R85" s="74"/>
      <c r="S85" s="25"/>
      <c r="T85" s="35"/>
      <c r="U85" s="52"/>
      <c r="V85" s="25"/>
      <c r="W85" s="52"/>
      <c r="X85" s="25"/>
      <c r="Y85" s="25"/>
      <c r="Z85" s="25"/>
      <c r="AA85" s="25"/>
      <c r="AB85" s="25"/>
      <c r="AC85" s="25"/>
      <c r="AD85" s="296"/>
      <c r="AE85" s="296"/>
      <c r="AF85" s="296"/>
      <c r="AG85" s="25"/>
      <c r="AH85" s="25"/>
      <c r="AI85" s="25"/>
      <c r="AJ85" s="25"/>
      <c r="AK85" s="96"/>
      <c r="AL85" s="25"/>
      <c r="AM85" s="25"/>
      <c r="AN85" s="25"/>
    </row>
    <row r="86" spans="1:43" x14ac:dyDescent="0.25">
      <c r="A86" s="4"/>
      <c r="B86" s="4"/>
      <c r="C86" s="4"/>
      <c r="D86" s="161" t="s">
        <v>34</v>
      </c>
      <c r="E86" s="162"/>
      <c r="F86" s="163"/>
      <c r="G86" s="163"/>
      <c r="H86" s="163"/>
      <c r="I86" s="163"/>
      <c r="J86" s="163"/>
      <c r="K86" s="163"/>
      <c r="L86" s="163"/>
      <c r="M86" s="163"/>
      <c r="N86" s="163">
        <f>N7+N14+N21+N28+N35+N42+N49+N56+N63+N70+N77+N84</f>
        <v>0</v>
      </c>
      <c r="O86" s="163">
        <f>O7+O14+O21+O28+O35+O42+O49+O56+O63+O70+O77+O84</f>
        <v>0</v>
      </c>
      <c r="P86" s="200">
        <f>P7+P14+P21+P28+P35+P42+P49+P56+P63+P70+P77+P84</f>
        <v>0</v>
      </c>
      <c r="Q86" s="200">
        <f t="shared" ref="Q86:AL86" si="130">Q7+Q14+Q21+Q28+Q35+Q42+Q49+Q56+Q63+Q70+Q77+Q84</f>
        <v>0</v>
      </c>
      <c r="R86" s="201">
        <f t="shared" si="130"/>
        <v>0</v>
      </c>
      <c r="S86" s="200">
        <f t="shared" si="130"/>
        <v>0</v>
      </c>
      <c r="T86" s="200">
        <f t="shared" si="130"/>
        <v>0</v>
      </c>
      <c r="U86" s="200">
        <f t="shared" si="130"/>
        <v>0</v>
      </c>
      <c r="V86" s="200">
        <f t="shared" si="130"/>
        <v>0</v>
      </c>
      <c r="W86" s="200">
        <f t="shared" si="130"/>
        <v>0</v>
      </c>
      <c r="X86" s="200">
        <f t="shared" si="130"/>
        <v>0</v>
      </c>
      <c r="Y86" s="200">
        <f t="shared" si="130"/>
        <v>0</v>
      </c>
      <c r="Z86" s="200">
        <f t="shared" si="130"/>
        <v>0</v>
      </c>
      <c r="AA86" s="200">
        <f t="shared" si="130"/>
        <v>0</v>
      </c>
      <c r="AB86" s="200">
        <f t="shared" si="130"/>
        <v>0</v>
      </c>
      <c r="AC86" s="200">
        <f t="shared" si="130"/>
        <v>0</v>
      </c>
      <c r="AD86" s="297">
        <f t="shared" si="130"/>
        <v>0</v>
      </c>
      <c r="AE86" s="297">
        <f t="shared" si="130"/>
        <v>0</v>
      </c>
      <c r="AF86" s="297">
        <f t="shared" si="130"/>
        <v>0</v>
      </c>
      <c r="AG86" s="200">
        <f t="shared" si="130"/>
        <v>0</v>
      </c>
      <c r="AH86" s="200">
        <f t="shared" si="130"/>
        <v>0</v>
      </c>
      <c r="AI86" s="200">
        <f t="shared" si="130"/>
        <v>0</v>
      </c>
      <c r="AJ86" s="200">
        <f t="shared" si="130"/>
        <v>0</v>
      </c>
      <c r="AK86" s="202">
        <f t="shared" si="130"/>
        <v>0</v>
      </c>
      <c r="AL86" s="203">
        <f t="shared" si="130"/>
        <v>0</v>
      </c>
      <c r="AM86" s="13">
        <f t="shared" ref="AM86:AO86" si="131">AM7+AM14+AM21+AM28+AM35+AM42+AM49+AM56+AM63+AM70+AM77+AM84</f>
        <v>0</v>
      </c>
      <c r="AN86" s="13">
        <f t="shared" si="131"/>
        <v>0</v>
      </c>
      <c r="AO86" s="13">
        <f t="shared" si="131"/>
        <v>0</v>
      </c>
    </row>
    <row r="87" spans="1:43" x14ac:dyDescent="0.25">
      <c r="P87" s="25"/>
      <c r="Q87" s="25"/>
      <c r="R87" s="74"/>
      <c r="S87" s="25"/>
      <c r="T87" s="35"/>
      <c r="U87" s="52"/>
      <c r="V87" s="25"/>
      <c r="W87" s="52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96"/>
      <c r="AL87" s="25"/>
      <c r="AM87" s="25"/>
      <c r="AN87" s="25"/>
    </row>
    <row r="88" spans="1:43" x14ac:dyDescent="0.25">
      <c r="W88" s="53"/>
    </row>
    <row r="89" spans="1:43" x14ac:dyDescent="0.25">
      <c r="P89" s="53"/>
      <c r="R89" s="74"/>
    </row>
  </sheetData>
  <sheetProtection formatCells="0"/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W88"/>
  <sheetViews>
    <sheetView showZeros="0" zoomScale="90" zoomScaleNormal="90" workbookViewId="0">
      <pane ySplit="1" topLeftCell="A2" activePane="bottomLeft" state="frozen"/>
      <selection activeCell="E83" sqref="E83"/>
      <selection pane="bottomLeft" activeCell="R77" sqref="R77"/>
    </sheetView>
  </sheetViews>
  <sheetFormatPr baseColWidth="10" defaultRowHeight="13.2" x14ac:dyDescent="0.25"/>
  <cols>
    <col min="1" max="1" width="22.44140625" customWidth="1"/>
    <col min="2" max="2" width="1.77734375" customWidth="1"/>
    <col min="3" max="3" width="3.44140625" customWidth="1"/>
    <col min="4" max="4" width="10" customWidth="1"/>
    <col min="5" max="5" width="7" customWidth="1"/>
    <col min="6" max="6" width="4" hidden="1" customWidth="1"/>
    <col min="7" max="7" width="3" hidden="1" customWidth="1"/>
    <col min="8" max="8" width="4.109375" hidden="1" customWidth="1"/>
    <col min="9" max="9" width="4.33203125" hidden="1" customWidth="1"/>
    <col min="10" max="11" width="3.44140625" hidden="1" customWidth="1"/>
    <col min="12" max="12" width="5.109375" hidden="1" customWidth="1"/>
    <col min="13" max="13" width="4.44140625" hidden="1" customWidth="1"/>
    <col min="14" max="14" width="5.88671875" hidden="1" customWidth="1"/>
    <col min="15" max="15" width="7" hidden="1" customWidth="1"/>
    <col min="16" max="16" width="6" customWidth="1"/>
    <col min="17" max="19" width="7.109375" customWidth="1"/>
    <col min="20" max="20" width="9.109375" customWidth="1"/>
    <col min="21" max="21" width="9.5546875" hidden="1" customWidth="1"/>
    <col min="22" max="22" width="11.44140625" style="32" customWidth="1"/>
    <col min="23" max="23" width="6.5546875" hidden="1" customWidth="1"/>
    <col min="24" max="24" width="10.33203125" customWidth="1"/>
    <col min="25" max="25" width="7.5546875" customWidth="1"/>
    <col min="26" max="26" width="7.109375" hidden="1" customWidth="1"/>
    <col min="27" max="27" width="10.77734375" customWidth="1"/>
    <col min="28" max="28" width="10.33203125" hidden="1" customWidth="1"/>
    <col min="29" max="29" width="6.6640625" customWidth="1"/>
    <col min="30" max="30" width="8.6640625" hidden="1" customWidth="1"/>
    <col min="31" max="31" width="8.44140625" hidden="1" customWidth="1"/>
    <col min="32" max="32" width="6.6640625" hidden="1" customWidth="1"/>
    <col min="33" max="33" width="10.6640625" customWidth="1"/>
    <col min="34" max="34" width="11.44140625" customWidth="1"/>
    <col min="35" max="35" width="12" customWidth="1"/>
    <col min="36" max="36" width="13" customWidth="1"/>
    <col min="37" max="37" width="8.33203125" hidden="1" customWidth="1"/>
    <col min="38" max="38" width="11.5546875" customWidth="1"/>
    <col min="39" max="39" width="9.6640625" customWidth="1"/>
    <col min="40" max="40" width="6.5546875" hidden="1" customWidth="1"/>
    <col min="41" max="41" width="10.77734375" customWidth="1"/>
    <col min="42" max="42" width="9.109375" customWidth="1"/>
    <col min="43" max="43" width="11" customWidth="1"/>
    <col min="44" max="44" width="8.6640625" hidden="1" customWidth="1"/>
    <col min="45" max="46" width="9.109375" hidden="1" customWidth="1"/>
    <col min="47" max="47" width="11.5546875" hidden="1" customWidth="1"/>
    <col min="48" max="48" width="11.5546875" style="220" hidden="1" customWidth="1"/>
    <col min="49" max="49" width="10.5546875" customWidth="1"/>
  </cols>
  <sheetData>
    <row r="1" spans="1:49" s="53" customFormat="1" ht="18.75" customHeight="1" x14ac:dyDescent="0.25">
      <c r="A1" s="69"/>
      <c r="B1" s="70"/>
      <c r="C1" s="4"/>
      <c r="D1" s="4" t="s">
        <v>3</v>
      </c>
      <c r="E1" s="223" t="s">
        <v>36</v>
      </c>
      <c r="F1" s="4" t="s">
        <v>63</v>
      </c>
      <c r="G1" s="4" t="s">
        <v>64</v>
      </c>
      <c r="H1" s="4" t="s">
        <v>65</v>
      </c>
      <c r="I1" s="4" t="s">
        <v>66</v>
      </c>
      <c r="J1" s="4" t="s">
        <v>67</v>
      </c>
      <c r="K1" s="4" t="s">
        <v>68</v>
      </c>
      <c r="L1" s="4" t="s">
        <v>69</v>
      </c>
      <c r="M1" s="4" t="s">
        <v>70</v>
      </c>
      <c r="N1" s="4" t="s">
        <v>177</v>
      </c>
      <c r="O1" s="24" t="s">
        <v>183</v>
      </c>
      <c r="P1" s="24" t="s">
        <v>191</v>
      </c>
      <c r="Q1" s="24" t="s">
        <v>192</v>
      </c>
      <c r="R1" s="24" t="s">
        <v>215</v>
      </c>
      <c r="S1" s="24" t="s">
        <v>216</v>
      </c>
      <c r="T1" s="92" t="s">
        <v>109</v>
      </c>
      <c r="U1" s="92" t="s">
        <v>108</v>
      </c>
      <c r="V1" s="93" t="s">
        <v>107</v>
      </c>
      <c r="W1" s="92" t="s">
        <v>106</v>
      </c>
      <c r="X1" s="92" t="s">
        <v>97</v>
      </c>
      <c r="Y1" s="92" t="s">
        <v>28</v>
      </c>
      <c r="Z1" s="92" t="s">
        <v>29</v>
      </c>
      <c r="AA1" s="92" t="s">
        <v>54</v>
      </c>
      <c r="AB1" s="92" t="s">
        <v>59</v>
      </c>
      <c r="AC1" s="92" t="s">
        <v>31</v>
      </c>
      <c r="AD1" s="92" t="s">
        <v>110</v>
      </c>
      <c r="AE1" s="92" t="s">
        <v>74</v>
      </c>
      <c r="AF1" s="92" t="s">
        <v>76</v>
      </c>
      <c r="AG1" s="92" t="s">
        <v>77</v>
      </c>
      <c r="AH1" s="92" t="s">
        <v>79</v>
      </c>
      <c r="AI1" s="92" t="s">
        <v>78</v>
      </c>
      <c r="AJ1" s="92" t="s">
        <v>27</v>
      </c>
      <c r="AK1" s="92" t="s">
        <v>108</v>
      </c>
      <c r="AL1" s="92" t="s">
        <v>58</v>
      </c>
      <c r="AM1" s="92" t="s">
        <v>39</v>
      </c>
      <c r="AN1" s="92" t="s">
        <v>111</v>
      </c>
      <c r="AO1" s="92" t="s">
        <v>193</v>
      </c>
      <c r="AP1" s="97" t="s">
        <v>112</v>
      </c>
      <c r="AQ1" s="92" t="s">
        <v>75</v>
      </c>
      <c r="AR1" s="223" t="s">
        <v>184</v>
      </c>
      <c r="AS1" s="6" t="s">
        <v>185</v>
      </c>
      <c r="AT1" s="6" t="s">
        <v>186</v>
      </c>
      <c r="AV1" s="220"/>
      <c r="AW1" s="258" t="s">
        <v>190</v>
      </c>
    </row>
    <row r="2" spans="1:49" s="53" customFormat="1" ht="12.6" customHeight="1" x14ac:dyDescent="0.25">
      <c r="A2" s="69"/>
      <c r="B2" s="70"/>
      <c r="C2" s="53">
        <v>1</v>
      </c>
      <c r="D2" s="53">
        <v>2</v>
      </c>
      <c r="E2" s="53">
        <v>3</v>
      </c>
      <c r="F2" s="53">
        <v>4</v>
      </c>
      <c r="G2" s="53">
        <v>5</v>
      </c>
      <c r="H2" s="53">
        <v>6</v>
      </c>
      <c r="I2" s="53">
        <v>7</v>
      </c>
      <c r="J2" s="53">
        <v>8</v>
      </c>
      <c r="K2" s="53">
        <v>9</v>
      </c>
      <c r="L2" s="53">
        <v>10</v>
      </c>
      <c r="M2" s="53">
        <v>11</v>
      </c>
      <c r="N2" s="53">
        <v>12</v>
      </c>
      <c r="O2" s="53">
        <v>13</v>
      </c>
      <c r="P2" s="53">
        <v>14</v>
      </c>
      <c r="Q2" s="53">
        <v>15</v>
      </c>
      <c r="R2" s="53">
        <v>16</v>
      </c>
      <c r="S2" s="53">
        <v>17</v>
      </c>
      <c r="T2" s="53">
        <v>18</v>
      </c>
      <c r="U2" s="53">
        <v>19</v>
      </c>
      <c r="V2" s="53">
        <v>20</v>
      </c>
      <c r="W2" s="53">
        <v>21</v>
      </c>
      <c r="X2" s="53">
        <v>22</v>
      </c>
      <c r="Y2" s="53">
        <v>23</v>
      </c>
      <c r="Z2" s="53">
        <v>24</v>
      </c>
      <c r="AA2" s="53">
        <v>25</v>
      </c>
      <c r="AB2" s="53">
        <v>26</v>
      </c>
      <c r="AC2" s="53">
        <v>27</v>
      </c>
      <c r="AD2" s="53">
        <v>28</v>
      </c>
      <c r="AE2" s="53">
        <v>29</v>
      </c>
      <c r="AF2" s="53">
        <v>30</v>
      </c>
      <c r="AG2" s="53">
        <v>31</v>
      </c>
      <c r="AH2" s="53">
        <v>32</v>
      </c>
      <c r="AI2" s="53">
        <v>33</v>
      </c>
      <c r="AJ2" s="53">
        <v>34</v>
      </c>
      <c r="AK2" s="53">
        <v>35</v>
      </c>
      <c r="AL2" s="53">
        <v>36</v>
      </c>
      <c r="AM2" s="53">
        <v>37</v>
      </c>
      <c r="AN2" s="53">
        <v>38</v>
      </c>
      <c r="AO2" s="53">
        <v>39</v>
      </c>
      <c r="AP2" s="53">
        <v>40</v>
      </c>
      <c r="AQ2" s="53">
        <v>41</v>
      </c>
      <c r="AR2" s="53">
        <v>42</v>
      </c>
      <c r="AS2" s="53">
        <v>43</v>
      </c>
      <c r="AT2" s="53">
        <v>44</v>
      </c>
      <c r="AU2" s="53">
        <v>45</v>
      </c>
      <c r="AV2" s="53">
        <v>46</v>
      </c>
      <c r="AW2" s="53">
        <v>47</v>
      </c>
    </row>
    <row r="3" spans="1:49" s="53" customFormat="1" ht="10.8" customHeight="1" x14ac:dyDescent="0.25">
      <c r="A3" s="69"/>
      <c r="B3" s="70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24"/>
      <c r="S3" s="2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13.2" customHeight="1" x14ac:dyDescent="0.25">
      <c r="A4" s="4"/>
      <c r="B4" s="4"/>
      <c r="D4" s="100" t="s">
        <v>11</v>
      </c>
      <c r="E4" s="101"/>
      <c r="F4" s="102"/>
      <c r="G4" s="102"/>
      <c r="H4" s="102"/>
      <c r="I4" s="102"/>
      <c r="J4" s="102"/>
      <c r="K4" s="102"/>
      <c r="L4" s="102"/>
      <c r="M4" s="102">
        <v>0</v>
      </c>
      <c r="N4" s="102"/>
      <c r="O4" s="102">
        <v>0</v>
      </c>
      <c r="P4" s="102"/>
      <c r="Q4" s="102"/>
      <c r="R4" s="102"/>
      <c r="S4" s="102"/>
      <c r="T4" s="160"/>
      <c r="U4" s="103"/>
      <c r="V4" s="104">
        <f>T4+U4</f>
        <v>0</v>
      </c>
      <c r="W4" s="103">
        <f>1.879*O4</f>
        <v>0</v>
      </c>
      <c r="X4" s="103">
        <f>V4+W4</f>
        <v>0</v>
      </c>
      <c r="Y4" s="103">
        <f>IF(AV4&lt;0,0,(X4-134.62)*0.057)</f>
        <v>0</v>
      </c>
      <c r="Z4" s="103"/>
      <c r="AA4" s="105">
        <f>V4*1.2%</f>
        <v>0</v>
      </c>
      <c r="AB4" s="105"/>
      <c r="AC4" s="103">
        <f>V4*0.494%</f>
        <v>0</v>
      </c>
      <c r="AD4" s="103"/>
      <c r="AE4" s="103"/>
      <c r="AF4" s="103"/>
      <c r="AG4" s="103">
        <f>V4-AD4-AE4-AF4</f>
        <v>0</v>
      </c>
      <c r="AH4" s="276">
        <f>IF(VLOOKUP(AG4,'Table 26'!$A$2:$C$438,2,TRUE)&gt;=VLOOKUP(AG4,'Table 26'!$C$2:$D$438,2,TRUE),MAX(VLOOKUP(AG4,'Table 26'!$A$2:$B$438,2,TRUE),VLOOKUP(AG4,'Table 26'!$C$2:$D$438,2,TRUE)),0)</f>
        <v>0</v>
      </c>
      <c r="AI4" s="103">
        <f>X4-AF4</f>
        <v>0</v>
      </c>
      <c r="AJ4" s="277">
        <f>IF(VLOOKUP(AI4,'Table 26'!$E$2:$F$306,2,TRUE)&gt;=VLOOKUP(AI4,'Table 26'!$G$2:$H$306,2,TRUE),MAX(VLOOKUP(AI4,'Table 26'!$E$2:$F$306,2,TRUE),VLOOKUP(AI4,'Table 26'!$G$2:$H$306,2,TRUE)),0)</f>
        <v>0</v>
      </c>
      <c r="AK4" s="102"/>
      <c r="AL4" s="103">
        <f>Y4+AA4+AC4+AD4+AE4+AF4+AH4+AJ4+AK4</f>
        <v>0</v>
      </c>
      <c r="AM4" s="103">
        <f>V4-AL4</f>
        <v>0</v>
      </c>
      <c r="AN4" s="103"/>
      <c r="AO4" s="103"/>
      <c r="AP4" s="103">
        <f>AM4+AN4+AO4</f>
        <v>0</v>
      </c>
      <c r="AQ4" s="252">
        <f>V4*0.692%</f>
        <v>0</v>
      </c>
      <c r="AR4" s="7"/>
      <c r="AV4" s="220">
        <f>(X4-134.62)*0.057</f>
        <v>-7.6733400000000005</v>
      </c>
      <c r="AW4" s="255">
        <f>T4*0.04</f>
        <v>0</v>
      </c>
    </row>
    <row r="5" spans="1:49" ht="13.2" customHeight="1" x14ac:dyDescent="0.25">
      <c r="A5" s="4"/>
      <c r="B5" s="4"/>
      <c r="D5" s="107" t="s">
        <v>11</v>
      </c>
      <c r="E5" s="108"/>
      <c r="F5" s="30"/>
      <c r="G5" s="30"/>
      <c r="H5" s="30"/>
      <c r="I5" s="30"/>
      <c r="J5" s="30"/>
      <c r="K5" s="30"/>
      <c r="L5" s="30"/>
      <c r="M5" s="30">
        <v>0</v>
      </c>
      <c r="N5" s="30"/>
      <c r="O5" s="30"/>
      <c r="P5" s="30"/>
      <c r="Q5" s="30"/>
      <c r="R5" s="30"/>
      <c r="S5" s="30"/>
      <c r="T5" s="160"/>
      <c r="U5" s="109"/>
      <c r="V5" s="110">
        <f>T5+U5</f>
        <v>0</v>
      </c>
      <c r="W5" s="109">
        <f>O5*1.998</f>
        <v>0</v>
      </c>
      <c r="X5" s="109">
        <f>V5+W5</f>
        <v>0</v>
      </c>
      <c r="Y5" s="109">
        <f t="shared" ref="Y5:Y8" si="0">IF(AV5&lt;0,0,(X5-134.62)*0.057)</f>
        <v>0</v>
      </c>
      <c r="Z5" s="109"/>
      <c r="AA5" s="111">
        <f t="shared" ref="AA5:AA8" si="1">V5*1.2%</f>
        <v>0</v>
      </c>
      <c r="AB5" s="111"/>
      <c r="AC5" s="109">
        <f t="shared" ref="AC5:AC8" si="2">V5*0.494%</f>
        <v>0</v>
      </c>
      <c r="AD5" s="109"/>
      <c r="AE5" s="109"/>
      <c r="AF5" s="109"/>
      <c r="AG5" s="109">
        <f>V5-AD5-AE5-AF5</f>
        <v>0</v>
      </c>
      <c r="AH5" s="156">
        <f>IF(VLOOKUP(AG5,'Table 26'!$A$2:$C$438,2,TRUE)&gt;=VLOOKUP(AG5,'Table 26'!$C$2:$D$438,2,TRUE),MAX(VLOOKUP(AG5,'Table 26'!$A$2:$B$438,2,TRUE),VLOOKUP(AG5,'Table 26'!$C$2:$D$438,2,TRUE)),0)</f>
        <v>0</v>
      </c>
      <c r="AI5" s="109">
        <f t="shared" ref="AI5:AI70" si="3">X5-AF5</f>
        <v>0</v>
      </c>
      <c r="AJ5" s="158">
        <f>IF(VLOOKUP(AI5,'Table 26'!$E$2:$F$306,2,TRUE)&gt;=VLOOKUP(AI5,'Table 26'!$G$2:$H$306,2,TRUE),MAX(VLOOKUP(AI5,'Table 26'!$E$2:$F$306,2,TRUE),VLOOKUP(AI5,'Table 26'!$G$2:$H$306,2,TRUE)),0)</f>
        <v>0</v>
      </c>
      <c r="AK5" s="109"/>
      <c r="AL5" s="109">
        <f>Y5+AA5+AC5+AD5+AE5+AF5+AH5+AJ5+AK5</f>
        <v>0</v>
      </c>
      <c r="AM5" s="109">
        <f>V5-AL5</f>
        <v>0</v>
      </c>
      <c r="AN5" s="109"/>
      <c r="AO5" s="109"/>
      <c r="AP5" s="109">
        <f t="shared" ref="AP5:AP8" si="4">AM5+AN5+AO5</f>
        <v>0</v>
      </c>
      <c r="AQ5" s="253">
        <f t="shared" ref="AQ5:AQ8" si="5">V5*0.692%</f>
        <v>0</v>
      </c>
      <c r="AR5" s="72">
        <f>O5*5.335</f>
        <v>0</v>
      </c>
      <c r="AS5" s="25">
        <f>2*O5</f>
        <v>0</v>
      </c>
      <c r="AT5" s="25">
        <f>0.04*O5</f>
        <v>0</v>
      </c>
      <c r="AU5" s="25"/>
      <c r="AV5" s="220">
        <f t="shared" ref="AV5:AV8" si="6">(X5-134.62)*0.057</f>
        <v>-7.6733400000000005</v>
      </c>
      <c r="AW5" s="238">
        <f t="shared" ref="AW5:AW8" si="7">T5*0.04</f>
        <v>0</v>
      </c>
    </row>
    <row r="6" spans="1:49" ht="13.2" customHeight="1" x14ac:dyDescent="0.25">
      <c r="A6" s="53"/>
      <c r="D6" s="107" t="s">
        <v>11</v>
      </c>
      <c r="E6" s="108"/>
      <c r="F6" s="30"/>
      <c r="G6" s="30"/>
      <c r="H6" s="30"/>
      <c r="I6" s="30"/>
      <c r="J6" s="30"/>
      <c r="K6" s="30"/>
      <c r="L6" s="30"/>
      <c r="M6" s="30">
        <v>0</v>
      </c>
      <c r="N6" s="30"/>
      <c r="O6" s="30"/>
      <c r="P6" s="30"/>
      <c r="Q6" s="30"/>
      <c r="R6" s="30"/>
      <c r="S6" s="30"/>
      <c r="T6" s="160"/>
      <c r="U6" s="109"/>
      <c r="V6" s="110">
        <f>T6+U6</f>
        <v>0</v>
      </c>
      <c r="W6" s="109">
        <f t="shared" ref="W6:W70" si="8">O6*1.998</f>
        <v>0</v>
      </c>
      <c r="X6" s="109">
        <f t="shared" ref="X6:X70" si="9">V6+W6</f>
        <v>0</v>
      </c>
      <c r="Y6" s="109">
        <f t="shared" si="0"/>
        <v>0</v>
      </c>
      <c r="Z6" s="109"/>
      <c r="AA6" s="111">
        <f t="shared" si="1"/>
        <v>0</v>
      </c>
      <c r="AB6" s="111"/>
      <c r="AC6" s="109">
        <f t="shared" si="2"/>
        <v>0</v>
      </c>
      <c r="AD6" s="109"/>
      <c r="AE6" s="109"/>
      <c r="AF6" s="109"/>
      <c r="AG6" s="109">
        <f t="shared" ref="AG6:AG70" si="10">V6-AD6-AE6-AF6</f>
        <v>0</v>
      </c>
      <c r="AH6" s="156">
        <f>IF(VLOOKUP(AG6,'Table 26'!$A$2:$C$438,2,TRUE)&gt;=VLOOKUP(AG6,'Table 26'!$C$2:$D$438,2,TRUE),MAX(VLOOKUP(AG6,'Table 26'!$A$2:$B$438,2,TRUE),VLOOKUP(AG6,'Table 26'!$C$2:$D$438,2,TRUE)),0)</f>
        <v>0</v>
      </c>
      <c r="AI6" s="109">
        <f>X6-AF6</f>
        <v>0</v>
      </c>
      <c r="AJ6" s="158">
        <f>IF(VLOOKUP(AI6,'Table 26'!$E$2:$F$306,2,TRUE)&gt;=VLOOKUP(AI6,'Table 26'!$G$2:$H$306,2,TRUE),MAX(VLOOKUP(AI6,'Table 26'!$E$2:$F$306,2,TRUE),VLOOKUP(AI6,'Table 26'!$G$2:$H$306,2,TRUE)),0)</f>
        <v>0</v>
      </c>
      <c r="AK6" s="109"/>
      <c r="AL6" s="109">
        <f t="shared" ref="AL6:AL70" si="11">Y6+AA6+AC6+AD6+AE6+AF6+AH6+AJ6+AK6</f>
        <v>0</v>
      </c>
      <c r="AM6" s="109">
        <f t="shared" ref="AM6:AM22" si="12">V6-AL6</f>
        <v>0</v>
      </c>
      <c r="AN6" s="109"/>
      <c r="AO6" s="109"/>
      <c r="AP6" s="109">
        <f t="shared" si="4"/>
        <v>0</v>
      </c>
      <c r="AQ6" s="253">
        <f t="shared" si="5"/>
        <v>0</v>
      </c>
      <c r="AR6" s="72">
        <f t="shared" ref="AR6:AR66" si="13">O6*5.335</f>
        <v>0</v>
      </c>
      <c r="AS6" s="25">
        <f t="shared" ref="AS6:AS66" si="14">2*O6</f>
        <v>0</v>
      </c>
      <c r="AT6" s="25">
        <f t="shared" ref="AT6:AT17" si="15">0.04*O6</f>
        <v>0</v>
      </c>
      <c r="AV6" s="220">
        <f t="shared" si="6"/>
        <v>-7.6733400000000005</v>
      </c>
      <c r="AW6" s="238">
        <f t="shared" si="7"/>
        <v>0</v>
      </c>
    </row>
    <row r="7" spans="1:49" ht="13.2" customHeight="1" x14ac:dyDescent="0.25">
      <c r="A7" s="4"/>
      <c r="D7" s="107" t="s">
        <v>11</v>
      </c>
      <c r="E7" s="108"/>
      <c r="F7" s="112"/>
      <c r="G7" s="30"/>
      <c r="H7" s="30"/>
      <c r="I7" s="30"/>
      <c r="J7" s="30"/>
      <c r="K7" s="30"/>
      <c r="L7" s="30"/>
      <c r="M7" s="30">
        <v>0</v>
      </c>
      <c r="N7" s="30"/>
      <c r="O7" s="30"/>
      <c r="P7" s="30"/>
      <c r="Q7" s="30"/>
      <c r="R7" s="30"/>
      <c r="S7" s="30"/>
      <c r="T7" s="160"/>
      <c r="U7" s="109"/>
      <c r="V7" s="110">
        <f>T7+U7</f>
        <v>0</v>
      </c>
      <c r="W7" s="109">
        <f t="shared" si="8"/>
        <v>0</v>
      </c>
      <c r="X7" s="109">
        <f t="shared" si="9"/>
        <v>0</v>
      </c>
      <c r="Y7" s="109">
        <f t="shared" si="0"/>
        <v>0</v>
      </c>
      <c r="Z7" s="109"/>
      <c r="AA7" s="111">
        <f t="shared" si="1"/>
        <v>0</v>
      </c>
      <c r="AB7" s="111"/>
      <c r="AC7" s="109">
        <f t="shared" si="2"/>
        <v>0</v>
      </c>
      <c r="AD7" s="109"/>
      <c r="AE7" s="109"/>
      <c r="AF7" s="109"/>
      <c r="AG7" s="109">
        <f t="shared" si="10"/>
        <v>0</v>
      </c>
      <c r="AH7" s="156">
        <f>IF(VLOOKUP(AG7,'Table 26'!$A$2:$C$438,2,TRUE)&gt;=VLOOKUP(AG7,'Table 26'!$C$2:$D$438,2,TRUE),MAX(VLOOKUP(AG7,'Table 26'!$A$2:$B$438,2,TRUE),VLOOKUP(AG7,'Table 26'!$C$2:$D$438,2,TRUE)),0)</f>
        <v>0</v>
      </c>
      <c r="AI7" s="109">
        <f t="shared" si="3"/>
        <v>0</v>
      </c>
      <c r="AJ7" s="158">
        <f>IF(VLOOKUP(AI7,'Table 26'!$E$2:$F$306,2,TRUE)&gt;=VLOOKUP(AI7,'Table 26'!$G$2:$H$306,2,TRUE),MAX(VLOOKUP(AI7,'Table 26'!$E$2:$F$306,2,TRUE),VLOOKUP(AI7,'Table 26'!$G$2:$H$306,2,TRUE)),0)</f>
        <v>0</v>
      </c>
      <c r="AK7" s="109"/>
      <c r="AL7" s="109">
        <f t="shared" si="11"/>
        <v>0</v>
      </c>
      <c r="AM7" s="109">
        <f t="shared" si="12"/>
        <v>0</v>
      </c>
      <c r="AN7" s="109"/>
      <c r="AO7" s="109"/>
      <c r="AP7" s="109">
        <f t="shared" si="4"/>
        <v>0</v>
      </c>
      <c r="AQ7" s="253">
        <f t="shared" si="5"/>
        <v>0</v>
      </c>
      <c r="AR7" s="72">
        <f t="shared" si="13"/>
        <v>0</v>
      </c>
      <c r="AS7" s="25">
        <f t="shared" si="14"/>
        <v>0</v>
      </c>
      <c r="AT7" s="25">
        <f t="shared" si="15"/>
        <v>0</v>
      </c>
      <c r="AV7" s="220">
        <f t="shared" si="6"/>
        <v>-7.6733400000000005</v>
      </c>
      <c r="AW7" s="238">
        <f t="shared" si="7"/>
        <v>0</v>
      </c>
    </row>
    <row r="8" spans="1:49" ht="13.2" customHeight="1" x14ac:dyDescent="0.25">
      <c r="A8" s="4"/>
      <c r="D8" s="107" t="s">
        <v>11</v>
      </c>
      <c r="E8" s="108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160"/>
      <c r="U8" s="216"/>
      <c r="V8" s="217">
        <f t="shared" ref="V8:V70" si="16">T8+U8</f>
        <v>0</v>
      </c>
      <c r="W8" s="121">
        <f t="shared" si="8"/>
        <v>0</v>
      </c>
      <c r="X8" s="121">
        <f t="shared" si="9"/>
        <v>0</v>
      </c>
      <c r="Y8" s="121">
        <f t="shared" si="0"/>
        <v>0</v>
      </c>
      <c r="Z8" s="121"/>
      <c r="AA8" s="131">
        <f t="shared" si="1"/>
        <v>0</v>
      </c>
      <c r="AB8" s="131"/>
      <c r="AC8" s="121">
        <f t="shared" si="2"/>
        <v>0</v>
      </c>
      <c r="AD8" s="121"/>
      <c r="AE8" s="121"/>
      <c r="AF8" s="121"/>
      <c r="AG8" s="121">
        <f t="shared" si="10"/>
        <v>0</v>
      </c>
      <c r="AH8" s="157">
        <f>IF(VLOOKUP(AG8,'Table 26'!$A$2:$C$438,2,TRUE)&gt;=VLOOKUP(AG8,'Table 26'!$C$2:$D$438,2,TRUE),MAX(VLOOKUP(AG8,'Table 26'!$A$2:$B$438,2,TRUE),VLOOKUP(AG8,'Table 26'!$C$2:$D$438,2,TRUE)),0)</f>
        <v>0</v>
      </c>
      <c r="AI8" s="121">
        <f t="shared" si="3"/>
        <v>0</v>
      </c>
      <c r="AJ8" s="159">
        <f>IF(VLOOKUP(AI8,'Table 26'!$E$2:$F$306,2,TRUE)&gt;=VLOOKUP(AI8,'Table 26'!$G$2:$H$306,2,TRUE),MAX(VLOOKUP(AI8,'Table 26'!$E$2:$F$306,2,TRUE),VLOOKUP(AI8,'Table 26'!$G$2:$H$306,2,TRUE)),0)</f>
        <v>0</v>
      </c>
      <c r="AK8" s="121"/>
      <c r="AL8" s="121">
        <f t="shared" si="11"/>
        <v>0</v>
      </c>
      <c r="AM8" s="121">
        <f t="shared" si="12"/>
        <v>0</v>
      </c>
      <c r="AN8" s="121"/>
      <c r="AO8" s="121"/>
      <c r="AP8" s="121">
        <f t="shared" si="4"/>
        <v>0</v>
      </c>
      <c r="AQ8" s="254">
        <f t="shared" si="5"/>
        <v>0</v>
      </c>
      <c r="AR8" s="72">
        <f t="shared" si="13"/>
        <v>0</v>
      </c>
      <c r="AS8" s="25">
        <f t="shared" si="14"/>
        <v>0</v>
      </c>
      <c r="AT8" s="25">
        <f t="shared" si="15"/>
        <v>0</v>
      </c>
      <c r="AV8" s="220">
        <f t="shared" si="6"/>
        <v>-7.6733400000000005</v>
      </c>
      <c r="AW8" s="238">
        <f t="shared" si="7"/>
        <v>0</v>
      </c>
    </row>
    <row r="9" spans="1:49" ht="13.2" customHeight="1" thickBot="1" x14ac:dyDescent="0.3">
      <c r="A9" s="351"/>
      <c r="B9" s="351"/>
      <c r="C9" s="11"/>
      <c r="D9" s="278" t="s">
        <v>32</v>
      </c>
      <c r="E9" s="287"/>
      <c r="F9" s="280"/>
      <c r="G9" s="280"/>
      <c r="H9" s="280"/>
      <c r="I9" s="280"/>
      <c r="J9" s="280"/>
      <c r="K9" s="280"/>
      <c r="L9" s="280"/>
      <c r="M9" s="280">
        <v>0</v>
      </c>
      <c r="N9" s="280">
        <v>0</v>
      </c>
      <c r="O9" s="280">
        <f t="shared" ref="O9" si="17">SUM(O4:O8)</f>
        <v>0</v>
      </c>
      <c r="P9" s="280"/>
      <c r="Q9" s="280"/>
      <c r="R9" s="280"/>
      <c r="S9" s="280"/>
      <c r="T9" s="281">
        <f>SUM(T4:T8)</f>
        <v>0</v>
      </c>
      <c r="U9" s="281">
        <f t="shared" ref="U9:AW9" si="18">SUM(U4:U8)</f>
        <v>0</v>
      </c>
      <c r="V9" s="281">
        <f t="shared" si="18"/>
        <v>0</v>
      </c>
      <c r="W9" s="281">
        <f t="shared" si="18"/>
        <v>0</v>
      </c>
      <c r="X9" s="281">
        <f t="shared" si="18"/>
        <v>0</v>
      </c>
      <c r="Y9" s="281">
        <f t="shared" si="18"/>
        <v>0</v>
      </c>
      <c r="Z9" s="281">
        <f t="shared" si="18"/>
        <v>0</v>
      </c>
      <c r="AA9" s="281">
        <f t="shared" si="18"/>
        <v>0</v>
      </c>
      <c r="AB9" s="281">
        <f t="shared" si="18"/>
        <v>0</v>
      </c>
      <c r="AC9" s="281">
        <f t="shared" si="18"/>
        <v>0</v>
      </c>
      <c r="AD9" s="281">
        <f t="shared" si="18"/>
        <v>0</v>
      </c>
      <c r="AE9" s="281">
        <f t="shared" si="18"/>
        <v>0</v>
      </c>
      <c r="AF9" s="281">
        <f t="shared" si="18"/>
        <v>0</v>
      </c>
      <c r="AG9" s="281">
        <f t="shared" si="18"/>
        <v>0</v>
      </c>
      <c r="AH9" s="282">
        <f t="shared" si="18"/>
        <v>0</v>
      </c>
      <c r="AI9" s="281">
        <f t="shared" si="18"/>
        <v>0</v>
      </c>
      <c r="AJ9" s="283">
        <f t="shared" si="18"/>
        <v>0</v>
      </c>
      <c r="AK9" s="281">
        <f t="shared" si="18"/>
        <v>0</v>
      </c>
      <c r="AL9" s="281">
        <f t="shared" si="18"/>
        <v>0</v>
      </c>
      <c r="AM9" s="281">
        <f t="shared" si="18"/>
        <v>0</v>
      </c>
      <c r="AN9" s="281">
        <f t="shared" si="18"/>
        <v>0</v>
      </c>
      <c r="AO9" s="281">
        <f>SUM(AO4:AO8)</f>
        <v>0</v>
      </c>
      <c r="AP9" s="281">
        <f>SUM(AP4:AP8)</f>
        <v>0</v>
      </c>
      <c r="AQ9" s="284">
        <f t="shared" si="18"/>
        <v>0</v>
      </c>
      <c r="AR9" s="285">
        <f t="shared" si="18"/>
        <v>0</v>
      </c>
      <c r="AS9" s="285">
        <f t="shared" si="18"/>
        <v>0</v>
      </c>
      <c r="AT9" s="285">
        <f t="shared" si="18"/>
        <v>0</v>
      </c>
      <c r="AU9" s="285">
        <f t="shared" si="18"/>
        <v>0</v>
      </c>
      <c r="AV9" s="281"/>
      <c r="AW9" s="286">
        <f t="shared" si="18"/>
        <v>0</v>
      </c>
    </row>
    <row r="10" spans="1:49" ht="13.2" customHeight="1" x14ac:dyDescent="0.25">
      <c r="A10" s="353"/>
      <c r="B10" s="353"/>
      <c r="E10" s="7"/>
      <c r="T10" s="1"/>
      <c r="U10" s="1"/>
      <c r="V10" s="41"/>
      <c r="W10" s="1"/>
      <c r="X10" s="1"/>
      <c r="Y10" s="1"/>
      <c r="Z10" s="1"/>
      <c r="AA10" s="14"/>
      <c r="AB10" s="15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7"/>
      <c r="AR10" s="72">
        <f t="shared" si="13"/>
        <v>0</v>
      </c>
      <c r="AS10" s="25">
        <f t="shared" si="14"/>
        <v>0</v>
      </c>
      <c r="AT10" s="25">
        <f t="shared" si="15"/>
        <v>0</v>
      </c>
    </row>
    <row r="11" spans="1:49" ht="13.2" customHeight="1" x14ac:dyDescent="0.25">
      <c r="A11" s="11"/>
      <c r="B11" s="11"/>
      <c r="C11" s="11"/>
      <c r="D11" s="100" t="s">
        <v>12</v>
      </c>
      <c r="E11" s="117">
        <v>1</v>
      </c>
      <c r="F11" s="102"/>
      <c r="G11" s="102"/>
      <c r="H11" s="102"/>
      <c r="I11" s="102"/>
      <c r="J11" s="102"/>
      <c r="K11" s="102"/>
      <c r="L11" s="102"/>
      <c r="M11" s="102">
        <v>0</v>
      </c>
      <c r="N11" s="102"/>
      <c r="O11" s="102"/>
      <c r="P11" s="102">
        <v>15</v>
      </c>
      <c r="Q11" s="102">
        <v>375</v>
      </c>
      <c r="R11" s="102"/>
      <c r="S11" s="102"/>
      <c r="T11" s="160"/>
      <c r="U11" s="103"/>
      <c r="V11" s="104">
        <f t="shared" si="16"/>
        <v>0</v>
      </c>
      <c r="W11" s="103">
        <f t="shared" si="8"/>
        <v>0</v>
      </c>
      <c r="X11" s="103">
        <f t="shared" si="9"/>
        <v>0</v>
      </c>
      <c r="Y11" s="103">
        <f>IF(AV11&lt;0,0,(X11-134.62)*0.057)</f>
        <v>0</v>
      </c>
      <c r="Z11" s="103"/>
      <c r="AA11" s="105">
        <f>V11*1.2%</f>
        <v>0</v>
      </c>
      <c r="AB11" s="118"/>
      <c r="AC11" s="103">
        <f>V11*0.494%</f>
        <v>0</v>
      </c>
      <c r="AD11" s="103"/>
      <c r="AE11" s="103"/>
      <c r="AF11" s="103"/>
      <c r="AG11" s="103">
        <f t="shared" si="10"/>
        <v>0</v>
      </c>
      <c r="AH11" s="276">
        <f>IF(VLOOKUP(AG11,'Table 26'!$A$2:$C$438,2,TRUE)&gt;=VLOOKUP(AG11,'Table 26'!$C$2:$D$438,2,TRUE),MAX(VLOOKUP(AG11,'Table 26'!$A$2:$B$438,2,TRUE),VLOOKUP(AG11,'Table 26'!$C$2:$D$438,2,TRUE)),0)</f>
        <v>0</v>
      </c>
      <c r="AI11" s="103">
        <f>X11-AF11</f>
        <v>0</v>
      </c>
      <c r="AJ11" s="277">
        <f>IF(VLOOKUP(AI11,'Table 26'!$E$2:$F$306,2,TRUE)&gt;=VLOOKUP(AI11,'Table 26'!$G$2:$H$306,2,TRUE),MAX(VLOOKUP(AI11,'Table 26'!$E$2:$F$306,2,TRUE),VLOOKUP(AI11,'Table 26'!$G$2:$H$306,2,TRUE)),0)</f>
        <v>0</v>
      </c>
      <c r="AK11" s="102"/>
      <c r="AL11" s="103">
        <f t="shared" si="11"/>
        <v>0</v>
      </c>
      <c r="AM11" s="103">
        <f t="shared" si="12"/>
        <v>0</v>
      </c>
      <c r="AN11" s="103"/>
      <c r="AO11" s="103"/>
      <c r="AP11" s="103">
        <f>AM11+AN11+AO11</f>
        <v>0</v>
      </c>
      <c r="AQ11" s="252">
        <f t="shared" ref="AQ11:AQ14" si="19">V11*0.692%</f>
        <v>0</v>
      </c>
      <c r="AR11" s="180">
        <f>O11*5.335</f>
        <v>0</v>
      </c>
      <c r="AS11" s="128">
        <f>2*O11</f>
        <v>0</v>
      </c>
      <c r="AT11" s="128">
        <f>0.04*O11</f>
        <v>0</v>
      </c>
      <c r="AU11" s="128"/>
      <c r="AV11" s="256">
        <f t="shared" ref="AV11:AV14" si="20">(X11-134.62)*0.057</f>
        <v>-7.6733400000000005</v>
      </c>
      <c r="AW11" s="255">
        <f t="shared" ref="AW11:AW14" si="21">T11*0.04</f>
        <v>0</v>
      </c>
    </row>
    <row r="12" spans="1:49" ht="13.2" customHeight="1" x14ac:dyDescent="0.25">
      <c r="A12" s="227"/>
      <c r="C12">
        <v>3</v>
      </c>
      <c r="D12" s="107" t="s">
        <v>12</v>
      </c>
      <c r="E12" s="271">
        <v>8</v>
      </c>
      <c r="F12" s="30"/>
      <c r="G12" s="30"/>
      <c r="H12" s="30"/>
      <c r="I12" s="30"/>
      <c r="J12" s="30"/>
      <c r="K12" s="30"/>
      <c r="L12" s="30"/>
      <c r="M12" s="30">
        <v>0</v>
      </c>
      <c r="N12" s="30"/>
      <c r="O12" s="30"/>
      <c r="P12" s="30">
        <v>15</v>
      </c>
      <c r="Q12" s="30">
        <v>375</v>
      </c>
      <c r="R12" s="30">
        <f>P11+P12</f>
        <v>30</v>
      </c>
      <c r="S12" s="30">
        <f>Q11+Q12</f>
        <v>750</v>
      </c>
      <c r="T12" s="160">
        <v>750</v>
      </c>
      <c r="U12" s="109"/>
      <c r="V12" s="110">
        <f t="shared" si="16"/>
        <v>750</v>
      </c>
      <c r="W12" s="109">
        <f t="shared" si="8"/>
        <v>0</v>
      </c>
      <c r="X12" s="109">
        <f t="shared" si="9"/>
        <v>750</v>
      </c>
      <c r="Y12" s="109">
        <f>IF(AV12&lt;0,0,(X12-134.62)*0.057)</f>
        <v>35.076660000000004</v>
      </c>
      <c r="Z12" s="109"/>
      <c r="AA12" s="111">
        <f>V12*1.2%</f>
        <v>9</v>
      </c>
      <c r="AB12" s="120"/>
      <c r="AC12" s="109">
        <f t="shared" ref="AC12:AC14" si="22">V12*0.494%</f>
        <v>3.7050000000000001</v>
      </c>
      <c r="AD12" s="109"/>
      <c r="AE12" s="109"/>
      <c r="AF12" s="109"/>
      <c r="AG12" s="109">
        <f t="shared" si="10"/>
        <v>750</v>
      </c>
      <c r="AH12" s="156">
        <f>IF(VLOOKUP(AG12,'Table 26'!$A$2:$C$438,2,TRUE)&gt;=VLOOKUP(AG12,'Table 26'!$C$2:$D$438,2,TRUE),MAX(VLOOKUP(AG12,'Table 26'!$A$2:$B$438,2,TRUE),VLOOKUP(AG12,'Table 26'!$C$2:$D$438,2,TRUE)),0)</f>
        <v>22.6</v>
      </c>
      <c r="AI12" s="109">
        <f t="shared" si="3"/>
        <v>750</v>
      </c>
      <c r="AJ12" s="158">
        <f>IF(VLOOKUP(AI12,'Table 26'!$E$2:$F$306,2,TRUE)&gt;=VLOOKUP(AI12,'Table 26'!$G$2:$H$306,2,TRUE),MAX(VLOOKUP(AI12,'Table 26'!$E$2:$F$306,2,TRUE),VLOOKUP(AI12,'Table 26'!$G$2:$H$306,2,TRUE)),0)</f>
        <v>16.850000000000001</v>
      </c>
      <c r="AK12" s="109"/>
      <c r="AL12" s="109">
        <f t="shared" si="11"/>
        <v>87.231660000000005</v>
      </c>
      <c r="AM12" s="109">
        <f t="shared" si="12"/>
        <v>662.76833999999997</v>
      </c>
      <c r="AN12" s="109"/>
      <c r="AO12" s="109">
        <v>54</v>
      </c>
      <c r="AP12" s="273">
        <f t="shared" ref="AP12:AP15" si="23">AM12+AN12+AO12</f>
        <v>716.76833999999997</v>
      </c>
      <c r="AQ12" s="253">
        <f t="shared" si="19"/>
        <v>5.1899999999999995</v>
      </c>
      <c r="AR12" s="72">
        <f t="shared" ref="AR12:AR14" si="24">O12*5.335</f>
        <v>0</v>
      </c>
      <c r="AS12" s="25">
        <f t="shared" ref="AS12:AS14" si="25">2*O12</f>
        <v>0</v>
      </c>
      <c r="AT12" s="25">
        <f t="shared" ref="AT12:AT14" si="26">0.04*O12</f>
        <v>0</v>
      </c>
      <c r="AV12" s="220">
        <f t="shared" si="20"/>
        <v>35.076660000000004</v>
      </c>
      <c r="AW12" s="238">
        <f>T12*0.04</f>
        <v>30</v>
      </c>
    </row>
    <row r="13" spans="1:49" ht="13.2" customHeight="1" x14ac:dyDescent="0.25">
      <c r="A13" s="4"/>
      <c r="D13" s="107" t="s">
        <v>12</v>
      </c>
      <c r="E13" s="119">
        <v>15</v>
      </c>
      <c r="F13" s="30"/>
      <c r="G13" s="30"/>
      <c r="H13" s="30"/>
      <c r="I13" s="30"/>
      <c r="J13" s="30"/>
      <c r="K13" s="30"/>
      <c r="L13" s="30"/>
      <c r="M13" s="30">
        <v>0</v>
      </c>
      <c r="N13" s="30"/>
      <c r="O13" s="30"/>
      <c r="P13" s="30">
        <v>15</v>
      </c>
      <c r="Q13" s="30">
        <v>500</v>
      </c>
      <c r="R13" s="30"/>
      <c r="S13" s="30"/>
      <c r="T13" s="160"/>
      <c r="U13" s="109"/>
      <c r="V13" s="110">
        <f t="shared" si="16"/>
        <v>0</v>
      </c>
      <c r="W13" s="109">
        <f t="shared" si="8"/>
        <v>0</v>
      </c>
      <c r="X13" s="109">
        <f t="shared" si="9"/>
        <v>0</v>
      </c>
      <c r="Y13" s="109">
        <f t="shared" ref="Y13:Y14" si="27">IF(AV13&lt;0,0,(X13-134.62)*0.057)</f>
        <v>0</v>
      </c>
      <c r="Z13" s="109"/>
      <c r="AA13" s="111">
        <f t="shared" ref="AA13:AA14" si="28">V13*1.2%</f>
        <v>0</v>
      </c>
      <c r="AB13" s="120"/>
      <c r="AC13" s="109">
        <f t="shared" si="22"/>
        <v>0</v>
      </c>
      <c r="AD13" s="109"/>
      <c r="AE13" s="109"/>
      <c r="AF13" s="109"/>
      <c r="AG13" s="109">
        <f t="shared" si="10"/>
        <v>0</v>
      </c>
      <c r="AH13" s="156">
        <f>IF(VLOOKUP(AG13,'Table 26'!$A$2:$C$438,2,TRUE)&gt;=VLOOKUP(AG13,'Table 26'!$C$2:$D$438,2,TRUE),MAX(VLOOKUP(AG13,'Table 26'!$A$2:$B$438,2,TRUE),VLOOKUP(AG13,'Table 26'!$C$2:$D$438,2,TRUE)),0)</f>
        <v>0</v>
      </c>
      <c r="AI13" s="109">
        <f>X13-AF13</f>
        <v>0</v>
      </c>
      <c r="AJ13" s="158">
        <f>IF(VLOOKUP(AI13,'Table 26'!$E$2:$F$306,2,TRUE)&gt;=VLOOKUP(AI13,'Table 26'!$G$2:$H$306,2,TRUE),MAX(VLOOKUP(AI13,'Table 26'!$E$2:$F$306,2,TRUE),VLOOKUP(AI13,'Table 26'!$G$2:$H$306,2,TRUE)),0)</f>
        <v>0</v>
      </c>
      <c r="AK13" s="109"/>
      <c r="AL13" s="109">
        <f t="shared" si="11"/>
        <v>0</v>
      </c>
      <c r="AM13" s="109">
        <f t="shared" si="12"/>
        <v>0</v>
      </c>
      <c r="AN13" s="109"/>
      <c r="AO13" s="109"/>
      <c r="AP13" s="109">
        <f t="shared" si="23"/>
        <v>0</v>
      </c>
      <c r="AQ13" s="253">
        <f t="shared" si="19"/>
        <v>0</v>
      </c>
      <c r="AR13" s="72">
        <f t="shared" si="24"/>
        <v>0</v>
      </c>
      <c r="AS13" s="25">
        <f t="shared" si="25"/>
        <v>0</v>
      </c>
      <c r="AT13" s="25">
        <f t="shared" si="26"/>
        <v>0</v>
      </c>
      <c r="AV13" s="220">
        <f t="shared" si="20"/>
        <v>-7.6733400000000005</v>
      </c>
      <c r="AW13" s="238">
        <f t="shared" si="21"/>
        <v>0</v>
      </c>
    </row>
    <row r="14" spans="1:49" ht="13.2" customHeight="1" x14ac:dyDescent="0.25">
      <c r="A14" s="350"/>
      <c r="B14" s="350"/>
      <c r="C14">
        <v>4</v>
      </c>
      <c r="D14" s="107" t="s">
        <v>12</v>
      </c>
      <c r="E14" s="271">
        <v>22</v>
      </c>
      <c r="F14" s="30"/>
      <c r="G14" s="30"/>
      <c r="H14" s="30"/>
      <c r="I14" s="30"/>
      <c r="J14" s="30"/>
      <c r="K14" s="30"/>
      <c r="L14" s="30"/>
      <c r="M14" s="30">
        <v>0</v>
      </c>
      <c r="N14" s="30"/>
      <c r="O14" s="30"/>
      <c r="P14" s="123">
        <v>15</v>
      </c>
      <c r="Q14" s="123">
        <v>500</v>
      </c>
      <c r="R14" s="30">
        <f>P13+P14</f>
        <v>30</v>
      </c>
      <c r="S14" s="30">
        <f>Q13+Q14</f>
        <v>1000</v>
      </c>
      <c r="T14" s="160">
        <v>1000</v>
      </c>
      <c r="U14" s="109"/>
      <c r="V14" s="110">
        <f t="shared" si="16"/>
        <v>1000</v>
      </c>
      <c r="W14" s="109">
        <f t="shared" si="8"/>
        <v>0</v>
      </c>
      <c r="X14" s="109">
        <f t="shared" si="9"/>
        <v>1000</v>
      </c>
      <c r="Y14" s="109">
        <f t="shared" si="27"/>
        <v>49.326660000000004</v>
      </c>
      <c r="Z14" s="109"/>
      <c r="AA14" s="111">
        <f t="shared" si="28"/>
        <v>12</v>
      </c>
      <c r="AB14" s="120"/>
      <c r="AC14" s="109">
        <f t="shared" si="22"/>
        <v>4.9399999999999995</v>
      </c>
      <c r="AD14" s="109"/>
      <c r="AE14" s="109"/>
      <c r="AF14" s="109"/>
      <c r="AG14" s="109">
        <f t="shared" si="10"/>
        <v>1000</v>
      </c>
      <c r="AH14" s="156">
        <f>IF(VLOOKUP(AG14,'Table 26'!$A$2:$C$438,2,TRUE)&gt;=VLOOKUP(AG14,'Table 26'!$C$2:$D$438,2,TRUE),MAX(VLOOKUP(AG14,'Table 26'!$A$2:$B$438,2,TRUE),VLOOKUP(AG14,'Table 26'!$C$2:$D$438,2,TRUE)),0)</f>
        <v>51.6</v>
      </c>
      <c r="AI14" s="109">
        <f t="shared" si="3"/>
        <v>1000</v>
      </c>
      <c r="AJ14" s="158">
        <f>IF(VLOOKUP(AI14,'Table 26'!$E$2:$F$306,2,TRUE)&gt;=VLOOKUP(AI14,'Table 26'!$G$2:$H$306,2,TRUE),MAX(VLOOKUP(AI14,'Table 26'!$E$2:$F$306,2,TRUE),VLOOKUP(AI14,'Table 26'!$G$2:$H$306,2,TRUE)),0)</f>
        <v>55.03</v>
      </c>
      <c r="AK14" s="109"/>
      <c r="AL14" s="109">
        <f t="shared" si="11"/>
        <v>172.89666</v>
      </c>
      <c r="AM14" s="109">
        <f t="shared" si="12"/>
        <v>827.10334</v>
      </c>
      <c r="AN14" s="109"/>
      <c r="AO14" s="109"/>
      <c r="AP14" s="273">
        <f t="shared" si="23"/>
        <v>827.10334</v>
      </c>
      <c r="AQ14" s="253">
        <f t="shared" si="19"/>
        <v>6.919999999999999</v>
      </c>
      <c r="AR14" s="72">
        <f t="shared" si="24"/>
        <v>0</v>
      </c>
      <c r="AS14" s="25">
        <f t="shared" si="25"/>
        <v>0</v>
      </c>
      <c r="AT14" s="25">
        <f t="shared" si="26"/>
        <v>0</v>
      </c>
      <c r="AV14" s="220">
        <f t="shared" si="20"/>
        <v>49.326660000000004</v>
      </c>
      <c r="AW14" s="238">
        <f t="shared" si="21"/>
        <v>40</v>
      </c>
    </row>
    <row r="15" spans="1:49" ht="13.2" customHeight="1" x14ac:dyDescent="0.25">
      <c r="A15" s="263"/>
      <c r="B15" s="263"/>
      <c r="D15" s="107" t="s">
        <v>12</v>
      </c>
      <c r="E15" s="119">
        <v>29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160"/>
      <c r="U15" s="216"/>
      <c r="V15" s="217"/>
      <c r="W15" s="121"/>
      <c r="X15" s="121"/>
      <c r="Y15" s="121"/>
      <c r="Z15" s="121"/>
      <c r="AA15" s="131"/>
      <c r="AB15" s="218"/>
      <c r="AC15" s="121"/>
      <c r="AD15" s="121"/>
      <c r="AE15" s="121"/>
      <c r="AF15" s="121"/>
      <c r="AG15" s="121"/>
      <c r="AH15" s="157"/>
      <c r="AI15" s="121">
        <f t="shared" si="3"/>
        <v>0</v>
      </c>
      <c r="AJ15" s="159"/>
      <c r="AK15" s="121"/>
      <c r="AL15" s="121"/>
      <c r="AM15" s="121"/>
      <c r="AN15" s="121"/>
      <c r="AO15" s="121"/>
      <c r="AP15" s="121">
        <f t="shared" si="23"/>
        <v>0</v>
      </c>
      <c r="AQ15" s="254"/>
      <c r="AR15" s="186"/>
      <c r="AS15" s="206"/>
      <c r="AT15" s="206"/>
      <c r="AU15" s="219"/>
      <c r="AV15" s="266"/>
      <c r="AW15" s="267"/>
    </row>
    <row r="16" spans="1:49" ht="13.2" customHeight="1" thickBot="1" x14ac:dyDescent="0.3">
      <c r="A16" s="4"/>
      <c r="B16" s="4"/>
      <c r="C16" s="4"/>
      <c r="D16" s="278" t="s">
        <v>32</v>
      </c>
      <c r="E16" s="287"/>
      <c r="F16" s="280"/>
      <c r="G16" s="280"/>
      <c r="H16" s="280"/>
      <c r="I16" s="280"/>
      <c r="J16" s="280"/>
      <c r="K16" s="280"/>
      <c r="L16" s="280"/>
      <c r="M16" s="280">
        <v>0</v>
      </c>
      <c r="N16" s="280">
        <v>0</v>
      </c>
      <c r="O16" s="280">
        <f>SUM(O11:O14)</f>
        <v>0</v>
      </c>
      <c r="P16" s="280"/>
      <c r="Q16" s="280"/>
      <c r="R16" s="280"/>
      <c r="S16" s="280"/>
      <c r="T16" s="281">
        <f>SUM(T11:U15)</f>
        <v>1750</v>
      </c>
      <c r="U16" s="281">
        <f t="shared" ref="U16:AW16" si="29">SUM(U11:V15)</f>
        <v>1750</v>
      </c>
      <c r="V16" s="281">
        <f t="shared" si="29"/>
        <v>1750</v>
      </c>
      <c r="W16" s="281">
        <f t="shared" si="29"/>
        <v>1750</v>
      </c>
      <c r="X16" s="281">
        <f t="shared" si="29"/>
        <v>1834.4033199999999</v>
      </c>
      <c r="Y16" s="281">
        <f t="shared" si="29"/>
        <v>84.403320000000008</v>
      </c>
      <c r="Z16" s="281">
        <f t="shared" si="29"/>
        <v>21</v>
      </c>
      <c r="AA16" s="281">
        <f t="shared" si="29"/>
        <v>21</v>
      </c>
      <c r="AB16" s="281">
        <f t="shared" si="29"/>
        <v>8.6449999999999996</v>
      </c>
      <c r="AC16" s="281">
        <f t="shared" si="29"/>
        <v>8.6449999999999996</v>
      </c>
      <c r="AD16" s="281">
        <f t="shared" si="29"/>
        <v>0</v>
      </c>
      <c r="AE16" s="281">
        <f t="shared" si="29"/>
        <v>0</v>
      </c>
      <c r="AF16" s="281">
        <f t="shared" si="29"/>
        <v>1750</v>
      </c>
      <c r="AG16" s="281">
        <f t="shared" si="29"/>
        <v>1824.1999999999998</v>
      </c>
      <c r="AH16" s="282">
        <f t="shared" si="29"/>
        <v>1824.2</v>
      </c>
      <c r="AI16" s="281">
        <f t="shared" ref="AI16" si="30">SUM(AI11:AI15)</f>
        <v>1750</v>
      </c>
      <c r="AJ16" s="283">
        <f t="shared" si="29"/>
        <v>71.88</v>
      </c>
      <c r="AK16" s="281">
        <f t="shared" ref="AK16" si="31">SUM(AK11:AK15)</f>
        <v>0</v>
      </c>
      <c r="AL16" s="281">
        <f t="shared" si="29"/>
        <v>1750</v>
      </c>
      <c r="AM16" s="281">
        <f t="shared" si="29"/>
        <v>1489.87168</v>
      </c>
      <c r="AN16" s="281">
        <f>SUM(AN11:AP15)</f>
        <v>1597.87168</v>
      </c>
      <c r="AO16" s="281">
        <f t="shared" ref="AO16" si="32">SUM(AO11:AO15)</f>
        <v>54</v>
      </c>
      <c r="AP16" s="281">
        <f>SUM(AP11:AP15)</f>
        <v>1543.87168</v>
      </c>
      <c r="AQ16" s="284">
        <f t="shared" si="29"/>
        <v>12.11</v>
      </c>
      <c r="AR16" s="285">
        <f t="shared" si="29"/>
        <v>0</v>
      </c>
      <c r="AS16" s="285">
        <f t="shared" si="29"/>
        <v>0</v>
      </c>
      <c r="AT16" s="285">
        <f t="shared" si="29"/>
        <v>0</v>
      </c>
      <c r="AU16" s="285">
        <f t="shared" si="29"/>
        <v>69.056640000000016</v>
      </c>
      <c r="AV16" s="281">
        <f t="shared" si="29"/>
        <v>139.05664000000002</v>
      </c>
      <c r="AW16" s="286">
        <f t="shared" si="29"/>
        <v>70</v>
      </c>
    </row>
    <row r="17" spans="1:49" ht="13.2" customHeight="1" x14ac:dyDescent="0.25">
      <c r="A17" s="3"/>
      <c r="B17" s="3"/>
      <c r="E17" s="265"/>
      <c r="T17" s="1"/>
      <c r="U17" s="1"/>
      <c r="V17" s="41"/>
      <c r="W17" s="1"/>
      <c r="X17" s="1"/>
      <c r="Y17" s="1"/>
      <c r="Z17" s="1"/>
      <c r="AA17" s="14"/>
      <c r="AB17" s="15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7"/>
      <c r="AR17" s="72">
        <f t="shared" si="13"/>
        <v>0</v>
      </c>
      <c r="AS17" s="25">
        <f t="shared" si="14"/>
        <v>0</v>
      </c>
      <c r="AT17" s="25">
        <f t="shared" si="15"/>
        <v>0</v>
      </c>
    </row>
    <row r="18" spans="1:49" ht="13.2" customHeight="1" x14ac:dyDescent="0.25">
      <c r="C18">
        <v>5</v>
      </c>
      <c r="D18" s="100" t="s">
        <v>13</v>
      </c>
      <c r="E18" s="272">
        <v>7</v>
      </c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327">
        <f>P15+P18</f>
        <v>0</v>
      </c>
      <c r="S18" s="102">
        <f>Q18+Q15</f>
        <v>0</v>
      </c>
      <c r="T18" s="160"/>
      <c r="U18" s="103"/>
      <c r="V18" s="104">
        <f t="shared" si="16"/>
        <v>0</v>
      </c>
      <c r="W18" s="103">
        <f t="shared" si="8"/>
        <v>0</v>
      </c>
      <c r="X18" s="103">
        <f t="shared" si="9"/>
        <v>0</v>
      </c>
      <c r="Y18" s="103">
        <f>IF(AV18&lt;0,0,(X18-134.62)*0.057)</f>
        <v>0</v>
      </c>
      <c r="Z18" s="103"/>
      <c r="AA18" s="105">
        <f>V18*1.2%</f>
        <v>0</v>
      </c>
      <c r="AB18" s="118"/>
      <c r="AC18" s="103">
        <f>V18*0.494%</f>
        <v>0</v>
      </c>
      <c r="AD18" s="103"/>
      <c r="AE18" s="103"/>
      <c r="AF18" s="103"/>
      <c r="AG18" s="103">
        <f t="shared" si="10"/>
        <v>0</v>
      </c>
      <c r="AH18" s="276">
        <f>IF(VLOOKUP(AG18,'Table 26'!$A$2:$C$438,2,TRUE)&gt;=VLOOKUP(AG18,'Table 26'!$C$2:$D$438,2,TRUE),MAX(VLOOKUP(AG18,'Table 26'!$A$2:$B$438,2,TRUE),VLOOKUP(AG18,'Table 26'!$C$2:$D$438,2,TRUE)),0)</f>
        <v>0</v>
      </c>
      <c r="AI18" s="103">
        <f>X18-AF18</f>
        <v>0</v>
      </c>
      <c r="AJ18" s="277">
        <f>IF(VLOOKUP(AI18,'Table 26'!$E$2:$F$306,2,TRUE)&gt;=VLOOKUP(AI18,'Table 26'!$G$2:$H$306,2,TRUE),MAX(VLOOKUP(AI18,'Table 26'!$E$2:$F$306,2,TRUE),VLOOKUP(AI18,'Table 26'!$G$2:$H$306,2,TRUE)),0)</f>
        <v>0</v>
      </c>
      <c r="AK18" s="102"/>
      <c r="AL18" s="103">
        <f t="shared" si="11"/>
        <v>0</v>
      </c>
      <c r="AM18" s="103">
        <f t="shared" si="12"/>
        <v>0</v>
      </c>
      <c r="AN18" s="103"/>
      <c r="AO18" s="103"/>
      <c r="AP18" s="274">
        <f>AM18+AN18+AO18</f>
        <v>0</v>
      </c>
      <c r="AQ18" s="252">
        <f>V18*0.692%</f>
        <v>0</v>
      </c>
      <c r="AR18" s="249"/>
      <c r="AV18" s="220">
        <f>(X18-134.62)*0.057</f>
        <v>-7.6733400000000005</v>
      </c>
      <c r="AW18" s="255">
        <f>T18*0.04</f>
        <v>0</v>
      </c>
    </row>
    <row r="19" spans="1:49" ht="13.2" customHeight="1" x14ac:dyDescent="0.25">
      <c r="D19" s="107" t="s">
        <v>13</v>
      </c>
      <c r="E19" s="264">
        <v>14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160"/>
      <c r="U19" s="109"/>
      <c r="V19" s="110">
        <f t="shared" si="16"/>
        <v>0</v>
      </c>
      <c r="W19" s="109">
        <f>O19*1.998</f>
        <v>0</v>
      </c>
      <c r="X19" s="109">
        <f t="shared" si="9"/>
        <v>0</v>
      </c>
      <c r="Y19" s="109">
        <f>IF(AV19&lt;0,0,(X19-134.62)*0.057)</f>
        <v>0</v>
      </c>
      <c r="Z19" s="109"/>
      <c r="AA19" s="111">
        <f t="shared" ref="AA19:AA22" si="33">V19*1.2%</f>
        <v>0</v>
      </c>
      <c r="AB19" s="120"/>
      <c r="AC19" s="109">
        <f t="shared" ref="AC19:AC22" si="34">V19*0.494%</f>
        <v>0</v>
      </c>
      <c r="AD19" s="109"/>
      <c r="AE19" s="109"/>
      <c r="AF19" s="109"/>
      <c r="AG19" s="109">
        <f t="shared" si="10"/>
        <v>0</v>
      </c>
      <c r="AH19" s="156">
        <f>IF(VLOOKUP(AG19,'Table 26'!$A$2:$C$438,2,TRUE)&gt;=VLOOKUP(AG19,'Table 26'!$C$2:$D$438,2,TRUE),MAX(VLOOKUP(AG19,'Table 26'!$A$2:$B$438,2,TRUE),VLOOKUP(AG19,'Table 26'!$C$2:$D$438,2,TRUE)),0)</f>
        <v>0</v>
      </c>
      <c r="AI19" s="109">
        <f t="shared" si="3"/>
        <v>0</v>
      </c>
      <c r="AJ19" s="158">
        <f>IF(VLOOKUP(AI19,'Table 26'!$E$2:$F$306,2,TRUE)&gt;=VLOOKUP(AI19,'Table 26'!$G$2:$H$306,2,TRUE),MAX(VLOOKUP(AI19,'Table 26'!$E$2:$F$306,2,TRUE),VLOOKUP(AI19,'Table 26'!$G$2:$H$306,2,TRUE)),0)</f>
        <v>0</v>
      </c>
      <c r="AK19" s="109"/>
      <c r="AL19" s="109">
        <f t="shared" si="11"/>
        <v>0</v>
      </c>
      <c r="AM19" s="109">
        <f t="shared" si="12"/>
        <v>0</v>
      </c>
      <c r="AN19" s="109"/>
      <c r="AO19" s="109"/>
      <c r="AP19" s="109">
        <f t="shared" ref="AP19:AP22" si="35">AM19+AN19+AO19</f>
        <v>0</v>
      </c>
      <c r="AQ19" s="253">
        <f t="shared" ref="AQ19:AQ22" si="36">V19*0.692%</f>
        <v>0</v>
      </c>
      <c r="AR19" s="72">
        <f>O19*5.335</f>
        <v>0</v>
      </c>
      <c r="AS19" s="25">
        <f>2*O19</f>
        <v>0</v>
      </c>
      <c r="AT19" s="25">
        <f>0.04*O19</f>
        <v>0</v>
      </c>
      <c r="AU19" s="25"/>
      <c r="AV19" s="220">
        <f t="shared" ref="AV19:AV22" si="37">(X19-134.62)*0.057</f>
        <v>-7.6733400000000005</v>
      </c>
      <c r="AW19" s="238">
        <f t="shared" ref="AW19:AW22" si="38">T19*0.04</f>
        <v>0</v>
      </c>
    </row>
    <row r="20" spans="1:49" ht="13.2" customHeight="1" x14ac:dyDescent="0.25">
      <c r="A20" s="54"/>
      <c r="B20" s="11"/>
      <c r="C20" s="11">
        <v>6</v>
      </c>
      <c r="D20" s="107" t="s">
        <v>13</v>
      </c>
      <c r="E20" s="271">
        <v>21</v>
      </c>
      <c r="F20" s="30"/>
      <c r="G20" s="30"/>
      <c r="H20" s="30"/>
      <c r="I20" s="30"/>
      <c r="J20" s="30"/>
      <c r="K20" s="30"/>
      <c r="L20" s="30"/>
      <c r="M20" s="30">
        <v>0</v>
      </c>
      <c r="N20" s="30"/>
      <c r="O20" s="30">
        <v>0</v>
      </c>
      <c r="P20" s="30"/>
      <c r="Q20" s="30"/>
      <c r="R20" s="30">
        <f>P19+P20</f>
        <v>0</v>
      </c>
      <c r="S20" s="30">
        <f>Q19+Q20</f>
        <v>0</v>
      </c>
      <c r="T20" s="160"/>
      <c r="U20" s="109"/>
      <c r="V20" s="110">
        <f t="shared" si="16"/>
        <v>0</v>
      </c>
      <c r="W20" s="109">
        <f t="shared" si="8"/>
        <v>0</v>
      </c>
      <c r="X20" s="109">
        <f t="shared" si="9"/>
        <v>0</v>
      </c>
      <c r="Y20" s="109">
        <f t="shared" ref="Y20:Y22" si="39">IF(AV20&lt;0,0,(X20-134.62)*0.057)</f>
        <v>0</v>
      </c>
      <c r="Z20" s="109"/>
      <c r="AA20" s="111">
        <f t="shared" si="33"/>
        <v>0</v>
      </c>
      <c r="AB20" s="120"/>
      <c r="AC20" s="109">
        <f t="shared" si="34"/>
        <v>0</v>
      </c>
      <c r="AD20" s="109"/>
      <c r="AE20" s="109"/>
      <c r="AF20" s="109"/>
      <c r="AG20" s="109">
        <f t="shared" si="10"/>
        <v>0</v>
      </c>
      <c r="AH20" s="156">
        <f>IF(VLOOKUP(AG20,'Table 26'!$A$2:$C$438,2,TRUE)&gt;=VLOOKUP(AG20,'Table 26'!$C$2:$D$438,2,TRUE),MAX(VLOOKUP(AG20,'Table 26'!$A$2:$B$438,2,TRUE),VLOOKUP(AG20,'Table 26'!$C$2:$D$438,2,TRUE)),0)</f>
        <v>0</v>
      </c>
      <c r="AI20" s="109">
        <f>X20-AF20</f>
        <v>0</v>
      </c>
      <c r="AJ20" s="158">
        <f>IF(VLOOKUP(AI20,'Table 26'!$E$2:$F$306,2,TRUE)&gt;=VLOOKUP(AI20,'Table 26'!$G$2:$H$306,2,TRUE),MAX(VLOOKUP(AI20,'Table 26'!$E$2:$F$306,2,TRUE),VLOOKUP(AI20,'Table 26'!$G$2:$H$306,2,TRUE)),0)</f>
        <v>0</v>
      </c>
      <c r="AK20" s="109"/>
      <c r="AL20" s="109">
        <f t="shared" si="11"/>
        <v>0</v>
      </c>
      <c r="AM20" s="109">
        <f t="shared" si="12"/>
        <v>0</v>
      </c>
      <c r="AN20" s="109"/>
      <c r="AO20" s="109"/>
      <c r="AP20" s="273">
        <f t="shared" si="35"/>
        <v>0</v>
      </c>
      <c r="AQ20" s="253">
        <f t="shared" si="36"/>
        <v>0</v>
      </c>
      <c r="AR20" s="72">
        <f t="shared" ref="AR20:AR22" si="40">O20*5.335</f>
        <v>0</v>
      </c>
      <c r="AS20" s="25">
        <f t="shared" ref="AS20:AS22" si="41">2*O20</f>
        <v>0</v>
      </c>
      <c r="AT20" s="25">
        <f t="shared" ref="AT20:AT22" si="42">0.04*O20</f>
        <v>0</v>
      </c>
      <c r="AV20" s="220">
        <f t="shared" si="37"/>
        <v>-7.6733400000000005</v>
      </c>
      <c r="AW20" s="238">
        <f t="shared" si="38"/>
        <v>0</v>
      </c>
    </row>
    <row r="21" spans="1:49" ht="13.2" customHeight="1" x14ac:dyDescent="0.25">
      <c r="A21" s="53"/>
      <c r="D21" s="107" t="s">
        <v>13</v>
      </c>
      <c r="E21" s="264">
        <v>28</v>
      </c>
      <c r="F21" s="30"/>
      <c r="G21" s="30"/>
      <c r="H21" s="30"/>
      <c r="I21" s="30"/>
      <c r="J21" s="30"/>
      <c r="K21" s="30"/>
      <c r="L21" s="30"/>
      <c r="M21" s="30">
        <v>0</v>
      </c>
      <c r="N21" s="30"/>
      <c r="O21" s="30">
        <v>0</v>
      </c>
      <c r="P21" s="30"/>
      <c r="Q21" s="30"/>
      <c r="R21" s="30"/>
      <c r="S21" s="30"/>
      <c r="T21" s="160"/>
      <c r="U21" s="109"/>
      <c r="V21" s="110">
        <f t="shared" si="16"/>
        <v>0</v>
      </c>
      <c r="W21" s="109">
        <f t="shared" si="8"/>
        <v>0</v>
      </c>
      <c r="X21" s="109">
        <f t="shared" si="9"/>
        <v>0</v>
      </c>
      <c r="Y21" s="109">
        <f t="shared" si="39"/>
        <v>0</v>
      </c>
      <c r="Z21" s="109"/>
      <c r="AA21" s="111">
        <f t="shared" si="33"/>
        <v>0</v>
      </c>
      <c r="AB21" s="120"/>
      <c r="AC21" s="109">
        <f t="shared" si="34"/>
        <v>0</v>
      </c>
      <c r="AD21" s="109"/>
      <c r="AE21" s="109"/>
      <c r="AF21" s="109"/>
      <c r="AG21" s="109">
        <f t="shared" si="10"/>
        <v>0</v>
      </c>
      <c r="AH21" s="156">
        <f>IF(VLOOKUP(AG21,'Table 26'!$A$2:$C$438,2,TRUE)&gt;=VLOOKUP(AG21,'Table 26'!$C$2:$D$438,2,TRUE),MAX(VLOOKUP(AG21,'Table 26'!$A$2:$B$438,2,TRUE),VLOOKUP(AG21,'Table 26'!$C$2:$D$438,2,TRUE)),0)</f>
        <v>0</v>
      </c>
      <c r="AI21" s="109">
        <f t="shared" si="3"/>
        <v>0</v>
      </c>
      <c r="AJ21" s="158">
        <f>IF(VLOOKUP(AI21,'Table 26'!$E$2:$F$306,2,TRUE)&gt;=VLOOKUP(AI21,'Table 26'!$G$2:$H$306,2,TRUE),MAX(VLOOKUP(AI21,'Table 26'!$E$2:$F$306,2,TRUE),VLOOKUP(AI21,'Table 26'!$G$2:$H$306,2,TRUE)),0)</f>
        <v>0</v>
      </c>
      <c r="AK21" s="109"/>
      <c r="AL21" s="109">
        <f t="shared" si="11"/>
        <v>0</v>
      </c>
      <c r="AM21" s="109">
        <f t="shared" si="12"/>
        <v>0</v>
      </c>
      <c r="AN21" s="109"/>
      <c r="AO21" s="109"/>
      <c r="AP21" s="109">
        <f t="shared" si="35"/>
        <v>0</v>
      </c>
      <c r="AQ21" s="253">
        <f t="shared" si="36"/>
        <v>0</v>
      </c>
      <c r="AR21" s="72">
        <f t="shared" si="40"/>
        <v>0</v>
      </c>
      <c r="AS21" s="25">
        <f t="shared" si="41"/>
        <v>0</v>
      </c>
      <c r="AT21" s="25">
        <f t="shared" si="42"/>
        <v>0</v>
      </c>
      <c r="AV21" s="220">
        <f t="shared" si="37"/>
        <v>-7.6733400000000005</v>
      </c>
      <c r="AW21" s="238">
        <f t="shared" si="38"/>
        <v>0</v>
      </c>
    </row>
    <row r="22" spans="1:49" ht="13.2" customHeight="1" x14ac:dyDescent="0.25">
      <c r="D22" s="107" t="s">
        <v>13</v>
      </c>
      <c r="E22" s="264"/>
      <c r="F22" s="30"/>
      <c r="G22" s="30"/>
      <c r="H22" s="30"/>
      <c r="I22" s="30"/>
      <c r="J22" s="30"/>
      <c r="K22" s="30"/>
      <c r="L22" s="30"/>
      <c r="M22" s="30">
        <v>0</v>
      </c>
      <c r="N22" s="30"/>
      <c r="O22" s="30">
        <v>0</v>
      </c>
      <c r="P22" s="30"/>
      <c r="Q22" s="30"/>
      <c r="R22" s="30"/>
      <c r="S22" s="30"/>
      <c r="T22" s="160"/>
      <c r="U22" s="216"/>
      <c r="V22" s="217">
        <f t="shared" si="16"/>
        <v>0</v>
      </c>
      <c r="W22" s="121">
        <f t="shared" si="8"/>
        <v>0</v>
      </c>
      <c r="X22" s="121">
        <f>V22+W22</f>
        <v>0</v>
      </c>
      <c r="Y22" s="121">
        <f t="shared" si="39"/>
        <v>0</v>
      </c>
      <c r="Z22" s="121"/>
      <c r="AA22" s="131">
        <f t="shared" si="33"/>
        <v>0</v>
      </c>
      <c r="AB22" s="218"/>
      <c r="AC22" s="121">
        <f t="shared" si="34"/>
        <v>0</v>
      </c>
      <c r="AD22" s="121"/>
      <c r="AE22" s="121"/>
      <c r="AF22" s="121"/>
      <c r="AG22" s="121">
        <f t="shared" si="10"/>
        <v>0</v>
      </c>
      <c r="AH22" s="157">
        <f>IF(VLOOKUP(AG22,'Table 26'!$A$2:$C$438,2,TRUE)&gt;=VLOOKUP(AG22,'Table 26'!$C$2:$D$438,2,TRUE),MAX(VLOOKUP(AG22,'Table 26'!$A$2:$B$438,2,TRUE),VLOOKUP(AG22,'Table 26'!$C$2:$D$438,2,TRUE)),0)</f>
        <v>0</v>
      </c>
      <c r="AI22" s="121">
        <f t="shared" si="3"/>
        <v>0</v>
      </c>
      <c r="AJ22" s="159">
        <f>IF(VLOOKUP(AI22,'Table 26'!$E$2:$F$306,2,TRUE)&gt;=VLOOKUP(AI22,'Table 26'!$G$2:$H$306,2,TRUE),MAX(VLOOKUP(AI22,'Table 26'!$E$2:$F$306,2,TRUE),VLOOKUP(AI22,'Table 26'!$G$2:$H$306,2,TRUE)),0)</f>
        <v>0</v>
      </c>
      <c r="AK22" s="121"/>
      <c r="AL22" s="121">
        <f t="shared" si="11"/>
        <v>0</v>
      </c>
      <c r="AM22" s="121">
        <f t="shared" si="12"/>
        <v>0</v>
      </c>
      <c r="AN22" s="121"/>
      <c r="AO22" s="121"/>
      <c r="AP22" s="121">
        <f t="shared" si="35"/>
        <v>0</v>
      </c>
      <c r="AQ22" s="254">
        <f t="shared" si="36"/>
        <v>0</v>
      </c>
      <c r="AR22" s="72">
        <f t="shared" si="40"/>
        <v>0</v>
      </c>
      <c r="AS22" s="25">
        <f t="shared" si="41"/>
        <v>0</v>
      </c>
      <c r="AT22" s="25">
        <f t="shared" si="42"/>
        <v>0</v>
      </c>
      <c r="AV22" s="220">
        <f t="shared" si="37"/>
        <v>-7.6733400000000005</v>
      </c>
      <c r="AW22" s="238">
        <f t="shared" si="38"/>
        <v>0</v>
      </c>
    </row>
    <row r="23" spans="1:49" ht="13.2" customHeight="1" thickBot="1" x14ac:dyDescent="0.3">
      <c r="A23" s="54"/>
      <c r="B23" s="11"/>
      <c r="C23" s="11"/>
      <c r="D23" s="278" t="s">
        <v>32</v>
      </c>
      <c r="E23" s="287"/>
      <c r="F23" s="280"/>
      <c r="G23" s="280"/>
      <c r="H23" s="280"/>
      <c r="I23" s="280"/>
      <c r="J23" s="280"/>
      <c r="K23" s="280"/>
      <c r="L23" s="280"/>
      <c r="M23" s="280">
        <v>0</v>
      </c>
      <c r="N23" s="280">
        <v>0</v>
      </c>
      <c r="O23" s="280">
        <f>SUM(O18:O22)</f>
        <v>0</v>
      </c>
      <c r="P23" s="280"/>
      <c r="Q23" s="280"/>
      <c r="R23" s="280"/>
      <c r="S23" s="280"/>
      <c r="T23" s="281">
        <f>SUM(T18:T22)</f>
        <v>0</v>
      </c>
      <c r="U23" s="281">
        <f t="shared" ref="U23:AW23" si="43">SUM(U18:U22)</f>
        <v>0</v>
      </c>
      <c r="V23" s="281">
        <f t="shared" si="43"/>
        <v>0</v>
      </c>
      <c r="W23" s="281">
        <f t="shared" si="43"/>
        <v>0</v>
      </c>
      <c r="X23" s="281">
        <f t="shared" si="43"/>
        <v>0</v>
      </c>
      <c r="Y23" s="281">
        <f t="shared" si="43"/>
        <v>0</v>
      </c>
      <c r="Z23" s="281">
        <f t="shared" si="43"/>
        <v>0</v>
      </c>
      <c r="AA23" s="281">
        <f t="shared" si="43"/>
        <v>0</v>
      </c>
      <c r="AB23" s="281">
        <f t="shared" si="43"/>
        <v>0</v>
      </c>
      <c r="AC23" s="281">
        <f t="shared" si="43"/>
        <v>0</v>
      </c>
      <c r="AD23" s="281">
        <f t="shared" si="43"/>
        <v>0</v>
      </c>
      <c r="AE23" s="281">
        <f t="shared" si="43"/>
        <v>0</v>
      </c>
      <c r="AF23" s="281">
        <f t="shared" si="43"/>
        <v>0</v>
      </c>
      <c r="AG23" s="281">
        <f t="shared" si="43"/>
        <v>0</v>
      </c>
      <c r="AH23" s="282">
        <f t="shared" si="43"/>
        <v>0</v>
      </c>
      <c r="AI23" s="281">
        <f t="shared" si="43"/>
        <v>0</v>
      </c>
      <c r="AJ23" s="283">
        <f t="shared" si="43"/>
        <v>0</v>
      </c>
      <c r="AK23" s="281">
        <f t="shared" si="43"/>
        <v>0</v>
      </c>
      <c r="AL23" s="281">
        <f t="shared" si="43"/>
        <v>0</v>
      </c>
      <c r="AM23" s="281">
        <f t="shared" si="43"/>
        <v>0</v>
      </c>
      <c r="AN23" s="281">
        <f t="shared" si="43"/>
        <v>0</v>
      </c>
      <c r="AO23" s="281">
        <f t="shared" si="43"/>
        <v>0</v>
      </c>
      <c r="AP23" s="281">
        <f>SUM(AP18:AP22)</f>
        <v>0</v>
      </c>
      <c r="AQ23" s="284">
        <f t="shared" si="43"/>
        <v>0</v>
      </c>
      <c r="AR23" s="285">
        <f t="shared" si="43"/>
        <v>0</v>
      </c>
      <c r="AS23" s="285">
        <f t="shared" si="43"/>
        <v>0</v>
      </c>
      <c r="AT23" s="285">
        <f t="shared" si="43"/>
        <v>0</v>
      </c>
      <c r="AU23" s="285">
        <f t="shared" si="43"/>
        <v>0</v>
      </c>
      <c r="AV23" s="281"/>
      <c r="AW23" s="286">
        <f t="shared" si="43"/>
        <v>0</v>
      </c>
    </row>
    <row r="24" spans="1:49" ht="13.2" customHeight="1" x14ac:dyDescent="0.25">
      <c r="A24" s="16"/>
      <c r="E24" s="265"/>
      <c r="T24" s="1"/>
      <c r="U24" s="1"/>
      <c r="V24" s="41">
        <f t="shared" si="16"/>
        <v>0</v>
      </c>
      <c r="W24" s="1">
        <f t="shared" si="8"/>
        <v>0</v>
      </c>
      <c r="X24" s="1">
        <f t="shared" si="9"/>
        <v>0</v>
      </c>
      <c r="Y24" s="1"/>
      <c r="Z24" s="1"/>
      <c r="AA24" s="15"/>
      <c r="AB24" s="15"/>
      <c r="AC24" s="1">
        <f t="shared" ref="AC24" si="44">V24*0.559%</f>
        <v>0</v>
      </c>
      <c r="AD24" s="1"/>
      <c r="AE24" s="1"/>
      <c r="AF24" s="1"/>
      <c r="AG24" s="1">
        <f t="shared" si="10"/>
        <v>0</v>
      </c>
      <c r="AH24" s="1"/>
      <c r="AI24" s="1">
        <f t="shared" si="3"/>
        <v>0</v>
      </c>
      <c r="AJ24" s="1"/>
      <c r="AL24" s="1">
        <f t="shared" si="11"/>
        <v>0</v>
      </c>
      <c r="AM24" s="1"/>
      <c r="AN24" s="1"/>
      <c r="AO24" s="1"/>
      <c r="AP24" s="1"/>
      <c r="AQ24" s="17">
        <f t="shared" ref="AQ24" si="45">V24*0.782%</f>
        <v>0</v>
      </c>
      <c r="AR24" s="72">
        <f t="shared" si="13"/>
        <v>0</v>
      </c>
      <c r="AS24" s="25">
        <f t="shared" si="14"/>
        <v>0</v>
      </c>
    </row>
    <row r="25" spans="1:49" ht="13.2" customHeight="1" x14ac:dyDescent="0.25">
      <c r="A25" s="350"/>
      <c r="B25" s="350"/>
      <c r="C25">
        <v>7</v>
      </c>
      <c r="D25" s="100" t="s">
        <v>14</v>
      </c>
      <c r="E25" s="272">
        <v>4</v>
      </c>
      <c r="F25" s="102"/>
      <c r="G25" s="102"/>
      <c r="H25" s="102"/>
      <c r="I25" s="102"/>
      <c r="J25" s="102"/>
      <c r="K25" s="102"/>
      <c r="L25" s="102"/>
      <c r="M25" s="102">
        <v>0</v>
      </c>
      <c r="N25" s="102"/>
      <c r="O25" s="102">
        <v>0</v>
      </c>
      <c r="P25" s="102"/>
      <c r="Q25" s="102"/>
      <c r="R25" s="102">
        <f>P21+P25</f>
        <v>0</v>
      </c>
      <c r="S25" s="102">
        <f>Q21+Q25</f>
        <v>0</v>
      </c>
      <c r="T25" s="160"/>
      <c r="U25" s="103"/>
      <c r="V25" s="104">
        <f>T25+U25</f>
        <v>0</v>
      </c>
      <c r="W25" s="103">
        <f t="shared" si="8"/>
        <v>0</v>
      </c>
      <c r="X25" s="103">
        <f t="shared" si="9"/>
        <v>0</v>
      </c>
      <c r="Y25" s="103">
        <f>IF(AV25&lt;0,0,(X25-134.62)*0.057)</f>
        <v>0</v>
      </c>
      <c r="Z25" s="103"/>
      <c r="AA25" s="105">
        <f>V25*1.2%</f>
        <v>0</v>
      </c>
      <c r="AB25" s="118"/>
      <c r="AC25" s="103">
        <f>V25*0.494%</f>
        <v>0</v>
      </c>
      <c r="AD25" s="103"/>
      <c r="AE25" s="103"/>
      <c r="AF25" s="103"/>
      <c r="AG25" s="103">
        <f>V25-AD25-AE25-AF25</f>
        <v>0</v>
      </c>
      <c r="AH25" s="276">
        <f>IF(VLOOKUP(AG25,'Table 26'!$A$2:$C$438,2,TRUE)&gt;=VLOOKUP(AG25,'Table 26'!$C$2:$D$438,2,TRUE),MAX(VLOOKUP(AG25,'Table 26'!$A$2:$B$438,2,TRUE),VLOOKUP(AG25,'Table 26'!$C$2:$D$438,2,TRUE)),0)</f>
        <v>0</v>
      </c>
      <c r="AI25" s="103">
        <f>X25-AF25</f>
        <v>0</v>
      </c>
      <c r="AJ25" s="277">
        <f>IF(VLOOKUP(AI25,'Table 26'!$E$2:$F$306,2,TRUE)&gt;=VLOOKUP(AI25,'Table 26'!$G$2:$H$306,2,TRUE),MAX(VLOOKUP(AI25,'Table 26'!$E$2:$F$306,2,TRUE),VLOOKUP(AI25,'Table 26'!$G$2:$H$306,2,TRUE)),0)</f>
        <v>0</v>
      </c>
      <c r="AK25" s="102"/>
      <c r="AL25" s="103">
        <f t="shared" si="11"/>
        <v>0</v>
      </c>
      <c r="AM25" s="103">
        <f>V25-AL25</f>
        <v>0</v>
      </c>
      <c r="AN25" s="103"/>
      <c r="AO25" s="103"/>
      <c r="AP25" s="274">
        <f>AM25+AN25+AO25</f>
        <v>0</v>
      </c>
      <c r="AQ25" s="252">
        <f>V25*0.692%</f>
        <v>0</v>
      </c>
      <c r="AR25" s="249"/>
      <c r="AV25" s="220">
        <f>(X25-134.62)*0.057</f>
        <v>-7.6733400000000005</v>
      </c>
      <c r="AW25" s="255">
        <f>T25*0.04</f>
        <v>0</v>
      </c>
    </row>
    <row r="26" spans="1:49" ht="13.2" customHeight="1" x14ac:dyDescent="0.25">
      <c r="A26" s="352"/>
      <c r="B26" s="352"/>
      <c r="D26" s="107" t="s">
        <v>14</v>
      </c>
      <c r="E26" s="264">
        <v>11</v>
      </c>
      <c r="F26" s="30"/>
      <c r="G26" s="30"/>
      <c r="H26" s="30"/>
      <c r="I26" s="30"/>
      <c r="J26" s="30"/>
      <c r="K26" s="30"/>
      <c r="L26" s="30"/>
      <c r="M26" s="30"/>
      <c r="N26" s="123"/>
      <c r="O26" s="123">
        <v>0</v>
      </c>
      <c r="P26" s="123"/>
      <c r="Q26" s="123"/>
      <c r="R26" s="123"/>
      <c r="S26" s="123"/>
      <c r="T26" s="160"/>
      <c r="U26" s="109"/>
      <c r="V26" s="110">
        <f t="shared" si="16"/>
        <v>0</v>
      </c>
      <c r="W26" s="109">
        <f t="shared" si="8"/>
        <v>0</v>
      </c>
      <c r="X26" s="109">
        <f t="shared" si="9"/>
        <v>0</v>
      </c>
      <c r="Y26" s="109">
        <f t="shared" ref="Y26:Y29" si="46">IF(AV26&lt;0,0,(X26-134.62)*0.057)</f>
        <v>0</v>
      </c>
      <c r="Z26" s="109"/>
      <c r="AA26" s="111">
        <f t="shared" ref="AA26:AA29" si="47">V26*1.2%</f>
        <v>0</v>
      </c>
      <c r="AB26" s="120"/>
      <c r="AC26" s="109">
        <f t="shared" ref="AC26:AC29" si="48">V26*0.494%</f>
        <v>0</v>
      </c>
      <c r="AD26" s="109"/>
      <c r="AE26" s="109"/>
      <c r="AF26" s="109"/>
      <c r="AG26" s="109">
        <f t="shared" si="10"/>
        <v>0</v>
      </c>
      <c r="AH26" s="156">
        <f>IF(VLOOKUP(AG26,'Table 26'!$A$2:$C$438,2,TRUE)&gt;=VLOOKUP(AG26,'Table 26'!$C$2:$D$438,2,TRUE),MAX(VLOOKUP(AG26,'Table 26'!$A$2:$B$438,2,TRUE),VLOOKUP(AG26,'Table 26'!$C$2:$D$438,2,TRUE)),0)</f>
        <v>0</v>
      </c>
      <c r="AI26" s="109">
        <f t="shared" si="3"/>
        <v>0</v>
      </c>
      <c r="AJ26" s="158">
        <f>IF(VLOOKUP(AI26,'Table 26'!$E$2:$F$306,2,TRUE)&gt;=VLOOKUP(AI26,'Table 26'!$G$2:$H$306,2,TRUE),MAX(VLOOKUP(AI26,'Table 26'!$E$2:$F$306,2,TRUE),VLOOKUP(AI26,'Table 26'!$G$2:$H$306,2,TRUE)),0)</f>
        <v>0</v>
      </c>
      <c r="AK26" s="109"/>
      <c r="AL26" s="109">
        <f t="shared" si="11"/>
        <v>0</v>
      </c>
      <c r="AM26" s="109">
        <f>V26-AL26</f>
        <v>0</v>
      </c>
      <c r="AN26" s="109"/>
      <c r="AO26" s="109"/>
      <c r="AP26" s="109">
        <f t="shared" ref="AP26:AP29" si="49">AM26+AN26+AO26</f>
        <v>0</v>
      </c>
      <c r="AQ26" s="253">
        <f t="shared" ref="AQ26:AQ29" si="50">V26*0.692%</f>
        <v>0</v>
      </c>
      <c r="AR26" s="72">
        <f>O26*5.335</f>
        <v>0</v>
      </c>
      <c r="AS26" s="25">
        <f>2*O26</f>
        <v>0</v>
      </c>
      <c r="AT26" s="25">
        <f>0.04*O26</f>
        <v>0</v>
      </c>
      <c r="AU26" s="25"/>
      <c r="AV26" s="220">
        <f t="shared" ref="AV26:AV29" si="51">(X26-134.62)*0.057</f>
        <v>-7.6733400000000005</v>
      </c>
      <c r="AW26" s="238">
        <f t="shared" ref="AW26:AW29" si="52">T26*0.04</f>
        <v>0</v>
      </c>
    </row>
    <row r="27" spans="1:49" ht="13.2" customHeight="1" x14ac:dyDescent="0.25">
      <c r="A27" s="4"/>
      <c r="C27">
        <v>8</v>
      </c>
      <c r="D27" s="107" t="s">
        <v>14</v>
      </c>
      <c r="E27" s="271">
        <v>18</v>
      </c>
      <c r="F27" s="30"/>
      <c r="G27" s="30"/>
      <c r="H27" s="30"/>
      <c r="I27" s="30"/>
      <c r="J27" s="30"/>
      <c r="K27" s="30"/>
      <c r="L27" s="30"/>
      <c r="M27" s="30"/>
      <c r="N27" s="123"/>
      <c r="O27" s="123">
        <v>0</v>
      </c>
      <c r="P27" s="123"/>
      <c r="Q27" s="123"/>
      <c r="R27" s="30">
        <f>P26+P27</f>
        <v>0</v>
      </c>
      <c r="S27" s="30">
        <f>Q26+Q27</f>
        <v>0</v>
      </c>
      <c r="T27" s="160"/>
      <c r="U27" s="109"/>
      <c r="V27" s="110">
        <f t="shared" si="16"/>
        <v>0</v>
      </c>
      <c r="W27" s="109">
        <f t="shared" si="8"/>
        <v>0</v>
      </c>
      <c r="X27" s="109">
        <f t="shared" si="9"/>
        <v>0</v>
      </c>
      <c r="Y27" s="109">
        <f t="shared" si="46"/>
        <v>0</v>
      </c>
      <c r="Z27" s="109"/>
      <c r="AA27" s="111">
        <f t="shared" si="47"/>
        <v>0</v>
      </c>
      <c r="AB27" s="120"/>
      <c r="AC27" s="109">
        <f t="shared" si="48"/>
        <v>0</v>
      </c>
      <c r="AD27" s="109"/>
      <c r="AE27" s="109"/>
      <c r="AF27" s="109"/>
      <c r="AG27" s="109">
        <f t="shared" si="10"/>
        <v>0</v>
      </c>
      <c r="AH27" s="156">
        <f>IF(VLOOKUP(AG27,'Table 26'!$A$2:$C$438,2,TRUE)&gt;=VLOOKUP(AG27,'Table 26'!$C$2:$D$438,2,TRUE),MAX(VLOOKUP(AG27,'Table 26'!$A$2:$B$438,2,TRUE),VLOOKUP(AG27,'Table 26'!$C$2:$D$438,2,TRUE)),0)</f>
        <v>0</v>
      </c>
      <c r="AI27" s="109">
        <f>X27-AF27</f>
        <v>0</v>
      </c>
      <c r="AJ27" s="158">
        <f>IF(VLOOKUP(AI27,'Table 26'!$E$2:$F$306,2,TRUE)&gt;=VLOOKUP(AI27,'Table 26'!$G$2:$H$306,2,TRUE),MAX(VLOOKUP(AI27,'Table 26'!$E$2:$F$306,2,TRUE),VLOOKUP(AI27,'Table 26'!$G$2:$H$306,2,TRUE)),0)</f>
        <v>0</v>
      </c>
      <c r="AK27" s="109"/>
      <c r="AL27" s="109">
        <f t="shared" si="11"/>
        <v>0</v>
      </c>
      <c r="AM27" s="109">
        <f>V27-AL27</f>
        <v>0</v>
      </c>
      <c r="AN27" s="109"/>
      <c r="AO27" s="109"/>
      <c r="AP27" s="273">
        <f t="shared" si="49"/>
        <v>0</v>
      </c>
      <c r="AQ27" s="253">
        <f t="shared" si="50"/>
        <v>0</v>
      </c>
      <c r="AR27" s="72">
        <f t="shared" ref="AR27:AR29" si="53">O27*5.335</f>
        <v>0</v>
      </c>
      <c r="AS27" s="25">
        <f t="shared" ref="AS27:AS29" si="54">2*O27</f>
        <v>0</v>
      </c>
      <c r="AT27" s="25">
        <f t="shared" ref="AT27:AT29" si="55">0.04*O27</f>
        <v>0</v>
      </c>
      <c r="AV27" s="220">
        <f t="shared" si="51"/>
        <v>-7.6733400000000005</v>
      </c>
      <c r="AW27" s="238">
        <f t="shared" si="52"/>
        <v>0</v>
      </c>
    </row>
    <row r="28" spans="1:49" ht="13.2" customHeight="1" x14ac:dyDescent="0.25">
      <c r="D28" s="107" t="s">
        <v>14</v>
      </c>
      <c r="E28" s="264">
        <v>25</v>
      </c>
      <c r="F28" s="30"/>
      <c r="G28" s="30"/>
      <c r="H28" s="30"/>
      <c r="I28" s="30"/>
      <c r="J28" s="30"/>
      <c r="K28" s="30"/>
      <c r="L28" s="30"/>
      <c r="M28" s="30"/>
      <c r="N28" s="123"/>
      <c r="O28" s="123"/>
      <c r="P28" s="123"/>
      <c r="Q28" s="123"/>
      <c r="R28" s="123"/>
      <c r="S28" s="123"/>
      <c r="T28" s="160"/>
      <c r="U28" s="109"/>
      <c r="V28" s="110">
        <f t="shared" si="16"/>
        <v>0</v>
      </c>
      <c r="W28" s="109">
        <f t="shared" si="8"/>
        <v>0</v>
      </c>
      <c r="X28" s="109">
        <f t="shared" si="9"/>
        <v>0</v>
      </c>
      <c r="Y28" s="109">
        <f t="shared" si="46"/>
        <v>0</v>
      </c>
      <c r="Z28" s="109"/>
      <c r="AA28" s="111">
        <f t="shared" si="47"/>
        <v>0</v>
      </c>
      <c r="AB28" s="120"/>
      <c r="AC28" s="109">
        <f t="shared" si="48"/>
        <v>0</v>
      </c>
      <c r="AD28" s="109"/>
      <c r="AE28" s="109"/>
      <c r="AF28" s="109"/>
      <c r="AG28" s="109">
        <f t="shared" si="10"/>
        <v>0</v>
      </c>
      <c r="AH28" s="156">
        <f>IF(VLOOKUP(AG28,'Table 26'!$A$2:$C$438,2,TRUE)&gt;=VLOOKUP(AG28,'Table 26'!$C$2:$D$438,2,TRUE),MAX(VLOOKUP(AG28,'Table 26'!$A$2:$B$438,2,TRUE),VLOOKUP(AG28,'Table 26'!$C$2:$D$438,2,TRUE)),0)</f>
        <v>0</v>
      </c>
      <c r="AI28" s="109">
        <f t="shared" si="3"/>
        <v>0</v>
      </c>
      <c r="AJ28" s="158">
        <f>IF(VLOOKUP(AI28,'Table 26'!$E$2:$F$306,2,TRUE)&gt;=VLOOKUP(AI28,'Table 26'!$G$2:$H$306,2,TRUE),MAX(VLOOKUP(AI28,'Table 26'!$E$2:$F$306,2,TRUE),VLOOKUP(AI28,'Table 26'!$G$2:$H$306,2,TRUE)),0)</f>
        <v>0</v>
      </c>
      <c r="AK28" s="109"/>
      <c r="AL28" s="109">
        <f t="shared" si="11"/>
        <v>0</v>
      </c>
      <c r="AM28" s="109">
        <f>V28-AL28</f>
        <v>0</v>
      </c>
      <c r="AN28" s="109"/>
      <c r="AO28" s="109"/>
      <c r="AP28" s="109">
        <f t="shared" si="49"/>
        <v>0</v>
      </c>
      <c r="AQ28" s="253">
        <f t="shared" si="50"/>
        <v>0</v>
      </c>
      <c r="AR28" s="72">
        <f t="shared" si="53"/>
        <v>0</v>
      </c>
      <c r="AS28" s="25">
        <f t="shared" si="54"/>
        <v>0</v>
      </c>
      <c r="AT28" s="25">
        <f t="shared" si="55"/>
        <v>0</v>
      </c>
      <c r="AV28" s="220">
        <f t="shared" si="51"/>
        <v>-7.6733400000000005</v>
      </c>
      <c r="AW28" s="238">
        <f t="shared" si="52"/>
        <v>0</v>
      </c>
    </row>
    <row r="29" spans="1:49" ht="13.2" customHeight="1" x14ac:dyDescent="0.25">
      <c r="A29" s="53"/>
      <c r="B29" s="53"/>
      <c r="D29" s="107" t="s">
        <v>14</v>
      </c>
      <c r="E29" s="264"/>
      <c r="F29" s="30"/>
      <c r="G29" s="30"/>
      <c r="H29" s="30"/>
      <c r="I29" s="30"/>
      <c r="J29" s="30"/>
      <c r="K29" s="30"/>
      <c r="L29" s="30"/>
      <c r="M29" s="30"/>
      <c r="N29" s="123"/>
      <c r="O29" s="123">
        <v>0</v>
      </c>
      <c r="P29" s="123"/>
      <c r="Q29" s="123"/>
      <c r="R29" s="123"/>
      <c r="S29" s="123"/>
      <c r="T29" s="160"/>
      <c r="U29" s="216"/>
      <c r="V29" s="217">
        <f t="shared" si="16"/>
        <v>0</v>
      </c>
      <c r="W29" s="121">
        <f t="shared" si="8"/>
        <v>0</v>
      </c>
      <c r="X29" s="121">
        <f t="shared" si="9"/>
        <v>0</v>
      </c>
      <c r="Y29" s="121">
        <f t="shared" si="46"/>
        <v>0</v>
      </c>
      <c r="Z29" s="121"/>
      <c r="AA29" s="131">
        <f t="shared" si="47"/>
        <v>0</v>
      </c>
      <c r="AB29" s="218"/>
      <c r="AC29" s="121">
        <f t="shared" si="48"/>
        <v>0</v>
      </c>
      <c r="AD29" s="121"/>
      <c r="AE29" s="121"/>
      <c r="AF29" s="121"/>
      <c r="AG29" s="121">
        <f t="shared" si="10"/>
        <v>0</v>
      </c>
      <c r="AH29" s="157">
        <f>IF(VLOOKUP(AG29,'Table 26'!$A$2:$C$438,2,TRUE)&gt;=VLOOKUP(AG29,'Table 26'!$C$2:$D$438,2,TRUE),MAX(VLOOKUP(AG29,'Table 26'!$A$2:$B$438,2,TRUE),VLOOKUP(AG29,'Table 26'!$C$2:$D$438,2,TRUE)),0)</f>
        <v>0</v>
      </c>
      <c r="AI29" s="121">
        <f t="shared" si="3"/>
        <v>0</v>
      </c>
      <c r="AJ29" s="159">
        <f>IF(VLOOKUP(AI29,'Table 26'!$E$2:$F$306,2,TRUE)&gt;=VLOOKUP(AI29,'Table 26'!$G$2:$H$306,2,TRUE),MAX(VLOOKUP(AI29,'Table 26'!$E$2:$F$306,2,TRUE),VLOOKUP(AI29,'Table 26'!$G$2:$H$306,2,TRUE)),0)</f>
        <v>0</v>
      </c>
      <c r="AK29" s="121"/>
      <c r="AL29" s="121">
        <f t="shared" si="11"/>
        <v>0</v>
      </c>
      <c r="AM29" s="121">
        <f>V29-AL29</f>
        <v>0</v>
      </c>
      <c r="AN29" s="121"/>
      <c r="AO29" s="121"/>
      <c r="AP29" s="121">
        <f t="shared" si="49"/>
        <v>0</v>
      </c>
      <c r="AQ29" s="254">
        <f t="shared" si="50"/>
        <v>0</v>
      </c>
      <c r="AR29" s="72">
        <f t="shared" si="53"/>
        <v>0</v>
      </c>
      <c r="AS29" s="25">
        <f t="shared" si="54"/>
        <v>0</v>
      </c>
      <c r="AT29" s="25">
        <f t="shared" si="55"/>
        <v>0</v>
      </c>
      <c r="AV29" s="220">
        <f t="shared" si="51"/>
        <v>-7.6733400000000005</v>
      </c>
      <c r="AW29" s="238">
        <f t="shared" si="52"/>
        <v>0</v>
      </c>
    </row>
    <row r="30" spans="1:49" ht="13.2" customHeight="1" thickBot="1" x14ac:dyDescent="0.3">
      <c r="A30" s="4"/>
      <c r="B30" s="4"/>
      <c r="C30" s="4"/>
      <c r="D30" s="278" t="s">
        <v>33</v>
      </c>
      <c r="E30" s="287"/>
      <c r="F30" s="280"/>
      <c r="G30" s="280"/>
      <c r="H30" s="280"/>
      <c r="I30" s="280"/>
      <c r="J30" s="280"/>
      <c r="K30" s="280"/>
      <c r="L30" s="280"/>
      <c r="M30" s="280">
        <v>0</v>
      </c>
      <c r="N30" s="280">
        <v>0</v>
      </c>
      <c r="O30" s="280">
        <f>SUM(O25:O29)</f>
        <v>0</v>
      </c>
      <c r="P30" s="280"/>
      <c r="Q30" s="280"/>
      <c r="R30" s="280"/>
      <c r="S30" s="280"/>
      <c r="T30" s="281">
        <f>SUM(T25:T29)</f>
        <v>0</v>
      </c>
      <c r="U30" s="281">
        <f t="shared" ref="U30:AW30" si="56">SUM(U25:U29)</f>
        <v>0</v>
      </c>
      <c r="V30" s="281">
        <f t="shared" si="56"/>
        <v>0</v>
      </c>
      <c r="W30" s="281">
        <f t="shared" si="56"/>
        <v>0</v>
      </c>
      <c r="X30" s="281">
        <f t="shared" si="56"/>
        <v>0</v>
      </c>
      <c r="Y30" s="281">
        <f t="shared" si="56"/>
        <v>0</v>
      </c>
      <c r="Z30" s="281">
        <f t="shared" si="56"/>
        <v>0</v>
      </c>
      <c r="AA30" s="281">
        <f t="shared" si="56"/>
        <v>0</v>
      </c>
      <c r="AB30" s="281">
        <f t="shared" si="56"/>
        <v>0</v>
      </c>
      <c r="AC30" s="281">
        <f t="shared" si="56"/>
        <v>0</v>
      </c>
      <c r="AD30" s="281">
        <f t="shared" si="56"/>
        <v>0</v>
      </c>
      <c r="AE30" s="281">
        <f t="shared" si="56"/>
        <v>0</v>
      </c>
      <c r="AF30" s="281">
        <f t="shared" si="56"/>
        <v>0</v>
      </c>
      <c r="AG30" s="281">
        <f t="shared" si="56"/>
        <v>0</v>
      </c>
      <c r="AH30" s="282">
        <f t="shared" si="56"/>
        <v>0</v>
      </c>
      <c r="AI30" s="281">
        <f t="shared" si="56"/>
        <v>0</v>
      </c>
      <c r="AJ30" s="283">
        <f t="shared" si="56"/>
        <v>0</v>
      </c>
      <c r="AK30" s="281">
        <f t="shared" si="56"/>
        <v>0</v>
      </c>
      <c r="AL30" s="281">
        <f t="shared" si="56"/>
        <v>0</v>
      </c>
      <c r="AM30" s="281">
        <f t="shared" si="56"/>
        <v>0</v>
      </c>
      <c r="AN30" s="281">
        <f t="shared" si="56"/>
        <v>0</v>
      </c>
      <c r="AO30" s="281">
        <f t="shared" si="56"/>
        <v>0</v>
      </c>
      <c r="AP30" s="281">
        <f>SUM(AP25:AP29)</f>
        <v>0</v>
      </c>
      <c r="AQ30" s="284">
        <f t="shared" si="56"/>
        <v>0</v>
      </c>
      <c r="AR30" s="285">
        <f t="shared" si="56"/>
        <v>0</v>
      </c>
      <c r="AS30" s="285">
        <f t="shared" si="56"/>
        <v>0</v>
      </c>
      <c r="AT30" s="285">
        <f t="shared" si="56"/>
        <v>0</v>
      </c>
      <c r="AU30" s="285">
        <f t="shared" si="56"/>
        <v>0</v>
      </c>
      <c r="AV30" s="281"/>
      <c r="AW30" s="286">
        <f t="shared" si="56"/>
        <v>0</v>
      </c>
    </row>
    <row r="31" spans="1:49" ht="13.2" customHeight="1" x14ac:dyDescent="0.25">
      <c r="E31" s="265"/>
      <c r="T31" s="1"/>
      <c r="U31" s="1"/>
      <c r="V31" s="41"/>
      <c r="W31" s="1"/>
      <c r="X31" s="1"/>
      <c r="Y31" s="1"/>
      <c r="Z31" s="1"/>
      <c r="AA31" s="15"/>
      <c r="AB31" s="15"/>
      <c r="AC31" s="1"/>
      <c r="AD31" s="1"/>
      <c r="AE31" s="1"/>
      <c r="AF31" s="1"/>
      <c r="AG31" s="1"/>
      <c r="AH31" s="1"/>
      <c r="AI31" s="1"/>
      <c r="AJ31" s="1"/>
      <c r="AL31" s="1"/>
      <c r="AM31" s="1"/>
      <c r="AN31" s="1"/>
      <c r="AO31" s="1"/>
      <c r="AP31" s="1"/>
      <c r="AQ31" s="17"/>
      <c r="AR31" s="72">
        <f t="shared" si="13"/>
        <v>0</v>
      </c>
      <c r="AS31" s="25">
        <f t="shared" si="14"/>
        <v>0</v>
      </c>
    </row>
    <row r="32" spans="1:49" ht="13.2" customHeight="1" x14ac:dyDescent="0.25">
      <c r="C32">
        <v>9</v>
      </c>
      <c r="D32" s="100" t="s">
        <v>15</v>
      </c>
      <c r="E32" s="272">
        <v>2</v>
      </c>
      <c r="F32" s="102"/>
      <c r="G32" s="102"/>
      <c r="H32" s="102"/>
      <c r="I32" s="102"/>
      <c r="J32" s="102"/>
      <c r="K32" s="102"/>
      <c r="L32" s="102"/>
      <c r="M32" s="102">
        <v>0</v>
      </c>
      <c r="N32" s="102"/>
      <c r="O32" s="102">
        <v>0</v>
      </c>
      <c r="P32" s="102"/>
      <c r="Q32" s="102"/>
      <c r="R32" s="102">
        <f>P28+P32</f>
        <v>0</v>
      </c>
      <c r="S32" s="102">
        <f>Q28+Q32</f>
        <v>0</v>
      </c>
      <c r="T32" s="160"/>
      <c r="U32" s="103"/>
      <c r="V32" s="104">
        <f t="shared" si="16"/>
        <v>0</v>
      </c>
      <c r="W32" s="103">
        <f t="shared" si="8"/>
        <v>0</v>
      </c>
      <c r="X32" s="103">
        <f t="shared" si="9"/>
        <v>0</v>
      </c>
      <c r="Y32" s="103">
        <f>IF(AV32&lt;0,0,(X32-134.62)*0.057)</f>
        <v>0</v>
      </c>
      <c r="Z32" s="103"/>
      <c r="AA32" s="105">
        <f>V32*1.2%</f>
        <v>0</v>
      </c>
      <c r="AB32" s="118"/>
      <c r="AC32" s="103">
        <f>V32*0.494%</f>
        <v>0</v>
      </c>
      <c r="AD32" s="103"/>
      <c r="AE32" s="103"/>
      <c r="AF32" s="103"/>
      <c r="AG32" s="103">
        <f t="shared" si="10"/>
        <v>0</v>
      </c>
      <c r="AH32" s="276">
        <f>IF(VLOOKUP(AG32,'Table 26'!$A$2:$C$438,2,TRUE)&gt;=VLOOKUP(AG32,'Table 26'!$C$2:$D$438,2,TRUE),MAX(VLOOKUP(AG32,'Table 26'!$A$2:$B$438,2,TRUE),VLOOKUP(AG32,'Table 26'!$C$2:$D$438,2,TRUE)),0)</f>
        <v>0</v>
      </c>
      <c r="AI32" s="103">
        <f>X32-AF32</f>
        <v>0</v>
      </c>
      <c r="AJ32" s="277">
        <f>IF(VLOOKUP(AI32,'Table 26'!$E$2:$F$306,2,TRUE)&gt;=VLOOKUP(AI32,'Table 26'!$G$2:$H$306,2,TRUE),MAX(VLOOKUP(AI32,'Table 26'!$E$2:$F$306,2,TRUE),VLOOKUP(AI32,'Table 26'!$G$2:$H$306,2,TRUE)),0)</f>
        <v>0</v>
      </c>
      <c r="AK32" s="102"/>
      <c r="AL32" s="103">
        <f t="shared" si="11"/>
        <v>0</v>
      </c>
      <c r="AM32" s="103">
        <f>V32-AL32</f>
        <v>0</v>
      </c>
      <c r="AN32" s="103"/>
      <c r="AO32" s="103"/>
      <c r="AP32" s="274">
        <f>AM32+AN32+AO32</f>
        <v>0</v>
      </c>
      <c r="AQ32" s="252">
        <f>V32*0.692%</f>
        <v>0</v>
      </c>
      <c r="AR32" s="249"/>
      <c r="AV32" s="220">
        <f>(X32-134.62)*0.057</f>
        <v>-7.6733400000000005</v>
      </c>
      <c r="AW32" s="255">
        <f>T32*0.04</f>
        <v>0</v>
      </c>
    </row>
    <row r="33" spans="1:49" ht="13.2" customHeight="1" x14ac:dyDescent="0.25">
      <c r="D33" s="107" t="s">
        <v>15</v>
      </c>
      <c r="E33" s="264">
        <v>9</v>
      </c>
      <c r="F33" s="30"/>
      <c r="G33" s="30"/>
      <c r="H33" s="30"/>
      <c r="I33" s="30"/>
      <c r="J33" s="30"/>
      <c r="K33" s="30"/>
      <c r="L33" s="30"/>
      <c r="M33" s="30">
        <v>0</v>
      </c>
      <c r="N33" s="30"/>
      <c r="O33" s="30">
        <v>0</v>
      </c>
      <c r="P33" s="30"/>
      <c r="Q33" s="30"/>
      <c r="R33" s="30"/>
      <c r="S33" s="30"/>
      <c r="T33" s="160"/>
      <c r="U33" s="109"/>
      <c r="V33" s="110">
        <f t="shared" si="16"/>
        <v>0</v>
      </c>
      <c r="W33" s="109">
        <f t="shared" si="8"/>
        <v>0</v>
      </c>
      <c r="X33" s="109">
        <f t="shared" si="9"/>
        <v>0</v>
      </c>
      <c r="Y33" s="109">
        <f t="shared" ref="Y33:Y36" si="57">IF(AV33&lt;0,0,(X33-134.62)*0.057)</f>
        <v>0</v>
      </c>
      <c r="Z33" s="109"/>
      <c r="AA33" s="111">
        <f t="shared" ref="AA33:AA36" si="58">V33*1.2%</f>
        <v>0</v>
      </c>
      <c r="AB33" s="120"/>
      <c r="AC33" s="109">
        <f t="shared" ref="AC33:AC36" si="59">V33*0.494%</f>
        <v>0</v>
      </c>
      <c r="AD33" s="109"/>
      <c r="AE33" s="109"/>
      <c r="AF33" s="109"/>
      <c r="AG33" s="109">
        <f t="shared" si="10"/>
        <v>0</v>
      </c>
      <c r="AH33" s="156">
        <f>IF(VLOOKUP(AG33,'Table 26'!$A$2:$C$438,2,TRUE)&gt;=VLOOKUP(AG33,'Table 26'!$C$2:$D$438,2,TRUE),MAX(VLOOKUP(AG33,'Table 26'!$A$2:$B$438,2,TRUE),VLOOKUP(AG33,'Table 26'!$C$2:$D$438,2,TRUE)),0)</f>
        <v>0</v>
      </c>
      <c r="AI33" s="109">
        <f t="shared" si="3"/>
        <v>0</v>
      </c>
      <c r="AJ33" s="158">
        <f>IF(VLOOKUP(AI33,'Table 26'!$E$2:$F$306,2,TRUE)&gt;=VLOOKUP(AI33,'Table 26'!$G$2:$H$306,2,TRUE),MAX(VLOOKUP(AI33,'Table 26'!$E$2:$F$306,2,TRUE),VLOOKUP(AI33,'Table 26'!$G$2:$H$306,2,TRUE)),0)</f>
        <v>0</v>
      </c>
      <c r="AK33" s="109"/>
      <c r="AL33" s="109">
        <f t="shared" si="11"/>
        <v>0</v>
      </c>
      <c r="AM33" s="109">
        <f>V33-AL33</f>
        <v>0</v>
      </c>
      <c r="AN33" s="109"/>
      <c r="AO33" s="109"/>
      <c r="AP33" s="109">
        <f t="shared" ref="AP33:AP36" si="60">AM33+AN33+AO33</f>
        <v>0</v>
      </c>
      <c r="AQ33" s="253">
        <f t="shared" ref="AQ33:AQ36" si="61">V33*0.692%</f>
        <v>0</v>
      </c>
      <c r="AR33" s="72">
        <f>O33*5.335</f>
        <v>0</v>
      </c>
      <c r="AS33" s="25">
        <f>2*O33</f>
        <v>0</v>
      </c>
      <c r="AT33" s="25">
        <f>0.04*O33</f>
        <v>0</v>
      </c>
      <c r="AU33" s="25"/>
      <c r="AV33" s="220">
        <f t="shared" ref="AV33:AV36" si="62">(X33-134.62)*0.057</f>
        <v>-7.6733400000000005</v>
      </c>
      <c r="AW33" s="238">
        <f t="shared" ref="AW33:AW36" si="63">T33*0.04</f>
        <v>0</v>
      </c>
    </row>
    <row r="34" spans="1:49" ht="13.2" customHeight="1" x14ac:dyDescent="0.25">
      <c r="C34">
        <v>10</v>
      </c>
      <c r="D34" s="107" t="s">
        <v>15</v>
      </c>
      <c r="E34" s="271">
        <v>16</v>
      </c>
      <c r="F34" s="30"/>
      <c r="G34" s="30"/>
      <c r="H34" s="30"/>
      <c r="I34" s="30"/>
      <c r="J34" s="30"/>
      <c r="K34" s="30"/>
      <c r="L34" s="30"/>
      <c r="M34" s="30">
        <v>0</v>
      </c>
      <c r="N34" s="30"/>
      <c r="O34" s="30">
        <v>0</v>
      </c>
      <c r="P34" s="30"/>
      <c r="Q34" s="30"/>
      <c r="R34" s="30">
        <f>P33+P34</f>
        <v>0</v>
      </c>
      <c r="S34" s="30">
        <f>Q33+Q34</f>
        <v>0</v>
      </c>
      <c r="T34" s="160"/>
      <c r="U34" s="109"/>
      <c r="V34" s="110">
        <f t="shared" si="16"/>
        <v>0</v>
      </c>
      <c r="W34" s="109">
        <f t="shared" si="8"/>
        <v>0</v>
      </c>
      <c r="X34" s="109">
        <f t="shared" si="9"/>
        <v>0</v>
      </c>
      <c r="Y34" s="109">
        <f t="shared" si="57"/>
        <v>0</v>
      </c>
      <c r="Z34" s="109"/>
      <c r="AA34" s="111">
        <f t="shared" si="58"/>
        <v>0</v>
      </c>
      <c r="AB34" s="120"/>
      <c r="AC34" s="109">
        <f t="shared" si="59"/>
        <v>0</v>
      </c>
      <c r="AD34" s="109"/>
      <c r="AE34" s="109"/>
      <c r="AF34" s="109"/>
      <c r="AG34" s="109">
        <f t="shared" si="10"/>
        <v>0</v>
      </c>
      <c r="AH34" s="156">
        <f>IF(VLOOKUP(AG34,'Table 26'!$A$2:$C$438,2,TRUE)&gt;=VLOOKUP(AG34,'Table 26'!$C$2:$D$438,2,TRUE),MAX(VLOOKUP(AG34,'Table 26'!$A$2:$B$438,2,TRUE),VLOOKUP(AG34,'Table 26'!$C$2:$D$438,2,TRUE)),0)</f>
        <v>0</v>
      </c>
      <c r="AI34" s="109">
        <f>X34-AF34</f>
        <v>0</v>
      </c>
      <c r="AJ34" s="158">
        <f>IF(VLOOKUP(AI34,'Table 26'!$E$2:$F$306,2,TRUE)&gt;=VLOOKUP(AI34,'Table 26'!$G$2:$H$306,2,TRUE),MAX(VLOOKUP(AI34,'Table 26'!$E$2:$F$306,2,TRUE),VLOOKUP(AI34,'Table 26'!$G$2:$H$306,2,TRUE)),0)</f>
        <v>0</v>
      </c>
      <c r="AK34" s="109"/>
      <c r="AL34" s="109">
        <f t="shared" si="11"/>
        <v>0</v>
      </c>
      <c r="AM34" s="109">
        <f>V34-AL34</f>
        <v>0</v>
      </c>
      <c r="AN34" s="109"/>
      <c r="AO34" s="109"/>
      <c r="AP34" s="273">
        <f t="shared" si="60"/>
        <v>0</v>
      </c>
      <c r="AQ34" s="253">
        <f t="shared" si="61"/>
        <v>0</v>
      </c>
      <c r="AR34" s="72">
        <f t="shared" ref="AR34:AR36" si="64">O34*5.335</f>
        <v>0</v>
      </c>
      <c r="AS34" s="25">
        <f t="shared" ref="AS34:AS36" si="65">2*O34</f>
        <v>0</v>
      </c>
      <c r="AT34" s="25">
        <f t="shared" ref="AT34:AT36" si="66">0.04*O34</f>
        <v>0</v>
      </c>
      <c r="AV34" s="220">
        <f t="shared" si="62"/>
        <v>-7.6733400000000005</v>
      </c>
      <c r="AW34" s="238">
        <f t="shared" si="63"/>
        <v>0</v>
      </c>
    </row>
    <row r="35" spans="1:49" ht="13.2" customHeight="1" x14ac:dyDescent="0.25">
      <c r="D35" s="107" t="s">
        <v>15</v>
      </c>
      <c r="E35" s="264">
        <v>23</v>
      </c>
      <c r="F35" s="30"/>
      <c r="G35" s="30"/>
      <c r="H35" s="30"/>
      <c r="I35" s="30"/>
      <c r="J35" s="30"/>
      <c r="K35" s="30"/>
      <c r="L35" s="30"/>
      <c r="M35" s="30">
        <v>0</v>
      </c>
      <c r="N35" s="30"/>
      <c r="O35" s="30">
        <v>0</v>
      </c>
      <c r="P35" s="30"/>
      <c r="Q35" s="30"/>
      <c r="R35" s="30"/>
      <c r="S35" s="30"/>
      <c r="T35" s="160"/>
      <c r="U35" s="109"/>
      <c r="V35" s="110">
        <f t="shared" si="16"/>
        <v>0</v>
      </c>
      <c r="W35" s="109">
        <f t="shared" si="8"/>
        <v>0</v>
      </c>
      <c r="X35" s="109">
        <f t="shared" si="9"/>
        <v>0</v>
      </c>
      <c r="Y35" s="109">
        <f t="shared" si="57"/>
        <v>0</v>
      </c>
      <c r="Z35" s="109"/>
      <c r="AA35" s="111">
        <f t="shared" si="58"/>
        <v>0</v>
      </c>
      <c r="AB35" s="120"/>
      <c r="AC35" s="109">
        <f t="shared" si="59"/>
        <v>0</v>
      </c>
      <c r="AD35" s="109"/>
      <c r="AE35" s="109"/>
      <c r="AF35" s="109"/>
      <c r="AG35" s="109">
        <f t="shared" si="10"/>
        <v>0</v>
      </c>
      <c r="AH35" s="156">
        <f>IF(VLOOKUP(AG35,'Table 26'!$A$2:$C$438,2,TRUE)&gt;=VLOOKUP(AG35,'Table 26'!$C$2:$D$438,2,TRUE),MAX(VLOOKUP(AG35,'Table 26'!$A$2:$B$438,2,TRUE),VLOOKUP(AG35,'Table 26'!$C$2:$D$438,2,TRUE)),0)</f>
        <v>0</v>
      </c>
      <c r="AI35" s="109">
        <f t="shared" si="3"/>
        <v>0</v>
      </c>
      <c r="AJ35" s="158">
        <f>IF(VLOOKUP(AI35,'Table 26'!$E$2:$F$306,2,TRUE)&gt;=VLOOKUP(AI35,'Table 26'!$G$2:$H$306,2,TRUE),MAX(VLOOKUP(AI35,'Table 26'!$E$2:$F$306,2,TRUE),VLOOKUP(AI35,'Table 26'!$G$2:$H$306,2,TRUE)),0)</f>
        <v>0</v>
      </c>
      <c r="AK35" s="109"/>
      <c r="AL35" s="109">
        <f t="shared" si="11"/>
        <v>0</v>
      </c>
      <c r="AM35" s="109">
        <f>V35-AL35</f>
        <v>0</v>
      </c>
      <c r="AN35" s="109"/>
      <c r="AO35" s="109"/>
      <c r="AP35" s="109">
        <f t="shared" si="60"/>
        <v>0</v>
      </c>
      <c r="AQ35" s="253">
        <f t="shared" si="61"/>
        <v>0</v>
      </c>
      <c r="AR35" s="72">
        <f t="shared" si="64"/>
        <v>0</v>
      </c>
      <c r="AS35" s="25">
        <f t="shared" si="65"/>
        <v>0</v>
      </c>
      <c r="AT35" s="25">
        <f t="shared" si="66"/>
        <v>0</v>
      </c>
      <c r="AV35" s="220">
        <f t="shared" si="62"/>
        <v>-7.6733400000000005</v>
      </c>
      <c r="AW35" s="238">
        <f t="shared" si="63"/>
        <v>0</v>
      </c>
    </row>
    <row r="36" spans="1:49" ht="13.2" customHeight="1" x14ac:dyDescent="0.25">
      <c r="C36">
        <v>11</v>
      </c>
      <c r="D36" s="107" t="s">
        <v>15</v>
      </c>
      <c r="E36" s="271">
        <v>30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>
        <f>P35+P36</f>
        <v>0</v>
      </c>
      <c r="S36" s="30">
        <f>Q35+Q36</f>
        <v>0</v>
      </c>
      <c r="T36" s="160"/>
      <c r="U36" s="216"/>
      <c r="V36" s="217">
        <f t="shared" si="16"/>
        <v>0</v>
      </c>
      <c r="W36" s="121">
        <f t="shared" si="8"/>
        <v>0</v>
      </c>
      <c r="X36" s="121">
        <f t="shared" si="9"/>
        <v>0</v>
      </c>
      <c r="Y36" s="121">
        <f t="shared" si="57"/>
        <v>0</v>
      </c>
      <c r="Z36" s="121"/>
      <c r="AA36" s="131">
        <f t="shared" si="58"/>
        <v>0</v>
      </c>
      <c r="AB36" s="218"/>
      <c r="AC36" s="121">
        <f t="shared" si="59"/>
        <v>0</v>
      </c>
      <c r="AD36" s="121"/>
      <c r="AE36" s="121"/>
      <c r="AF36" s="121"/>
      <c r="AG36" s="121">
        <f t="shared" si="10"/>
        <v>0</v>
      </c>
      <c r="AH36" s="157">
        <f>IF(VLOOKUP(AG36,'Table 26'!$A$2:$C$438,2,TRUE)&gt;=VLOOKUP(AG36,'Table 26'!$C$2:$D$438,2,TRUE),MAX(VLOOKUP(AG36,'Table 26'!$A$2:$B$438,2,TRUE),VLOOKUP(AG36,'Table 26'!$C$2:$D$438,2,TRUE)),0)</f>
        <v>0</v>
      </c>
      <c r="AI36" s="121">
        <f t="shared" si="3"/>
        <v>0</v>
      </c>
      <c r="AJ36" s="159">
        <f>IF(VLOOKUP(AI36,'Table 26'!$E$2:$F$306,2,TRUE)&gt;=VLOOKUP(AI36,'Table 26'!$G$2:$H$306,2,TRUE),MAX(VLOOKUP(AI36,'Table 26'!$E$2:$F$306,2,TRUE),VLOOKUP(AI36,'Table 26'!$G$2:$H$306,2,TRUE)),0)</f>
        <v>0</v>
      </c>
      <c r="AK36" s="121"/>
      <c r="AL36" s="121">
        <f t="shared" si="11"/>
        <v>0</v>
      </c>
      <c r="AM36" s="121">
        <f>V36-AL36</f>
        <v>0</v>
      </c>
      <c r="AN36" s="121"/>
      <c r="AO36" s="121"/>
      <c r="AP36" s="275">
        <f t="shared" si="60"/>
        <v>0</v>
      </c>
      <c r="AQ36" s="254">
        <f t="shared" si="61"/>
        <v>0</v>
      </c>
      <c r="AR36" s="72">
        <f t="shared" si="64"/>
        <v>0</v>
      </c>
      <c r="AS36" s="25">
        <f t="shared" si="65"/>
        <v>0</v>
      </c>
      <c r="AT36" s="25">
        <f t="shared" si="66"/>
        <v>0</v>
      </c>
      <c r="AV36" s="220">
        <f t="shared" si="62"/>
        <v>-7.6733400000000005</v>
      </c>
      <c r="AW36" s="238">
        <f t="shared" si="63"/>
        <v>0</v>
      </c>
    </row>
    <row r="37" spans="1:49" ht="13.2" customHeight="1" thickBot="1" x14ac:dyDescent="0.3">
      <c r="A37" s="4"/>
      <c r="B37" s="4"/>
      <c r="C37" s="4"/>
      <c r="D37" s="278" t="s">
        <v>33</v>
      </c>
      <c r="E37" s="287"/>
      <c r="F37" s="280"/>
      <c r="G37" s="280"/>
      <c r="H37" s="280"/>
      <c r="I37" s="280"/>
      <c r="J37" s="280"/>
      <c r="K37" s="280"/>
      <c r="L37" s="280"/>
      <c r="M37" s="280">
        <v>0</v>
      </c>
      <c r="N37" s="280">
        <v>0</v>
      </c>
      <c r="O37" s="280">
        <f>SUM(O32:O36)</f>
        <v>0</v>
      </c>
      <c r="P37" s="280"/>
      <c r="Q37" s="280"/>
      <c r="R37" s="280"/>
      <c r="S37" s="280"/>
      <c r="T37" s="281">
        <f>SUM(T32:T36)</f>
        <v>0</v>
      </c>
      <c r="U37" s="281">
        <f t="shared" ref="U37:AW37" si="67">SUM(U32:U36)</f>
        <v>0</v>
      </c>
      <c r="V37" s="281">
        <f t="shared" si="67"/>
        <v>0</v>
      </c>
      <c r="W37" s="281">
        <f t="shared" si="67"/>
        <v>0</v>
      </c>
      <c r="X37" s="281">
        <f t="shared" si="67"/>
        <v>0</v>
      </c>
      <c r="Y37" s="281">
        <f t="shared" si="67"/>
        <v>0</v>
      </c>
      <c r="Z37" s="281">
        <f t="shared" si="67"/>
        <v>0</v>
      </c>
      <c r="AA37" s="281">
        <f t="shared" si="67"/>
        <v>0</v>
      </c>
      <c r="AB37" s="281">
        <f t="shared" si="67"/>
        <v>0</v>
      </c>
      <c r="AC37" s="281">
        <f t="shared" si="67"/>
        <v>0</v>
      </c>
      <c r="AD37" s="281">
        <f t="shared" si="67"/>
        <v>0</v>
      </c>
      <c r="AE37" s="281">
        <f t="shared" si="67"/>
        <v>0</v>
      </c>
      <c r="AF37" s="281">
        <f t="shared" si="67"/>
        <v>0</v>
      </c>
      <c r="AG37" s="281">
        <f t="shared" si="67"/>
        <v>0</v>
      </c>
      <c r="AH37" s="282">
        <f t="shared" si="67"/>
        <v>0</v>
      </c>
      <c r="AI37" s="281">
        <f t="shared" si="67"/>
        <v>0</v>
      </c>
      <c r="AJ37" s="283">
        <f t="shared" si="67"/>
        <v>0</v>
      </c>
      <c r="AK37" s="281">
        <f t="shared" si="67"/>
        <v>0</v>
      </c>
      <c r="AL37" s="281">
        <f t="shared" si="67"/>
        <v>0</v>
      </c>
      <c r="AM37" s="281">
        <f t="shared" si="67"/>
        <v>0</v>
      </c>
      <c r="AN37" s="281">
        <f t="shared" si="67"/>
        <v>0</v>
      </c>
      <c r="AO37" s="281">
        <f t="shared" si="67"/>
        <v>0</v>
      </c>
      <c r="AP37" s="281">
        <f>SUM(AP32:AP36)</f>
        <v>0</v>
      </c>
      <c r="AQ37" s="284">
        <f t="shared" si="67"/>
        <v>0</v>
      </c>
      <c r="AR37" s="285">
        <f t="shared" si="67"/>
        <v>0</v>
      </c>
      <c r="AS37" s="285">
        <f t="shared" si="67"/>
        <v>0</v>
      </c>
      <c r="AT37" s="285">
        <f t="shared" si="67"/>
        <v>0</v>
      </c>
      <c r="AU37" s="285">
        <f t="shared" si="67"/>
        <v>0</v>
      </c>
      <c r="AV37" s="281"/>
      <c r="AW37" s="286">
        <f t="shared" si="67"/>
        <v>0</v>
      </c>
    </row>
    <row r="38" spans="1:49" ht="13.2" customHeight="1" x14ac:dyDescent="0.25">
      <c r="E38" s="265"/>
      <c r="T38" s="1"/>
      <c r="U38" s="1"/>
      <c r="V38" s="41"/>
      <c r="W38" s="1"/>
      <c r="X38" s="1"/>
      <c r="Y38" s="1"/>
      <c r="Z38" s="1"/>
      <c r="AA38" s="15"/>
      <c r="AB38" s="15"/>
      <c r="AC38" s="1"/>
      <c r="AD38" s="1"/>
      <c r="AE38" s="1"/>
      <c r="AF38" s="1"/>
      <c r="AG38" s="1"/>
      <c r="AH38" s="1"/>
      <c r="AI38" s="1"/>
      <c r="AJ38" s="1"/>
      <c r="AL38" s="1"/>
      <c r="AM38" s="1"/>
      <c r="AN38" s="1"/>
      <c r="AO38" s="1"/>
      <c r="AP38" s="1"/>
      <c r="AQ38" s="17"/>
      <c r="AR38" s="72">
        <f t="shared" si="13"/>
        <v>0</v>
      </c>
      <c r="AS38" s="25">
        <f t="shared" si="14"/>
        <v>0</v>
      </c>
    </row>
    <row r="39" spans="1:49" ht="13.2" customHeight="1" x14ac:dyDescent="0.25">
      <c r="D39" s="100" t="s">
        <v>16</v>
      </c>
      <c r="E39" s="101">
        <v>6</v>
      </c>
      <c r="F39" s="102"/>
      <c r="G39" s="102"/>
      <c r="H39" s="102"/>
      <c r="I39" s="102"/>
      <c r="J39" s="102"/>
      <c r="K39" s="102"/>
      <c r="L39" s="102"/>
      <c r="M39" s="102">
        <v>0</v>
      </c>
      <c r="N39" s="102"/>
      <c r="O39" s="102">
        <v>0</v>
      </c>
      <c r="P39" s="102"/>
      <c r="Q39" s="102"/>
      <c r="R39" s="102"/>
      <c r="S39" s="102"/>
      <c r="T39" s="160"/>
      <c r="U39" s="103"/>
      <c r="V39" s="104">
        <f t="shared" si="16"/>
        <v>0</v>
      </c>
      <c r="W39" s="103">
        <f t="shared" si="8"/>
        <v>0</v>
      </c>
      <c r="X39" s="103">
        <f t="shared" si="9"/>
        <v>0</v>
      </c>
      <c r="Y39" s="103">
        <f>IF(AV39&lt;0,0,(X39-134.62)*0.057)</f>
        <v>0</v>
      </c>
      <c r="Z39" s="103"/>
      <c r="AA39" s="105">
        <f>V39*1.2%</f>
        <v>0</v>
      </c>
      <c r="AB39" s="118"/>
      <c r="AC39" s="103">
        <f>V39*0.494%</f>
        <v>0</v>
      </c>
      <c r="AD39" s="103"/>
      <c r="AE39" s="103"/>
      <c r="AF39" s="103"/>
      <c r="AG39" s="103">
        <f t="shared" si="10"/>
        <v>0</v>
      </c>
      <c r="AH39" s="276">
        <f>IF(VLOOKUP(AG39,'Table 26'!$A$2:$C$438,2,TRUE)&gt;=VLOOKUP(AG39,'Table 26'!$C$2:$D$438,2,TRUE),MAX(VLOOKUP(AG39,'Table 26'!$A$2:$B$438,2,TRUE),VLOOKUP(AG39,'Table 26'!$C$2:$D$438,2,TRUE)),0)</f>
        <v>0</v>
      </c>
      <c r="AI39" s="103">
        <f>X39-AF39</f>
        <v>0</v>
      </c>
      <c r="AJ39" s="277">
        <f>IF(VLOOKUP(AI39,'Table 26'!$E$2:$F$306,2,TRUE)&gt;=VLOOKUP(AI39,'Table 26'!$G$2:$H$306,2,TRUE),MAX(VLOOKUP(AI39,'Table 26'!$E$2:$F$306,2,TRUE),VLOOKUP(AI39,'Table 26'!$G$2:$H$306,2,TRUE)),0)</f>
        <v>0</v>
      </c>
      <c r="AK39" s="102"/>
      <c r="AL39" s="103">
        <f t="shared" si="11"/>
        <v>0</v>
      </c>
      <c r="AM39" s="103">
        <f>V39-AL39</f>
        <v>0</v>
      </c>
      <c r="AN39" s="103"/>
      <c r="AO39" s="103"/>
      <c r="AP39" s="103">
        <f>AM39+AN39+AO39</f>
        <v>0</v>
      </c>
      <c r="AQ39" s="252">
        <f>V39*0.692%</f>
        <v>0</v>
      </c>
      <c r="AR39" s="249"/>
      <c r="AV39" s="220">
        <f>(X39-134.62)*0.057</f>
        <v>-7.6733400000000005</v>
      </c>
      <c r="AW39" s="255">
        <f>T39*0.04</f>
        <v>0</v>
      </c>
    </row>
    <row r="40" spans="1:49" ht="13.2" customHeight="1" x14ac:dyDescent="0.25">
      <c r="C40">
        <v>12</v>
      </c>
      <c r="D40" s="107" t="s">
        <v>16</v>
      </c>
      <c r="E40" s="271">
        <v>13</v>
      </c>
      <c r="F40" s="30"/>
      <c r="G40" s="30"/>
      <c r="H40" s="30"/>
      <c r="I40" s="30"/>
      <c r="J40" s="30"/>
      <c r="K40" s="30"/>
      <c r="L40" s="30"/>
      <c r="M40" s="30">
        <v>0</v>
      </c>
      <c r="N40" s="30"/>
      <c r="O40" s="30">
        <v>0</v>
      </c>
      <c r="P40" s="30"/>
      <c r="Q40" s="30"/>
      <c r="R40" s="30">
        <f>P39+P40</f>
        <v>0</v>
      </c>
      <c r="S40" s="30">
        <f>Q39+Q40</f>
        <v>0</v>
      </c>
      <c r="T40" s="160"/>
      <c r="U40" s="109"/>
      <c r="V40" s="110">
        <f t="shared" si="16"/>
        <v>0</v>
      </c>
      <c r="W40" s="109">
        <f t="shared" si="8"/>
        <v>0</v>
      </c>
      <c r="X40" s="109">
        <f t="shared" si="9"/>
        <v>0</v>
      </c>
      <c r="Y40" s="109">
        <f t="shared" ref="Y40:Y43" si="68">IF(AV40&lt;0,0,(X40-134.62)*0.057)</f>
        <v>0</v>
      </c>
      <c r="Z40" s="109"/>
      <c r="AA40" s="111">
        <f t="shared" ref="AA40:AA43" si="69">V40*1.2%</f>
        <v>0</v>
      </c>
      <c r="AB40" s="120"/>
      <c r="AC40" s="109">
        <f t="shared" ref="AC40:AC43" si="70">V40*0.494%</f>
        <v>0</v>
      </c>
      <c r="AD40" s="109"/>
      <c r="AE40" s="109"/>
      <c r="AF40" s="109"/>
      <c r="AG40" s="109">
        <f t="shared" si="10"/>
        <v>0</v>
      </c>
      <c r="AH40" s="156">
        <f>IF(VLOOKUP(AG40,'Table 26'!$A$2:$C$438,2,TRUE)&gt;=VLOOKUP(AG40,'Table 26'!$C$2:$D$438,2,TRUE),MAX(VLOOKUP(AG40,'Table 26'!$A$2:$B$438,2,TRUE),VLOOKUP(AG40,'Table 26'!$C$2:$D$438,2,TRUE)),0)</f>
        <v>0</v>
      </c>
      <c r="AI40" s="109">
        <f t="shared" si="3"/>
        <v>0</v>
      </c>
      <c r="AJ40" s="158">
        <f>IF(VLOOKUP(AI40,'Table 26'!$E$2:$F$306,2,TRUE)&gt;=VLOOKUP(AI40,'Table 26'!$G$2:$H$306,2,TRUE),MAX(VLOOKUP(AI40,'Table 26'!$E$2:$F$306,2,TRUE),VLOOKUP(AI40,'Table 26'!$G$2:$H$306,2,TRUE)),0)</f>
        <v>0</v>
      </c>
      <c r="AK40" s="109"/>
      <c r="AL40" s="109">
        <f t="shared" si="11"/>
        <v>0</v>
      </c>
      <c r="AM40" s="109">
        <f>V40-AL40</f>
        <v>0</v>
      </c>
      <c r="AN40" s="109"/>
      <c r="AO40" s="109"/>
      <c r="AP40" s="273">
        <f t="shared" ref="AP40:AP43" si="71">AM40+AN40+AO40</f>
        <v>0</v>
      </c>
      <c r="AQ40" s="253">
        <f t="shared" ref="AQ40:AQ43" si="72">V40*0.692%</f>
        <v>0</v>
      </c>
      <c r="AR40" s="72">
        <f>O40*5.335</f>
        <v>0</v>
      </c>
      <c r="AS40" s="25">
        <f>2*O40</f>
        <v>0</v>
      </c>
      <c r="AT40" s="25">
        <f>0.04*O40</f>
        <v>0</v>
      </c>
      <c r="AU40" s="25"/>
      <c r="AV40" s="220">
        <f t="shared" ref="AV40:AV43" si="73">(X40-134.62)*0.057</f>
        <v>-7.6733400000000005</v>
      </c>
      <c r="AW40" s="238">
        <f t="shared" ref="AW40:AW43" si="74">T40*0.04</f>
        <v>0</v>
      </c>
    </row>
    <row r="41" spans="1:49" ht="13.2" customHeight="1" x14ac:dyDescent="0.25">
      <c r="D41" s="107" t="s">
        <v>16</v>
      </c>
      <c r="E41" s="264">
        <v>20</v>
      </c>
      <c r="F41" s="30"/>
      <c r="G41" s="30"/>
      <c r="H41" s="30"/>
      <c r="I41" s="30"/>
      <c r="J41" s="30"/>
      <c r="K41" s="30"/>
      <c r="L41" s="30"/>
      <c r="M41" s="30">
        <v>0</v>
      </c>
      <c r="N41" s="30"/>
      <c r="O41" s="30">
        <v>0</v>
      </c>
      <c r="P41" s="30"/>
      <c r="Q41" s="30"/>
      <c r="R41" s="30"/>
      <c r="S41" s="30"/>
      <c r="T41" s="160"/>
      <c r="U41" s="109"/>
      <c r="V41" s="110">
        <f t="shared" si="16"/>
        <v>0</v>
      </c>
      <c r="W41" s="109">
        <f t="shared" si="8"/>
        <v>0</v>
      </c>
      <c r="X41" s="109">
        <f t="shared" si="9"/>
        <v>0</v>
      </c>
      <c r="Y41" s="109">
        <f t="shared" si="68"/>
        <v>0</v>
      </c>
      <c r="Z41" s="109"/>
      <c r="AA41" s="111">
        <f t="shared" si="69"/>
        <v>0</v>
      </c>
      <c r="AB41" s="120"/>
      <c r="AC41" s="109">
        <f t="shared" si="70"/>
        <v>0</v>
      </c>
      <c r="AD41" s="109"/>
      <c r="AE41" s="109"/>
      <c r="AF41" s="109"/>
      <c r="AG41" s="109">
        <f t="shared" si="10"/>
        <v>0</v>
      </c>
      <c r="AH41" s="156">
        <f>IF(VLOOKUP(AG41,'Table 26'!$A$2:$C$438,2,TRUE)&gt;=VLOOKUP(AG41,'Table 26'!$C$2:$D$438,2,TRUE),MAX(VLOOKUP(AG41,'Table 26'!$A$2:$B$438,2,TRUE),VLOOKUP(AG41,'Table 26'!$C$2:$D$438,2,TRUE)),0)</f>
        <v>0</v>
      </c>
      <c r="AI41" s="109">
        <f>X41-AF41</f>
        <v>0</v>
      </c>
      <c r="AJ41" s="158">
        <f>IF(VLOOKUP(AI41,'Table 26'!$E$2:$F$306,2,TRUE)&gt;=VLOOKUP(AI41,'Table 26'!$G$2:$H$306,2,TRUE),MAX(VLOOKUP(AI41,'Table 26'!$E$2:$F$306,2,TRUE),VLOOKUP(AI41,'Table 26'!$G$2:$H$306,2,TRUE)),0)</f>
        <v>0</v>
      </c>
      <c r="AK41" s="109"/>
      <c r="AL41" s="109">
        <f t="shared" si="11"/>
        <v>0</v>
      </c>
      <c r="AM41" s="109">
        <f>V41-AL41</f>
        <v>0</v>
      </c>
      <c r="AN41" s="109"/>
      <c r="AO41" s="109"/>
      <c r="AP41" s="109">
        <f t="shared" si="71"/>
        <v>0</v>
      </c>
      <c r="AQ41" s="253">
        <f t="shared" si="72"/>
        <v>0</v>
      </c>
      <c r="AR41" s="72">
        <f t="shared" ref="AR41:AR43" si="75">O41*5.335</f>
        <v>0</v>
      </c>
      <c r="AS41" s="25">
        <f t="shared" ref="AS41:AS43" si="76">2*O41</f>
        <v>0</v>
      </c>
      <c r="AT41" s="25">
        <f t="shared" ref="AT41:AT43" si="77">0.04*O41</f>
        <v>0</v>
      </c>
      <c r="AV41" s="220">
        <f t="shared" si="73"/>
        <v>-7.6733400000000005</v>
      </c>
      <c r="AW41" s="238">
        <f t="shared" si="74"/>
        <v>0</v>
      </c>
    </row>
    <row r="42" spans="1:49" ht="13.2" customHeight="1" x14ac:dyDescent="0.25">
      <c r="C42">
        <v>13</v>
      </c>
      <c r="D42" s="107" t="s">
        <v>16</v>
      </c>
      <c r="E42" s="271">
        <v>27</v>
      </c>
      <c r="F42" s="30"/>
      <c r="G42" s="30"/>
      <c r="H42" s="30"/>
      <c r="I42" s="30"/>
      <c r="J42" s="30"/>
      <c r="K42" s="30"/>
      <c r="L42" s="30"/>
      <c r="M42" s="30">
        <v>0</v>
      </c>
      <c r="N42" s="30"/>
      <c r="O42" s="30">
        <v>0</v>
      </c>
      <c r="P42" s="30"/>
      <c r="Q42" s="30"/>
      <c r="R42" s="30">
        <f>P41+P42</f>
        <v>0</v>
      </c>
      <c r="S42" s="30">
        <f>Q41+Q42</f>
        <v>0</v>
      </c>
      <c r="T42" s="160"/>
      <c r="U42" s="109"/>
      <c r="V42" s="110">
        <f t="shared" si="16"/>
        <v>0</v>
      </c>
      <c r="W42" s="109">
        <f t="shared" si="8"/>
        <v>0</v>
      </c>
      <c r="X42" s="109">
        <f t="shared" si="9"/>
        <v>0</v>
      </c>
      <c r="Y42" s="109">
        <f t="shared" si="68"/>
        <v>0</v>
      </c>
      <c r="Z42" s="109"/>
      <c r="AA42" s="111">
        <f t="shared" si="69"/>
        <v>0</v>
      </c>
      <c r="AB42" s="120"/>
      <c r="AC42" s="109">
        <f t="shared" si="70"/>
        <v>0</v>
      </c>
      <c r="AD42" s="109"/>
      <c r="AE42" s="109"/>
      <c r="AF42" s="109"/>
      <c r="AG42" s="109">
        <f t="shared" si="10"/>
        <v>0</v>
      </c>
      <c r="AH42" s="156">
        <f>IF(VLOOKUP(AG42,'Table 26'!$A$2:$C$438,2,TRUE)&gt;=VLOOKUP(AG42,'Table 26'!$C$2:$D$438,2,TRUE),MAX(VLOOKUP(AG42,'Table 26'!$A$2:$B$438,2,TRUE),VLOOKUP(AG42,'Table 26'!$C$2:$D$438,2,TRUE)),0)</f>
        <v>0</v>
      </c>
      <c r="AI42" s="109">
        <f t="shared" si="3"/>
        <v>0</v>
      </c>
      <c r="AJ42" s="158">
        <f>IF(VLOOKUP(AI42,'Table 26'!$E$2:$F$306,2,TRUE)&gt;=VLOOKUP(AI42,'Table 26'!$G$2:$H$306,2,TRUE),MAX(VLOOKUP(AI42,'Table 26'!$E$2:$F$306,2,TRUE),VLOOKUP(AI42,'Table 26'!$G$2:$H$306,2,TRUE)),0)</f>
        <v>0</v>
      </c>
      <c r="AK42" s="109"/>
      <c r="AL42" s="109">
        <f t="shared" si="11"/>
        <v>0</v>
      </c>
      <c r="AM42" s="109">
        <f>V42-AL42</f>
        <v>0</v>
      </c>
      <c r="AN42" s="109"/>
      <c r="AO42" s="109"/>
      <c r="AP42" s="273">
        <f t="shared" si="71"/>
        <v>0</v>
      </c>
      <c r="AQ42" s="253">
        <f t="shared" si="72"/>
        <v>0</v>
      </c>
      <c r="AR42" s="72">
        <f t="shared" si="75"/>
        <v>0</v>
      </c>
      <c r="AS42" s="25">
        <f t="shared" si="76"/>
        <v>0</v>
      </c>
      <c r="AT42" s="25">
        <f t="shared" si="77"/>
        <v>0</v>
      </c>
      <c r="AV42" s="220">
        <f t="shared" si="73"/>
        <v>-7.6733400000000005</v>
      </c>
      <c r="AW42" s="238">
        <f t="shared" si="74"/>
        <v>0</v>
      </c>
    </row>
    <row r="43" spans="1:49" ht="13.2" customHeight="1" x14ac:dyDescent="0.25">
      <c r="D43" s="124" t="s">
        <v>137</v>
      </c>
      <c r="E43" s="264"/>
      <c r="F43" s="30"/>
      <c r="G43" s="30"/>
      <c r="H43" s="30"/>
      <c r="I43" s="30"/>
      <c r="J43" s="30"/>
      <c r="K43" s="30"/>
      <c r="L43" s="30"/>
      <c r="M43" s="30">
        <v>0</v>
      </c>
      <c r="N43" s="30"/>
      <c r="O43" s="30">
        <v>0</v>
      </c>
      <c r="P43" s="30"/>
      <c r="Q43" s="30"/>
      <c r="R43" s="30"/>
      <c r="S43" s="30"/>
      <c r="T43" s="160"/>
      <c r="U43" s="216"/>
      <c r="V43" s="217">
        <f t="shared" si="16"/>
        <v>0</v>
      </c>
      <c r="W43" s="121">
        <f t="shared" si="8"/>
        <v>0</v>
      </c>
      <c r="X43" s="121">
        <f t="shared" si="9"/>
        <v>0</v>
      </c>
      <c r="Y43" s="121">
        <f t="shared" si="68"/>
        <v>0</v>
      </c>
      <c r="Z43" s="121"/>
      <c r="AA43" s="131">
        <f t="shared" si="69"/>
        <v>0</v>
      </c>
      <c r="AB43" s="218"/>
      <c r="AC43" s="121">
        <f t="shared" si="70"/>
        <v>0</v>
      </c>
      <c r="AD43" s="121"/>
      <c r="AE43" s="121"/>
      <c r="AF43" s="121"/>
      <c r="AG43" s="121">
        <f t="shared" si="10"/>
        <v>0</v>
      </c>
      <c r="AH43" s="157">
        <f>IF(VLOOKUP(AG43,'Table 26'!$A$2:$C$438,2,TRUE)&gt;=VLOOKUP(AG43,'Table 26'!$C$2:$D$438,2,TRUE),MAX(VLOOKUP(AG43,'Table 26'!$A$2:$B$438,2,TRUE),VLOOKUP(AG43,'Table 26'!$C$2:$D$438,2,TRUE)),0)</f>
        <v>0</v>
      </c>
      <c r="AI43" s="121">
        <f t="shared" si="3"/>
        <v>0</v>
      </c>
      <c r="AJ43" s="159">
        <f>IF(VLOOKUP(AI43,'Table 26'!$E$2:$F$306,2,TRUE)&gt;=VLOOKUP(AI43,'Table 26'!$G$2:$H$306,2,TRUE),MAX(VLOOKUP(AI43,'Table 26'!$E$2:$F$306,2,TRUE),VLOOKUP(AI43,'Table 26'!$G$2:$H$306,2,TRUE)),0)</f>
        <v>0</v>
      </c>
      <c r="AK43" s="121"/>
      <c r="AL43" s="121">
        <f t="shared" si="11"/>
        <v>0</v>
      </c>
      <c r="AM43" s="121">
        <f>V43-AL43</f>
        <v>0</v>
      </c>
      <c r="AN43" s="121"/>
      <c r="AO43" s="121"/>
      <c r="AP43" s="121">
        <f t="shared" si="71"/>
        <v>0</v>
      </c>
      <c r="AQ43" s="254">
        <f t="shared" si="72"/>
        <v>0</v>
      </c>
      <c r="AR43" s="72">
        <f t="shared" si="75"/>
        <v>0</v>
      </c>
      <c r="AS43" s="25">
        <f t="shared" si="76"/>
        <v>0</v>
      </c>
      <c r="AT43" s="25">
        <f t="shared" si="77"/>
        <v>0</v>
      </c>
      <c r="AV43" s="220">
        <f t="shared" si="73"/>
        <v>-7.6733400000000005</v>
      </c>
      <c r="AW43" s="238">
        <f t="shared" si="74"/>
        <v>0</v>
      </c>
    </row>
    <row r="44" spans="1:49" ht="13.2" customHeight="1" thickBot="1" x14ac:dyDescent="0.3">
      <c r="A44" s="4"/>
      <c r="B44" s="4"/>
      <c r="C44" s="4"/>
      <c r="D44" s="278" t="s">
        <v>33</v>
      </c>
      <c r="E44" s="287"/>
      <c r="F44" s="280"/>
      <c r="G44" s="280"/>
      <c r="H44" s="280"/>
      <c r="I44" s="280"/>
      <c r="J44" s="280"/>
      <c r="K44" s="280"/>
      <c r="L44" s="280"/>
      <c r="M44" s="280">
        <v>0</v>
      </c>
      <c r="N44" s="280">
        <v>0</v>
      </c>
      <c r="O44" s="280">
        <f>SUM(O39:O43)</f>
        <v>0</v>
      </c>
      <c r="P44" s="280"/>
      <c r="Q44" s="280"/>
      <c r="R44" s="280"/>
      <c r="S44" s="280"/>
      <c r="T44" s="281">
        <f>SUM(T39:T43)</f>
        <v>0</v>
      </c>
      <c r="U44" s="281">
        <f t="shared" ref="U44:AW44" si="78">SUM(U39:U43)</f>
        <v>0</v>
      </c>
      <c r="V44" s="281">
        <f t="shared" si="78"/>
        <v>0</v>
      </c>
      <c r="W44" s="281">
        <f t="shared" si="78"/>
        <v>0</v>
      </c>
      <c r="X44" s="281">
        <f t="shared" si="78"/>
        <v>0</v>
      </c>
      <c r="Y44" s="281">
        <f t="shared" si="78"/>
        <v>0</v>
      </c>
      <c r="Z44" s="281">
        <f t="shared" si="78"/>
        <v>0</v>
      </c>
      <c r="AA44" s="281">
        <f t="shared" si="78"/>
        <v>0</v>
      </c>
      <c r="AB44" s="281">
        <f t="shared" si="78"/>
        <v>0</v>
      </c>
      <c r="AC44" s="281">
        <f t="shared" si="78"/>
        <v>0</v>
      </c>
      <c r="AD44" s="281">
        <f t="shared" si="78"/>
        <v>0</v>
      </c>
      <c r="AE44" s="281">
        <f t="shared" si="78"/>
        <v>0</v>
      </c>
      <c r="AF44" s="281">
        <f t="shared" si="78"/>
        <v>0</v>
      </c>
      <c r="AG44" s="281">
        <f t="shared" si="78"/>
        <v>0</v>
      </c>
      <c r="AH44" s="282">
        <f t="shared" si="78"/>
        <v>0</v>
      </c>
      <c r="AI44" s="281">
        <f t="shared" si="78"/>
        <v>0</v>
      </c>
      <c r="AJ44" s="283">
        <f t="shared" si="78"/>
        <v>0</v>
      </c>
      <c r="AK44" s="281">
        <f t="shared" si="78"/>
        <v>0</v>
      </c>
      <c r="AL44" s="281">
        <f t="shared" si="78"/>
        <v>0</v>
      </c>
      <c r="AM44" s="281">
        <f t="shared" si="78"/>
        <v>0</v>
      </c>
      <c r="AN44" s="281">
        <f t="shared" si="78"/>
        <v>0</v>
      </c>
      <c r="AO44" s="281">
        <f t="shared" si="78"/>
        <v>0</v>
      </c>
      <c r="AP44" s="281">
        <f>SUM(AP39:AP43)</f>
        <v>0</v>
      </c>
      <c r="AQ44" s="284">
        <f t="shared" si="78"/>
        <v>0</v>
      </c>
      <c r="AR44" s="285">
        <f t="shared" si="78"/>
        <v>0</v>
      </c>
      <c r="AS44" s="285">
        <f t="shared" si="78"/>
        <v>0</v>
      </c>
      <c r="AT44" s="285">
        <f t="shared" si="78"/>
        <v>0</v>
      </c>
      <c r="AU44" s="285">
        <f t="shared" si="78"/>
        <v>0</v>
      </c>
      <c r="AV44" s="281"/>
      <c r="AW44" s="286">
        <f t="shared" si="78"/>
        <v>0</v>
      </c>
    </row>
    <row r="45" spans="1:49" ht="13.2" customHeight="1" x14ac:dyDescent="0.25">
      <c r="E45" s="265"/>
      <c r="T45" s="1"/>
      <c r="U45" s="1"/>
      <c r="V45" s="41"/>
      <c r="W45" s="1"/>
      <c r="X45" s="1"/>
      <c r="Y45" s="1"/>
      <c r="Z45" s="1"/>
      <c r="AA45" s="15"/>
      <c r="AB45" s="15"/>
      <c r="AC45" s="1"/>
      <c r="AD45" s="1"/>
      <c r="AE45" s="1"/>
      <c r="AF45" s="1"/>
      <c r="AG45" s="1"/>
      <c r="AH45" s="1"/>
      <c r="AI45" s="1"/>
      <c r="AJ45" s="1"/>
      <c r="AL45" s="1"/>
      <c r="AM45" s="1"/>
      <c r="AN45" s="1"/>
      <c r="AO45" s="1"/>
      <c r="AP45" s="1"/>
      <c r="AQ45" s="17"/>
      <c r="AR45" s="72">
        <f t="shared" si="13"/>
        <v>0</v>
      </c>
      <c r="AS45" s="25">
        <f t="shared" si="14"/>
        <v>0</v>
      </c>
    </row>
    <row r="46" spans="1:49" ht="13.2" customHeight="1" x14ac:dyDescent="0.25">
      <c r="D46" s="100" t="s">
        <v>17</v>
      </c>
      <c r="E46" s="101">
        <v>4</v>
      </c>
      <c r="F46" s="102"/>
      <c r="G46" s="102"/>
      <c r="H46" s="102"/>
      <c r="I46" s="102"/>
      <c r="J46" s="102"/>
      <c r="K46" s="102"/>
      <c r="L46" s="102"/>
      <c r="M46" s="102">
        <v>0</v>
      </c>
      <c r="N46" s="102"/>
      <c r="O46" s="102">
        <v>0</v>
      </c>
      <c r="P46" s="102"/>
      <c r="Q46" s="102"/>
      <c r="R46" s="102"/>
      <c r="S46" s="102"/>
      <c r="T46" s="160"/>
      <c r="U46" s="103"/>
      <c r="V46" s="104">
        <f t="shared" si="16"/>
        <v>0</v>
      </c>
      <c r="W46" s="103">
        <f t="shared" si="8"/>
        <v>0</v>
      </c>
      <c r="X46" s="103">
        <f t="shared" si="9"/>
        <v>0</v>
      </c>
      <c r="Y46" s="103">
        <f>IF(AV46&lt;0,0,(X46-134.62)*0.057)</f>
        <v>0</v>
      </c>
      <c r="Z46" s="103"/>
      <c r="AA46" s="105">
        <f>V46*1.2%</f>
        <v>0</v>
      </c>
      <c r="AB46" s="118"/>
      <c r="AC46" s="103">
        <f>V46*0.494%</f>
        <v>0</v>
      </c>
      <c r="AD46" s="103"/>
      <c r="AE46" s="103"/>
      <c r="AF46" s="103"/>
      <c r="AG46" s="103">
        <f t="shared" si="10"/>
        <v>0</v>
      </c>
      <c r="AH46" s="276">
        <f>IF(VLOOKUP(AG46,'Table 26'!$A$2:$C$438,2,TRUE)&gt;=VLOOKUP(AG46,'Table 26'!$C$2:$D$438,2,TRUE),MAX(VLOOKUP(AG46,'Table 26'!$A$2:$B$438,2,TRUE),VLOOKUP(AG46,'Table 26'!$C$2:$D$438,2,TRUE)),0)</f>
        <v>0</v>
      </c>
      <c r="AI46" s="103">
        <f>X46-AF46</f>
        <v>0</v>
      </c>
      <c r="AJ46" s="277">
        <f>IF(VLOOKUP(AI46,'Table 26'!$E$2:$F$306,2,TRUE)&gt;=VLOOKUP(AI46,'Table 26'!$G$2:$H$306,2,TRUE),MAX(VLOOKUP(AI46,'Table 26'!$E$2:$F$306,2,TRUE),VLOOKUP(AI46,'Table 26'!$G$2:$H$306,2,TRUE)),0)</f>
        <v>0</v>
      </c>
      <c r="AK46" s="102"/>
      <c r="AL46" s="103">
        <f t="shared" si="11"/>
        <v>0</v>
      </c>
      <c r="AM46" s="103">
        <f>V46-AL46</f>
        <v>0</v>
      </c>
      <c r="AN46" s="103"/>
      <c r="AO46" s="103"/>
      <c r="AP46" s="103">
        <f>AM46+AN46+AO46</f>
        <v>0</v>
      </c>
      <c r="AQ46" s="252">
        <f>V46*0.692%</f>
        <v>0</v>
      </c>
      <c r="AR46" s="249"/>
      <c r="AV46" s="220">
        <f>(X46-134.62)*0.057</f>
        <v>-7.6733400000000005</v>
      </c>
      <c r="AW46" s="255">
        <f>T46*0.04</f>
        <v>0</v>
      </c>
    </row>
    <row r="47" spans="1:49" ht="13.2" customHeight="1" x14ac:dyDescent="0.25">
      <c r="C47">
        <v>14</v>
      </c>
      <c r="D47" s="107" t="s">
        <v>17</v>
      </c>
      <c r="E47" s="271">
        <v>11</v>
      </c>
      <c r="F47" s="30"/>
      <c r="G47" s="30"/>
      <c r="H47" s="30"/>
      <c r="I47" s="30"/>
      <c r="J47" s="30"/>
      <c r="K47" s="30"/>
      <c r="L47" s="30"/>
      <c r="M47" s="30">
        <v>0</v>
      </c>
      <c r="N47" s="30"/>
      <c r="O47" s="30">
        <v>0</v>
      </c>
      <c r="P47" s="30"/>
      <c r="Q47" s="30"/>
      <c r="R47" s="30">
        <f>P46+P47</f>
        <v>0</v>
      </c>
      <c r="S47" s="30">
        <f>Q46+Q47</f>
        <v>0</v>
      </c>
      <c r="T47" s="160"/>
      <c r="U47" s="109"/>
      <c r="V47" s="110">
        <f t="shared" si="16"/>
        <v>0</v>
      </c>
      <c r="W47" s="109">
        <f t="shared" si="8"/>
        <v>0</v>
      </c>
      <c r="X47" s="109">
        <f t="shared" si="9"/>
        <v>0</v>
      </c>
      <c r="Y47" s="109">
        <f t="shared" ref="Y47:Y50" si="79">IF(AV47&lt;0,0,(X47-134.62)*0.057)</f>
        <v>0</v>
      </c>
      <c r="Z47" s="109"/>
      <c r="AA47" s="111">
        <f t="shared" ref="AA47:AA50" si="80">V47*1.2%</f>
        <v>0</v>
      </c>
      <c r="AB47" s="120"/>
      <c r="AC47" s="109">
        <f t="shared" ref="AC47:AC50" si="81">V47*0.494%</f>
        <v>0</v>
      </c>
      <c r="AD47" s="109"/>
      <c r="AE47" s="109"/>
      <c r="AF47" s="109"/>
      <c r="AG47" s="109">
        <f t="shared" si="10"/>
        <v>0</v>
      </c>
      <c r="AH47" s="156">
        <f>IF(VLOOKUP(AG47,'Table 26'!$A$2:$C$438,2,TRUE)&gt;=VLOOKUP(AG47,'Table 26'!$C$2:$D$438,2,TRUE),MAX(VLOOKUP(AG47,'Table 26'!$A$2:$B$438,2,TRUE),VLOOKUP(AG47,'Table 26'!$C$2:$D$438,2,TRUE)),0)</f>
        <v>0</v>
      </c>
      <c r="AI47" s="109">
        <f t="shared" si="3"/>
        <v>0</v>
      </c>
      <c r="AJ47" s="158">
        <f>IF(VLOOKUP(AI47,'Table 26'!$E$2:$F$306,2,TRUE)&gt;=VLOOKUP(AI47,'Table 26'!$G$2:$H$306,2,TRUE),MAX(VLOOKUP(AI47,'Table 26'!$E$2:$F$306,2,TRUE),VLOOKUP(AI47,'Table 26'!$G$2:$H$306,2,TRUE)),0)</f>
        <v>0</v>
      </c>
      <c r="AK47" s="109"/>
      <c r="AL47" s="109">
        <f t="shared" si="11"/>
        <v>0</v>
      </c>
      <c r="AM47" s="109">
        <f t="shared" ref="AM47:AM50" si="82">V47-AL47</f>
        <v>0</v>
      </c>
      <c r="AN47" s="109"/>
      <c r="AO47" s="109"/>
      <c r="AP47" s="273">
        <f t="shared" ref="AP47:AP50" si="83">AM47+AN47+AO47</f>
        <v>0</v>
      </c>
      <c r="AQ47" s="253">
        <f t="shared" ref="AQ47:AQ50" si="84">V47*0.692%</f>
        <v>0</v>
      </c>
      <c r="AR47" s="72">
        <f>O47*5.335</f>
        <v>0</v>
      </c>
      <c r="AS47" s="25">
        <f>2*O47</f>
        <v>0</v>
      </c>
      <c r="AT47" s="25">
        <f>0.04*O47</f>
        <v>0</v>
      </c>
      <c r="AU47" s="25"/>
      <c r="AV47" s="220">
        <f t="shared" ref="AV47:AV50" si="85">(X47-134.62)*0.057</f>
        <v>-7.6733400000000005</v>
      </c>
      <c r="AW47" s="238">
        <f t="shared" ref="AW47:AW50" si="86">T47*0.04</f>
        <v>0</v>
      </c>
    </row>
    <row r="48" spans="1:49" ht="13.2" customHeight="1" x14ac:dyDescent="0.25">
      <c r="D48" s="107" t="s">
        <v>17</v>
      </c>
      <c r="E48" s="264">
        <v>18</v>
      </c>
      <c r="F48" s="30"/>
      <c r="G48" s="30"/>
      <c r="H48" s="30"/>
      <c r="I48" s="30"/>
      <c r="J48" s="30"/>
      <c r="K48" s="30"/>
      <c r="L48" s="30"/>
      <c r="M48" s="30">
        <v>0</v>
      </c>
      <c r="N48" s="30"/>
      <c r="O48" s="30">
        <v>0</v>
      </c>
      <c r="P48" s="30"/>
      <c r="Q48" s="30"/>
      <c r="R48" s="30"/>
      <c r="S48" s="30"/>
      <c r="T48" s="160"/>
      <c r="U48" s="109"/>
      <c r="V48" s="110">
        <f t="shared" si="16"/>
        <v>0</v>
      </c>
      <c r="W48" s="109">
        <f t="shared" si="8"/>
        <v>0</v>
      </c>
      <c r="X48" s="109">
        <f t="shared" si="9"/>
        <v>0</v>
      </c>
      <c r="Y48" s="109">
        <f t="shared" si="79"/>
        <v>0</v>
      </c>
      <c r="Z48" s="109"/>
      <c r="AA48" s="111">
        <f t="shared" si="80"/>
        <v>0</v>
      </c>
      <c r="AB48" s="120"/>
      <c r="AC48" s="109">
        <f t="shared" si="81"/>
        <v>0</v>
      </c>
      <c r="AD48" s="109"/>
      <c r="AE48" s="109"/>
      <c r="AF48" s="109"/>
      <c r="AG48" s="109">
        <f t="shared" si="10"/>
        <v>0</v>
      </c>
      <c r="AH48" s="156">
        <f>IF(VLOOKUP(AG48,'Table 26'!$A$2:$C$438,2,TRUE)&gt;=VLOOKUP(AG48,'Table 26'!$C$2:$D$438,2,TRUE),MAX(VLOOKUP(AG48,'Table 26'!$A$2:$B$438,2,TRUE),VLOOKUP(AG48,'Table 26'!$C$2:$D$438,2,TRUE)),0)</f>
        <v>0</v>
      </c>
      <c r="AI48" s="109">
        <f>X48-AF48</f>
        <v>0</v>
      </c>
      <c r="AJ48" s="158">
        <f>IF(VLOOKUP(AI48,'Table 26'!$E$2:$F$306,2,TRUE)&gt;=VLOOKUP(AI48,'Table 26'!$G$2:$H$306,2,TRUE),MAX(VLOOKUP(AI48,'Table 26'!$E$2:$F$306,2,TRUE),VLOOKUP(AI48,'Table 26'!$G$2:$H$306,2,TRUE)),0)</f>
        <v>0</v>
      </c>
      <c r="AK48" s="109"/>
      <c r="AL48" s="109">
        <f t="shared" si="11"/>
        <v>0</v>
      </c>
      <c r="AM48" s="109">
        <f t="shared" si="82"/>
        <v>0</v>
      </c>
      <c r="AN48" s="109"/>
      <c r="AO48" s="109"/>
      <c r="AP48" s="109">
        <f t="shared" si="83"/>
        <v>0</v>
      </c>
      <c r="AQ48" s="253">
        <f t="shared" si="84"/>
        <v>0</v>
      </c>
      <c r="AR48" s="72">
        <f t="shared" ref="AR48:AR50" si="87">O48*5.335</f>
        <v>0</v>
      </c>
      <c r="AS48" s="25">
        <f t="shared" ref="AS48:AS50" si="88">2*O48</f>
        <v>0</v>
      </c>
      <c r="AT48" s="25">
        <f t="shared" ref="AT48:AT50" si="89">0.04*O48</f>
        <v>0</v>
      </c>
      <c r="AV48" s="220">
        <f t="shared" si="85"/>
        <v>-7.6733400000000005</v>
      </c>
      <c r="AW48" s="238">
        <f t="shared" si="86"/>
        <v>0</v>
      </c>
    </row>
    <row r="49" spans="1:49" ht="13.2" customHeight="1" x14ac:dyDescent="0.25">
      <c r="C49">
        <v>15</v>
      </c>
      <c r="D49" s="107" t="s">
        <v>17</v>
      </c>
      <c r="E49" s="271">
        <v>25</v>
      </c>
      <c r="F49" s="30"/>
      <c r="G49" s="30"/>
      <c r="H49" s="30"/>
      <c r="I49" s="30"/>
      <c r="J49" s="30"/>
      <c r="K49" s="30"/>
      <c r="L49" s="30"/>
      <c r="M49" s="30">
        <v>0</v>
      </c>
      <c r="N49" s="30">
        <v>0</v>
      </c>
      <c r="O49" s="30">
        <v>0</v>
      </c>
      <c r="P49" s="30"/>
      <c r="Q49" s="30"/>
      <c r="R49" s="30">
        <f>P48+P49</f>
        <v>0</v>
      </c>
      <c r="S49" s="30">
        <f>Q48+Q49</f>
        <v>0</v>
      </c>
      <c r="T49" s="160"/>
      <c r="U49" s="109"/>
      <c r="V49" s="110">
        <f t="shared" si="16"/>
        <v>0</v>
      </c>
      <c r="W49" s="109">
        <f t="shared" si="8"/>
        <v>0</v>
      </c>
      <c r="X49" s="109">
        <f t="shared" si="9"/>
        <v>0</v>
      </c>
      <c r="Y49" s="109">
        <f t="shared" si="79"/>
        <v>0</v>
      </c>
      <c r="Z49" s="109"/>
      <c r="AA49" s="111">
        <f t="shared" si="80"/>
        <v>0</v>
      </c>
      <c r="AB49" s="120"/>
      <c r="AC49" s="109">
        <f t="shared" si="81"/>
        <v>0</v>
      </c>
      <c r="AD49" s="109"/>
      <c r="AE49" s="109"/>
      <c r="AF49" s="109"/>
      <c r="AG49" s="109">
        <f t="shared" si="10"/>
        <v>0</v>
      </c>
      <c r="AH49" s="156">
        <f>IF(VLOOKUP(AG49,'Table 26'!$A$2:$C$438,2,TRUE)&gt;=VLOOKUP(AG49,'Table 26'!$C$2:$D$438,2,TRUE),MAX(VLOOKUP(AG49,'Table 26'!$A$2:$B$438,2,TRUE),VLOOKUP(AG49,'Table 26'!$C$2:$D$438,2,TRUE)),0)</f>
        <v>0</v>
      </c>
      <c r="AI49" s="109">
        <f t="shared" si="3"/>
        <v>0</v>
      </c>
      <c r="AJ49" s="158">
        <f>IF(VLOOKUP(AI49,'Table 26'!$E$2:$F$306,2,TRUE)&gt;=VLOOKUP(AI49,'Table 26'!$G$2:$H$306,2,TRUE),MAX(VLOOKUP(AI49,'Table 26'!$E$2:$F$306,2,TRUE),VLOOKUP(AI49,'Table 26'!$G$2:$H$306,2,TRUE)),0)</f>
        <v>0</v>
      </c>
      <c r="AK49" s="109"/>
      <c r="AL49" s="109">
        <f t="shared" si="11"/>
        <v>0</v>
      </c>
      <c r="AM49" s="109">
        <f t="shared" si="82"/>
        <v>0</v>
      </c>
      <c r="AN49" s="109"/>
      <c r="AO49" s="109"/>
      <c r="AP49" s="273">
        <f t="shared" si="83"/>
        <v>0</v>
      </c>
      <c r="AQ49" s="253">
        <f t="shared" si="84"/>
        <v>0</v>
      </c>
      <c r="AR49" s="72">
        <f t="shared" si="87"/>
        <v>0</v>
      </c>
      <c r="AS49" s="25">
        <f t="shared" si="88"/>
        <v>0</v>
      </c>
      <c r="AT49" s="25">
        <f t="shared" si="89"/>
        <v>0</v>
      </c>
      <c r="AV49" s="220">
        <f t="shared" si="85"/>
        <v>-7.6733400000000005</v>
      </c>
      <c r="AW49" s="238">
        <f t="shared" si="86"/>
        <v>0</v>
      </c>
    </row>
    <row r="50" spans="1:49" ht="13.2" customHeight="1" x14ac:dyDescent="0.25">
      <c r="D50" s="107" t="s">
        <v>52</v>
      </c>
      <c r="E50" s="264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160"/>
      <c r="U50" s="216"/>
      <c r="V50" s="217">
        <f t="shared" si="16"/>
        <v>0</v>
      </c>
      <c r="W50" s="121">
        <f t="shared" si="8"/>
        <v>0</v>
      </c>
      <c r="X50" s="121">
        <f t="shared" si="9"/>
        <v>0</v>
      </c>
      <c r="Y50" s="121">
        <f t="shared" si="79"/>
        <v>0</v>
      </c>
      <c r="Z50" s="121"/>
      <c r="AA50" s="131">
        <f t="shared" si="80"/>
        <v>0</v>
      </c>
      <c r="AB50" s="218"/>
      <c r="AC50" s="121">
        <f t="shared" si="81"/>
        <v>0</v>
      </c>
      <c r="AD50" s="121"/>
      <c r="AE50" s="121"/>
      <c r="AF50" s="121"/>
      <c r="AG50" s="121">
        <f t="shared" si="10"/>
        <v>0</v>
      </c>
      <c r="AH50" s="157">
        <f>IF(VLOOKUP(AG50,'Table 26'!$A$2:$C$438,2,TRUE)&gt;=VLOOKUP(AG50,'Table 26'!$C$2:$D$438,2,TRUE),MAX(VLOOKUP(AG50,'Table 26'!$A$2:$B$438,2,TRUE),VLOOKUP(AG50,'Table 26'!$C$2:$D$438,2,TRUE)),0)</f>
        <v>0</v>
      </c>
      <c r="AI50" s="121">
        <f t="shared" si="3"/>
        <v>0</v>
      </c>
      <c r="AJ50" s="159">
        <f>IF(VLOOKUP(AI50,'Table 26'!$E$2:$F$306,2,TRUE)&gt;=VLOOKUP(AI50,'Table 26'!$G$2:$H$306,2,TRUE),MAX(VLOOKUP(AI50,'Table 26'!$E$2:$F$306,2,TRUE),VLOOKUP(AI50,'Table 26'!$G$2:$H$306,2,TRUE)),0)</f>
        <v>0</v>
      </c>
      <c r="AK50" s="121"/>
      <c r="AL50" s="121">
        <f t="shared" si="11"/>
        <v>0</v>
      </c>
      <c r="AM50" s="121">
        <f t="shared" si="82"/>
        <v>0</v>
      </c>
      <c r="AN50" s="121"/>
      <c r="AO50" s="121"/>
      <c r="AP50" s="121">
        <f t="shared" si="83"/>
        <v>0</v>
      </c>
      <c r="AQ50" s="254">
        <f t="shared" si="84"/>
        <v>0</v>
      </c>
      <c r="AR50" s="72">
        <f t="shared" si="87"/>
        <v>0</v>
      </c>
      <c r="AS50" s="25">
        <f t="shared" si="88"/>
        <v>0</v>
      </c>
      <c r="AT50" s="25">
        <f t="shared" si="89"/>
        <v>0</v>
      </c>
      <c r="AV50" s="220">
        <f t="shared" si="85"/>
        <v>-7.6733400000000005</v>
      </c>
      <c r="AW50" s="238">
        <f t="shared" si="86"/>
        <v>0</v>
      </c>
    </row>
    <row r="51" spans="1:49" ht="13.2" customHeight="1" thickBot="1" x14ac:dyDescent="0.3">
      <c r="A51" s="4"/>
      <c r="B51" s="4"/>
      <c r="C51" s="4"/>
      <c r="D51" s="278" t="s">
        <v>33</v>
      </c>
      <c r="E51" s="287"/>
      <c r="F51" s="280"/>
      <c r="G51" s="280"/>
      <c r="H51" s="280"/>
      <c r="I51" s="280"/>
      <c r="J51" s="280"/>
      <c r="K51" s="280"/>
      <c r="L51" s="280"/>
      <c r="M51" s="280">
        <v>0</v>
      </c>
      <c r="N51" s="280">
        <v>0</v>
      </c>
      <c r="O51" s="280">
        <f>SUM(O46:O50)</f>
        <v>0</v>
      </c>
      <c r="P51" s="280"/>
      <c r="Q51" s="280"/>
      <c r="R51" s="280"/>
      <c r="S51" s="280"/>
      <c r="T51" s="281">
        <f>SUM(T46:T50)</f>
        <v>0</v>
      </c>
      <c r="U51" s="281">
        <f t="shared" ref="U51:AW51" si="90">SUM(U46:U50)</f>
        <v>0</v>
      </c>
      <c r="V51" s="281">
        <f t="shared" si="90"/>
        <v>0</v>
      </c>
      <c r="W51" s="281">
        <f t="shared" si="90"/>
        <v>0</v>
      </c>
      <c r="X51" s="281">
        <f t="shared" si="90"/>
        <v>0</v>
      </c>
      <c r="Y51" s="281">
        <f t="shared" si="90"/>
        <v>0</v>
      </c>
      <c r="Z51" s="281">
        <f t="shared" si="90"/>
        <v>0</v>
      </c>
      <c r="AA51" s="281">
        <f t="shared" si="90"/>
        <v>0</v>
      </c>
      <c r="AB51" s="281">
        <f t="shared" si="90"/>
        <v>0</v>
      </c>
      <c r="AC51" s="281">
        <f t="shared" si="90"/>
        <v>0</v>
      </c>
      <c r="AD51" s="281">
        <f t="shared" si="90"/>
        <v>0</v>
      </c>
      <c r="AE51" s="281">
        <f t="shared" si="90"/>
        <v>0</v>
      </c>
      <c r="AF51" s="281">
        <f t="shared" si="90"/>
        <v>0</v>
      </c>
      <c r="AG51" s="281">
        <f t="shared" si="90"/>
        <v>0</v>
      </c>
      <c r="AH51" s="282">
        <f t="shared" si="90"/>
        <v>0</v>
      </c>
      <c r="AI51" s="281">
        <f t="shared" si="90"/>
        <v>0</v>
      </c>
      <c r="AJ51" s="283">
        <f t="shared" si="90"/>
        <v>0</v>
      </c>
      <c r="AK51" s="281">
        <f t="shared" si="90"/>
        <v>0</v>
      </c>
      <c r="AL51" s="281">
        <f t="shared" si="90"/>
        <v>0</v>
      </c>
      <c r="AM51" s="281">
        <f t="shared" si="90"/>
        <v>0</v>
      </c>
      <c r="AN51" s="281">
        <f t="shared" si="90"/>
        <v>0</v>
      </c>
      <c r="AO51" s="281">
        <f t="shared" si="90"/>
        <v>0</v>
      </c>
      <c r="AP51" s="281">
        <f>SUM(AP46:AP50)</f>
        <v>0</v>
      </c>
      <c r="AQ51" s="284">
        <f t="shared" si="90"/>
        <v>0</v>
      </c>
      <c r="AR51" s="285">
        <f t="shared" si="90"/>
        <v>0</v>
      </c>
      <c r="AS51" s="285">
        <f t="shared" si="90"/>
        <v>0</v>
      </c>
      <c r="AT51" s="285">
        <f t="shared" si="90"/>
        <v>0</v>
      </c>
      <c r="AU51" s="285">
        <f t="shared" si="90"/>
        <v>0</v>
      </c>
      <c r="AV51" s="281"/>
      <c r="AW51" s="286">
        <f t="shared" si="90"/>
        <v>0</v>
      </c>
    </row>
    <row r="52" spans="1:49" ht="13.2" customHeight="1" x14ac:dyDescent="0.25">
      <c r="E52" s="265"/>
      <c r="T52" s="1"/>
      <c r="U52" s="1"/>
      <c r="V52" s="41"/>
      <c r="W52" s="1"/>
      <c r="X52" s="1"/>
      <c r="Y52" s="1"/>
      <c r="Z52" s="1"/>
      <c r="AA52" s="15"/>
      <c r="AB52" s="15"/>
      <c r="AC52" s="1"/>
      <c r="AD52" s="1"/>
      <c r="AE52" s="1"/>
      <c r="AF52" s="1"/>
      <c r="AG52" s="1"/>
      <c r="AH52" s="1"/>
      <c r="AI52" s="1"/>
      <c r="AJ52" s="1"/>
      <c r="AL52" s="1"/>
      <c r="AM52" s="6"/>
      <c r="AN52" s="1"/>
      <c r="AO52" s="1"/>
      <c r="AP52" s="6"/>
      <c r="AQ52" s="17"/>
      <c r="AR52" s="72">
        <f t="shared" si="13"/>
        <v>0</v>
      </c>
      <c r="AS52" s="25">
        <f t="shared" si="14"/>
        <v>0</v>
      </c>
    </row>
    <row r="53" spans="1:49" ht="13.2" customHeight="1" x14ac:dyDescent="0.25">
      <c r="D53" s="100" t="s">
        <v>18</v>
      </c>
      <c r="E53" s="101">
        <v>1</v>
      </c>
      <c r="F53" s="102"/>
      <c r="G53" s="102"/>
      <c r="H53" s="102"/>
      <c r="I53" s="102"/>
      <c r="J53" s="102"/>
      <c r="K53" s="102"/>
      <c r="L53" s="102"/>
      <c r="M53" s="102">
        <v>0</v>
      </c>
      <c r="N53" s="102"/>
      <c r="O53" s="102">
        <v>0</v>
      </c>
      <c r="P53" s="102"/>
      <c r="Q53" s="102"/>
      <c r="R53" s="102"/>
      <c r="S53" s="102"/>
      <c r="T53" s="160"/>
      <c r="U53" s="103"/>
      <c r="V53" s="104">
        <f t="shared" si="16"/>
        <v>0</v>
      </c>
      <c r="W53" s="103">
        <f t="shared" si="8"/>
        <v>0</v>
      </c>
      <c r="X53" s="103">
        <f t="shared" si="9"/>
        <v>0</v>
      </c>
      <c r="Y53" s="103">
        <f>IF(AV53&lt;0,0,(X53-134.62)*0.057)</f>
        <v>0</v>
      </c>
      <c r="Z53" s="103"/>
      <c r="AA53" s="105">
        <f>V53*1.2%</f>
        <v>0</v>
      </c>
      <c r="AB53" s="118"/>
      <c r="AC53" s="103">
        <f>V53*0.494%</f>
        <v>0</v>
      </c>
      <c r="AD53" s="103"/>
      <c r="AE53" s="103"/>
      <c r="AF53" s="103"/>
      <c r="AG53" s="103">
        <f t="shared" si="10"/>
        <v>0</v>
      </c>
      <c r="AH53" s="276">
        <f>IF(VLOOKUP(AG53,'Table 26'!$A$2:$C$438,2,TRUE)&gt;=VLOOKUP(AG53,'Table 26'!$C$2:$D$438,2,TRUE),MAX(VLOOKUP(AG53,'Table 26'!$A$2:$B$438,2,TRUE),VLOOKUP(AG53,'Table 26'!$C$2:$D$438,2,TRUE)),0)</f>
        <v>0</v>
      </c>
      <c r="AI53" s="103">
        <f>X53-AF53</f>
        <v>0</v>
      </c>
      <c r="AJ53" s="277">
        <f>IF(VLOOKUP(AI53,'Table 26'!$E$2:$F$306,2,TRUE)&gt;=VLOOKUP(AI53,'Table 26'!$G$2:$H$306,2,TRUE),MAX(VLOOKUP(AI53,'Table 26'!$E$2:$F$306,2,TRUE),VLOOKUP(AI53,'Table 26'!$G$2:$H$306,2,TRUE)),0)</f>
        <v>0</v>
      </c>
      <c r="AK53" s="102"/>
      <c r="AL53" s="103">
        <f t="shared" si="11"/>
        <v>0</v>
      </c>
      <c r="AM53" s="126">
        <f>V53-AL53</f>
        <v>0</v>
      </c>
      <c r="AN53" s="103"/>
      <c r="AO53" s="103"/>
      <c r="AP53" s="103">
        <f>AM53+AN53+AO53</f>
        <v>0</v>
      </c>
      <c r="AQ53" s="252">
        <f>V53*0.692%</f>
        <v>0</v>
      </c>
      <c r="AR53" s="249"/>
      <c r="AV53" s="220">
        <f>(X53-134.62)*0.057</f>
        <v>-7.6733400000000005</v>
      </c>
      <c r="AW53" s="255">
        <f>T53*0.04</f>
        <v>0</v>
      </c>
    </row>
    <row r="54" spans="1:49" ht="13.2" customHeight="1" x14ac:dyDescent="0.25">
      <c r="C54">
        <v>16</v>
      </c>
      <c r="D54" s="107" t="s">
        <v>18</v>
      </c>
      <c r="E54" s="271">
        <v>8</v>
      </c>
      <c r="F54" s="30"/>
      <c r="G54" s="30"/>
      <c r="H54" s="30"/>
      <c r="I54" s="30"/>
      <c r="J54" s="30"/>
      <c r="K54" s="30"/>
      <c r="L54" s="30"/>
      <c r="M54" s="30">
        <v>0</v>
      </c>
      <c r="N54" s="30"/>
      <c r="O54" s="30">
        <v>0</v>
      </c>
      <c r="P54" s="30"/>
      <c r="Q54" s="30"/>
      <c r="R54" s="30">
        <f>P53+P54</f>
        <v>0</v>
      </c>
      <c r="S54" s="30">
        <f>Q53+Q54</f>
        <v>0</v>
      </c>
      <c r="T54" s="160"/>
      <c r="U54" s="109"/>
      <c r="V54" s="110">
        <f t="shared" si="16"/>
        <v>0</v>
      </c>
      <c r="W54" s="109">
        <f t="shared" si="8"/>
        <v>0</v>
      </c>
      <c r="X54" s="109">
        <f t="shared" si="9"/>
        <v>0</v>
      </c>
      <c r="Y54" s="109">
        <f t="shared" ref="Y54:Y57" si="91">IF(AV54&lt;0,0,(X54-134.62)*0.057)</f>
        <v>0</v>
      </c>
      <c r="Z54" s="109"/>
      <c r="AA54" s="111">
        <f t="shared" ref="AA54:AA57" si="92">V54*1.2%</f>
        <v>0</v>
      </c>
      <c r="AB54" s="120"/>
      <c r="AC54" s="109">
        <f t="shared" ref="AC54:AC57" si="93">V54*0.494%</f>
        <v>0</v>
      </c>
      <c r="AD54" s="109"/>
      <c r="AE54" s="109"/>
      <c r="AF54" s="109"/>
      <c r="AG54" s="109">
        <f t="shared" si="10"/>
        <v>0</v>
      </c>
      <c r="AH54" s="156">
        <f>IF(VLOOKUP(AG54,'Table 26'!$A$2:$C$438,2,TRUE)&gt;=VLOOKUP(AG54,'Table 26'!$C$2:$D$438,2,TRUE),MAX(VLOOKUP(AG54,'Table 26'!$A$2:$B$438,2,TRUE),VLOOKUP(AG54,'Table 26'!$C$2:$D$438,2,TRUE)),0)</f>
        <v>0</v>
      </c>
      <c r="AI54" s="109">
        <f t="shared" si="3"/>
        <v>0</v>
      </c>
      <c r="AJ54" s="158">
        <f>IF(VLOOKUP(AI54,'Table 26'!$E$2:$F$306,2,TRUE)&gt;=VLOOKUP(AI54,'Table 26'!$G$2:$H$306,2,TRUE),MAX(VLOOKUP(AI54,'Table 26'!$E$2:$F$306,2,TRUE),VLOOKUP(AI54,'Table 26'!$G$2:$H$306,2,TRUE)),0)</f>
        <v>0</v>
      </c>
      <c r="AK54" s="109"/>
      <c r="AL54" s="109">
        <f t="shared" si="11"/>
        <v>0</v>
      </c>
      <c r="AM54" s="127">
        <f t="shared" ref="AM54:AM57" si="94">V54-AL54</f>
        <v>0</v>
      </c>
      <c r="AN54" s="109"/>
      <c r="AO54" s="109"/>
      <c r="AP54" s="273">
        <f t="shared" ref="AP54:AP57" si="95">AM54+AN54+AO54</f>
        <v>0</v>
      </c>
      <c r="AQ54" s="253">
        <f t="shared" ref="AQ54:AQ57" si="96">V54*0.692%</f>
        <v>0</v>
      </c>
      <c r="AR54" s="72">
        <f>O54*5.335</f>
        <v>0</v>
      </c>
      <c r="AS54" s="25">
        <f>2*O54</f>
        <v>0</v>
      </c>
      <c r="AT54" s="25">
        <f>0.04*O54</f>
        <v>0</v>
      </c>
      <c r="AU54" s="25"/>
      <c r="AV54" s="220">
        <f t="shared" ref="AV54:AV57" si="97">(X54-134.62)*0.057</f>
        <v>-7.6733400000000005</v>
      </c>
      <c r="AW54" s="238">
        <f t="shared" ref="AW54:AW57" si="98">T54*0.04</f>
        <v>0</v>
      </c>
    </row>
    <row r="55" spans="1:49" ht="13.2" customHeight="1" x14ac:dyDescent="0.25">
      <c r="D55" s="107" t="s">
        <v>18</v>
      </c>
      <c r="E55" s="264">
        <v>15</v>
      </c>
      <c r="F55" s="30"/>
      <c r="G55" s="30"/>
      <c r="H55" s="30"/>
      <c r="I55" s="30"/>
      <c r="J55" s="30"/>
      <c r="K55" s="30"/>
      <c r="L55" s="30"/>
      <c r="M55" s="30">
        <v>0</v>
      </c>
      <c r="N55" s="30"/>
      <c r="O55" s="30">
        <v>0</v>
      </c>
      <c r="P55" s="30"/>
      <c r="Q55" s="30"/>
      <c r="R55" s="30"/>
      <c r="S55" s="30"/>
      <c r="T55" s="160"/>
      <c r="U55" s="109"/>
      <c r="V55" s="110">
        <f t="shared" si="16"/>
        <v>0</v>
      </c>
      <c r="W55" s="109">
        <f t="shared" si="8"/>
        <v>0</v>
      </c>
      <c r="X55" s="109">
        <f t="shared" si="9"/>
        <v>0</v>
      </c>
      <c r="Y55" s="109">
        <f t="shared" si="91"/>
        <v>0</v>
      </c>
      <c r="Z55" s="109"/>
      <c r="AA55" s="111">
        <f t="shared" si="92"/>
        <v>0</v>
      </c>
      <c r="AB55" s="120"/>
      <c r="AC55" s="109">
        <f t="shared" si="93"/>
        <v>0</v>
      </c>
      <c r="AD55" s="109"/>
      <c r="AE55" s="109"/>
      <c r="AF55" s="109"/>
      <c r="AG55" s="109">
        <f t="shared" si="10"/>
        <v>0</v>
      </c>
      <c r="AH55" s="156">
        <f>IF(VLOOKUP(AG55,'Table 26'!$A$2:$C$438,2,TRUE)&gt;=VLOOKUP(AG55,'Table 26'!$C$2:$D$438,2,TRUE),MAX(VLOOKUP(AG55,'Table 26'!$A$2:$B$438,2,TRUE),VLOOKUP(AG55,'Table 26'!$C$2:$D$438,2,TRUE)),0)</f>
        <v>0</v>
      </c>
      <c r="AI55" s="109">
        <f>X55-AF55</f>
        <v>0</v>
      </c>
      <c r="AJ55" s="158">
        <f>IF(VLOOKUP(AI55,'Table 26'!$E$2:$F$306,2,TRUE)&gt;=VLOOKUP(AI55,'Table 26'!$G$2:$H$306,2,TRUE),MAX(VLOOKUP(AI55,'Table 26'!$E$2:$F$306,2,TRUE),VLOOKUP(AI55,'Table 26'!$G$2:$H$306,2,TRUE)),0)</f>
        <v>0</v>
      </c>
      <c r="AK55" s="109"/>
      <c r="AL55" s="109">
        <f t="shared" si="11"/>
        <v>0</v>
      </c>
      <c r="AM55" s="127">
        <f t="shared" si="94"/>
        <v>0</v>
      </c>
      <c r="AN55" s="109"/>
      <c r="AO55" s="109"/>
      <c r="AP55" s="109">
        <f t="shared" si="95"/>
        <v>0</v>
      </c>
      <c r="AQ55" s="253">
        <f t="shared" si="96"/>
        <v>0</v>
      </c>
      <c r="AR55" s="72">
        <f t="shared" ref="AR55:AR57" si="99">O55*5.335</f>
        <v>0</v>
      </c>
      <c r="AS55" s="25">
        <f t="shared" ref="AS55:AS57" si="100">2*O55</f>
        <v>0</v>
      </c>
      <c r="AT55" s="25">
        <f t="shared" ref="AT55:AT57" si="101">0.04*O55</f>
        <v>0</v>
      </c>
      <c r="AV55" s="220">
        <f t="shared" si="97"/>
        <v>-7.6733400000000005</v>
      </c>
      <c r="AW55" s="238">
        <f t="shared" si="98"/>
        <v>0</v>
      </c>
    </row>
    <row r="56" spans="1:49" ht="13.2" customHeight="1" x14ac:dyDescent="0.25">
      <c r="C56">
        <v>17</v>
      </c>
      <c r="D56" s="107" t="s">
        <v>18</v>
      </c>
      <c r="E56" s="271">
        <v>22</v>
      </c>
      <c r="F56" s="112"/>
      <c r="G56" s="30"/>
      <c r="H56" s="30"/>
      <c r="I56" s="30"/>
      <c r="J56" s="30"/>
      <c r="K56" s="30"/>
      <c r="L56" s="30"/>
      <c r="M56" s="30">
        <v>0</v>
      </c>
      <c r="N56" s="30">
        <v>0</v>
      </c>
      <c r="O56" s="30">
        <v>0</v>
      </c>
      <c r="P56" s="30"/>
      <c r="Q56" s="30"/>
      <c r="R56" s="30">
        <f>P55+P56</f>
        <v>0</v>
      </c>
      <c r="S56" s="30">
        <f>Q55+Q56</f>
        <v>0</v>
      </c>
      <c r="T56" s="160"/>
      <c r="U56" s="109"/>
      <c r="V56" s="110">
        <f t="shared" si="16"/>
        <v>0</v>
      </c>
      <c r="W56" s="109">
        <f t="shared" si="8"/>
        <v>0</v>
      </c>
      <c r="X56" s="109">
        <f t="shared" si="9"/>
        <v>0</v>
      </c>
      <c r="Y56" s="109">
        <f t="shared" si="91"/>
        <v>0</v>
      </c>
      <c r="Z56" s="109"/>
      <c r="AA56" s="111">
        <f t="shared" si="92"/>
        <v>0</v>
      </c>
      <c r="AB56" s="120"/>
      <c r="AC56" s="109">
        <f t="shared" si="93"/>
        <v>0</v>
      </c>
      <c r="AD56" s="109"/>
      <c r="AE56" s="109"/>
      <c r="AF56" s="109"/>
      <c r="AG56" s="109">
        <f t="shared" si="10"/>
        <v>0</v>
      </c>
      <c r="AH56" s="156">
        <f>IF(VLOOKUP(AG56,'Table 26'!$A$2:$C$438,2,TRUE)&gt;=VLOOKUP(AG56,'Table 26'!$C$2:$D$438,2,TRUE),MAX(VLOOKUP(AG56,'Table 26'!$A$2:$B$438,2,TRUE),VLOOKUP(AG56,'Table 26'!$C$2:$D$438,2,TRUE)),0)</f>
        <v>0</v>
      </c>
      <c r="AI56" s="109">
        <f t="shared" si="3"/>
        <v>0</v>
      </c>
      <c r="AJ56" s="158">
        <f>IF(VLOOKUP(AI56,'Table 26'!$E$2:$F$306,2,TRUE)&gt;=VLOOKUP(AI56,'Table 26'!$G$2:$H$306,2,TRUE),MAX(VLOOKUP(AI56,'Table 26'!$E$2:$F$306,2,TRUE),VLOOKUP(AI56,'Table 26'!$G$2:$H$306,2,TRUE)),0)</f>
        <v>0</v>
      </c>
      <c r="AK56" s="109"/>
      <c r="AL56" s="109">
        <f t="shared" si="11"/>
        <v>0</v>
      </c>
      <c r="AM56" s="127">
        <f t="shared" si="94"/>
        <v>0</v>
      </c>
      <c r="AN56" s="109"/>
      <c r="AO56" s="109"/>
      <c r="AP56" s="273">
        <f t="shared" si="95"/>
        <v>0</v>
      </c>
      <c r="AQ56" s="253">
        <f t="shared" si="96"/>
        <v>0</v>
      </c>
      <c r="AR56" s="72">
        <f t="shared" si="99"/>
        <v>0</v>
      </c>
      <c r="AS56" s="25">
        <f t="shared" si="100"/>
        <v>0</v>
      </c>
      <c r="AT56" s="25">
        <f t="shared" si="101"/>
        <v>0</v>
      </c>
      <c r="AV56" s="220">
        <f t="shared" si="97"/>
        <v>-7.6733400000000005</v>
      </c>
      <c r="AW56" s="238">
        <f t="shared" si="98"/>
        <v>0</v>
      </c>
    </row>
    <row r="57" spans="1:49" ht="13.2" customHeight="1" x14ac:dyDescent="0.25">
      <c r="D57" s="107" t="s">
        <v>18</v>
      </c>
      <c r="E57" s="264">
        <v>29</v>
      </c>
      <c r="F57" s="30"/>
      <c r="G57" s="30"/>
      <c r="H57" s="30"/>
      <c r="I57" s="30"/>
      <c r="J57" s="30"/>
      <c r="K57" s="30"/>
      <c r="L57" s="30"/>
      <c r="M57" s="30"/>
      <c r="N57" s="30"/>
      <c r="O57" s="30">
        <v>0</v>
      </c>
      <c r="P57" s="30"/>
      <c r="Q57" s="30"/>
      <c r="R57" s="30"/>
      <c r="S57" s="30"/>
      <c r="T57" s="160"/>
      <c r="U57" s="216"/>
      <c r="V57" s="217">
        <f t="shared" si="16"/>
        <v>0</v>
      </c>
      <c r="W57" s="121">
        <f t="shared" si="8"/>
        <v>0</v>
      </c>
      <c r="X57" s="121">
        <f t="shared" si="9"/>
        <v>0</v>
      </c>
      <c r="Y57" s="121">
        <f t="shared" si="91"/>
        <v>0</v>
      </c>
      <c r="Z57" s="121"/>
      <c r="AA57" s="131">
        <f t="shared" si="92"/>
        <v>0</v>
      </c>
      <c r="AB57" s="218"/>
      <c r="AC57" s="121">
        <f t="shared" si="93"/>
        <v>0</v>
      </c>
      <c r="AD57" s="121"/>
      <c r="AE57" s="121"/>
      <c r="AF57" s="121"/>
      <c r="AG57" s="121">
        <f t="shared" si="10"/>
        <v>0</v>
      </c>
      <c r="AH57" s="157">
        <f>IF(VLOOKUP(AG57,'Table 26'!$A$2:$C$438,2,TRUE)&gt;=VLOOKUP(AG57,'Table 26'!$C$2:$D$438,2,TRUE),MAX(VLOOKUP(AG57,'Table 26'!$A$2:$B$438,2,TRUE),VLOOKUP(AG57,'Table 26'!$C$2:$D$438,2,TRUE)),0)</f>
        <v>0</v>
      </c>
      <c r="AI57" s="121">
        <f t="shared" si="3"/>
        <v>0</v>
      </c>
      <c r="AJ57" s="159">
        <f>IF(VLOOKUP(AI57,'Table 26'!$E$2:$F$306,2,TRUE)&gt;=VLOOKUP(AI57,'Table 26'!$G$2:$H$306,2,TRUE),MAX(VLOOKUP(AI57,'Table 26'!$E$2:$F$306,2,TRUE),VLOOKUP(AI57,'Table 26'!$G$2:$H$306,2,TRUE)),0)</f>
        <v>0</v>
      </c>
      <c r="AK57" s="121"/>
      <c r="AL57" s="121">
        <f t="shared" si="11"/>
        <v>0</v>
      </c>
      <c r="AM57" s="115">
        <f t="shared" si="94"/>
        <v>0</v>
      </c>
      <c r="AN57" s="121"/>
      <c r="AO57" s="121"/>
      <c r="AP57" s="121">
        <f t="shared" si="95"/>
        <v>0</v>
      </c>
      <c r="AQ57" s="254">
        <f t="shared" si="96"/>
        <v>0</v>
      </c>
      <c r="AR57" s="72">
        <f t="shared" si="99"/>
        <v>0</v>
      </c>
      <c r="AS57" s="25">
        <f t="shared" si="100"/>
        <v>0</v>
      </c>
      <c r="AT57" s="25">
        <f t="shared" si="101"/>
        <v>0</v>
      </c>
      <c r="AV57" s="220">
        <f t="shared" si="97"/>
        <v>-7.6733400000000005</v>
      </c>
      <c r="AW57" s="238">
        <f t="shared" si="98"/>
        <v>0</v>
      </c>
    </row>
    <row r="58" spans="1:49" ht="13.2" customHeight="1" thickBot="1" x14ac:dyDescent="0.3">
      <c r="A58" s="4"/>
      <c r="B58" s="4"/>
      <c r="C58" s="4"/>
      <c r="D58" s="278" t="s">
        <v>33</v>
      </c>
      <c r="E58" s="287"/>
      <c r="F58" s="280"/>
      <c r="G58" s="280"/>
      <c r="H58" s="280"/>
      <c r="I58" s="280"/>
      <c r="J58" s="280"/>
      <c r="K58" s="280"/>
      <c r="L58" s="280"/>
      <c r="M58" s="280">
        <v>0</v>
      </c>
      <c r="N58" s="280">
        <v>0</v>
      </c>
      <c r="O58" s="280">
        <v>0</v>
      </c>
      <c r="P58" s="280"/>
      <c r="Q58" s="280"/>
      <c r="R58" s="280"/>
      <c r="S58" s="280"/>
      <c r="T58" s="281">
        <f>SUM(T53:T57)</f>
        <v>0</v>
      </c>
      <c r="U58" s="281">
        <f t="shared" ref="U58:AW58" si="102">SUM(U53:U57)</f>
        <v>0</v>
      </c>
      <c r="V58" s="281">
        <f t="shared" si="102"/>
        <v>0</v>
      </c>
      <c r="W58" s="281">
        <f t="shared" si="102"/>
        <v>0</v>
      </c>
      <c r="X58" s="281">
        <f t="shared" si="102"/>
        <v>0</v>
      </c>
      <c r="Y58" s="281">
        <f t="shared" si="102"/>
        <v>0</v>
      </c>
      <c r="Z58" s="281">
        <f t="shared" si="102"/>
        <v>0</v>
      </c>
      <c r="AA58" s="281">
        <f t="shared" si="102"/>
        <v>0</v>
      </c>
      <c r="AB58" s="281">
        <f t="shared" si="102"/>
        <v>0</v>
      </c>
      <c r="AC58" s="281">
        <f t="shared" si="102"/>
        <v>0</v>
      </c>
      <c r="AD58" s="281">
        <f t="shared" si="102"/>
        <v>0</v>
      </c>
      <c r="AE58" s="281">
        <f t="shared" si="102"/>
        <v>0</v>
      </c>
      <c r="AF58" s="281">
        <f t="shared" si="102"/>
        <v>0</v>
      </c>
      <c r="AG58" s="281">
        <f t="shared" si="102"/>
        <v>0</v>
      </c>
      <c r="AH58" s="282">
        <f t="shared" si="102"/>
        <v>0</v>
      </c>
      <c r="AI58" s="281">
        <f t="shared" si="102"/>
        <v>0</v>
      </c>
      <c r="AJ58" s="283">
        <f t="shared" si="102"/>
        <v>0</v>
      </c>
      <c r="AK58" s="281">
        <f t="shared" si="102"/>
        <v>0</v>
      </c>
      <c r="AL58" s="281">
        <f t="shared" si="102"/>
        <v>0</v>
      </c>
      <c r="AM58" s="281">
        <f t="shared" si="102"/>
        <v>0</v>
      </c>
      <c r="AN58" s="281">
        <f t="shared" si="102"/>
        <v>0</v>
      </c>
      <c r="AO58" s="281">
        <f t="shared" si="102"/>
        <v>0</v>
      </c>
      <c r="AP58" s="281">
        <f>SUM(AP53:AP57)</f>
        <v>0</v>
      </c>
      <c r="AQ58" s="284">
        <f t="shared" si="102"/>
        <v>0</v>
      </c>
      <c r="AR58" s="285">
        <f t="shared" si="102"/>
        <v>0</v>
      </c>
      <c r="AS58" s="285">
        <f t="shared" si="102"/>
        <v>0</v>
      </c>
      <c r="AT58" s="285">
        <f t="shared" si="102"/>
        <v>0</v>
      </c>
      <c r="AU58" s="285">
        <f t="shared" si="102"/>
        <v>0</v>
      </c>
      <c r="AV58" s="281"/>
      <c r="AW58" s="286">
        <f t="shared" si="102"/>
        <v>0</v>
      </c>
    </row>
    <row r="59" spans="1:49" ht="13.2" customHeight="1" x14ac:dyDescent="0.25">
      <c r="E59" s="265"/>
      <c r="T59" s="1"/>
      <c r="U59" s="1"/>
      <c r="V59" s="41"/>
      <c r="W59" s="1"/>
      <c r="X59" s="1"/>
      <c r="Y59" s="1"/>
      <c r="Z59" s="1"/>
      <c r="AA59" s="15"/>
      <c r="AB59" s="15"/>
      <c r="AC59" s="1"/>
      <c r="AD59" s="1"/>
      <c r="AE59" s="1"/>
      <c r="AF59" s="1"/>
      <c r="AG59" s="1"/>
      <c r="AH59" s="1"/>
      <c r="AI59" s="1"/>
      <c r="AJ59" s="1"/>
      <c r="AL59" s="1"/>
      <c r="AM59" s="1"/>
      <c r="AN59" s="1"/>
      <c r="AO59" s="1"/>
      <c r="AP59" s="1"/>
      <c r="AQ59" s="17"/>
      <c r="AR59" s="72">
        <f t="shared" si="13"/>
        <v>0</v>
      </c>
      <c r="AS59" s="25">
        <f t="shared" si="14"/>
        <v>0</v>
      </c>
    </row>
    <row r="60" spans="1:49" ht="13.2" customHeight="1" x14ac:dyDescent="0.25">
      <c r="C60">
        <v>18</v>
      </c>
      <c r="D60" s="100" t="s">
        <v>19</v>
      </c>
      <c r="E60" s="272">
        <v>5</v>
      </c>
      <c r="F60" s="102"/>
      <c r="G60" s="102"/>
      <c r="H60" s="102"/>
      <c r="I60" s="102"/>
      <c r="J60" s="102"/>
      <c r="K60" s="102"/>
      <c r="L60" s="102"/>
      <c r="M60" s="102">
        <v>0</v>
      </c>
      <c r="N60" s="102"/>
      <c r="O60" s="102">
        <v>0</v>
      </c>
      <c r="P60" s="102"/>
      <c r="Q60" s="102"/>
      <c r="R60" s="102">
        <f>P57+P60</f>
        <v>0</v>
      </c>
      <c r="S60" s="102">
        <f>Q57+Q60</f>
        <v>0</v>
      </c>
      <c r="T60" s="160"/>
      <c r="U60" s="103"/>
      <c r="V60" s="104">
        <f t="shared" si="16"/>
        <v>0</v>
      </c>
      <c r="W60" s="103">
        <f t="shared" si="8"/>
        <v>0</v>
      </c>
      <c r="X60" s="103">
        <f t="shared" si="9"/>
        <v>0</v>
      </c>
      <c r="Y60" s="103">
        <f>IF(AV60&lt;0,0,(X60-134.62)*0.057)</f>
        <v>0</v>
      </c>
      <c r="Z60" s="103"/>
      <c r="AA60" s="105">
        <f>V60*1.2%</f>
        <v>0</v>
      </c>
      <c r="AB60" s="118"/>
      <c r="AC60" s="103">
        <f>V60*0.494%</f>
        <v>0</v>
      </c>
      <c r="AD60" s="103"/>
      <c r="AE60" s="103"/>
      <c r="AF60" s="103"/>
      <c r="AG60" s="103">
        <f t="shared" si="10"/>
        <v>0</v>
      </c>
      <c r="AH60" s="276">
        <f>IF(VLOOKUP(AG60,'Table 26'!$A$2:$C$438,2,TRUE)&gt;=VLOOKUP(AG60,'Table 26'!$C$2:$D$438,2,TRUE),MAX(VLOOKUP(AG60,'Table 26'!$A$2:$B$438,2,TRUE),VLOOKUP(AG60,'Table 26'!$C$2:$D$438,2,TRUE)),0)</f>
        <v>0</v>
      </c>
      <c r="AI60" s="103">
        <f>X60-AF60</f>
        <v>0</v>
      </c>
      <c r="AJ60" s="277">
        <f>IF(VLOOKUP(AI60,'Table 26'!$E$2:$F$306,2,TRUE)&gt;=VLOOKUP(AI60,'Table 26'!$G$2:$H$306,2,TRUE),MAX(VLOOKUP(AI60,'Table 26'!$E$2:$F$306,2,TRUE),VLOOKUP(AI60,'Table 26'!$G$2:$H$306,2,TRUE)),0)</f>
        <v>0</v>
      </c>
      <c r="AK60" s="102"/>
      <c r="AL60" s="103">
        <f t="shared" si="11"/>
        <v>0</v>
      </c>
      <c r="AM60" s="103">
        <f>V60-AL60</f>
        <v>0</v>
      </c>
      <c r="AN60" s="103"/>
      <c r="AO60" s="103"/>
      <c r="AP60" s="274">
        <f>AM60+AN60+AO60</f>
        <v>0</v>
      </c>
      <c r="AQ60" s="252">
        <f>V60*0.692%</f>
        <v>0</v>
      </c>
      <c r="AR60" s="249"/>
      <c r="AV60" s="220">
        <f>(X60-134.62)*0.057</f>
        <v>-7.6733400000000005</v>
      </c>
      <c r="AW60" s="255">
        <f>T60*0.04</f>
        <v>0</v>
      </c>
    </row>
    <row r="61" spans="1:49" ht="13.2" customHeight="1" x14ac:dyDescent="0.25">
      <c r="D61" s="107" t="s">
        <v>19</v>
      </c>
      <c r="E61" s="264">
        <v>12</v>
      </c>
      <c r="F61" s="30"/>
      <c r="G61" s="30"/>
      <c r="H61" s="30"/>
      <c r="I61" s="30"/>
      <c r="J61" s="30"/>
      <c r="K61" s="30"/>
      <c r="L61" s="30"/>
      <c r="M61" s="30">
        <v>0</v>
      </c>
      <c r="N61" s="30"/>
      <c r="O61" s="30">
        <v>0</v>
      </c>
      <c r="P61" s="30"/>
      <c r="Q61" s="30"/>
      <c r="R61" s="30"/>
      <c r="S61" s="30"/>
      <c r="T61" s="160"/>
      <c r="U61" s="109"/>
      <c r="V61" s="110">
        <f t="shared" si="16"/>
        <v>0</v>
      </c>
      <c r="W61" s="109">
        <f t="shared" si="8"/>
        <v>0</v>
      </c>
      <c r="X61" s="109">
        <f t="shared" si="9"/>
        <v>0</v>
      </c>
      <c r="Y61" s="109">
        <f t="shared" ref="Y61:Y64" si="103">IF(AV61&lt;0,0,(X61-134.62)*0.057)</f>
        <v>0</v>
      </c>
      <c r="Z61" s="109"/>
      <c r="AA61" s="111">
        <f t="shared" ref="AA61:AA64" si="104">V61*1.2%</f>
        <v>0</v>
      </c>
      <c r="AB61" s="120"/>
      <c r="AC61" s="109">
        <f t="shared" ref="AC61:AC64" si="105">V61*0.494%</f>
        <v>0</v>
      </c>
      <c r="AD61" s="109"/>
      <c r="AE61" s="109"/>
      <c r="AF61" s="109"/>
      <c r="AG61" s="109">
        <f t="shared" si="10"/>
        <v>0</v>
      </c>
      <c r="AH61" s="156">
        <f>IF(VLOOKUP(AG61,'Table 26'!$A$2:$C$438,2,TRUE)&gt;=VLOOKUP(AG61,'Table 26'!$C$2:$D$438,2,TRUE),MAX(VLOOKUP(AG61,'Table 26'!$A$2:$B$438,2,TRUE),VLOOKUP(AG61,'Table 26'!$C$2:$D$438,2,TRUE)),0)</f>
        <v>0</v>
      </c>
      <c r="AI61" s="109">
        <f t="shared" si="3"/>
        <v>0</v>
      </c>
      <c r="AJ61" s="158">
        <f>IF(VLOOKUP(AI61,'Table 26'!$E$2:$F$306,2,TRUE)&gt;=VLOOKUP(AI61,'Table 26'!$G$2:$H$306,2,TRUE),MAX(VLOOKUP(AI61,'Table 26'!$E$2:$F$306,2,TRUE),VLOOKUP(AI61,'Table 26'!$G$2:$H$306,2,TRUE)),0)</f>
        <v>0</v>
      </c>
      <c r="AK61" s="109"/>
      <c r="AL61" s="109">
        <f t="shared" si="11"/>
        <v>0</v>
      </c>
      <c r="AM61" s="109">
        <f t="shared" ref="AM61:AM64" si="106">V61-AL61</f>
        <v>0</v>
      </c>
      <c r="AN61" s="109"/>
      <c r="AO61" s="109"/>
      <c r="AP61" s="109">
        <f t="shared" ref="AP61:AP64" si="107">AM61+AN61+AO61</f>
        <v>0</v>
      </c>
      <c r="AQ61" s="253">
        <f t="shared" ref="AQ61:AQ64" si="108">V61*0.692%</f>
        <v>0</v>
      </c>
      <c r="AR61" s="72">
        <f>O61*5.335</f>
        <v>0</v>
      </c>
      <c r="AS61" s="25">
        <f>2*O61</f>
        <v>0</v>
      </c>
      <c r="AT61" s="25">
        <f>0.04*O61</f>
        <v>0</v>
      </c>
      <c r="AU61" s="25"/>
      <c r="AV61" s="220">
        <f t="shared" ref="AV61:AV64" si="109">(X61-134.62)*0.057</f>
        <v>-7.6733400000000005</v>
      </c>
      <c r="AW61" s="238">
        <f t="shared" ref="AW61:AW64" si="110">T61*0.04</f>
        <v>0</v>
      </c>
    </row>
    <row r="62" spans="1:49" ht="13.2" customHeight="1" x14ac:dyDescent="0.25">
      <c r="C62">
        <v>19</v>
      </c>
      <c r="D62" s="107" t="s">
        <v>19</v>
      </c>
      <c r="E62" s="271">
        <v>19</v>
      </c>
      <c r="F62" s="30"/>
      <c r="G62" s="30"/>
      <c r="H62" s="30"/>
      <c r="I62" s="30"/>
      <c r="J62" s="30"/>
      <c r="K62" s="30"/>
      <c r="L62" s="30"/>
      <c r="M62" s="30">
        <v>0</v>
      </c>
      <c r="N62" s="30">
        <v>0</v>
      </c>
      <c r="O62" s="30">
        <v>0</v>
      </c>
      <c r="P62" s="30"/>
      <c r="Q62" s="30"/>
      <c r="R62" s="30">
        <f>P61+P62</f>
        <v>0</v>
      </c>
      <c r="S62" s="30">
        <f>Q61+Q62</f>
        <v>0</v>
      </c>
      <c r="T62" s="160"/>
      <c r="U62" s="109"/>
      <c r="V62" s="110">
        <f t="shared" si="16"/>
        <v>0</v>
      </c>
      <c r="W62" s="109">
        <f t="shared" si="8"/>
        <v>0</v>
      </c>
      <c r="X62" s="109">
        <f t="shared" si="9"/>
        <v>0</v>
      </c>
      <c r="Y62" s="109">
        <f t="shared" si="103"/>
        <v>0</v>
      </c>
      <c r="Z62" s="109"/>
      <c r="AA62" s="111">
        <f t="shared" si="104"/>
        <v>0</v>
      </c>
      <c r="AB62" s="120"/>
      <c r="AC62" s="109">
        <f t="shared" si="105"/>
        <v>0</v>
      </c>
      <c r="AD62" s="109"/>
      <c r="AE62" s="109"/>
      <c r="AF62" s="109"/>
      <c r="AG62" s="109">
        <f t="shared" si="10"/>
        <v>0</v>
      </c>
      <c r="AH62" s="156">
        <f>IF(VLOOKUP(AG62,'Table 26'!$A$2:$C$438,2,TRUE)&gt;=VLOOKUP(AG62,'Table 26'!$C$2:$D$438,2,TRUE),MAX(VLOOKUP(AG62,'Table 26'!$A$2:$B$438,2,TRUE),VLOOKUP(AG62,'Table 26'!$C$2:$D$438,2,TRUE)),0)</f>
        <v>0</v>
      </c>
      <c r="AI62" s="109">
        <f>X62-AF62</f>
        <v>0</v>
      </c>
      <c r="AJ62" s="158">
        <f>IF(VLOOKUP(AI62,'Table 26'!$E$2:$F$306,2,TRUE)&gt;=VLOOKUP(AI62,'Table 26'!$G$2:$H$306,2,TRUE),MAX(VLOOKUP(AI62,'Table 26'!$E$2:$F$306,2,TRUE),VLOOKUP(AI62,'Table 26'!$G$2:$H$306,2,TRUE)),0)</f>
        <v>0</v>
      </c>
      <c r="AK62" s="109"/>
      <c r="AL62" s="109">
        <f t="shared" si="11"/>
        <v>0</v>
      </c>
      <c r="AM62" s="109">
        <f t="shared" si="106"/>
        <v>0</v>
      </c>
      <c r="AN62" s="109"/>
      <c r="AO62" s="109"/>
      <c r="AP62" s="273">
        <f t="shared" si="107"/>
        <v>0</v>
      </c>
      <c r="AQ62" s="253">
        <f t="shared" si="108"/>
        <v>0</v>
      </c>
      <c r="AR62" s="72">
        <f t="shared" ref="AR62:AR64" si="111">O62*5.335</f>
        <v>0</v>
      </c>
      <c r="AS62" s="25">
        <f t="shared" ref="AS62:AS64" si="112">2*O62</f>
        <v>0</v>
      </c>
      <c r="AT62" s="25">
        <f t="shared" ref="AT62:AT64" si="113">0.04*O62</f>
        <v>0</v>
      </c>
      <c r="AV62" s="220">
        <f t="shared" si="109"/>
        <v>-7.6733400000000005</v>
      </c>
      <c r="AW62" s="238">
        <f t="shared" si="110"/>
        <v>0</v>
      </c>
    </row>
    <row r="63" spans="1:49" ht="13.2" customHeight="1" x14ac:dyDescent="0.25">
      <c r="D63" s="107" t="s">
        <v>19</v>
      </c>
      <c r="E63" s="264">
        <v>26</v>
      </c>
      <c r="F63" s="30"/>
      <c r="G63" s="30"/>
      <c r="H63" s="30"/>
      <c r="I63" s="30"/>
      <c r="J63" s="30"/>
      <c r="K63" s="30"/>
      <c r="L63" s="30"/>
      <c r="M63" s="30"/>
      <c r="N63" s="30">
        <v>0</v>
      </c>
      <c r="O63" s="30">
        <v>0</v>
      </c>
      <c r="P63" s="30"/>
      <c r="Q63" s="30"/>
      <c r="R63" s="30"/>
      <c r="S63" s="30"/>
      <c r="T63" s="160"/>
      <c r="U63" s="109"/>
      <c r="V63" s="110">
        <f t="shared" si="16"/>
        <v>0</v>
      </c>
      <c r="W63" s="109">
        <f t="shared" si="8"/>
        <v>0</v>
      </c>
      <c r="X63" s="109">
        <f t="shared" si="9"/>
        <v>0</v>
      </c>
      <c r="Y63" s="109">
        <f t="shared" si="103"/>
        <v>0</v>
      </c>
      <c r="Z63" s="109"/>
      <c r="AA63" s="111">
        <f t="shared" si="104"/>
        <v>0</v>
      </c>
      <c r="AB63" s="120"/>
      <c r="AC63" s="109">
        <f t="shared" si="105"/>
        <v>0</v>
      </c>
      <c r="AD63" s="109"/>
      <c r="AE63" s="109"/>
      <c r="AF63" s="109"/>
      <c r="AG63" s="109">
        <f t="shared" si="10"/>
        <v>0</v>
      </c>
      <c r="AH63" s="156">
        <f>IF(VLOOKUP(AG63,'Table 26'!$A$2:$C$438,2,TRUE)&gt;=VLOOKUP(AG63,'Table 26'!$C$2:$D$438,2,TRUE),MAX(VLOOKUP(AG63,'Table 26'!$A$2:$B$438,2,TRUE),VLOOKUP(AG63,'Table 26'!$C$2:$D$438,2,TRUE)),0)</f>
        <v>0</v>
      </c>
      <c r="AI63" s="109">
        <f t="shared" si="3"/>
        <v>0</v>
      </c>
      <c r="AJ63" s="158">
        <f>IF(VLOOKUP(AI63,'Table 26'!$E$2:$F$306,2,TRUE)&gt;=VLOOKUP(AI63,'Table 26'!$G$2:$H$306,2,TRUE),MAX(VLOOKUP(AI63,'Table 26'!$E$2:$F$306,2,TRUE),VLOOKUP(AI63,'Table 26'!$G$2:$H$306,2,TRUE)),0)</f>
        <v>0</v>
      </c>
      <c r="AK63" s="109"/>
      <c r="AL63" s="109">
        <f t="shared" si="11"/>
        <v>0</v>
      </c>
      <c r="AM63" s="109">
        <f t="shared" si="106"/>
        <v>0</v>
      </c>
      <c r="AN63" s="109"/>
      <c r="AO63" s="109"/>
      <c r="AP63" s="109">
        <f t="shared" si="107"/>
        <v>0</v>
      </c>
      <c r="AQ63" s="253">
        <f t="shared" si="108"/>
        <v>0</v>
      </c>
      <c r="AR63" s="72">
        <f t="shared" si="111"/>
        <v>0</v>
      </c>
      <c r="AS63" s="25">
        <f t="shared" si="112"/>
        <v>0</v>
      </c>
      <c r="AT63" s="25">
        <f t="shared" si="113"/>
        <v>0</v>
      </c>
      <c r="AV63" s="220">
        <f t="shared" si="109"/>
        <v>-7.6733400000000005</v>
      </c>
      <c r="AW63" s="238">
        <f t="shared" si="110"/>
        <v>0</v>
      </c>
    </row>
    <row r="64" spans="1:49" ht="13.2" customHeight="1" x14ac:dyDescent="0.25">
      <c r="D64" s="124" t="s">
        <v>19</v>
      </c>
      <c r="E64" s="264"/>
      <c r="F64" s="30"/>
      <c r="G64" s="30"/>
      <c r="H64" s="30"/>
      <c r="I64" s="30"/>
      <c r="J64" s="30"/>
      <c r="K64" s="30"/>
      <c r="L64" s="30"/>
      <c r="M64" s="30">
        <v>0</v>
      </c>
      <c r="N64" s="30"/>
      <c r="O64" s="30">
        <v>0</v>
      </c>
      <c r="P64" s="30"/>
      <c r="Q64" s="30"/>
      <c r="R64" s="30"/>
      <c r="S64" s="30"/>
      <c r="T64" s="160"/>
      <c r="U64" s="216"/>
      <c r="V64" s="217">
        <f t="shared" si="16"/>
        <v>0</v>
      </c>
      <c r="W64" s="121">
        <f t="shared" si="8"/>
        <v>0</v>
      </c>
      <c r="X64" s="121">
        <f t="shared" si="9"/>
        <v>0</v>
      </c>
      <c r="Y64" s="121">
        <f t="shared" si="103"/>
        <v>0</v>
      </c>
      <c r="Z64" s="121"/>
      <c r="AA64" s="131">
        <f t="shared" si="104"/>
        <v>0</v>
      </c>
      <c r="AB64" s="218"/>
      <c r="AC64" s="121">
        <f t="shared" si="105"/>
        <v>0</v>
      </c>
      <c r="AD64" s="121"/>
      <c r="AE64" s="121"/>
      <c r="AF64" s="121"/>
      <c r="AG64" s="121">
        <f t="shared" si="10"/>
        <v>0</v>
      </c>
      <c r="AH64" s="157">
        <f>IF(VLOOKUP(AG64,'Table 26'!$A$2:$C$438,2,TRUE)&gt;=VLOOKUP(AG64,'Table 26'!$C$2:$D$438,2,TRUE),MAX(VLOOKUP(AG64,'Table 26'!$A$2:$B$438,2,TRUE),VLOOKUP(AG64,'Table 26'!$C$2:$D$438,2,TRUE)),0)</f>
        <v>0</v>
      </c>
      <c r="AI64" s="121">
        <f t="shared" si="3"/>
        <v>0</v>
      </c>
      <c r="AJ64" s="159">
        <f>IF(VLOOKUP(AI64,'Table 26'!$E$2:$F$306,2,TRUE)&gt;=VLOOKUP(AI64,'Table 26'!$G$2:$H$306,2,TRUE),MAX(VLOOKUP(AI64,'Table 26'!$E$2:$F$306,2,TRUE),VLOOKUP(AI64,'Table 26'!$G$2:$H$306,2,TRUE)),0)</f>
        <v>0</v>
      </c>
      <c r="AK64" s="121"/>
      <c r="AL64" s="121">
        <f t="shared" si="11"/>
        <v>0</v>
      </c>
      <c r="AM64" s="121">
        <f t="shared" si="106"/>
        <v>0</v>
      </c>
      <c r="AN64" s="121"/>
      <c r="AO64" s="121"/>
      <c r="AP64" s="121">
        <f t="shared" si="107"/>
        <v>0</v>
      </c>
      <c r="AQ64" s="254">
        <f t="shared" si="108"/>
        <v>0</v>
      </c>
      <c r="AR64" s="72">
        <f t="shared" si="111"/>
        <v>0</v>
      </c>
      <c r="AS64" s="25">
        <f t="shared" si="112"/>
        <v>0</v>
      </c>
      <c r="AT64" s="25">
        <f t="shared" si="113"/>
        <v>0</v>
      </c>
      <c r="AV64" s="220">
        <f t="shared" si="109"/>
        <v>-7.6733400000000005</v>
      </c>
      <c r="AW64" s="238">
        <f t="shared" si="110"/>
        <v>0</v>
      </c>
    </row>
    <row r="65" spans="1:49" ht="13.2" customHeight="1" thickBot="1" x14ac:dyDescent="0.3">
      <c r="A65" s="4"/>
      <c r="B65" s="4"/>
      <c r="C65" s="4"/>
      <c r="D65" s="278" t="s">
        <v>33</v>
      </c>
      <c r="E65" s="287"/>
      <c r="F65" s="280"/>
      <c r="G65" s="280"/>
      <c r="H65" s="280"/>
      <c r="I65" s="280"/>
      <c r="J65" s="280"/>
      <c r="K65" s="280"/>
      <c r="L65" s="280"/>
      <c r="M65" s="280">
        <v>0</v>
      </c>
      <c r="N65" s="280">
        <v>0</v>
      </c>
      <c r="O65" s="280">
        <f>SUM(O60:O64)</f>
        <v>0</v>
      </c>
      <c r="P65" s="280"/>
      <c r="Q65" s="280"/>
      <c r="R65" s="280"/>
      <c r="S65" s="280"/>
      <c r="T65" s="281">
        <f>SUM(T60:T64)</f>
        <v>0</v>
      </c>
      <c r="U65" s="281">
        <f t="shared" ref="U65:AW65" si="114">SUM(U60:U64)</f>
        <v>0</v>
      </c>
      <c r="V65" s="281">
        <f t="shared" si="114"/>
        <v>0</v>
      </c>
      <c r="W65" s="281">
        <f t="shared" si="114"/>
        <v>0</v>
      </c>
      <c r="X65" s="281">
        <f t="shared" si="114"/>
        <v>0</v>
      </c>
      <c r="Y65" s="281">
        <f t="shared" si="114"/>
        <v>0</v>
      </c>
      <c r="Z65" s="281">
        <f t="shared" si="114"/>
        <v>0</v>
      </c>
      <c r="AA65" s="281">
        <f t="shared" si="114"/>
        <v>0</v>
      </c>
      <c r="AB65" s="281">
        <f t="shared" si="114"/>
        <v>0</v>
      </c>
      <c r="AC65" s="281">
        <f t="shared" si="114"/>
        <v>0</v>
      </c>
      <c r="AD65" s="281">
        <f t="shared" si="114"/>
        <v>0</v>
      </c>
      <c r="AE65" s="281">
        <f t="shared" si="114"/>
        <v>0</v>
      </c>
      <c r="AF65" s="281">
        <f t="shared" si="114"/>
        <v>0</v>
      </c>
      <c r="AG65" s="281">
        <f t="shared" si="114"/>
        <v>0</v>
      </c>
      <c r="AH65" s="282">
        <f t="shared" si="114"/>
        <v>0</v>
      </c>
      <c r="AI65" s="281">
        <f t="shared" si="114"/>
        <v>0</v>
      </c>
      <c r="AJ65" s="283">
        <f t="shared" si="114"/>
        <v>0</v>
      </c>
      <c r="AK65" s="281">
        <f t="shared" si="114"/>
        <v>0</v>
      </c>
      <c r="AL65" s="281">
        <f t="shared" si="114"/>
        <v>0</v>
      </c>
      <c r="AM65" s="281">
        <f t="shared" si="114"/>
        <v>0</v>
      </c>
      <c r="AN65" s="281">
        <f t="shared" si="114"/>
        <v>0</v>
      </c>
      <c r="AO65" s="281">
        <f t="shared" si="114"/>
        <v>0</v>
      </c>
      <c r="AP65" s="281">
        <f>SUM(AP60:AP64)</f>
        <v>0</v>
      </c>
      <c r="AQ65" s="284">
        <f t="shared" si="114"/>
        <v>0</v>
      </c>
      <c r="AR65" s="285">
        <f t="shared" si="114"/>
        <v>0</v>
      </c>
      <c r="AS65" s="285">
        <f t="shared" si="114"/>
        <v>0</v>
      </c>
      <c r="AT65" s="285">
        <f t="shared" si="114"/>
        <v>0</v>
      </c>
      <c r="AU65" s="285">
        <f t="shared" si="114"/>
        <v>0</v>
      </c>
      <c r="AV65" s="281"/>
      <c r="AW65" s="286">
        <f t="shared" si="114"/>
        <v>0</v>
      </c>
    </row>
    <row r="66" spans="1:49" ht="13.2" customHeight="1" x14ac:dyDescent="0.25">
      <c r="E66" s="265"/>
      <c r="T66" s="1"/>
      <c r="U66" s="1"/>
      <c r="V66" s="41"/>
      <c r="W66" s="1"/>
      <c r="X66" s="1"/>
      <c r="Y66" s="1"/>
      <c r="Z66" s="1"/>
      <c r="AA66" s="15"/>
      <c r="AB66" s="15"/>
      <c r="AC66" s="1"/>
      <c r="AD66" s="1"/>
      <c r="AE66" s="1"/>
      <c r="AF66" s="1"/>
      <c r="AG66" s="1"/>
      <c r="AH66" s="1"/>
      <c r="AI66" s="1"/>
      <c r="AJ66" s="1"/>
      <c r="AL66" s="1"/>
      <c r="AM66" s="1"/>
      <c r="AN66" s="1"/>
      <c r="AO66" s="1"/>
      <c r="AP66" s="1"/>
      <c r="AQ66" s="17"/>
      <c r="AR66" s="72">
        <f t="shared" si="13"/>
        <v>0</v>
      </c>
      <c r="AS66" s="25">
        <f t="shared" si="14"/>
        <v>0</v>
      </c>
    </row>
    <row r="67" spans="1:49" ht="13.2" customHeight="1" x14ac:dyDescent="0.25">
      <c r="C67">
        <v>20</v>
      </c>
      <c r="D67" s="100" t="s">
        <v>20</v>
      </c>
      <c r="E67" s="272">
        <v>3</v>
      </c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>
        <f>P63+P67</f>
        <v>0</v>
      </c>
      <c r="S67" s="102">
        <f>Q63+Q67</f>
        <v>0</v>
      </c>
      <c r="T67" s="160"/>
      <c r="U67" s="103"/>
      <c r="V67" s="104">
        <f t="shared" si="16"/>
        <v>0</v>
      </c>
      <c r="W67" s="103">
        <f t="shared" si="8"/>
        <v>0</v>
      </c>
      <c r="X67" s="103">
        <f t="shared" si="9"/>
        <v>0</v>
      </c>
      <c r="Y67" s="103">
        <f>IF(AV67&lt;0,0,(X67-134.62)*0.057)</f>
        <v>0</v>
      </c>
      <c r="Z67" s="103"/>
      <c r="AA67" s="105">
        <f>V67*1.2%</f>
        <v>0</v>
      </c>
      <c r="AB67" s="118"/>
      <c r="AC67" s="103">
        <f>V67*0.494%</f>
        <v>0</v>
      </c>
      <c r="AD67" s="103"/>
      <c r="AE67" s="103"/>
      <c r="AF67" s="103"/>
      <c r="AG67" s="103">
        <f t="shared" si="10"/>
        <v>0</v>
      </c>
      <c r="AH67" s="276">
        <f>IF(VLOOKUP(AG67,'Table 26'!$A$2:$C$438,2,TRUE)&gt;=VLOOKUP(AG67,'Table 26'!$C$2:$D$438,2,TRUE),MAX(VLOOKUP(AG67,'Table 26'!$A$2:$B$438,2,TRUE),VLOOKUP(AG67,'Table 26'!$C$2:$D$438,2,TRUE)),0)</f>
        <v>0</v>
      </c>
      <c r="AI67" s="103">
        <f>X67-AF67</f>
        <v>0</v>
      </c>
      <c r="AJ67" s="277">
        <f>IF(VLOOKUP(AI67,'Table 26'!$E$2:$F$306,2,TRUE)&gt;=VLOOKUP(AI67,'Table 26'!$G$2:$H$306,2,TRUE),MAX(VLOOKUP(AI67,'Table 26'!$E$2:$F$306,2,TRUE),VLOOKUP(AI67,'Table 26'!$G$2:$H$306,2,TRUE)),0)</f>
        <v>0</v>
      </c>
      <c r="AK67" s="102"/>
      <c r="AL67" s="103">
        <f t="shared" si="11"/>
        <v>0</v>
      </c>
      <c r="AM67" s="103">
        <f>V67-AL67</f>
        <v>0</v>
      </c>
      <c r="AN67" s="103"/>
      <c r="AO67" s="103"/>
      <c r="AP67" s="274">
        <f>AM67+AN67+AO67</f>
        <v>0</v>
      </c>
      <c r="AQ67" s="252">
        <f>V67*0.692%</f>
        <v>0</v>
      </c>
      <c r="AR67" s="249"/>
      <c r="AV67" s="220">
        <f>(X67-134.62)*0.057</f>
        <v>-7.6733400000000005</v>
      </c>
      <c r="AW67" s="255">
        <f>T67*0.04</f>
        <v>0</v>
      </c>
    </row>
    <row r="68" spans="1:49" ht="13.2" customHeight="1" x14ac:dyDescent="0.25">
      <c r="D68" s="107" t="s">
        <v>20</v>
      </c>
      <c r="E68" s="264">
        <v>10</v>
      </c>
      <c r="F68" s="30"/>
      <c r="G68" s="30"/>
      <c r="H68" s="30"/>
      <c r="I68" s="30"/>
      <c r="J68" s="30"/>
      <c r="K68" s="30"/>
      <c r="L68" s="30"/>
      <c r="M68" s="30"/>
      <c r="N68" s="30"/>
      <c r="O68" s="30">
        <v>0</v>
      </c>
      <c r="P68" s="30"/>
      <c r="Q68" s="30"/>
      <c r="R68" s="30"/>
      <c r="S68" s="30"/>
      <c r="T68" s="160"/>
      <c r="U68" s="109"/>
      <c r="V68" s="110">
        <f t="shared" si="16"/>
        <v>0</v>
      </c>
      <c r="W68" s="109">
        <f t="shared" si="8"/>
        <v>0</v>
      </c>
      <c r="X68" s="109">
        <f t="shared" si="9"/>
        <v>0</v>
      </c>
      <c r="Y68" s="109">
        <f t="shared" ref="Y68:Y71" si="115">IF(AV68&lt;0,0,(X68-134.62)*0.057)</f>
        <v>0</v>
      </c>
      <c r="Z68" s="109"/>
      <c r="AA68" s="111">
        <f t="shared" ref="AA68:AA71" si="116">V68*1.2%</f>
        <v>0</v>
      </c>
      <c r="AB68" s="120"/>
      <c r="AC68" s="109">
        <f t="shared" ref="AC68:AC71" si="117">V68*0.494%</f>
        <v>0</v>
      </c>
      <c r="AD68" s="109"/>
      <c r="AE68" s="109"/>
      <c r="AF68" s="109"/>
      <c r="AG68" s="109">
        <f t="shared" si="10"/>
        <v>0</v>
      </c>
      <c r="AH68" s="156">
        <f>IF(VLOOKUP(AG68,'Table 26'!$A$2:$C$438,2,TRUE)&gt;=VLOOKUP(AG68,'Table 26'!$C$2:$D$438,2,TRUE),MAX(VLOOKUP(AG68,'Table 26'!$A$2:$B$438,2,TRUE),VLOOKUP(AG68,'Table 26'!$C$2:$D$438,2,TRUE)),0)</f>
        <v>0</v>
      </c>
      <c r="AI68" s="109">
        <f t="shared" si="3"/>
        <v>0</v>
      </c>
      <c r="AJ68" s="158">
        <f>IF(VLOOKUP(AI68,'Table 26'!$E$2:$F$306,2,TRUE)&gt;=VLOOKUP(AI68,'Table 26'!$G$2:$H$306,2,TRUE),MAX(VLOOKUP(AI68,'Table 26'!$E$2:$F$306,2,TRUE),VLOOKUP(AI68,'Table 26'!$G$2:$H$306,2,TRUE)),0)</f>
        <v>0</v>
      </c>
      <c r="AK68" s="109"/>
      <c r="AL68" s="109">
        <f t="shared" si="11"/>
        <v>0</v>
      </c>
      <c r="AM68" s="109">
        <f t="shared" ref="AM68:AM71" si="118">V68-AL68</f>
        <v>0</v>
      </c>
      <c r="AN68" s="109"/>
      <c r="AO68" s="109"/>
      <c r="AP68" s="109">
        <f t="shared" ref="AP68:AP71" si="119">AM68+AN68+AO68</f>
        <v>0</v>
      </c>
      <c r="AQ68" s="253">
        <f t="shared" ref="AQ68:AQ71" si="120">V68*0.692%</f>
        <v>0</v>
      </c>
      <c r="AR68" s="72">
        <f>O68*5.335</f>
        <v>0</v>
      </c>
      <c r="AS68" s="25">
        <f>2*O68</f>
        <v>0</v>
      </c>
      <c r="AT68" s="25">
        <f>0.04*O68</f>
        <v>0</v>
      </c>
      <c r="AU68" s="25"/>
      <c r="AV68" s="220">
        <f t="shared" ref="AV68:AV71" si="121">(X68-134.62)*0.057</f>
        <v>-7.6733400000000005</v>
      </c>
      <c r="AW68" s="238">
        <f t="shared" ref="AW68:AW71" si="122">T68*0.04</f>
        <v>0</v>
      </c>
    </row>
    <row r="69" spans="1:49" ht="13.2" customHeight="1" x14ac:dyDescent="0.25">
      <c r="C69">
        <v>21</v>
      </c>
      <c r="D69" s="107" t="s">
        <v>20</v>
      </c>
      <c r="E69" s="271">
        <v>17</v>
      </c>
      <c r="F69" s="30"/>
      <c r="G69" s="30"/>
      <c r="H69" s="30"/>
      <c r="I69" s="30"/>
      <c r="J69" s="30"/>
      <c r="K69" s="30"/>
      <c r="L69" s="30"/>
      <c r="M69" s="30"/>
      <c r="N69" s="30"/>
      <c r="O69" s="30">
        <v>0</v>
      </c>
      <c r="P69" s="30"/>
      <c r="Q69" s="30"/>
      <c r="R69" s="30">
        <f>P68+P69</f>
        <v>0</v>
      </c>
      <c r="S69" s="30">
        <f>Q68+Q69</f>
        <v>0</v>
      </c>
      <c r="T69" s="160"/>
      <c r="U69" s="109"/>
      <c r="V69" s="110">
        <f t="shared" si="16"/>
        <v>0</v>
      </c>
      <c r="W69" s="109">
        <f t="shared" si="8"/>
        <v>0</v>
      </c>
      <c r="X69" s="109">
        <f t="shared" si="9"/>
        <v>0</v>
      </c>
      <c r="Y69" s="109">
        <f t="shared" si="115"/>
        <v>0</v>
      </c>
      <c r="Z69" s="109"/>
      <c r="AA69" s="111">
        <f t="shared" si="116"/>
        <v>0</v>
      </c>
      <c r="AB69" s="120"/>
      <c r="AC69" s="109">
        <f t="shared" si="117"/>
        <v>0</v>
      </c>
      <c r="AD69" s="109"/>
      <c r="AE69" s="109"/>
      <c r="AF69" s="109"/>
      <c r="AG69" s="109">
        <f t="shared" si="10"/>
        <v>0</v>
      </c>
      <c r="AH69" s="156">
        <f>IF(VLOOKUP(AG69,'Table 26'!$A$2:$C$438,2,TRUE)&gt;=VLOOKUP(AG69,'Table 26'!$C$2:$D$438,2,TRUE),MAX(VLOOKUP(AG69,'Table 26'!$A$2:$B$438,2,TRUE),VLOOKUP(AG69,'Table 26'!$C$2:$D$438,2,TRUE)),0)</f>
        <v>0</v>
      </c>
      <c r="AI69" s="109">
        <f>X69-AF69</f>
        <v>0</v>
      </c>
      <c r="AJ69" s="158">
        <f>IF(VLOOKUP(AI69,'Table 26'!$E$2:$F$306,2,TRUE)&gt;=VLOOKUP(AI69,'Table 26'!$G$2:$H$306,2,TRUE),MAX(VLOOKUP(AI69,'Table 26'!$E$2:$F$306,2,TRUE),VLOOKUP(AI69,'Table 26'!$G$2:$H$306,2,TRUE)),0)</f>
        <v>0</v>
      </c>
      <c r="AK69" s="109"/>
      <c r="AL69" s="109">
        <f t="shared" si="11"/>
        <v>0</v>
      </c>
      <c r="AM69" s="109">
        <f t="shared" si="118"/>
        <v>0</v>
      </c>
      <c r="AN69" s="109"/>
      <c r="AO69" s="109"/>
      <c r="AP69" s="273">
        <f t="shared" si="119"/>
        <v>0</v>
      </c>
      <c r="AQ69" s="253">
        <f t="shared" si="120"/>
        <v>0</v>
      </c>
      <c r="AR69" s="72">
        <f t="shared" ref="AR69:AR71" si="123">O69*5.335</f>
        <v>0</v>
      </c>
      <c r="AS69" s="25">
        <f t="shared" ref="AS69:AS71" si="124">2*O69</f>
        <v>0</v>
      </c>
      <c r="AT69" s="25">
        <f t="shared" ref="AT69:AT71" si="125">0.04*O69</f>
        <v>0</v>
      </c>
      <c r="AV69" s="220">
        <f t="shared" si="121"/>
        <v>-7.6733400000000005</v>
      </c>
      <c r="AW69" s="238">
        <f t="shared" si="122"/>
        <v>0</v>
      </c>
    </row>
    <row r="70" spans="1:49" ht="13.2" customHeight="1" x14ac:dyDescent="0.25">
      <c r="D70" s="107" t="s">
        <v>20</v>
      </c>
      <c r="E70" s="264">
        <v>24</v>
      </c>
      <c r="F70" s="30"/>
      <c r="G70" s="30"/>
      <c r="H70" s="30"/>
      <c r="I70" s="30"/>
      <c r="J70" s="30"/>
      <c r="K70" s="30"/>
      <c r="L70" s="30"/>
      <c r="M70" s="30"/>
      <c r="N70" s="30"/>
      <c r="O70" s="30">
        <v>0</v>
      </c>
      <c r="P70" s="30"/>
      <c r="Q70" s="30"/>
      <c r="R70" s="30"/>
      <c r="S70" s="30"/>
      <c r="T70" s="160"/>
      <c r="U70" s="109"/>
      <c r="V70" s="110">
        <f t="shared" si="16"/>
        <v>0</v>
      </c>
      <c r="W70" s="109">
        <f t="shared" si="8"/>
        <v>0</v>
      </c>
      <c r="X70" s="109">
        <f t="shared" si="9"/>
        <v>0</v>
      </c>
      <c r="Y70" s="109">
        <f t="shared" si="115"/>
        <v>0</v>
      </c>
      <c r="Z70" s="109"/>
      <c r="AA70" s="111">
        <f t="shared" si="116"/>
        <v>0</v>
      </c>
      <c r="AB70" s="120"/>
      <c r="AC70" s="109">
        <f t="shared" si="117"/>
        <v>0</v>
      </c>
      <c r="AD70" s="109"/>
      <c r="AE70" s="109"/>
      <c r="AF70" s="109"/>
      <c r="AG70" s="109">
        <f t="shared" si="10"/>
        <v>0</v>
      </c>
      <c r="AH70" s="156">
        <f>IF(VLOOKUP(AG70,'Table 26'!$A$2:$C$438,2,TRUE)&gt;=VLOOKUP(AG70,'Table 26'!$C$2:$D$438,2,TRUE),MAX(VLOOKUP(AG70,'Table 26'!$A$2:$B$438,2,TRUE),VLOOKUP(AG70,'Table 26'!$C$2:$D$438,2,TRUE)),0)</f>
        <v>0</v>
      </c>
      <c r="AI70" s="109">
        <f t="shared" si="3"/>
        <v>0</v>
      </c>
      <c r="AJ70" s="158">
        <f>IF(VLOOKUP(AI70,'Table 26'!$E$2:$F$306,2,TRUE)&gt;=VLOOKUP(AI70,'Table 26'!$G$2:$H$306,2,TRUE),MAX(VLOOKUP(AI70,'Table 26'!$E$2:$F$306,2,TRUE),VLOOKUP(AI70,'Table 26'!$G$2:$H$306,2,TRUE)),0)</f>
        <v>0</v>
      </c>
      <c r="AK70" s="109"/>
      <c r="AL70" s="109">
        <f t="shared" si="11"/>
        <v>0</v>
      </c>
      <c r="AM70" s="109">
        <f t="shared" si="118"/>
        <v>0</v>
      </c>
      <c r="AN70" s="109"/>
      <c r="AO70" s="109"/>
      <c r="AP70" s="109">
        <f t="shared" si="119"/>
        <v>0</v>
      </c>
      <c r="AQ70" s="253">
        <f t="shared" si="120"/>
        <v>0</v>
      </c>
      <c r="AR70" s="72">
        <f t="shared" si="123"/>
        <v>0</v>
      </c>
      <c r="AS70" s="25">
        <f t="shared" si="124"/>
        <v>0</v>
      </c>
      <c r="AT70" s="25">
        <f t="shared" si="125"/>
        <v>0</v>
      </c>
      <c r="AV70" s="220">
        <f t="shared" si="121"/>
        <v>-7.6733400000000005</v>
      </c>
      <c r="AW70" s="238">
        <f t="shared" si="122"/>
        <v>0</v>
      </c>
    </row>
    <row r="71" spans="1:49" ht="13.2" customHeight="1" x14ac:dyDescent="0.25">
      <c r="C71">
        <v>22</v>
      </c>
      <c r="D71" s="107" t="s">
        <v>20</v>
      </c>
      <c r="E71" s="271">
        <v>31</v>
      </c>
      <c r="F71" s="349"/>
      <c r="G71" s="349"/>
      <c r="H71" s="349"/>
      <c r="I71" s="349"/>
      <c r="J71" s="349"/>
      <c r="K71" s="349"/>
      <c r="L71" s="30"/>
      <c r="M71" s="30"/>
      <c r="N71" s="30"/>
      <c r="O71" s="30">
        <v>0</v>
      </c>
      <c r="P71" s="30"/>
      <c r="Q71" s="30"/>
      <c r="R71" s="30">
        <f>P70+P71</f>
        <v>0</v>
      </c>
      <c r="S71" s="30">
        <f>Q70+Q71</f>
        <v>0</v>
      </c>
      <c r="T71" s="160"/>
      <c r="U71" s="216"/>
      <c r="V71" s="217">
        <f t="shared" ref="V71:V85" si="126">T71+U71</f>
        <v>0</v>
      </c>
      <c r="W71" s="121">
        <f t="shared" ref="W71:W84" si="127">O71*1.998</f>
        <v>0</v>
      </c>
      <c r="X71" s="121">
        <f t="shared" ref="X71:X85" si="128">V71+W71</f>
        <v>0</v>
      </c>
      <c r="Y71" s="121">
        <f t="shared" si="115"/>
        <v>0</v>
      </c>
      <c r="Z71" s="121"/>
      <c r="AA71" s="131">
        <f t="shared" si="116"/>
        <v>0</v>
      </c>
      <c r="AB71" s="218"/>
      <c r="AC71" s="121">
        <f t="shared" si="117"/>
        <v>0</v>
      </c>
      <c r="AD71" s="121"/>
      <c r="AE71" s="121"/>
      <c r="AF71" s="121"/>
      <c r="AG71" s="121">
        <f t="shared" ref="AG71:AG85" si="129">V71-AD71-AE71-AF71</f>
        <v>0</v>
      </c>
      <c r="AH71" s="157">
        <f>IF(VLOOKUP(AG71,'Table 26'!$A$2:$C$438,2,TRUE)&gt;=VLOOKUP(AG71,'Table 26'!$C$2:$D$438,2,TRUE),MAX(VLOOKUP(AG71,'Table 26'!$A$2:$B$438,2,TRUE),VLOOKUP(AG71,'Table 26'!$C$2:$D$438,2,TRUE)),0)</f>
        <v>0</v>
      </c>
      <c r="AI71" s="121">
        <f t="shared" ref="AI71" si="130">X71-AF71</f>
        <v>0</v>
      </c>
      <c r="AJ71" s="159">
        <f>IF(VLOOKUP(AI71,'Table 26'!$E$2:$F$306,2,TRUE)&gt;=VLOOKUP(AI71,'Table 26'!$G$2:$H$306,2,TRUE),MAX(VLOOKUP(AI71,'Table 26'!$E$2:$F$306,2,TRUE),VLOOKUP(AI71,'Table 26'!$G$2:$H$306,2,TRUE)),0)</f>
        <v>0</v>
      </c>
      <c r="AK71" s="121"/>
      <c r="AL71" s="121">
        <f t="shared" ref="AL71:AL85" si="131">Y71+AA71+AC71+AD71+AE71+AF71+AH71+AJ71+AK71</f>
        <v>0</v>
      </c>
      <c r="AM71" s="121">
        <f t="shared" si="118"/>
        <v>0</v>
      </c>
      <c r="AN71" s="121"/>
      <c r="AO71" s="121"/>
      <c r="AP71" s="275">
        <f t="shared" si="119"/>
        <v>0</v>
      </c>
      <c r="AQ71" s="254">
        <f t="shared" si="120"/>
        <v>0</v>
      </c>
      <c r="AR71" s="72">
        <f t="shared" si="123"/>
        <v>0</v>
      </c>
      <c r="AS71" s="25">
        <f t="shared" si="124"/>
        <v>0</v>
      </c>
      <c r="AT71" s="25">
        <f t="shared" si="125"/>
        <v>0</v>
      </c>
      <c r="AV71" s="220">
        <f t="shared" si="121"/>
        <v>-7.6733400000000005</v>
      </c>
      <c r="AW71" s="238">
        <f t="shared" si="122"/>
        <v>0</v>
      </c>
    </row>
    <row r="72" spans="1:49" ht="13.2" customHeight="1" thickBot="1" x14ac:dyDescent="0.3">
      <c r="A72" s="4"/>
      <c r="B72" s="4"/>
      <c r="C72" s="4"/>
      <c r="D72" s="278" t="s">
        <v>33</v>
      </c>
      <c r="E72" s="287"/>
      <c r="F72" s="280"/>
      <c r="G72" s="280"/>
      <c r="H72" s="280"/>
      <c r="I72" s="280"/>
      <c r="J72" s="280"/>
      <c r="K72" s="280"/>
      <c r="L72" s="280"/>
      <c r="M72" s="280">
        <f>SUM(M67:M71)</f>
        <v>0</v>
      </c>
      <c r="N72" s="280"/>
      <c r="O72" s="280">
        <f>SUM(O67:O71)</f>
        <v>0</v>
      </c>
      <c r="P72" s="280"/>
      <c r="Q72" s="280"/>
      <c r="R72" s="280"/>
      <c r="S72" s="280"/>
      <c r="T72" s="281">
        <f>SUM(T67:T71)</f>
        <v>0</v>
      </c>
      <c r="U72" s="281">
        <f t="shared" ref="U72:AW72" si="132">SUM(U67:U71)</f>
        <v>0</v>
      </c>
      <c r="V72" s="281">
        <f t="shared" si="132"/>
        <v>0</v>
      </c>
      <c r="W72" s="281">
        <f t="shared" si="132"/>
        <v>0</v>
      </c>
      <c r="X72" s="281">
        <f t="shared" si="132"/>
        <v>0</v>
      </c>
      <c r="Y72" s="281">
        <f t="shared" si="132"/>
        <v>0</v>
      </c>
      <c r="Z72" s="281">
        <f t="shared" si="132"/>
        <v>0</v>
      </c>
      <c r="AA72" s="281">
        <f t="shared" si="132"/>
        <v>0</v>
      </c>
      <c r="AB72" s="281">
        <f t="shared" si="132"/>
        <v>0</v>
      </c>
      <c r="AC72" s="281">
        <f t="shared" si="132"/>
        <v>0</v>
      </c>
      <c r="AD72" s="281">
        <f t="shared" si="132"/>
        <v>0</v>
      </c>
      <c r="AE72" s="281">
        <f t="shared" si="132"/>
        <v>0</v>
      </c>
      <c r="AF72" s="281">
        <f t="shared" si="132"/>
        <v>0</v>
      </c>
      <c r="AG72" s="281">
        <f t="shared" si="132"/>
        <v>0</v>
      </c>
      <c r="AH72" s="282">
        <f t="shared" si="132"/>
        <v>0</v>
      </c>
      <c r="AI72" s="281">
        <f t="shared" si="132"/>
        <v>0</v>
      </c>
      <c r="AJ72" s="283">
        <f t="shared" si="132"/>
        <v>0</v>
      </c>
      <c r="AK72" s="281">
        <f t="shared" si="132"/>
        <v>0</v>
      </c>
      <c r="AL72" s="281">
        <f t="shared" si="132"/>
        <v>0</v>
      </c>
      <c r="AM72" s="281">
        <f t="shared" si="132"/>
        <v>0</v>
      </c>
      <c r="AN72" s="281">
        <f t="shared" si="132"/>
        <v>0</v>
      </c>
      <c r="AO72" s="281">
        <f t="shared" si="132"/>
        <v>0</v>
      </c>
      <c r="AP72" s="281">
        <f>SUM(AP67:AP71)</f>
        <v>0</v>
      </c>
      <c r="AQ72" s="284">
        <f t="shared" si="132"/>
        <v>0</v>
      </c>
      <c r="AR72" s="285">
        <f t="shared" si="132"/>
        <v>0</v>
      </c>
      <c r="AS72" s="285">
        <f t="shared" si="132"/>
        <v>0</v>
      </c>
      <c r="AT72" s="285">
        <f t="shared" si="132"/>
        <v>0</v>
      </c>
      <c r="AU72" s="285">
        <f t="shared" si="132"/>
        <v>0</v>
      </c>
      <c r="AV72" s="281"/>
      <c r="AW72" s="286">
        <f t="shared" si="132"/>
        <v>0</v>
      </c>
    </row>
    <row r="73" spans="1:49" ht="13.2" customHeight="1" x14ac:dyDescent="0.25">
      <c r="E73" s="265"/>
      <c r="T73" s="1"/>
      <c r="U73" s="1"/>
      <c r="V73" s="41">
        <f t="shared" si="126"/>
        <v>0</v>
      </c>
      <c r="W73" s="1">
        <f t="shared" si="127"/>
        <v>0</v>
      </c>
      <c r="X73" s="1">
        <f t="shared" si="128"/>
        <v>0</v>
      </c>
      <c r="Y73" s="1"/>
      <c r="Z73" s="1"/>
      <c r="AA73" s="15"/>
      <c r="AB73" s="15"/>
      <c r="AC73" s="1">
        <f t="shared" ref="AC73" si="133">V73*0.559%</f>
        <v>0</v>
      </c>
      <c r="AD73" s="1"/>
      <c r="AE73" s="1"/>
      <c r="AF73" s="1"/>
      <c r="AG73" s="1">
        <f t="shared" si="129"/>
        <v>0</v>
      </c>
      <c r="AH73" s="1"/>
      <c r="AI73" s="1">
        <f t="shared" ref="AI73" si="134">X73-AF73</f>
        <v>0</v>
      </c>
      <c r="AJ73" s="1"/>
      <c r="AL73" s="1">
        <f t="shared" si="131"/>
        <v>0</v>
      </c>
      <c r="AM73" s="1"/>
      <c r="AN73" s="1"/>
      <c r="AO73" s="1"/>
      <c r="AP73" s="1"/>
      <c r="AQ73" s="17">
        <f t="shared" ref="AQ73" si="135">V73*0.782%</f>
        <v>0</v>
      </c>
      <c r="AR73" s="72">
        <f t="shared" ref="AR73:AR80" si="136">O73*5.335</f>
        <v>0</v>
      </c>
      <c r="AS73" s="25">
        <f t="shared" ref="AS73:AS80" si="137">2*O73</f>
        <v>0</v>
      </c>
    </row>
    <row r="74" spans="1:49" ht="13.2" customHeight="1" x14ac:dyDescent="0.25">
      <c r="D74" s="100" t="s">
        <v>21</v>
      </c>
      <c r="E74" s="101">
        <v>7</v>
      </c>
      <c r="F74" s="102"/>
      <c r="G74" s="102"/>
      <c r="H74" s="102"/>
      <c r="I74" s="102"/>
      <c r="J74" s="102"/>
      <c r="K74" s="101"/>
      <c r="L74" s="101"/>
      <c r="M74" s="102">
        <v>0</v>
      </c>
      <c r="N74" s="102"/>
      <c r="O74" s="102">
        <v>0</v>
      </c>
      <c r="P74" s="102"/>
      <c r="Q74" s="102"/>
      <c r="R74" s="102"/>
      <c r="S74" s="102"/>
      <c r="T74" s="160"/>
      <c r="U74" s="103"/>
      <c r="V74" s="104">
        <f t="shared" si="126"/>
        <v>0</v>
      </c>
      <c r="W74" s="103">
        <f t="shared" si="127"/>
        <v>0</v>
      </c>
      <c r="X74" s="103">
        <f t="shared" si="128"/>
        <v>0</v>
      </c>
      <c r="Y74" s="103">
        <f>IF(AV74&lt;0,0,(X74-134.62)*0.057)</f>
        <v>0</v>
      </c>
      <c r="Z74" s="103"/>
      <c r="AA74" s="105">
        <f>V74*1.2%</f>
        <v>0</v>
      </c>
      <c r="AB74" s="118"/>
      <c r="AC74" s="103">
        <f>V74*0.494%</f>
        <v>0</v>
      </c>
      <c r="AD74" s="103"/>
      <c r="AE74" s="103"/>
      <c r="AF74" s="103"/>
      <c r="AG74" s="103">
        <f t="shared" si="129"/>
        <v>0</v>
      </c>
      <c r="AH74" s="276">
        <f>IF(VLOOKUP(AG74,'Table 26'!$A$2:$C$438,2,TRUE)&gt;=VLOOKUP(AG74,'Table 26'!$C$2:$D$438,2,TRUE),MAX(VLOOKUP(AG74,'Table 26'!$A$2:$B$438,2,TRUE),VLOOKUP(AG74,'Table 26'!$C$2:$D$438,2,TRUE)),0)</f>
        <v>0</v>
      </c>
      <c r="AI74" s="103">
        <f>X74-AF74</f>
        <v>0</v>
      </c>
      <c r="AJ74" s="277">
        <f>IF(VLOOKUP(AI74,'Table 26'!$E$2:$F$306,2,TRUE)&gt;=VLOOKUP(AI74,'Table 26'!$G$2:$H$306,2,TRUE),MAX(VLOOKUP(AI74,'Table 26'!$E$2:$F$306,2,TRUE),VLOOKUP(AI74,'Table 26'!$G$2:$H$306,2,TRUE)),0)</f>
        <v>0</v>
      </c>
      <c r="AK74" s="102"/>
      <c r="AL74" s="103">
        <f t="shared" si="131"/>
        <v>0</v>
      </c>
      <c r="AM74" s="103"/>
      <c r="AN74" s="103"/>
      <c r="AO74" s="103"/>
      <c r="AP74" s="103">
        <f>AM74+AN74+AO74</f>
        <v>0</v>
      </c>
      <c r="AQ74" s="252">
        <f>V74*0.692%</f>
        <v>0</v>
      </c>
      <c r="AR74" s="249"/>
      <c r="AV74" s="220">
        <f>(X74-134.62)*0.057</f>
        <v>-7.6733400000000005</v>
      </c>
      <c r="AW74" s="255">
        <f>T74*0.04</f>
        <v>0</v>
      </c>
    </row>
    <row r="75" spans="1:49" ht="13.2" customHeight="1" x14ac:dyDescent="0.25">
      <c r="C75">
        <v>23</v>
      </c>
      <c r="D75" s="107" t="s">
        <v>21</v>
      </c>
      <c r="E75" s="271">
        <v>14</v>
      </c>
      <c r="F75" s="30"/>
      <c r="G75" s="30"/>
      <c r="H75" s="30"/>
      <c r="I75" s="30"/>
      <c r="J75" s="30"/>
      <c r="K75" s="30"/>
      <c r="L75" s="30"/>
      <c r="M75" s="30"/>
      <c r="N75" s="30">
        <v>0</v>
      </c>
      <c r="O75" s="30">
        <v>0</v>
      </c>
      <c r="P75" s="30"/>
      <c r="Q75" s="30"/>
      <c r="R75" s="30">
        <f>P74+P75</f>
        <v>0</v>
      </c>
      <c r="S75" s="30">
        <f>Q74+Q75</f>
        <v>0</v>
      </c>
      <c r="T75" s="160"/>
      <c r="U75" s="109"/>
      <c r="V75" s="110">
        <f t="shared" si="126"/>
        <v>0</v>
      </c>
      <c r="W75" s="109">
        <f t="shared" si="127"/>
        <v>0</v>
      </c>
      <c r="X75" s="109">
        <f t="shared" si="128"/>
        <v>0</v>
      </c>
      <c r="Y75" s="109">
        <f t="shared" ref="Y75:Y78" si="138">IF(AV75&lt;0,0,(X75-134.62)*0.057)</f>
        <v>0</v>
      </c>
      <c r="Z75" s="109"/>
      <c r="AA75" s="111">
        <f t="shared" ref="AA75:AA78" si="139">V75*1.2%</f>
        <v>0</v>
      </c>
      <c r="AB75" s="120"/>
      <c r="AC75" s="109">
        <f t="shared" ref="AC75:AC78" si="140">V75*0.494%</f>
        <v>0</v>
      </c>
      <c r="AD75" s="109"/>
      <c r="AE75" s="109"/>
      <c r="AF75" s="109"/>
      <c r="AG75" s="109">
        <f t="shared" si="129"/>
        <v>0</v>
      </c>
      <c r="AH75" s="156">
        <f>IF(VLOOKUP(AG75,'Table 26'!$A$2:$C$438,2,TRUE)&gt;=VLOOKUP(AG75,'Table 26'!$C$2:$D$438,2,TRUE),MAX(VLOOKUP(AG75,'Table 26'!$A$2:$B$438,2,TRUE),VLOOKUP(AG75,'Table 26'!$C$2:$D$438,2,TRUE)),0)</f>
        <v>0</v>
      </c>
      <c r="AI75" s="109">
        <f t="shared" ref="AI75:AI78" si="141">X75-AF75</f>
        <v>0</v>
      </c>
      <c r="AJ75" s="158">
        <f>IF(VLOOKUP(AI75,'Table 26'!$E$2:$F$306,2,TRUE)&gt;=VLOOKUP(AI75,'Table 26'!$G$2:$H$306,2,TRUE),MAX(VLOOKUP(AI75,'Table 26'!$E$2:$F$306,2,TRUE),VLOOKUP(AI75,'Table 26'!$G$2:$H$306,2,TRUE)),0)</f>
        <v>0</v>
      </c>
      <c r="AK75" s="109"/>
      <c r="AL75" s="109">
        <f t="shared" si="131"/>
        <v>0</v>
      </c>
      <c r="AM75" s="109"/>
      <c r="AN75" s="109"/>
      <c r="AO75" s="109"/>
      <c r="AP75" s="273">
        <f t="shared" ref="AP75:AP78" si="142">AM75+AN75+AO75</f>
        <v>0</v>
      </c>
      <c r="AQ75" s="253">
        <f t="shared" ref="AQ75:AQ78" si="143">V75*0.692%</f>
        <v>0</v>
      </c>
      <c r="AR75" s="72">
        <f>O75*5.335</f>
        <v>0</v>
      </c>
      <c r="AS75" s="25">
        <f>2*O75</f>
        <v>0</v>
      </c>
      <c r="AT75" s="25">
        <f>0.04*O75</f>
        <v>0</v>
      </c>
      <c r="AU75" s="25"/>
      <c r="AV75" s="220">
        <f t="shared" ref="AV75:AV78" si="144">(X75-134.62)*0.057</f>
        <v>-7.6733400000000005</v>
      </c>
      <c r="AW75" s="238">
        <f t="shared" ref="AW75:AW78" si="145">T75*0.04</f>
        <v>0</v>
      </c>
    </row>
    <row r="76" spans="1:49" ht="13.2" customHeight="1" x14ac:dyDescent="0.25">
      <c r="D76" s="107" t="s">
        <v>21</v>
      </c>
      <c r="E76" s="264">
        <v>21</v>
      </c>
      <c r="F76" s="30"/>
      <c r="G76" s="30"/>
      <c r="H76" s="30"/>
      <c r="I76" s="30"/>
      <c r="J76" s="30"/>
      <c r="K76" s="30"/>
      <c r="L76" s="30"/>
      <c r="M76" s="30"/>
      <c r="N76" s="30">
        <v>0</v>
      </c>
      <c r="O76" s="30">
        <v>0</v>
      </c>
      <c r="P76" s="30"/>
      <c r="Q76" s="30"/>
      <c r="R76" s="30"/>
      <c r="S76" s="30"/>
      <c r="T76" s="160"/>
      <c r="U76" s="109"/>
      <c r="V76" s="110">
        <f t="shared" si="126"/>
        <v>0</v>
      </c>
      <c r="W76" s="109">
        <f t="shared" si="127"/>
        <v>0</v>
      </c>
      <c r="X76" s="109">
        <f t="shared" si="128"/>
        <v>0</v>
      </c>
      <c r="Y76" s="109">
        <f t="shared" si="138"/>
        <v>0</v>
      </c>
      <c r="Z76" s="109"/>
      <c r="AA76" s="111">
        <f t="shared" si="139"/>
        <v>0</v>
      </c>
      <c r="AB76" s="120"/>
      <c r="AC76" s="109">
        <f t="shared" si="140"/>
        <v>0</v>
      </c>
      <c r="AD76" s="109"/>
      <c r="AE76" s="109"/>
      <c r="AF76" s="109"/>
      <c r="AG76" s="109">
        <f t="shared" si="129"/>
        <v>0</v>
      </c>
      <c r="AH76" s="156">
        <f>IF(VLOOKUP(AG76,'Table 26'!$A$2:$C$438,2,TRUE)&gt;=VLOOKUP(AG76,'Table 26'!$C$2:$D$438,2,TRUE),MAX(VLOOKUP(AG76,'Table 26'!$A$2:$B$438,2,TRUE),VLOOKUP(AG76,'Table 26'!$C$2:$D$438,2,TRUE)),0)</f>
        <v>0</v>
      </c>
      <c r="AI76" s="109">
        <f>X76-AF76</f>
        <v>0</v>
      </c>
      <c r="AJ76" s="158">
        <f>IF(VLOOKUP(AI76,'Table 26'!$E$2:$F$306,2,TRUE)&gt;=VLOOKUP(AI76,'Table 26'!$G$2:$H$306,2,TRUE),MAX(VLOOKUP(AI76,'Table 26'!$E$2:$F$306,2,TRUE),VLOOKUP(AI76,'Table 26'!$G$2:$H$306,2,TRUE)),0)</f>
        <v>0</v>
      </c>
      <c r="AK76" s="109"/>
      <c r="AL76" s="109">
        <f t="shared" si="131"/>
        <v>0</v>
      </c>
      <c r="AM76" s="109"/>
      <c r="AN76" s="109"/>
      <c r="AO76" s="109"/>
      <c r="AP76" s="109">
        <f t="shared" si="142"/>
        <v>0</v>
      </c>
      <c r="AQ76" s="253">
        <f t="shared" si="143"/>
        <v>0</v>
      </c>
      <c r="AR76" s="72">
        <f t="shared" ref="AR76:AR78" si="146">O76*5.335</f>
        <v>0</v>
      </c>
      <c r="AS76" s="25">
        <f t="shared" ref="AS76:AS78" si="147">2*O76</f>
        <v>0</v>
      </c>
      <c r="AT76" s="25">
        <f t="shared" ref="AT76:AT78" si="148">0.04*O76</f>
        <v>0</v>
      </c>
      <c r="AV76" s="220">
        <f t="shared" si="144"/>
        <v>-7.6733400000000005</v>
      </c>
      <c r="AW76" s="238">
        <f t="shared" si="145"/>
        <v>0</v>
      </c>
    </row>
    <row r="77" spans="1:49" ht="13.2" customHeight="1" x14ac:dyDescent="0.25">
      <c r="C77">
        <v>24</v>
      </c>
      <c r="D77" s="107" t="s">
        <v>21</v>
      </c>
      <c r="E77" s="271">
        <v>28</v>
      </c>
      <c r="F77" s="30"/>
      <c r="G77" s="30"/>
      <c r="H77" s="30"/>
      <c r="I77" s="30"/>
      <c r="J77" s="30"/>
      <c r="K77" s="30"/>
      <c r="L77" s="30"/>
      <c r="M77" s="30"/>
      <c r="N77" s="30">
        <v>0</v>
      </c>
      <c r="O77" s="30">
        <v>0</v>
      </c>
      <c r="P77" s="30"/>
      <c r="Q77" s="30"/>
      <c r="R77" s="30">
        <f>P76+P77</f>
        <v>0</v>
      </c>
      <c r="S77" s="30">
        <f>Q76+Q77</f>
        <v>0</v>
      </c>
      <c r="T77" s="160"/>
      <c r="U77" s="109"/>
      <c r="V77" s="110">
        <f t="shared" si="126"/>
        <v>0</v>
      </c>
      <c r="W77" s="109">
        <f t="shared" si="127"/>
        <v>0</v>
      </c>
      <c r="X77" s="109">
        <f t="shared" si="128"/>
        <v>0</v>
      </c>
      <c r="Y77" s="109">
        <f t="shared" si="138"/>
        <v>0</v>
      </c>
      <c r="Z77" s="109"/>
      <c r="AA77" s="111">
        <f t="shared" si="139"/>
        <v>0</v>
      </c>
      <c r="AB77" s="120"/>
      <c r="AC77" s="109">
        <f t="shared" si="140"/>
        <v>0</v>
      </c>
      <c r="AD77" s="109"/>
      <c r="AE77" s="109"/>
      <c r="AF77" s="109"/>
      <c r="AG77" s="109">
        <f t="shared" si="129"/>
        <v>0</v>
      </c>
      <c r="AH77" s="156">
        <f>IF(VLOOKUP(AG77,'Table 26'!$A$2:$C$438,2,TRUE)&gt;=VLOOKUP(AG77,'Table 26'!$C$2:$D$438,2,TRUE),MAX(VLOOKUP(AG77,'Table 26'!$A$2:$B$438,2,TRUE),VLOOKUP(AG77,'Table 26'!$C$2:$D$438,2,TRUE)),0)</f>
        <v>0</v>
      </c>
      <c r="AI77" s="109">
        <f t="shared" si="141"/>
        <v>0</v>
      </c>
      <c r="AJ77" s="158">
        <f>IF(VLOOKUP(AI77,'Table 26'!$E$2:$F$306,2,TRUE)&gt;=VLOOKUP(AI77,'Table 26'!$G$2:$H$306,2,TRUE),MAX(VLOOKUP(AI77,'Table 26'!$E$2:$F$306,2,TRUE),VLOOKUP(AI77,'Table 26'!$G$2:$H$306,2,TRUE)),0)</f>
        <v>0</v>
      </c>
      <c r="AK77" s="109"/>
      <c r="AL77" s="109">
        <f t="shared" si="131"/>
        <v>0</v>
      </c>
      <c r="AM77" s="109"/>
      <c r="AN77" s="109"/>
      <c r="AO77" s="109"/>
      <c r="AP77" s="273">
        <f t="shared" si="142"/>
        <v>0</v>
      </c>
      <c r="AQ77" s="253">
        <f t="shared" si="143"/>
        <v>0</v>
      </c>
      <c r="AR77" s="72">
        <f t="shared" si="146"/>
        <v>0</v>
      </c>
      <c r="AS77" s="25">
        <f t="shared" si="147"/>
        <v>0</v>
      </c>
      <c r="AT77" s="25">
        <f t="shared" si="148"/>
        <v>0</v>
      </c>
      <c r="AV77" s="220">
        <f t="shared" si="144"/>
        <v>-7.6733400000000005</v>
      </c>
      <c r="AW77" s="238">
        <f t="shared" si="145"/>
        <v>0</v>
      </c>
    </row>
    <row r="78" spans="1:49" ht="13.2" customHeight="1" x14ac:dyDescent="0.25">
      <c r="D78" s="107" t="s">
        <v>21</v>
      </c>
      <c r="E78" s="264"/>
      <c r="F78" s="30"/>
      <c r="G78" s="30"/>
      <c r="H78" s="30"/>
      <c r="I78" s="30"/>
      <c r="J78" s="30"/>
      <c r="K78" s="30"/>
      <c r="L78" s="30"/>
      <c r="M78" s="30"/>
      <c r="N78" s="30">
        <v>0</v>
      </c>
      <c r="O78" s="30">
        <v>0</v>
      </c>
      <c r="P78" s="30"/>
      <c r="Q78" s="30"/>
      <c r="R78" s="30"/>
      <c r="S78" s="30"/>
      <c r="T78" s="160"/>
      <c r="U78" s="216"/>
      <c r="V78" s="217">
        <f t="shared" si="126"/>
        <v>0</v>
      </c>
      <c r="W78" s="121">
        <f t="shared" si="127"/>
        <v>0</v>
      </c>
      <c r="X78" s="121">
        <f t="shared" si="128"/>
        <v>0</v>
      </c>
      <c r="Y78" s="121">
        <f t="shared" si="138"/>
        <v>0</v>
      </c>
      <c r="Z78" s="121"/>
      <c r="AA78" s="131">
        <f t="shared" si="139"/>
        <v>0</v>
      </c>
      <c r="AB78" s="218"/>
      <c r="AC78" s="121">
        <f t="shared" si="140"/>
        <v>0</v>
      </c>
      <c r="AD78" s="121"/>
      <c r="AE78" s="121"/>
      <c r="AF78" s="121"/>
      <c r="AG78" s="121">
        <f t="shared" si="129"/>
        <v>0</v>
      </c>
      <c r="AH78" s="157">
        <f>IF(VLOOKUP(AG78,'Table 26'!$A$2:$C$438,2,TRUE)&gt;=VLOOKUP(AG78,'Table 26'!$C$2:$D$438,2,TRUE),MAX(VLOOKUP(AG78,'Table 26'!$A$2:$B$438,2,TRUE),VLOOKUP(AG78,'Table 26'!$C$2:$D$438,2,TRUE)),0)</f>
        <v>0</v>
      </c>
      <c r="AI78" s="121">
        <f t="shared" si="141"/>
        <v>0</v>
      </c>
      <c r="AJ78" s="159">
        <f>IF(VLOOKUP(AI78,'Table 26'!$E$2:$F$306,2,TRUE)&gt;=VLOOKUP(AI78,'Table 26'!$G$2:$H$306,2,TRUE),MAX(VLOOKUP(AI78,'Table 26'!$E$2:$F$306,2,TRUE),VLOOKUP(AI78,'Table 26'!$G$2:$H$306,2,TRUE)),0)</f>
        <v>0</v>
      </c>
      <c r="AK78" s="121"/>
      <c r="AL78" s="121">
        <f t="shared" si="131"/>
        <v>0</v>
      </c>
      <c r="AM78" s="121"/>
      <c r="AN78" s="121"/>
      <c r="AO78" s="121"/>
      <c r="AP78" s="121">
        <f t="shared" si="142"/>
        <v>0</v>
      </c>
      <c r="AQ78" s="254">
        <f t="shared" si="143"/>
        <v>0</v>
      </c>
      <c r="AR78" s="72">
        <f t="shared" si="146"/>
        <v>0</v>
      </c>
      <c r="AS78" s="25">
        <f t="shared" si="147"/>
        <v>0</v>
      </c>
      <c r="AT78" s="25">
        <f t="shared" si="148"/>
        <v>0</v>
      </c>
      <c r="AV78" s="220">
        <f t="shared" si="144"/>
        <v>-7.6733400000000005</v>
      </c>
      <c r="AW78" s="238">
        <f t="shared" si="145"/>
        <v>0</v>
      </c>
    </row>
    <row r="79" spans="1:49" ht="13.2" customHeight="1" thickBot="1" x14ac:dyDescent="0.3">
      <c r="A79" s="4"/>
      <c r="B79" s="4"/>
      <c r="C79" s="4"/>
      <c r="D79" s="278" t="s">
        <v>33</v>
      </c>
      <c r="E79" s="287"/>
      <c r="F79" s="280"/>
      <c r="G79" s="280"/>
      <c r="H79" s="280"/>
      <c r="I79" s="280"/>
      <c r="J79" s="280"/>
      <c r="K79" s="280"/>
      <c r="L79" s="280"/>
      <c r="M79" s="280">
        <v>0</v>
      </c>
      <c r="N79" s="280">
        <f>SUM(N74:N78)</f>
        <v>0</v>
      </c>
      <c r="O79" s="280">
        <f>SUM(O74:O78)</f>
        <v>0</v>
      </c>
      <c r="P79" s="280"/>
      <c r="Q79" s="280"/>
      <c r="R79" s="280"/>
      <c r="S79" s="280"/>
      <c r="T79" s="281">
        <f>SUM(T74:T78)</f>
        <v>0</v>
      </c>
      <c r="U79" s="281">
        <f t="shared" ref="U79:AW79" si="149">SUM(U74:U78)</f>
        <v>0</v>
      </c>
      <c r="V79" s="281">
        <f t="shared" si="149"/>
        <v>0</v>
      </c>
      <c r="W79" s="281">
        <f t="shared" si="149"/>
        <v>0</v>
      </c>
      <c r="X79" s="281">
        <f t="shared" si="149"/>
        <v>0</v>
      </c>
      <c r="Y79" s="281">
        <f t="shared" si="149"/>
        <v>0</v>
      </c>
      <c r="Z79" s="281">
        <f t="shared" si="149"/>
        <v>0</v>
      </c>
      <c r="AA79" s="281">
        <f t="shared" si="149"/>
        <v>0</v>
      </c>
      <c r="AB79" s="281">
        <f t="shared" si="149"/>
        <v>0</v>
      </c>
      <c r="AC79" s="281">
        <f t="shared" si="149"/>
        <v>0</v>
      </c>
      <c r="AD79" s="281">
        <f t="shared" si="149"/>
        <v>0</v>
      </c>
      <c r="AE79" s="281">
        <f t="shared" si="149"/>
        <v>0</v>
      </c>
      <c r="AF79" s="281">
        <f t="shared" si="149"/>
        <v>0</v>
      </c>
      <c r="AG79" s="281">
        <f t="shared" si="149"/>
        <v>0</v>
      </c>
      <c r="AH79" s="282">
        <f t="shared" si="149"/>
        <v>0</v>
      </c>
      <c r="AI79" s="281">
        <f t="shared" si="149"/>
        <v>0</v>
      </c>
      <c r="AJ79" s="283">
        <f t="shared" si="149"/>
        <v>0</v>
      </c>
      <c r="AK79" s="281">
        <f t="shared" si="149"/>
        <v>0</v>
      </c>
      <c r="AL79" s="281">
        <f t="shared" si="149"/>
        <v>0</v>
      </c>
      <c r="AM79" s="281">
        <f t="shared" si="149"/>
        <v>0</v>
      </c>
      <c r="AN79" s="281">
        <f t="shared" si="149"/>
        <v>0</v>
      </c>
      <c r="AO79" s="281">
        <f t="shared" si="149"/>
        <v>0</v>
      </c>
      <c r="AP79" s="281">
        <f>SUM(AP74:AP78)</f>
        <v>0</v>
      </c>
      <c r="AQ79" s="284">
        <f t="shared" si="149"/>
        <v>0</v>
      </c>
      <c r="AR79" s="285">
        <f t="shared" si="149"/>
        <v>0</v>
      </c>
      <c r="AS79" s="285">
        <f t="shared" si="149"/>
        <v>0</v>
      </c>
      <c r="AT79" s="285">
        <f t="shared" si="149"/>
        <v>0</v>
      </c>
      <c r="AU79" s="285">
        <f t="shared" si="149"/>
        <v>0</v>
      </c>
      <c r="AV79" s="281"/>
      <c r="AW79" s="286">
        <f t="shared" si="149"/>
        <v>0</v>
      </c>
    </row>
    <row r="80" spans="1:49" ht="13.2" customHeight="1" x14ac:dyDescent="0.25">
      <c r="E80" s="265"/>
      <c r="O80" s="1"/>
      <c r="P80" s="1"/>
      <c r="Q80" s="1"/>
      <c r="R80" s="1"/>
      <c r="S80" s="1"/>
      <c r="T80" s="1"/>
      <c r="U80" s="1"/>
      <c r="V80" s="41"/>
      <c r="W80" s="1"/>
      <c r="X80" s="1"/>
      <c r="Y80" s="1"/>
      <c r="Z80" s="1"/>
      <c r="AA80" s="15"/>
      <c r="AB80" s="15"/>
      <c r="AC80" s="1"/>
      <c r="AD80" s="1"/>
      <c r="AE80" s="1"/>
      <c r="AF80" s="1"/>
      <c r="AG80" s="1"/>
      <c r="AH80" s="1"/>
      <c r="AI80" s="1"/>
      <c r="AJ80" s="1"/>
      <c r="AL80" s="1"/>
      <c r="AM80" s="1"/>
      <c r="AN80" s="1"/>
      <c r="AO80" s="1"/>
      <c r="AP80" s="1"/>
      <c r="AQ80" s="17"/>
      <c r="AR80" s="72">
        <f t="shared" si="136"/>
        <v>0</v>
      </c>
      <c r="AS80" s="25">
        <f t="shared" si="137"/>
        <v>0</v>
      </c>
    </row>
    <row r="81" spans="1:49" ht="13.2" customHeight="1" x14ac:dyDescent="0.25">
      <c r="D81" s="100" t="s">
        <v>22</v>
      </c>
      <c r="E81" s="101">
        <v>5</v>
      </c>
      <c r="F81" s="102"/>
      <c r="G81" s="102"/>
      <c r="H81" s="102"/>
      <c r="I81" s="102"/>
      <c r="J81" s="102"/>
      <c r="K81" s="102"/>
      <c r="L81" s="102"/>
      <c r="M81" s="102">
        <v>0</v>
      </c>
      <c r="N81" s="102"/>
      <c r="O81" s="129">
        <v>0</v>
      </c>
      <c r="P81" s="129"/>
      <c r="Q81" s="129"/>
      <c r="R81" s="129"/>
      <c r="S81" s="129"/>
      <c r="T81" s="160"/>
      <c r="U81" s="103"/>
      <c r="V81" s="104">
        <f t="shared" si="126"/>
        <v>0</v>
      </c>
      <c r="W81" s="103">
        <f t="shared" si="127"/>
        <v>0</v>
      </c>
      <c r="X81" s="103">
        <f t="shared" si="128"/>
        <v>0</v>
      </c>
      <c r="Y81" s="103">
        <f>IF(AV81&lt;0,0,(X81-134.62)*0.057)</f>
        <v>0</v>
      </c>
      <c r="Z81" s="103"/>
      <c r="AA81" s="105">
        <f>V81*1.2%</f>
        <v>0</v>
      </c>
      <c r="AB81" s="118"/>
      <c r="AC81" s="103">
        <f>V81*0.494%</f>
        <v>0</v>
      </c>
      <c r="AD81" s="103"/>
      <c r="AE81" s="103"/>
      <c r="AF81" s="103"/>
      <c r="AG81" s="103">
        <f t="shared" si="129"/>
        <v>0</v>
      </c>
      <c r="AH81" s="276">
        <f>IF(VLOOKUP(AG81,'Table 26'!$A$2:$C$438,2,TRUE)&gt;=VLOOKUP(AG81,'Table 26'!$C$2:$D$438,2,TRUE),MAX(VLOOKUP(AG81,'Table 26'!$A$2:$B$438,2,TRUE),VLOOKUP(AG81,'Table 26'!$C$2:$D$438,2,TRUE)),0)</f>
        <v>0</v>
      </c>
      <c r="AI81" s="103">
        <f>X81-AF81</f>
        <v>0</v>
      </c>
      <c r="AJ81" s="277">
        <f>IF(VLOOKUP(AI81,'Table 26'!$E$2:$F$306,2,TRUE)&gt;=VLOOKUP(AI81,'Table 26'!$G$2:$H$306,2,TRUE),MAX(VLOOKUP(AI81,'Table 26'!$E$2:$F$306,2,TRUE),VLOOKUP(AI81,'Table 26'!$G$2:$H$306,2,TRUE)),0)</f>
        <v>0</v>
      </c>
      <c r="AK81" s="102"/>
      <c r="AL81" s="103">
        <f t="shared" si="131"/>
        <v>0</v>
      </c>
      <c r="AM81" s="103">
        <f>V81-AL81</f>
        <v>0</v>
      </c>
      <c r="AN81" s="103"/>
      <c r="AO81" s="103"/>
      <c r="AP81" s="103">
        <f>AM81+AN81+AO81</f>
        <v>0</v>
      </c>
      <c r="AQ81" s="252">
        <f>V81*0.692%</f>
        <v>0</v>
      </c>
      <c r="AR81" s="249"/>
      <c r="AV81" s="220">
        <f>(X81-134.62)*0.057</f>
        <v>-7.6733400000000005</v>
      </c>
      <c r="AW81" s="255">
        <f>T81*0.04</f>
        <v>0</v>
      </c>
    </row>
    <row r="82" spans="1:49" ht="13.2" customHeight="1" x14ac:dyDescent="0.25">
      <c r="C82">
        <v>25</v>
      </c>
      <c r="D82" s="107" t="s">
        <v>22</v>
      </c>
      <c r="E82" s="271">
        <v>12</v>
      </c>
      <c r="F82" s="30"/>
      <c r="G82" s="30"/>
      <c r="H82" s="30"/>
      <c r="I82" s="30"/>
      <c r="J82" s="30"/>
      <c r="K82" s="30"/>
      <c r="L82" s="30"/>
      <c r="M82" s="30"/>
      <c r="N82" s="30">
        <v>0</v>
      </c>
      <c r="O82" s="130">
        <v>0</v>
      </c>
      <c r="P82" s="130"/>
      <c r="Q82" s="130"/>
      <c r="R82" s="30">
        <f>P81+P82</f>
        <v>0</v>
      </c>
      <c r="S82" s="30">
        <f>Q81+Q82</f>
        <v>0</v>
      </c>
      <c r="T82" s="160"/>
      <c r="U82" s="109"/>
      <c r="V82" s="110">
        <f t="shared" si="126"/>
        <v>0</v>
      </c>
      <c r="W82" s="109">
        <f t="shared" si="127"/>
        <v>0</v>
      </c>
      <c r="X82" s="109">
        <f t="shared" si="128"/>
        <v>0</v>
      </c>
      <c r="Y82" s="109">
        <f t="shared" ref="Y82:Y85" si="150">IF(AV82&lt;0,0,(X82-134.62)*0.057)</f>
        <v>0</v>
      </c>
      <c r="Z82" s="109"/>
      <c r="AA82" s="111">
        <f t="shared" ref="AA82:AA85" si="151">V82*1.2%</f>
        <v>0</v>
      </c>
      <c r="AB82" s="120"/>
      <c r="AC82" s="109">
        <f t="shared" ref="AC82:AC85" si="152">V82*0.494%</f>
        <v>0</v>
      </c>
      <c r="AD82" s="109"/>
      <c r="AE82" s="109"/>
      <c r="AF82" s="109"/>
      <c r="AG82" s="109">
        <f t="shared" si="129"/>
        <v>0</v>
      </c>
      <c r="AH82" s="156">
        <f>IF(VLOOKUP(AG82,'Table 26'!$A$2:$C$438,2,TRUE)&gt;=VLOOKUP(AG82,'Table 26'!$C$2:$D$438,2,TRUE),MAX(VLOOKUP(AG82,'Table 26'!$A$2:$B$438,2,TRUE),VLOOKUP(AG82,'Table 26'!$C$2:$D$438,2,TRUE)),0)</f>
        <v>0</v>
      </c>
      <c r="AI82" s="109">
        <f t="shared" ref="AI82:AI85" si="153">X82-AF82</f>
        <v>0</v>
      </c>
      <c r="AJ82" s="158">
        <f>IF(VLOOKUP(AI82,'Table 26'!$E$2:$F$306,2,TRUE)&gt;=VLOOKUP(AI82,'Table 26'!$G$2:$H$306,2,TRUE),MAX(VLOOKUP(AI82,'Table 26'!$E$2:$F$306,2,TRUE),VLOOKUP(AI82,'Table 26'!$G$2:$H$306,2,TRUE)),0)</f>
        <v>0</v>
      </c>
      <c r="AK82" s="109"/>
      <c r="AL82" s="109">
        <f t="shared" si="131"/>
        <v>0</v>
      </c>
      <c r="AM82" s="109">
        <f t="shared" ref="AM82:AM85" si="154">V82-AL82</f>
        <v>0</v>
      </c>
      <c r="AN82" s="109"/>
      <c r="AO82" s="109"/>
      <c r="AP82" s="273">
        <f t="shared" ref="AP82:AP85" si="155">AM82+AN82+AO82</f>
        <v>0</v>
      </c>
      <c r="AQ82" s="253">
        <f t="shared" ref="AQ82:AQ85" si="156">V82*0.692%</f>
        <v>0</v>
      </c>
      <c r="AR82" s="72">
        <f>O82*5.335</f>
        <v>0</v>
      </c>
      <c r="AS82" s="25">
        <f>2*O82</f>
        <v>0</v>
      </c>
      <c r="AT82" s="25">
        <f>0.04*O82</f>
        <v>0</v>
      </c>
      <c r="AU82" s="25"/>
      <c r="AV82" s="220">
        <f t="shared" ref="AV82:AV85" si="157">(X82-134.62)*0.057</f>
        <v>-7.6733400000000005</v>
      </c>
      <c r="AW82" s="238">
        <f t="shared" ref="AW82:AW85" si="158">T82*0.04</f>
        <v>0</v>
      </c>
    </row>
    <row r="83" spans="1:49" ht="13.2" customHeight="1" x14ac:dyDescent="0.25">
      <c r="D83" s="107" t="s">
        <v>22</v>
      </c>
      <c r="E83" s="264">
        <v>19</v>
      </c>
      <c r="F83" s="30"/>
      <c r="G83" s="30"/>
      <c r="H83" s="30"/>
      <c r="I83" s="30"/>
      <c r="J83" s="30"/>
      <c r="K83" s="30"/>
      <c r="L83" s="30"/>
      <c r="M83" s="30"/>
      <c r="N83" s="30">
        <v>0</v>
      </c>
      <c r="O83" s="130">
        <v>0</v>
      </c>
      <c r="P83" s="130"/>
      <c r="Q83" s="130"/>
      <c r="R83" s="130"/>
      <c r="S83" s="130"/>
      <c r="T83" s="160"/>
      <c r="U83" s="109"/>
      <c r="V83" s="110">
        <f t="shared" si="126"/>
        <v>0</v>
      </c>
      <c r="W83" s="109">
        <f t="shared" si="127"/>
        <v>0</v>
      </c>
      <c r="X83" s="109">
        <f t="shared" si="128"/>
        <v>0</v>
      </c>
      <c r="Y83" s="109">
        <f t="shared" si="150"/>
        <v>0</v>
      </c>
      <c r="Z83" s="109"/>
      <c r="AA83" s="111">
        <f t="shared" si="151"/>
        <v>0</v>
      </c>
      <c r="AB83" s="120"/>
      <c r="AC83" s="109">
        <f t="shared" si="152"/>
        <v>0</v>
      </c>
      <c r="AD83" s="109"/>
      <c r="AE83" s="109"/>
      <c r="AF83" s="109"/>
      <c r="AG83" s="109">
        <f t="shared" si="129"/>
        <v>0</v>
      </c>
      <c r="AH83" s="156">
        <f>IF(VLOOKUP(AG83,'Table 26'!$A$2:$C$438,2,TRUE)&gt;=VLOOKUP(AG83,'Table 26'!$C$2:$D$438,2,TRUE),MAX(VLOOKUP(AG83,'Table 26'!$A$2:$B$438,2,TRUE),VLOOKUP(AG83,'Table 26'!$C$2:$D$438,2,TRUE)),0)</f>
        <v>0</v>
      </c>
      <c r="AI83" s="109">
        <f>X83-AF83</f>
        <v>0</v>
      </c>
      <c r="AJ83" s="158">
        <f>IF(VLOOKUP(AI83,'Table 26'!$E$2:$F$306,2,TRUE)&gt;=VLOOKUP(AI83,'Table 26'!$G$2:$H$306,2,TRUE),MAX(VLOOKUP(AI83,'Table 26'!$E$2:$F$306,2,TRUE),VLOOKUP(AI83,'Table 26'!$G$2:$H$306,2,TRUE)),0)</f>
        <v>0</v>
      </c>
      <c r="AK83" s="109"/>
      <c r="AL83" s="109">
        <f t="shared" si="131"/>
        <v>0</v>
      </c>
      <c r="AM83" s="109">
        <f t="shared" si="154"/>
        <v>0</v>
      </c>
      <c r="AN83" s="109"/>
      <c r="AO83" s="109"/>
      <c r="AP83" s="109">
        <f t="shared" si="155"/>
        <v>0</v>
      </c>
      <c r="AQ83" s="253">
        <f t="shared" si="156"/>
        <v>0</v>
      </c>
      <c r="AR83" s="72">
        <f t="shared" ref="AR83:AR85" si="159">O83*5.335</f>
        <v>0</v>
      </c>
      <c r="AS83" s="25">
        <f t="shared" ref="AS83:AS85" si="160">2*O83</f>
        <v>0</v>
      </c>
      <c r="AT83" s="25">
        <f t="shared" ref="AT83:AT85" si="161">0.04*O83</f>
        <v>0</v>
      </c>
      <c r="AV83" s="220">
        <f t="shared" si="157"/>
        <v>-7.6733400000000005</v>
      </c>
      <c r="AW83" s="238">
        <f t="shared" si="158"/>
        <v>0</v>
      </c>
    </row>
    <row r="84" spans="1:49" ht="13.2" customHeight="1" x14ac:dyDescent="0.25">
      <c r="C84">
        <v>26</v>
      </c>
      <c r="D84" s="107" t="s">
        <v>22</v>
      </c>
      <c r="E84" s="271">
        <v>26</v>
      </c>
      <c r="F84" s="30"/>
      <c r="G84" s="30"/>
      <c r="H84" s="30"/>
      <c r="I84" s="30"/>
      <c r="J84" s="30"/>
      <c r="K84" s="30"/>
      <c r="L84" s="30"/>
      <c r="M84" s="30"/>
      <c r="N84" s="30"/>
      <c r="O84" s="130"/>
      <c r="P84" s="130"/>
      <c r="Q84" s="130"/>
      <c r="R84" s="30">
        <f>P83+P84</f>
        <v>0</v>
      </c>
      <c r="S84" s="30">
        <f>Q83+Q84</f>
        <v>0</v>
      </c>
      <c r="T84" s="160"/>
      <c r="U84" s="109"/>
      <c r="V84" s="110">
        <f t="shared" si="126"/>
        <v>0</v>
      </c>
      <c r="W84" s="109">
        <f t="shared" si="127"/>
        <v>0</v>
      </c>
      <c r="X84" s="109">
        <f t="shared" si="128"/>
        <v>0</v>
      </c>
      <c r="Y84" s="109">
        <f t="shared" si="150"/>
        <v>0</v>
      </c>
      <c r="Z84" s="109"/>
      <c r="AA84" s="111">
        <f t="shared" si="151"/>
        <v>0</v>
      </c>
      <c r="AB84" s="120"/>
      <c r="AC84" s="109">
        <f t="shared" si="152"/>
        <v>0</v>
      </c>
      <c r="AD84" s="109"/>
      <c r="AE84" s="109"/>
      <c r="AF84" s="109"/>
      <c r="AG84" s="109">
        <f t="shared" si="129"/>
        <v>0</v>
      </c>
      <c r="AH84" s="156">
        <f>IF(VLOOKUP(AG84,'Table 26'!$A$2:$C$438,2,TRUE)&gt;=VLOOKUP(AG84,'Table 26'!$C$2:$D$438,2,TRUE),MAX(VLOOKUP(AG84,'Table 26'!$A$2:$B$438,2,TRUE),VLOOKUP(AG84,'Table 26'!$C$2:$D$438,2,TRUE)),0)</f>
        <v>0</v>
      </c>
      <c r="AI84" s="109">
        <f t="shared" si="153"/>
        <v>0</v>
      </c>
      <c r="AJ84" s="158">
        <f>IF(VLOOKUP(AI84,'Table 26'!$E$2:$F$306,2,TRUE)&gt;=VLOOKUP(AI84,'Table 26'!$G$2:$H$306,2,TRUE),MAX(VLOOKUP(AI84,'Table 26'!$E$2:$F$306,2,TRUE),VLOOKUP(AI84,'Table 26'!$G$2:$H$306,2,TRUE)),0)</f>
        <v>0</v>
      </c>
      <c r="AK84" s="109"/>
      <c r="AL84" s="109">
        <f t="shared" si="131"/>
        <v>0</v>
      </c>
      <c r="AM84" s="109">
        <f t="shared" si="154"/>
        <v>0</v>
      </c>
      <c r="AN84" s="109"/>
      <c r="AO84" s="109"/>
      <c r="AP84" s="273">
        <f t="shared" si="155"/>
        <v>0</v>
      </c>
      <c r="AQ84" s="253">
        <f t="shared" si="156"/>
        <v>0</v>
      </c>
      <c r="AR84" s="72">
        <f t="shared" si="159"/>
        <v>0</v>
      </c>
      <c r="AS84" s="25">
        <f t="shared" si="160"/>
        <v>0</v>
      </c>
      <c r="AT84" s="25">
        <f t="shared" si="161"/>
        <v>0</v>
      </c>
      <c r="AV84" s="220">
        <f t="shared" si="157"/>
        <v>-7.6733400000000005</v>
      </c>
      <c r="AW84" s="238">
        <f t="shared" si="158"/>
        <v>0</v>
      </c>
    </row>
    <row r="85" spans="1:49" ht="13.2" customHeight="1" x14ac:dyDescent="0.25">
      <c r="D85" s="107" t="s">
        <v>22</v>
      </c>
      <c r="E85" s="108"/>
      <c r="F85" s="30"/>
      <c r="G85" s="30"/>
      <c r="H85" s="30"/>
      <c r="I85" s="30"/>
      <c r="J85" s="30"/>
      <c r="K85" s="30"/>
      <c r="L85" s="30"/>
      <c r="M85" s="30">
        <v>0</v>
      </c>
      <c r="N85" s="30"/>
      <c r="O85" s="130">
        <v>0</v>
      </c>
      <c r="P85" s="130"/>
      <c r="Q85" s="130"/>
      <c r="R85" s="130"/>
      <c r="S85" s="130"/>
      <c r="T85" s="160"/>
      <c r="U85" s="216"/>
      <c r="V85" s="217">
        <f t="shared" si="126"/>
        <v>0</v>
      </c>
      <c r="W85" s="121">
        <f t="shared" ref="W85" si="162">1.879*O85</f>
        <v>0</v>
      </c>
      <c r="X85" s="121">
        <f t="shared" si="128"/>
        <v>0</v>
      </c>
      <c r="Y85" s="121">
        <f t="shared" si="150"/>
        <v>0</v>
      </c>
      <c r="Z85" s="121"/>
      <c r="AA85" s="131">
        <f t="shared" si="151"/>
        <v>0</v>
      </c>
      <c r="AB85" s="218"/>
      <c r="AC85" s="121">
        <f t="shared" si="152"/>
        <v>0</v>
      </c>
      <c r="AD85" s="121"/>
      <c r="AE85" s="121"/>
      <c r="AF85" s="121"/>
      <c r="AG85" s="121">
        <f t="shared" si="129"/>
        <v>0</v>
      </c>
      <c r="AH85" s="157">
        <f>IF(VLOOKUP(AG85,'Table 26'!$A$2:$C$438,2,TRUE)&gt;=VLOOKUP(AG85,'Table 26'!$C$2:$D$438,2,TRUE),MAX(VLOOKUP(AG85,'Table 26'!$A$2:$B$438,2,TRUE),VLOOKUP(AG85,'Table 26'!$C$2:$D$438,2,TRUE)),0)</f>
        <v>0</v>
      </c>
      <c r="AI85" s="121">
        <f t="shared" si="153"/>
        <v>0</v>
      </c>
      <c r="AJ85" s="159">
        <f>IF(VLOOKUP(AI85,'Table 26'!$E$2:$F$306,2,TRUE)&gt;=VLOOKUP(AI85,'Table 26'!$G$2:$H$306,2,TRUE),MAX(VLOOKUP(AI85,'Table 26'!$E$2:$F$306,2,TRUE),VLOOKUP(AI85,'Table 26'!$G$2:$H$306,2,TRUE)),0)</f>
        <v>0</v>
      </c>
      <c r="AK85" s="121"/>
      <c r="AL85" s="121">
        <f t="shared" si="131"/>
        <v>0</v>
      </c>
      <c r="AM85" s="121">
        <f t="shared" si="154"/>
        <v>0</v>
      </c>
      <c r="AN85" s="121"/>
      <c r="AO85" s="121"/>
      <c r="AP85" s="121">
        <f t="shared" si="155"/>
        <v>0</v>
      </c>
      <c r="AQ85" s="254">
        <f t="shared" si="156"/>
        <v>0</v>
      </c>
      <c r="AR85" s="72">
        <f t="shared" si="159"/>
        <v>0</v>
      </c>
      <c r="AS85" s="25">
        <f t="shared" si="160"/>
        <v>0</v>
      </c>
      <c r="AT85" s="25">
        <f t="shared" si="161"/>
        <v>0</v>
      </c>
      <c r="AV85" s="220">
        <f t="shared" si="157"/>
        <v>-7.6733400000000005</v>
      </c>
      <c r="AW85" s="238">
        <f t="shared" si="158"/>
        <v>0</v>
      </c>
    </row>
    <row r="86" spans="1:49" ht="13.2" customHeight="1" thickBot="1" x14ac:dyDescent="0.3">
      <c r="A86" s="4"/>
      <c r="B86" s="4"/>
      <c r="C86" s="4"/>
      <c r="D86" s="278" t="s">
        <v>33</v>
      </c>
      <c r="E86" s="287"/>
      <c r="F86" s="280"/>
      <c r="G86" s="280"/>
      <c r="H86" s="280"/>
      <c r="I86" s="280"/>
      <c r="J86" s="280"/>
      <c r="K86" s="280"/>
      <c r="L86" s="280"/>
      <c r="M86" s="280">
        <v>0</v>
      </c>
      <c r="N86" s="280">
        <v>0</v>
      </c>
      <c r="O86" s="280">
        <f t="shared" ref="O86" si="163">SUM(O81:O85)</f>
        <v>0</v>
      </c>
      <c r="P86" s="280"/>
      <c r="Q86" s="280"/>
      <c r="R86" s="280"/>
      <c r="S86" s="280"/>
      <c r="T86" s="281">
        <f>SUM(T81:T85)</f>
        <v>0</v>
      </c>
      <c r="U86" s="281">
        <f t="shared" ref="U86:AW86" si="164">SUM(U81:U85)</f>
        <v>0</v>
      </c>
      <c r="V86" s="281">
        <f t="shared" si="164"/>
        <v>0</v>
      </c>
      <c r="W86" s="281">
        <f t="shared" si="164"/>
        <v>0</v>
      </c>
      <c r="X86" s="281">
        <f t="shared" si="164"/>
        <v>0</v>
      </c>
      <c r="Y86" s="281">
        <f t="shared" si="164"/>
        <v>0</v>
      </c>
      <c r="Z86" s="281">
        <f t="shared" si="164"/>
        <v>0</v>
      </c>
      <c r="AA86" s="281">
        <f t="shared" si="164"/>
        <v>0</v>
      </c>
      <c r="AB86" s="281">
        <f t="shared" si="164"/>
        <v>0</v>
      </c>
      <c r="AC86" s="281">
        <f t="shared" si="164"/>
        <v>0</v>
      </c>
      <c r="AD86" s="281">
        <f t="shared" si="164"/>
        <v>0</v>
      </c>
      <c r="AE86" s="281">
        <f t="shared" si="164"/>
        <v>0</v>
      </c>
      <c r="AF86" s="281">
        <f t="shared" si="164"/>
        <v>0</v>
      </c>
      <c r="AG86" s="281">
        <f t="shared" si="164"/>
        <v>0</v>
      </c>
      <c r="AH86" s="282">
        <f t="shared" si="164"/>
        <v>0</v>
      </c>
      <c r="AI86" s="281">
        <f t="shared" si="164"/>
        <v>0</v>
      </c>
      <c r="AJ86" s="283">
        <f t="shared" si="164"/>
        <v>0</v>
      </c>
      <c r="AK86" s="281">
        <f t="shared" si="164"/>
        <v>0</v>
      </c>
      <c r="AL86" s="281">
        <f t="shared" si="164"/>
        <v>0</v>
      </c>
      <c r="AM86" s="281">
        <f t="shared" si="164"/>
        <v>0</v>
      </c>
      <c r="AN86" s="281">
        <f t="shared" si="164"/>
        <v>0</v>
      </c>
      <c r="AO86" s="281">
        <f t="shared" si="164"/>
        <v>0</v>
      </c>
      <c r="AP86" s="281">
        <f>SUM(AP81:AP85)</f>
        <v>0</v>
      </c>
      <c r="AQ86" s="284">
        <f t="shared" si="164"/>
        <v>0</v>
      </c>
      <c r="AR86" s="285">
        <f t="shared" si="164"/>
        <v>0</v>
      </c>
      <c r="AS86" s="285">
        <f t="shared" si="164"/>
        <v>0</v>
      </c>
      <c r="AT86" s="285">
        <f t="shared" si="164"/>
        <v>0</v>
      </c>
      <c r="AU86" s="285">
        <f t="shared" si="164"/>
        <v>0</v>
      </c>
      <c r="AV86" s="281"/>
      <c r="AW86" s="286">
        <f t="shared" si="164"/>
        <v>0</v>
      </c>
    </row>
    <row r="87" spans="1:49" ht="13.2" customHeight="1" x14ac:dyDescent="0.25">
      <c r="E87" s="7"/>
      <c r="O87" s="1"/>
      <c r="P87" s="1"/>
      <c r="Q87" s="1"/>
      <c r="R87" s="1"/>
      <c r="S87" s="1"/>
      <c r="T87" s="1"/>
      <c r="U87" s="1"/>
      <c r="V87" s="41"/>
      <c r="W87" s="1"/>
      <c r="X87" s="1"/>
      <c r="Y87" s="1"/>
      <c r="Z87" s="1"/>
      <c r="AA87" s="15"/>
      <c r="AB87" s="15"/>
      <c r="AC87" s="1"/>
      <c r="AD87" s="1"/>
      <c r="AE87" s="1"/>
      <c r="AF87" s="1"/>
      <c r="AG87" s="1"/>
      <c r="AH87" s="1"/>
      <c r="AI87" s="1"/>
      <c r="AJ87" s="1"/>
      <c r="AL87" s="1"/>
      <c r="AM87" s="1"/>
      <c r="AN87" s="1"/>
      <c r="AO87" s="1"/>
      <c r="AP87" s="1"/>
      <c r="AQ87" s="17"/>
    </row>
    <row r="88" spans="1:49" ht="13.2" customHeight="1" x14ac:dyDescent="0.25">
      <c r="A88" s="4"/>
      <c r="B88" s="4"/>
      <c r="C88" s="4"/>
      <c r="D88" s="161" t="s">
        <v>34</v>
      </c>
      <c r="E88" s="162"/>
      <c r="F88" s="163"/>
      <c r="G88" s="163"/>
      <c r="H88" s="163"/>
      <c r="I88" s="163"/>
      <c r="J88" s="163"/>
      <c r="K88" s="163"/>
      <c r="L88" s="163"/>
      <c r="M88" s="163">
        <v>0</v>
      </c>
      <c r="N88" s="163">
        <v>0</v>
      </c>
      <c r="O88" s="163">
        <f>O9+O16+O23+O30+O37+O44+O51+O58+O65+O72+O79+O86</f>
        <v>0</v>
      </c>
      <c r="P88" s="163"/>
      <c r="Q88" s="163"/>
      <c r="R88" s="163"/>
      <c r="S88" s="163"/>
      <c r="T88" s="164">
        <f>T9+T16+T23+T30+T37+T44+T51+T58+T65+T72+T79+T86</f>
        <v>1750</v>
      </c>
      <c r="U88" s="164">
        <f t="shared" ref="U88:AW88" si="165">U9+U16+U23+U30+U37+U44+U51+U58+U65+U72+U79+U86</f>
        <v>1750</v>
      </c>
      <c r="V88" s="164">
        <f t="shared" si="165"/>
        <v>1750</v>
      </c>
      <c r="W88" s="164">
        <f t="shared" si="165"/>
        <v>1750</v>
      </c>
      <c r="X88" s="164">
        <f t="shared" si="165"/>
        <v>1834.4033199999999</v>
      </c>
      <c r="Y88" s="164">
        <f t="shared" si="165"/>
        <v>84.403320000000008</v>
      </c>
      <c r="Z88" s="164">
        <f t="shared" si="165"/>
        <v>21</v>
      </c>
      <c r="AA88" s="164">
        <f t="shared" si="165"/>
        <v>21</v>
      </c>
      <c r="AB88" s="164">
        <f t="shared" si="165"/>
        <v>8.6449999999999996</v>
      </c>
      <c r="AC88" s="164">
        <f t="shared" si="165"/>
        <v>8.6449999999999996</v>
      </c>
      <c r="AD88" s="164">
        <f t="shared" si="165"/>
        <v>0</v>
      </c>
      <c r="AE88" s="164">
        <f t="shared" si="165"/>
        <v>0</v>
      </c>
      <c r="AF88" s="164">
        <f t="shared" si="165"/>
        <v>1750</v>
      </c>
      <c r="AG88" s="164">
        <f t="shared" si="165"/>
        <v>1824.1999999999998</v>
      </c>
      <c r="AH88" s="164">
        <f t="shared" si="165"/>
        <v>1824.2</v>
      </c>
      <c r="AI88" s="164">
        <f t="shared" si="165"/>
        <v>1750</v>
      </c>
      <c r="AJ88" s="164">
        <f t="shared" si="165"/>
        <v>71.88</v>
      </c>
      <c r="AK88" s="164">
        <f t="shared" si="165"/>
        <v>0</v>
      </c>
      <c r="AL88" s="164">
        <f t="shared" si="165"/>
        <v>1750</v>
      </c>
      <c r="AM88" s="164">
        <f t="shared" si="165"/>
        <v>1489.87168</v>
      </c>
      <c r="AN88" s="164">
        <f t="shared" si="165"/>
        <v>1597.87168</v>
      </c>
      <c r="AO88" s="164">
        <f t="shared" si="165"/>
        <v>54</v>
      </c>
      <c r="AP88" s="164">
        <f t="shared" si="165"/>
        <v>1543.87168</v>
      </c>
      <c r="AQ88" s="257">
        <f t="shared" si="165"/>
        <v>12.11</v>
      </c>
      <c r="AR88" s="165">
        <f t="shared" si="165"/>
        <v>0</v>
      </c>
      <c r="AS88" s="165">
        <f t="shared" si="165"/>
        <v>0</v>
      </c>
      <c r="AT88" s="165">
        <f t="shared" si="165"/>
        <v>0</v>
      </c>
      <c r="AU88" s="165">
        <f t="shared" si="165"/>
        <v>69.056640000000016</v>
      </c>
      <c r="AV88" s="165">
        <f t="shared" si="165"/>
        <v>139.05664000000002</v>
      </c>
      <c r="AW88" s="165">
        <f t="shared" si="165"/>
        <v>70</v>
      </c>
    </row>
  </sheetData>
  <mergeCells count="6">
    <mergeCell ref="F71:K71"/>
    <mergeCell ref="A25:B25"/>
    <mergeCell ref="A9:B9"/>
    <mergeCell ref="A14:B14"/>
    <mergeCell ref="A26:B26"/>
    <mergeCell ref="A10:B10"/>
  </mergeCells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126DB-EF49-47D7-AA1E-43171CDF8A4C}">
  <sheetPr codeName="Feuil3"/>
  <dimension ref="B4:K46"/>
  <sheetViews>
    <sheetView tabSelected="1" workbookViewId="0">
      <selection activeCell="I14" sqref="I14"/>
    </sheetView>
  </sheetViews>
  <sheetFormatPr baseColWidth="10" defaultRowHeight="13.2" x14ac:dyDescent="0.25"/>
  <cols>
    <col min="1" max="1" width="2.44140625" customWidth="1"/>
    <col min="2" max="2" width="13.21875" customWidth="1"/>
    <col min="3" max="3" width="12.77734375" customWidth="1"/>
    <col min="4" max="4" width="12.109375" customWidth="1"/>
    <col min="5" max="5" width="16" customWidth="1"/>
    <col min="6" max="6" width="14.109375" customWidth="1"/>
    <col min="7" max="7" width="12.109375" customWidth="1"/>
    <col min="8" max="8" width="11.44140625" bestFit="1" customWidth="1"/>
    <col min="9" max="9" width="11.88671875" customWidth="1"/>
    <col min="10" max="10" width="12" customWidth="1"/>
    <col min="11" max="11" width="15.109375" customWidth="1"/>
    <col min="12" max="12" width="12" customWidth="1"/>
  </cols>
  <sheetData>
    <row r="4" spans="2:9" ht="13.8" thickBot="1" x14ac:dyDescent="0.3">
      <c r="B4" s="53"/>
      <c r="E4" s="53"/>
      <c r="F4" s="100"/>
      <c r="G4" s="102"/>
      <c r="H4" s="255"/>
    </row>
    <row r="5" spans="2:9" ht="13.8" thickBot="1" x14ac:dyDescent="0.3">
      <c r="B5" s="53"/>
      <c r="E5" s="53"/>
      <c r="F5" s="315" t="s">
        <v>194</v>
      </c>
      <c r="H5" s="329">
        <v>4</v>
      </c>
    </row>
    <row r="6" spans="2:9" x14ac:dyDescent="0.25">
      <c r="B6" s="53"/>
      <c r="F6" s="107"/>
      <c r="G6" s="30"/>
      <c r="H6" s="238"/>
    </row>
    <row r="7" spans="2:9" x14ac:dyDescent="0.25">
      <c r="F7" s="315" t="s">
        <v>195</v>
      </c>
      <c r="G7" s="30"/>
      <c r="H7" s="238"/>
    </row>
    <row r="8" spans="2:9" x14ac:dyDescent="0.25">
      <c r="F8" s="315" t="s">
        <v>196</v>
      </c>
      <c r="G8" s="30"/>
      <c r="H8" s="238"/>
    </row>
    <row r="9" spans="2:9" ht="13.8" thickBot="1" x14ac:dyDescent="0.3">
      <c r="F9" s="316" t="s">
        <v>209</v>
      </c>
      <c r="G9" s="30"/>
      <c r="H9" s="317"/>
    </row>
    <row r="10" spans="2:9" ht="13.8" thickBot="1" x14ac:dyDescent="0.3">
      <c r="B10" s="306"/>
      <c r="C10" s="307"/>
      <c r="D10" s="308"/>
      <c r="E10" s="309"/>
      <c r="F10" s="107"/>
      <c r="G10" s="30"/>
      <c r="H10" s="238"/>
    </row>
    <row r="11" spans="2:9" ht="13.8" thickBot="1" x14ac:dyDescent="0.3">
      <c r="B11" s="232"/>
      <c r="C11" s="30"/>
      <c r="D11" s="30"/>
      <c r="E11" s="310"/>
      <c r="F11" s="315" t="s">
        <v>210</v>
      </c>
      <c r="H11" s="323">
        <f>VLOOKUP($H$5,Empl.2!$C$4:$AW$86,40,FALSE)</f>
        <v>827.10334</v>
      </c>
    </row>
    <row r="12" spans="2:9" ht="13.8" thickBot="1" x14ac:dyDescent="0.3">
      <c r="B12" s="311"/>
      <c r="C12" s="312"/>
      <c r="D12" s="312"/>
      <c r="E12" s="313"/>
      <c r="F12" s="318"/>
      <c r="G12" s="219"/>
      <c r="H12" s="267"/>
    </row>
    <row r="13" spans="2:9" x14ac:dyDescent="0.25">
      <c r="B13" s="30"/>
      <c r="C13" s="30"/>
      <c r="D13" s="30"/>
      <c r="E13" s="30"/>
      <c r="F13" s="30"/>
      <c r="G13" s="30"/>
    </row>
    <row r="14" spans="2:9" ht="13.8" thickBot="1" x14ac:dyDescent="0.3">
      <c r="B14" s="30"/>
      <c r="C14" s="30"/>
      <c r="D14" s="30"/>
      <c r="E14" s="30"/>
      <c r="F14" s="30"/>
      <c r="G14" s="30"/>
      <c r="I14" t="s">
        <v>219</v>
      </c>
    </row>
    <row r="15" spans="2:9" ht="13.8" thickBot="1" x14ac:dyDescent="0.3">
      <c r="B15" s="354" t="s">
        <v>197</v>
      </c>
      <c r="C15" s="355"/>
      <c r="D15" s="355"/>
      <c r="E15" s="356" t="s">
        <v>203</v>
      </c>
      <c r="F15" s="356"/>
      <c r="G15" s="356"/>
      <c r="H15" s="348"/>
      <c r="I15" s="339"/>
    </row>
    <row r="16" spans="2:9" s="265" customFormat="1" x14ac:dyDescent="0.25">
      <c r="B16" s="340"/>
      <c r="C16" s="319" t="s">
        <v>194</v>
      </c>
      <c r="D16" s="338" t="s">
        <v>202</v>
      </c>
      <c r="E16" s="322"/>
      <c r="F16" s="319" t="s">
        <v>205</v>
      </c>
      <c r="G16" s="320" t="s">
        <v>202</v>
      </c>
    </row>
    <row r="17" spans="2:11" x14ac:dyDescent="0.25">
      <c r="B17" s="107"/>
      <c r="C17" s="326"/>
      <c r="D17" s="324"/>
      <c r="E17" s="107"/>
      <c r="F17" s="326"/>
      <c r="G17" s="324"/>
    </row>
    <row r="18" spans="2:11" x14ac:dyDescent="0.25">
      <c r="B18" s="315" t="s">
        <v>207</v>
      </c>
      <c r="C18" s="326">
        <f>VLOOKUP($H$5,Empl.2!$C$4:$AW$86,16,FALSE)</f>
        <v>30</v>
      </c>
      <c r="D18" s="324"/>
      <c r="E18" s="315" t="s">
        <v>211</v>
      </c>
      <c r="F18" s="326">
        <f>VLOOKUP($H$5,Empl.2!$C$4:$AW$86,32,FALSE)</f>
        <v>51.6</v>
      </c>
      <c r="G18" s="324"/>
    </row>
    <row r="19" spans="2:11" x14ac:dyDescent="0.25">
      <c r="B19" s="315" t="s">
        <v>204</v>
      </c>
      <c r="C19" s="326">
        <f>VLOOKUP($H$5,Empl.2!$C$4:$AW$86,18,FALSE)</f>
        <v>1000</v>
      </c>
      <c r="D19" s="324"/>
      <c r="E19" s="315" t="s">
        <v>212</v>
      </c>
      <c r="F19" s="326">
        <f>VLOOKUP($H$5,Empl.2!$C$4:$AW$86,34,FALSE)</f>
        <v>55.03</v>
      </c>
      <c r="G19" s="324"/>
    </row>
    <row r="20" spans="2:11" x14ac:dyDescent="0.25">
      <c r="B20" s="315" t="s">
        <v>200</v>
      </c>
      <c r="C20" s="326">
        <f>VLOOKUP($H$5,Empl.2!$C$4:$AW$86,47,FALSE)</f>
        <v>40</v>
      </c>
      <c r="D20" s="324"/>
      <c r="E20" s="315" t="s">
        <v>213</v>
      </c>
      <c r="F20" s="326">
        <f>VLOOKUP($H$5,Empl.2!$C$4:$AW$86,25,FALSE)</f>
        <v>12</v>
      </c>
      <c r="G20" s="324"/>
    </row>
    <row r="21" spans="2:11" x14ac:dyDescent="0.25">
      <c r="B21" s="315" t="s">
        <v>208</v>
      </c>
      <c r="C21" s="326">
        <f>VLOOKUP($H$5,Empl.2!$C$4:$AW$86,39,FALSE)</f>
        <v>0</v>
      </c>
      <c r="D21" s="324"/>
      <c r="E21" s="315" t="s">
        <v>214</v>
      </c>
      <c r="F21" s="326">
        <f>VLOOKUP($H$5,Empl.2!$C$4:$AW$86,23,FALSE)</f>
        <v>49.326660000000004</v>
      </c>
      <c r="G21" s="324"/>
    </row>
    <row r="22" spans="2:11" x14ac:dyDescent="0.25">
      <c r="B22" s="107"/>
      <c r="C22" s="326"/>
      <c r="D22" s="324"/>
      <c r="E22" s="315" t="s">
        <v>31</v>
      </c>
      <c r="F22" s="326">
        <f>VLOOKUP($H$5,Empl.2!$C$4:$AW$86,27,FALSE)</f>
        <v>4.9399999999999995</v>
      </c>
      <c r="G22" s="324"/>
    </row>
    <row r="23" spans="2:11" x14ac:dyDescent="0.25">
      <c r="B23" s="318"/>
      <c r="C23" s="330"/>
      <c r="D23" s="331"/>
      <c r="E23" s="318"/>
      <c r="F23" s="330"/>
      <c r="G23" s="331"/>
    </row>
    <row r="24" spans="2:11" x14ac:dyDescent="0.25">
      <c r="B24" s="341" t="s">
        <v>199</v>
      </c>
      <c r="C24" s="330">
        <f>SUM(C19:C21)</f>
        <v>1040</v>
      </c>
      <c r="D24" s="331"/>
      <c r="E24" s="332"/>
      <c r="F24" s="330">
        <f>SUM(F18:F23)</f>
        <v>172.89666</v>
      </c>
      <c r="G24" s="331"/>
      <c r="K24" s="325"/>
    </row>
    <row r="25" spans="2:11" x14ac:dyDescent="0.25">
      <c r="B25" s="372"/>
      <c r="C25" s="326"/>
      <c r="D25" s="326"/>
      <c r="E25" s="326"/>
      <c r="F25" s="326"/>
      <c r="G25" s="326"/>
      <c r="K25" s="325"/>
    </row>
    <row r="26" spans="2:11" x14ac:dyDescent="0.25">
      <c r="B26" s="372"/>
      <c r="C26" s="326"/>
      <c r="D26" s="326"/>
      <c r="E26" s="53" t="s">
        <v>217</v>
      </c>
      <c r="F26" s="333">
        <f>C19+C21-F24</f>
        <v>827.10334</v>
      </c>
      <c r="G26" s="326"/>
      <c r="K26" s="325"/>
    </row>
    <row r="27" spans="2:11" x14ac:dyDescent="0.25">
      <c r="B27" s="372"/>
      <c r="C27" s="326"/>
      <c r="D27" s="326"/>
      <c r="E27" s="326"/>
      <c r="F27" s="326"/>
      <c r="G27" s="326"/>
      <c r="K27" s="325"/>
    </row>
    <row r="28" spans="2:11" x14ac:dyDescent="0.25">
      <c r="B28" s="372"/>
      <c r="C28" s="326"/>
      <c r="D28" s="326"/>
      <c r="E28" s="326"/>
      <c r="F28" s="326"/>
      <c r="G28" s="326"/>
      <c r="K28" s="325"/>
    </row>
    <row r="29" spans="2:11" x14ac:dyDescent="0.25">
      <c r="B29" s="372"/>
      <c r="C29" s="326"/>
      <c r="D29" s="326"/>
      <c r="E29" s="326"/>
      <c r="F29" s="326"/>
      <c r="G29" s="326"/>
      <c r="K29" s="325"/>
    </row>
    <row r="30" spans="2:11" x14ac:dyDescent="0.25">
      <c r="B30" s="372"/>
      <c r="C30" s="326"/>
      <c r="D30" s="326"/>
      <c r="E30" s="326"/>
      <c r="F30" s="326"/>
      <c r="G30" s="326"/>
      <c r="K30" s="325"/>
    </row>
    <row r="31" spans="2:11" x14ac:dyDescent="0.25">
      <c r="B31" s="372"/>
      <c r="C31" s="326"/>
      <c r="D31" s="326"/>
      <c r="E31" s="326"/>
      <c r="F31" s="326"/>
      <c r="G31" s="326"/>
      <c r="K31" s="325"/>
    </row>
    <row r="32" spans="2:11" x14ac:dyDescent="0.25">
      <c r="B32" s="372"/>
      <c r="C32" s="326"/>
      <c r="D32" s="326"/>
      <c r="E32" s="326"/>
      <c r="F32" s="326"/>
      <c r="G32" s="326"/>
      <c r="K32" s="325"/>
    </row>
    <row r="33" spans="2:11" x14ac:dyDescent="0.25">
      <c r="B33" s="372"/>
      <c r="C33" s="326"/>
      <c r="D33" s="326"/>
      <c r="E33" s="326"/>
      <c r="F33" s="326"/>
      <c r="G33" s="326"/>
      <c r="K33" s="325"/>
    </row>
    <row r="34" spans="2:11" x14ac:dyDescent="0.25">
      <c r="B34" s="372"/>
      <c r="C34" s="326"/>
      <c r="D34" s="326"/>
      <c r="E34" s="326"/>
      <c r="F34" s="326"/>
      <c r="G34" s="326"/>
      <c r="K34" s="325"/>
    </row>
    <row r="35" spans="2:11" x14ac:dyDescent="0.25">
      <c r="B35" s="372" t="s">
        <v>218</v>
      </c>
      <c r="C35" s="326"/>
      <c r="D35" s="326"/>
      <c r="E35" s="326"/>
      <c r="F35" s="326"/>
      <c r="G35" s="326"/>
      <c r="K35" s="325"/>
    </row>
    <row r="36" spans="2:11" ht="13.8" thickBot="1" x14ac:dyDescent="0.3">
      <c r="B36" s="107"/>
    </row>
    <row r="37" spans="2:11" ht="13.8" thickBot="1" x14ac:dyDescent="0.3">
      <c r="B37" s="342" t="s">
        <v>201</v>
      </c>
      <c r="C37" s="335"/>
      <c r="D37" s="314" t="s">
        <v>194</v>
      </c>
      <c r="E37" s="343" t="s">
        <v>202</v>
      </c>
    </row>
    <row r="38" spans="2:11" x14ac:dyDescent="0.25">
      <c r="B38" s="322"/>
      <c r="D38" s="265"/>
      <c r="E38" s="321"/>
      <c r="F38" s="269"/>
    </row>
    <row r="39" spans="2:11" x14ac:dyDescent="0.25">
      <c r="B39" s="107"/>
      <c r="D39" s="325"/>
      <c r="E39" s="324"/>
      <c r="F39" s="326"/>
    </row>
    <row r="40" spans="2:11" x14ac:dyDescent="0.25">
      <c r="B40" s="315" t="s">
        <v>206</v>
      </c>
      <c r="D40" s="325">
        <f>C19</f>
        <v>1000</v>
      </c>
      <c r="E40" s="334"/>
      <c r="F40" s="337"/>
    </row>
    <row r="41" spans="2:11" x14ac:dyDescent="0.25">
      <c r="B41" s="315" t="s">
        <v>25</v>
      </c>
      <c r="D41" s="325">
        <f>C20</f>
        <v>40</v>
      </c>
      <c r="E41" s="324"/>
      <c r="F41" s="326"/>
    </row>
    <row r="42" spans="2:11" x14ac:dyDescent="0.25">
      <c r="B42" s="316" t="s">
        <v>207</v>
      </c>
      <c r="D42" s="325">
        <f>C18</f>
        <v>30</v>
      </c>
      <c r="E42" s="324"/>
      <c r="F42" s="326"/>
    </row>
    <row r="43" spans="2:11" x14ac:dyDescent="0.25">
      <c r="B43" s="316" t="s">
        <v>193</v>
      </c>
      <c r="D43" s="325">
        <f>C21</f>
        <v>0</v>
      </c>
      <c r="E43" s="324"/>
      <c r="F43" s="326"/>
    </row>
    <row r="44" spans="2:11" x14ac:dyDescent="0.25">
      <c r="B44" s="107"/>
      <c r="D44" s="325"/>
      <c r="E44" s="324"/>
      <c r="F44" s="326"/>
    </row>
    <row r="45" spans="2:11" x14ac:dyDescent="0.25">
      <c r="B45" s="318"/>
      <c r="D45" s="330"/>
      <c r="E45" s="331"/>
      <c r="F45" s="326"/>
    </row>
    <row r="46" spans="2:11" x14ac:dyDescent="0.25">
      <c r="B46" s="332"/>
      <c r="C46" s="336"/>
      <c r="D46" s="330"/>
      <c r="E46" s="331"/>
    </row>
  </sheetData>
  <mergeCells count="2">
    <mergeCell ref="B15:D15"/>
    <mergeCell ref="E15:G15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W92"/>
  <sheetViews>
    <sheetView showZeros="0" zoomScale="90" zoomScaleNormal="90" workbookViewId="0">
      <pane ySplit="1" topLeftCell="A2" activePane="bottomLeft" state="frozen"/>
      <selection activeCell="P17" sqref="P17"/>
      <selection pane="bottomLeft" activeCell="P47" sqref="P47"/>
    </sheetView>
  </sheetViews>
  <sheetFormatPr baseColWidth="10" defaultColWidth="11.44140625" defaultRowHeight="13.2" x14ac:dyDescent="0.25"/>
  <cols>
    <col min="1" max="1" width="22.44140625" customWidth="1"/>
    <col min="2" max="2" width="1.77734375" customWidth="1"/>
    <col min="3" max="3" width="3.44140625" customWidth="1"/>
    <col min="4" max="4" width="10" customWidth="1"/>
    <col min="5" max="5" width="7" customWidth="1"/>
    <col min="6" max="6" width="2.33203125" hidden="1" customWidth="1"/>
    <col min="7" max="7" width="1.5546875" hidden="1" customWidth="1"/>
    <col min="8" max="8" width="1.6640625" hidden="1" customWidth="1"/>
    <col min="9" max="9" width="1.88671875" hidden="1" customWidth="1"/>
    <col min="10" max="10" width="2.109375" hidden="1" customWidth="1"/>
    <col min="11" max="11" width="1.88671875" hidden="1" customWidth="1"/>
    <col min="12" max="12" width="1.5546875" hidden="1" customWidth="1"/>
    <col min="13" max="13" width="4.33203125" hidden="1" customWidth="1"/>
    <col min="14" max="14" width="5.88671875" hidden="1" customWidth="1"/>
    <col min="15" max="15" width="5.5546875" hidden="1" customWidth="1"/>
    <col min="16" max="16" width="6" customWidth="1"/>
    <col min="17" max="19" width="7.109375" customWidth="1"/>
    <col min="20" max="20" width="9.109375" customWidth="1"/>
    <col min="21" max="21" width="9.5546875" hidden="1" customWidth="1"/>
    <col min="22" max="22" width="11.44140625" style="32"/>
    <col min="23" max="23" width="7.33203125" hidden="1" customWidth="1"/>
    <col min="24" max="24" width="10.33203125" customWidth="1"/>
    <col min="25" max="25" width="7.5546875" customWidth="1"/>
    <col min="26" max="26" width="6.5546875" hidden="1" customWidth="1"/>
    <col min="27" max="27" width="10.77734375" customWidth="1"/>
    <col min="28" max="28" width="9" hidden="1" customWidth="1"/>
    <col min="29" max="29" width="6.6640625" customWidth="1"/>
    <col min="30" max="30" width="8.44140625" hidden="1" customWidth="1"/>
    <col min="31" max="31" width="8.6640625" hidden="1" customWidth="1"/>
    <col min="32" max="32" width="6.44140625" hidden="1" customWidth="1"/>
    <col min="33" max="33" width="10.6640625" customWidth="1"/>
    <col min="34" max="34" width="11.44140625" customWidth="1"/>
    <col min="35" max="35" width="12" customWidth="1"/>
    <col min="36" max="36" width="13" customWidth="1"/>
    <col min="37" max="37" width="8.5546875" hidden="1" customWidth="1"/>
    <col min="38" max="38" width="11.5546875" customWidth="1"/>
    <col min="39" max="39" width="9.6640625" customWidth="1"/>
    <col min="40" max="40" width="6.109375" hidden="1" customWidth="1"/>
    <col min="41" max="41" width="10.77734375" customWidth="1"/>
    <col min="42" max="42" width="9.109375" customWidth="1"/>
    <col min="43" max="43" width="11" customWidth="1"/>
    <col min="44" max="44" width="12.109375" hidden="1" customWidth="1"/>
    <col min="45" max="45" width="8.88671875" hidden="1" customWidth="1"/>
    <col min="46" max="46" width="10.6640625" hidden="1" customWidth="1"/>
    <col min="47" max="48" width="11.44140625" hidden="1" customWidth="1"/>
    <col min="49" max="49" width="10.5546875" customWidth="1"/>
  </cols>
  <sheetData>
    <row r="1" spans="1:49" ht="18.75" customHeight="1" x14ac:dyDescent="0.25">
      <c r="A1" s="69"/>
      <c r="B1" s="70"/>
      <c r="C1" s="4"/>
      <c r="D1" s="4" t="s">
        <v>3</v>
      </c>
      <c r="E1" s="223" t="s">
        <v>36</v>
      </c>
      <c r="F1" s="4" t="s">
        <v>63</v>
      </c>
      <c r="G1" s="4" t="s">
        <v>64</v>
      </c>
      <c r="H1" s="4" t="s">
        <v>65</v>
      </c>
      <c r="I1" s="4" t="s">
        <v>66</v>
      </c>
      <c r="J1" s="4" t="s">
        <v>67</v>
      </c>
      <c r="K1" s="4" t="s">
        <v>68</v>
      </c>
      <c r="L1" s="4" t="s">
        <v>69</v>
      </c>
      <c r="M1" s="4" t="s">
        <v>70</v>
      </c>
      <c r="N1" s="4" t="s">
        <v>177</v>
      </c>
      <c r="O1" s="24" t="s">
        <v>183</v>
      </c>
      <c r="P1" s="24" t="s">
        <v>191</v>
      </c>
      <c r="Q1" s="24" t="s">
        <v>192</v>
      </c>
      <c r="R1" s="24" t="s">
        <v>215</v>
      </c>
      <c r="S1" s="24" t="s">
        <v>216</v>
      </c>
      <c r="T1" s="92" t="s">
        <v>109</v>
      </c>
      <c r="U1" s="92" t="s">
        <v>108</v>
      </c>
      <c r="V1" s="93" t="s">
        <v>107</v>
      </c>
      <c r="W1" s="92" t="s">
        <v>106</v>
      </c>
      <c r="X1" s="92" t="s">
        <v>97</v>
      </c>
      <c r="Y1" s="92" t="s">
        <v>28</v>
      </c>
      <c r="Z1" s="92" t="s">
        <v>29</v>
      </c>
      <c r="AA1" s="92" t="s">
        <v>54</v>
      </c>
      <c r="AB1" s="92" t="s">
        <v>59</v>
      </c>
      <c r="AC1" s="92" t="s">
        <v>31</v>
      </c>
      <c r="AD1" s="92" t="s">
        <v>110</v>
      </c>
      <c r="AE1" s="92" t="s">
        <v>74</v>
      </c>
      <c r="AF1" s="92" t="s">
        <v>76</v>
      </c>
      <c r="AG1" s="92" t="s">
        <v>77</v>
      </c>
      <c r="AH1" s="92" t="s">
        <v>79</v>
      </c>
      <c r="AI1" s="92" t="s">
        <v>78</v>
      </c>
      <c r="AJ1" s="92" t="s">
        <v>27</v>
      </c>
      <c r="AK1" s="92" t="s">
        <v>108</v>
      </c>
      <c r="AL1" s="92" t="s">
        <v>58</v>
      </c>
      <c r="AM1" s="92" t="s">
        <v>39</v>
      </c>
      <c r="AN1" s="92" t="s">
        <v>111</v>
      </c>
      <c r="AO1" s="92" t="s">
        <v>193</v>
      </c>
      <c r="AP1" s="97" t="s">
        <v>112</v>
      </c>
      <c r="AQ1" s="92" t="s">
        <v>75</v>
      </c>
      <c r="AR1" s="250" t="s">
        <v>184</v>
      </c>
      <c r="AS1" s="6" t="s">
        <v>185</v>
      </c>
      <c r="AT1" s="6" t="s">
        <v>186</v>
      </c>
      <c r="AU1" s="53"/>
      <c r="AV1" s="220"/>
      <c r="AW1" s="258" t="s">
        <v>190</v>
      </c>
    </row>
    <row r="2" spans="1:49" ht="10.199999999999999" customHeight="1" x14ac:dyDescent="0.25">
      <c r="A2" s="69"/>
      <c r="B2" s="70"/>
      <c r="C2" s="4"/>
      <c r="D2" s="4"/>
      <c r="E2" s="270"/>
      <c r="F2" s="4"/>
      <c r="G2" s="4"/>
      <c r="H2" s="4"/>
      <c r="I2" s="4"/>
      <c r="J2" s="4"/>
      <c r="K2" s="4"/>
      <c r="L2" s="4"/>
      <c r="M2" s="4"/>
      <c r="N2" s="4"/>
      <c r="O2" s="24"/>
      <c r="P2" s="24"/>
      <c r="Q2" s="24"/>
      <c r="R2" s="24"/>
      <c r="S2" s="24"/>
      <c r="T2" s="92"/>
      <c r="U2" s="92"/>
      <c r="V2" s="93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7"/>
      <c r="AQ2" s="92"/>
      <c r="AR2" s="270"/>
      <c r="AS2" s="6"/>
      <c r="AT2" s="6"/>
      <c r="AU2" s="53"/>
      <c r="AV2" s="220"/>
      <c r="AW2" s="258"/>
    </row>
    <row r="3" spans="1:49" ht="10.199999999999999" customHeight="1" x14ac:dyDescent="0.25">
      <c r="A3" s="69"/>
      <c r="B3" s="70"/>
      <c r="C3" s="4"/>
      <c r="D3" s="4"/>
      <c r="E3" s="270"/>
      <c r="F3" s="4"/>
      <c r="G3" s="4"/>
      <c r="H3" s="4"/>
      <c r="I3" s="4"/>
      <c r="J3" s="4"/>
      <c r="K3" s="4"/>
      <c r="L3" s="4"/>
      <c r="M3" s="4"/>
      <c r="N3" s="4"/>
      <c r="O3" s="24"/>
      <c r="P3" s="24"/>
      <c r="Q3" s="24"/>
      <c r="R3" s="24"/>
      <c r="S3" s="24"/>
      <c r="T3" s="92"/>
      <c r="U3" s="92"/>
      <c r="V3" s="93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7"/>
      <c r="AQ3" s="92"/>
      <c r="AR3" s="270"/>
      <c r="AS3" s="6"/>
      <c r="AT3" s="6"/>
      <c r="AU3" s="53"/>
      <c r="AV3" s="220"/>
      <c r="AW3" s="258"/>
    </row>
    <row r="4" spans="1:49" x14ac:dyDescent="0.25">
      <c r="A4" s="133"/>
      <c r="B4" s="133"/>
      <c r="C4" s="102"/>
      <c r="D4" s="100" t="s">
        <v>11</v>
      </c>
      <c r="E4" s="101"/>
      <c r="F4" s="102"/>
      <c r="G4" s="102"/>
      <c r="H4" s="102"/>
      <c r="I4" s="102"/>
      <c r="J4" s="102"/>
      <c r="K4" s="102"/>
      <c r="L4" s="102"/>
      <c r="M4" s="102">
        <v>0</v>
      </c>
      <c r="N4" s="102"/>
      <c r="O4" s="102"/>
      <c r="P4" s="102"/>
      <c r="Q4" s="102"/>
      <c r="R4" s="102"/>
      <c r="S4" s="102"/>
      <c r="T4" s="160"/>
      <c r="U4" s="103"/>
      <c r="V4" s="104">
        <f>T4+U4</f>
        <v>0</v>
      </c>
      <c r="W4" s="103">
        <f>O4*1.93</f>
        <v>0</v>
      </c>
      <c r="X4" s="103">
        <f>V4+W4</f>
        <v>0</v>
      </c>
      <c r="Y4" s="103">
        <f>IF(AV4&lt;0,0,(X4-134.62)*0.057)</f>
        <v>0</v>
      </c>
      <c r="Z4" s="103"/>
      <c r="AA4" s="105">
        <f>V4*1.2%</f>
        <v>0</v>
      </c>
      <c r="AB4" s="105"/>
      <c r="AC4" s="103">
        <f>V4*0.494%</f>
        <v>0</v>
      </c>
      <c r="AD4" s="103"/>
      <c r="AE4" s="103"/>
      <c r="AF4" s="103"/>
      <c r="AG4" s="103">
        <f>V4-AD4-AE4-AF4</f>
        <v>0</v>
      </c>
      <c r="AH4" s="276">
        <f>IF(VLOOKUP(AG4,'Table 26'!$A$2:$C$438,2,TRUE)&gt;=VLOOKUP(AG4,'Table 26'!$C$2:$D$438,2,TRUE),MAX(VLOOKUP(AG4,'Table 26'!$A$2:$B$438,2,TRUE),VLOOKUP(AG4,'Table 26'!$C$2:$D$438,2,TRUE)),0)</f>
        <v>0</v>
      </c>
      <c r="AI4" s="103">
        <f>X4-AF4</f>
        <v>0</v>
      </c>
      <c r="AJ4" s="277">
        <f>IF(VLOOKUP(AI4,'Table 26'!$E$2:$F$306,2,TRUE)&gt;=VLOOKUP(AI4,'Table 26'!$G$2:$H$306,2,TRUE),MAX(VLOOKUP(AI4,'Table 26'!$E$2:$F$306,2,TRUE),VLOOKUP(AI4,'Table 26'!$G$2:$H$306,2,TRUE)),0)</f>
        <v>0</v>
      </c>
      <c r="AK4" s="102"/>
      <c r="AL4" s="103">
        <f>SUM(AH4+AJ4+AK4+Y4+AA4+AC4+AD4+AE4+AF4)</f>
        <v>0</v>
      </c>
      <c r="AM4" s="103">
        <f>V4-AL4</f>
        <v>0</v>
      </c>
      <c r="AN4" s="103">
        <f>O4*0.6</f>
        <v>0</v>
      </c>
      <c r="AO4" s="103"/>
      <c r="AP4" s="103">
        <f>AM4+AN4+AO4</f>
        <v>0</v>
      </c>
      <c r="AQ4" s="252">
        <f>V4*0.692%</f>
        <v>0</v>
      </c>
      <c r="AR4" s="101"/>
      <c r="AS4" s="102"/>
      <c r="AT4" s="102"/>
      <c r="AU4" s="102"/>
      <c r="AV4" s="256">
        <f>(X4-134.62)*0.057</f>
        <v>-7.6733400000000005</v>
      </c>
      <c r="AW4" s="255">
        <f>T4*0.04</f>
        <v>0</v>
      </c>
    </row>
    <row r="5" spans="1:49" x14ac:dyDescent="0.25">
      <c r="A5" s="4"/>
      <c r="B5" s="4"/>
      <c r="D5" s="107" t="s">
        <v>11</v>
      </c>
      <c r="E5" s="221"/>
      <c r="F5" s="30"/>
      <c r="G5" s="30"/>
      <c r="H5" s="30"/>
      <c r="I5" s="30"/>
      <c r="J5" s="30"/>
      <c r="K5" s="30"/>
      <c r="L5" s="30"/>
      <c r="M5" s="30">
        <v>0</v>
      </c>
      <c r="N5" s="30"/>
      <c r="O5" s="30"/>
      <c r="P5" s="30"/>
      <c r="Q5" s="30"/>
      <c r="R5" s="30"/>
      <c r="S5" s="30"/>
      <c r="T5" s="160"/>
      <c r="U5" s="109"/>
      <c r="V5" s="110">
        <f t="shared" ref="V5:V69" si="0">T5+U5</f>
        <v>0</v>
      </c>
      <c r="W5" s="109">
        <f>O5*1.93</f>
        <v>0</v>
      </c>
      <c r="X5" s="109">
        <f t="shared" ref="X5:X69" si="1">V5+W5</f>
        <v>0</v>
      </c>
      <c r="Y5" s="109">
        <f t="shared" ref="Y5:Y8" si="2">IF(AV5&lt;0,0,(X5-134.62)*0.057)</f>
        <v>0</v>
      </c>
      <c r="Z5" s="109"/>
      <c r="AA5" s="111">
        <f t="shared" ref="AA5:AA8" si="3">V5*1.2%</f>
        <v>0</v>
      </c>
      <c r="AB5" s="111"/>
      <c r="AC5" s="109">
        <f t="shared" ref="AC5:AC8" si="4">V5*0.494%</f>
        <v>0</v>
      </c>
      <c r="AD5" s="109"/>
      <c r="AE5" s="109"/>
      <c r="AF5" s="109"/>
      <c r="AG5" s="109">
        <f t="shared" ref="AG5:AG69" si="5">V5-AD5-AE5-AF5</f>
        <v>0</v>
      </c>
      <c r="AH5" s="156">
        <f>IF(VLOOKUP(AG5,'Table 26'!$A$2:$C$438,2,TRUE)&gt;=VLOOKUP(AG5,'Table 26'!$C$2:$D$438,2,TRUE),MAX(VLOOKUP(AG5,'Table 26'!$A$2:$B$438,2,TRUE),VLOOKUP(AG5,'Table 26'!$C$2:$D$438,2,TRUE)),0)</f>
        <v>0</v>
      </c>
      <c r="AI5" s="109">
        <f t="shared" ref="AI5:AI8" si="6">X5-AF5</f>
        <v>0</v>
      </c>
      <c r="AJ5" s="158">
        <f>IF(VLOOKUP(AI5,'Table 26'!$E$2:$F$306,2,TRUE)&gt;=VLOOKUP(AI5,'Table 26'!$G$2:$H$306,2,TRUE),MAX(VLOOKUP(AI5,'Table 26'!$E$2:$F$306,2,TRUE),VLOOKUP(AI5,'Table 26'!$G$2:$H$306,2,TRUE)),0)</f>
        <v>0</v>
      </c>
      <c r="AK5" s="109"/>
      <c r="AL5" s="109">
        <f>SUM(AH5+AJ5+AK5+Y5+AA5+AC5+AD5+AE5+AF5)</f>
        <v>0</v>
      </c>
      <c r="AM5" s="109">
        <f t="shared" ref="AM5:AM69" si="7">V5-AL5</f>
        <v>0</v>
      </c>
      <c r="AN5" s="109">
        <f t="shared" ref="AN5:AN69" si="8">O5*0.6</f>
        <v>0</v>
      </c>
      <c r="AO5" s="109"/>
      <c r="AP5" s="109">
        <f t="shared" ref="AP5:AP8" si="9">AM5+AN5+AO5</f>
        <v>0</v>
      </c>
      <c r="AQ5" s="253">
        <f t="shared" ref="AQ5:AQ8" si="10">V5*0.692%</f>
        <v>0</v>
      </c>
      <c r="AR5" s="72">
        <f>O5*5.335</f>
        <v>0</v>
      </c>
      <c r="AS5" s="25">
        <f>2*O5</f>
        <v>0</v>
      </c>
      <c r="AT5" s="25">
        <f>0.04*O5</f>
        <v>0</v>
      </c>
      <c r="AU5" s="25"/>
      <c r="AV5" s="220">
        <f t="shared" ref="AV5:AV8" si="11">(X5-134.62)*0.057</f>
        <v>-7.6733400000000005</v>
      </c>
      <c r="AW5" s="238">
        <f t="shared" ref="AW5:AW8" si="12">T5*0.04</f>
        <v>0</v>
      </c>
    </row>
    <row r="6" spans="1:49" x14ac:dyDescent="0.25">
      <c r="A6" s="53"/>
      <c r="D6" s="107" t="s">
        <v>11</v>
      </c>
      <c r="E6" s="22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160"/>
      <c r="U6" s="109"/>
      <c r="V6" s="110">
        <f t="shared" si="0"/>
        <v>0</v>
      </c>
      <c r="W6" s="109"/>
      <c r="X6" s="109">
        <f t="shared" si="1"/>
        <v>0</v>
      </c>
      <c r="Y6" s="109">
        <f t="shared" si="2"/>
        <v>0</v>
      </c>
      <c r="Z6" s="109"/>
      <c r="AA6" s="111">
        <f t="shared" si="3"/>
        <v>0</v>
      </c>
      <c r="AB6" s="111"/>
      <c r="AC6" s="109">
        <f t="shared" si="4"/>
        <v>0</v>
      </c>
      <c r="AD6" s="109"/>
      <c r="AE6" s="109"/>
      <c r="AF6" s="109"/>
      <c r="AG6" s="109">
        <f t="shared" si="5"/>
        <v>0</v>
      </c>
      <c r="AH6" s="156">
        <f>IF(VLOOKUP(AG6,'Table 26'!$A$2:$C$438,2,TRUE)&gt;=VLOOKUP(AG6,'Table 26'!$C$2:$D$438,2,TRUE),MAX(VLOOKUP(AG6,'Table 26'!$A$2:$B$438,2,TRUE),VLOOKUP(AG6,'Table 26'!$C$2:$D$438,2,TRUE)),0)</f>
        <v>0</v>
      </c>
      <c r="AI6" s="109">
        <f t="shared" si="6"/>
        <v>0</v>
      </c>
      <c r="AJ6" s="158">
        <f>IF(VLOOKUP(AI6,'Table 26'!$E$2:$F$306,2,TRUE)&gt;=VLOOKUP(AI6,'Table 26'!$G$2:$H$306,2,TRUE),MAX(VLOOKUP(AI6,'Table 26'!$E$2:$F$306,2,TRUE),VLOOKUP(AI6,'Table 26'!$G$2:$H$306,2,TRUE)),0)</f>
        <v>0</v>
      </c>
      <c r="AK6" s="109"/>
      <c r="AL6" s="109">
        <f>SUM(AH6+AJ6+AK6+Y6+AA6+AC6+AD6+AE6+AF6)</f>
        <v>0</v>
      </c>
      <c r="AM6" s="109">
        <f>V6-AL6</f>
        <v>0</v>
      </c>
      <c r="AN6" s="109"/>
      <c r="AO6" s="109"/>
      <c r="AP6" s="109">
        <f t="shared" si="9"/>
        <v>0</v>
      </c>
      <c r="AQ6" s="253">
        <f t="shared" si="10"/>
        <v>0</v>
      </c>
      <c r="AR6" s="72">
        <f t="shared" ref="AR6:AR8" si="13">O6*5.335</f>
        <v>0</v>
      </c>
      <c r="AS6" s="25">
        <f t="shared" ref="AS6:AS8" si="14">2*O6</f>
        <v>0</v>
      </c>
      <c r="AT6" s="25">
        <f t="shared" ref="AT6:AT8" si="15">0.04*O6</f>
        <v>0</v>
      </c>
      <c r="AV6" s="220">
        <f t="shared" si="11"/>
        <v>-7.6733400000000005</v>
      </c>
      <c r="AW6" s="238">
        <f t="shared" si="12"/>
        <v>0</v>
      </c>
    </row>
    <row r="7" spans="1:49" x14ac:dyDescent="0.25">
      <c r="A7" s="4"/>
      <c r="D7" s="107" t="s">
        <v>11</v>
      </c>
      <c r="E7" s="221"/>
      <c r="F7" s="112"/>
      <c r="G7" s="30"/>
      <c r="H7" s="30"/>
      <c r="I7" s="30"/>
      <c r="J7" s="30"/>
      <c r="K7" s="30"/>
      <c r="L7" s="30"/>
      <c r="M7" s="30">
        <v>0</v>
      </c>
      <c r="N7" s="30"/>
      <c r="O7" s="30"/>
      <c r="P7" s="30"/>
      <c r="Q7" s="30"/>
      <c r="R7" s="30"/>
      <c r="S7" s="30"/>
      <c r="T7" s="160"/>
      <c r="U7" s="109"/>
      <c r="V7" s="110">
        <f t="shared" si="0"/>
        <v>0</v>
      </c>
      <c r="W7" s="109">
        <f>O7*1.93</f>
        <v>0</v>
      </c>
      <c r="X7" s="109">
        <f t="shared" si="1"/>
        <v>0</v>
      </c>
      <c r="Y7" s="109">
        <f t="shared" si="2"/>
        <v>0</v>
      </c>
      <c r="Z7" s="109"/>
      <c r="AA7" s="111">
        <f t="shared" si="3"/>
        <v>0</v>
      </c>
      <c r="AB7" s="111"/>
      <c r="AC7" s="109">
        <f t="shared" si="4"/>
        <v>0</v>
      </c>
      <c r="AD7" s="109"/>
      <c r="AE7" s="109"/>
      <c r="AF7" s="109"/>
      <c r="AG7" s="109">
        <f t="shared" si="5"/>
        <v>0</v>
      </c>
      <c r="AH7" s="156">
        <f>IF(VLOOKUP(AG7,'Table 26'!$A$2:$C$438,2,TRUE)&gt;=VLOOKUP(AG7,'Table 26'!$C$2:$D$438,2,TRUE),MAX(VLOOKUP(AG7,'Table 26'!$A$2:$B$438,2,TRUE),VLOOKUP(AG7,'Table 26'!$C$2:$D$438,2,TRUE)),0)</f>
        <v>0</v>
      </c>
      <c r="AI7" s="109"/>
      <c r="AJ7" s="158">
        <f>IF(VLOOKUP(AI7,'Table 26'!$E$2:$F$306,2,TRUE)&gt;=VLOOKUP(AI7,'Table 26'!$G$2:$H$306,2,TRUE),MAX(VLOOKUP(AI7,'Table 26'!$E$2:$F$306,2,TRUE),VLOOKUP(AI7,'Table 26'!$G$2:$H$306,2,TRUE)),0)</f>
        <v>0</v>
      </c>
      <c r="AK7" s="109"/>
      <c r="AL7" s="109">
        <f t="shared" ref="AL7:AL69" si="16">SUM(AH7+AJ7+AK7+Y7+AA7+AC7+AD7+AE7+AF7)</f>
        <v>0</v>
      </c>
      <c r="AM7" s="109">
        <f t="shared" si="7"/>
        <v>0</v>
      </c>
      <c r="AN7" s="109">
        <f t="shared" si="8"/>
        <v>0</v>
      </c>
      <c r="AO7" s="109"/>
      <c r="AP7" s="109">
        <f t="shared" si="9"/>
        <v>0</v>
      </c>
      <c r="AQ7" s="253">
        <f t="shared" si="10"/>
        <v>0</v>
      </c>
      <c r="AR7" s="72">
        <f t="shared" si="13"/>
        <v>0</v>
      </c>
      <c r="AS7" s="25">
        <f t="shared" si="14"/>
        <v>0</v>
      </c>
      <c r="AT7" s="25">
        <f t="shared" si="15"/>
        <v>0</v>
      </c>
      <c r="AV7" s="220">
        <f t="shared" si="11"/>
        <v>-7.6733400000000005</v>
      </c>
      <c r="AW7" s="238">
        <f t="shared" si="12"/>
        <v>0</v>
      </c>
    </row>
    <row r="8" spans="1:49" x14ac:dyDescent="0.25">
      <c r="A8" s="4"/>
      <c r="D8" s="107" t="s">
        <v>11</v>
      </c>
      <c r="E8" s="221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160"/>
      <c r="U8" s="216"/>
      <c r="V8" s="217">
        <f t="shared" si="0"/>
        <v>0</v>
      </c>
      <c r="W8" s="121">
        <f>O8*1.93</f>
        <v>0</v>
      </c>
      <c r="X8" s="121">
        <f t="shared" si="1"/>
        <v>0</v>
      </c>
      <c r="Y8" s="121">
        <f t="shared" si="2"/>
        <v>0</v>
      </c>
      <c r="Z8" s="121"/>
      <c r="AA8" s="131">
        <f t="shared" si="3"/>
        <v>0</v>
      </c>
      <c r="AB8" s="131"/>
      <c r="AC8" s="121">
        <f t="shared" si="4"/>
        <v>0</v>
      </c>
      <c r="AD8" s="121"/>
      <c r="AE8" s="121"/>
      <c r="AF8" s="121"/>
      <c r="AG8" s="121">
        <f t="shared" si="5"/>
        <v>0</v>
      </c>
      <c r="AH8" s="157">
        <f>IF(VLOOKUP(AG8,'Table 26'!$A$2:$C$438,2,TRUE)&gt;=VLOOKUP(AG8,'Table 26'!$C$2:$D$438,2,TRUE),MAX(VLOOKUP(AG8,'Table 26'!$A$2:$B$438,2,TRUE),VLOOKUP(AG8,'Table 26'!$C$2:$D$438,2,TRUE)),0)</f>
        <v>0</v>
      </c>
      <c r="AI8" s="121">
        <f t="shared" si="6"/>
        <v>0</v>
      </c>
      <c r="AJ8" s="159">
        <f>IF(VLOOKUP(AI8,'Table 26'!$E$2:$F$306,2,TRUE)&gt;=VLOOKUP(AI8,'Table 26'!$G$2:$H$306,2,TRUE),MAX(VLOOKUP(AI8,'Table 26'!$E$2:$F$306,2,TRUE),VLOOKUP(AI8,'Table 26'!$G$2:$H$306,2,TRUE)),0)</f>
        <v>0</v>
      </c>
      <c r="AK8" s="121"/>
      <c r="AL8" s="121">
        <f t="shared" si="16"/>
        <v>0</v>
      </c>
      <c r="AM8" s="121">
        <f t="shared" si="7"/>
        <v>0</v>
      </c>
      <c r="AN8" s="121">
        <f t="shared" si="8"/>
        <v>0</v>
      </c>
      <c r="AO8" s="121"/>
      <c r="AP8" s="121">
        <f t="shared" si="9"/>
        <v>0</v>
      </c>
      <c r="AQ8" s="254">
        <f t="shared" si="10"/>
        <v>0</v>
      </c>
      <c r="AR8" s="72">
        <f t="shared" si="13"/>
        <v>0</v>
      </c>
      <c r="AS8" s="25">
        <f t="shared" si="14"/>
        <v>0</v>
      </c>
      <c r="AT8" s="25">
        <f t="shared" si="15"/>
        <v>0</v>
      </c>
      <c r="AV8" s="220">
        <f t="shared" si="11"/>
        <v>-7.6733400000000005</v>
      </c>
      <c r="AW8" s="238">
        <f t="shared" si="12"/>
        <v>0</v>
      </c>
    </row>
    <row r="9" spans="1:49" ht="13.8" thickBot="1" x14ac:dyDescent="0.3">
      <c r="A9" s="351"/>
      <c r="B9" s="351"/>
      <c r="C9" s="11"/>
      <c r="D9" s="278" t="s">
        <v>32</v>
      </c>
      <c r="E9" s="287"/>
      <c r="F9" s="280"/>
      <c r="G9" s="280"/>
      <c r="H9" s="280"/>
      <c r="I9" s="280"/>
      <c r="J9" s="280"/>
      <c r="K9" s="280"/>
      <c r="L9" s="280"/>
      <c r="M9" s="280">
        <v>0</v>
      </c>
      <c r="N9" s="280">
        <v>0</v>
      </c>
      <c r="O9" s="280">
        <f>SUM(O5:O8)</f>
        <v>0</v>
      </c>
      <c r="P9" s="280"/>
      <c r="Q9" s="280"/>
      <c r="R9" s="280"/>
      <c r="S9" s="280"/>
      <c r="T9" s="281">
        <f>SUM(T4:T8)</f>
        <v>0</v>
      </c>
      <c r="U9" s="281">
        <f t="shared" ref="U9:AW9" si="17">SUM(U4:U8)</f>
        <v>0</v>
      </c>
      <c r="V9" s="281">
        <f t="shared" si="17"/>
        <v>0</v>
      </c>
      <c r="W9" s="281">
        <f t="shared" si="17"/>
        <v>0</v>
      </c>
      <c r="X9" s="281">
        <f t="shared" si="17"/>
        <v>0</v>
      </c>
      <c r="Y9" s="281">
        <f t="shared" si="17"/>
        <v>0</v>
      </c>
      <c r="Z9" s="281">
        <f t="shared" si="17"/>
        <v>0</v>
      </c>
      <c r="AA9" s="281">
        <f t="shared" si="17"/>
        <v>0</v>
      </c>
      <c r="AB9" s="281">
        <f t="shared" si="17"/>
        <v>0</v>
      </c>
      <c r="AC9" s="281">
        <f t="shared" si="17"/>
        <v>0</v>
      </c>
      <c r="AD9" s="281"/>
      <c r="AE9" s="281">
        <f t="shared" si="17"/>
        <v>0</v>
      </c>
      <c r="AF9" s="281"/>
      <c r="AG9" s="281">
        <f t="shared" si="17"/>
        <v>0</v>
      </c>
      <c r="AH9" s="282">
        <f t="shared" si="17"/>
        <v>0</v>
      </c>
      <c r="AI9" s="281">
        <f t="shared" si="17"/>
        <v>0</v>
      </c>
      <c r="AJ9" s="283">
        <f t="shared" si="17"/>
        <v>0</v>
      </c>
      <c r="AK9" s="281"/>
      <c r="AL9" s="281">
        <f t="shared" si="17"/>
        <v>0</v>
      </c>
      <c r="AM9" s="281">
        <f t="shared" si="17"/>
        <v>0</v>
      </c>
      <c r="AN9" s="281">
        <f t="shared" si="17"/>
        <v>0</v>
      </c>
      <c r="AO9" s="281">
        <f t="shared" si="17"/>
        <v>0</v>
      </c>
      <c r="AP9" s="281">
        <f t="shared" si="17"/>
        <v>0</v>
      </c>
      <c r="AQ9" s="284">
        <f t="shared" si="17"/>
        <v>0</v>
      </c>
      <c r="AR9" s="285">
        <f t="shared" si="17"/>
        <v>0</v>
      </c>
      <c r="AS9" s="285">
        <f t="shared" si="17"/>
        <v>0</v>
      </c>
      <c r="AT9" s="285">
        <f t="shared" si="17"/>
        <v>0</v>
      </c>
      <c r="AU9" s="285">
        <f t="shared" si="17"/>
        <v>0</v>
      </c>
      <c r="AV9" s="281"/>
      <c r="AW9" s="286">
        <f t="shared" si="17"/>
        <v>0</v>
      </c>
    </row>
    <row r="10" spans="1:49" x14ac:dyDescent="0.25">
      <c r="A10" s="353"/>
      <c r="B10" s="353"/>
      <c r="E10" s="222"/>
      <c r="T10" s="1"/>
      <c r="U10" s="1"/>
      <c r="V10" s="41"/>
      <c r="W10" s="1"/>
      <c r="X10" s="1"/>
      <c r="Y10" s="1"/>
      <c r="Z10" s="1"/>
      <c r="AA10" s="14"/>
      <c r="AB10" s="15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7"/>
      <c r="AR10" s="72"/>
      <c r="AS10" s="25"/>
      <c r="AT10" s="25"/>
      <c r="AV10" s="220"/>
    </row>
    <row r="11" spans="1:49" x14ac:dyDescent="0.25">
      <c r="A11" s="346"/>
      <c r="B11" s="11"/>
      <c r="C11" s="11"/>
      <c r="D11" s="100" t="s">
        <v>12</v>
      </c>
      <c r="E11" s="117">
        <v>1</v>
      </c>
      <c r="F11" s="102"/>
      <c r="G11" s="102"/>
      <c r="H11" s="102"/>
      <c r="I11" s="102"/>
      <c r="J11" s="102"/>
      <c r="K11" s="102"/>
      <c r="L11" s="102"/>
      <c r="M11" s="102">
        <v>0</v>
      </c>
      <c r="N11" s="102"/>
      <c r="O11" s="102">
        <v>0</v>
      </c>
      <c r="P11" s="102">
        <v>28.75</v>
      </c>
      <c r="Q11" s="102">
        <v>503.5</v>
      </c>
      <c r="R11" s="102"/>
      <c r="S11" s="102"/>
      <c r="T11" s="160"/>
      <c r="U11" s="103"/>
      <c r="V11" s="104">
        <f t="shared" si="0"/>
        <v>0</v>
      </c>
      <c r="W11" s="103">
        <f t="shared" ref="W11:W69" si="18">O11*1.879</f>
        <v>0</v>
      </c>
      <c r="X11" s="103">
        <f t="shared" si="1"/>
        <v>0</v>
      </c>
      <c r="Y11" s="103">
        <f>IF(AV11&lt;0,0,(X11-134.62)*0.057)</f>
        <v>0</v>
      </c>
      <c r="Z11" s="103"/>
      <c r="AA11" s="105">
        <f>V11*1.2%</f>
        <v>0</v>
      </c>
      <c r="AB11" s="105"/>
      <c r="AC11" s="103">
        <f>V11*0.494%</f>
        <v>0</v>
      </c>
      <c r="AD11" s="103"/>
      <c r="AE11" s="103"/>
      <c r="AF11" s="103"/>
      <c r="AG11" s="103">
        <f t="shared" si="5"/>
        <v>0</v>
      </c>
      <c r="AH11" s="276">
        <f>IF(VLOOKUP(AG11,'Table 26'!$A$2:$C$438,2,TRUE)&gt;=VLOOKUP(AG11,'Table 26'!$C$2:$D$438,2,TRUE),MAX(VLOOKUP(AG11,'Table 26'!$A$2:$B$438,2,TRUE),VLOOKUP(AG11,'Table 26'!$C$2:$D$438,2,TRUE)),0)</f>
        <v>0</v>
      </c>
      <c r="AI11" s="103">
        <f>X11-AF11</f>
        <v>0</v>
      </c>
      <c r="AJ11" s="277">
        <f>IF(VLOOKUP(AI11,'Table 26'!$E$2:$F$306,2,TRUE)&gt;=VLOOKUP(AI11,'Table 26'!$G$2:$H$306,2,TRUE),MAX(VLOOKUP(AI11,'Table 26'!$E$2:$F$306,2,TRUE),VLOOKUP(AI11,'Table 26'!$G$2:$H$306,2,TRUE)),0)</f>
        <v>0</v>
      </c>
      <c r="AK11" s="102"/>
      <c r="AL11" s="103">
        <f t="shared" si="16"/>
        <v>0</v>
      </c>
      <c r="AM11" s="103">
        <f t="shared" si="7"/>
        <v>0</v>
      </c>
      <c r="AN11" s="103">
        <f t="shared" si="8"/>
        <v>0</v>
      </c>
      <c r="AO11" s="103"/>
      <c r="AP11" s="103">
        <f>AM11+AN11+AO11</f>
        <v>0</v>
      </c>
      <c r="AQ11" s="252">
        <f t="shared" ref="AQ11:AQ14" si="19">V11*0.692%</f>
        <v>0</v>
      </c>
      <c r="AR11" s="180">
        <f>O11*5.335</f>
        <v>0</v>
      </c>
      <c r="AS11" s="128">
        <f>2*O11</f>
        <v>0</v>
      </c>
      <c r="AT11" s="128">
        <f>0.04*O11</f>
        <v>0</v>
      </c>
      <c r="AU11" s="128"/>
      <c r="AV11" s="256">
        <f t="shared" ref="AV11:AV14" si="20">(X11-134.62)*0.057</f>
        <v>-7.6733400000000005</v>
      </c>
      <c r="AW11" s="255">
        <f t="shared" ref="AW11:AW14" si="21">T11*0.04</f>
        <v>0</v>
      </c>
    </row>
    <row r="12" spans="1:49" x14ac:dyDescent="0.25">
      <c r="A12" s="55"/>
      <c r="C12">
        <v>3</v>
      </c>
      <c r="D12" s="107" t="s">
        <v>12</v>
      </c>
      <c r="E12" s="271">
        <v>8</v>
      </c>
      <c r="F12" s="30"/>
      <c r="G12" s="30"/>
      <c r="H12" s="30"/>
      <c r="I12" s="30"/>
      <c r="J12" s="30"/>
      <c r="K12" s="30"/>
      <c r="L12" s="30"/>
      <c r="M12" s="30">
        <v>0</v>
      </c>
      <c r="N12" s="30"/>
      <c r="O12" s="30"/>
      <c r="P12" s="30">
        <v>15</v>
      </c>
      <c r="Q12" s="30">
        <v>270</v>
      </c>
      <c r="R12" s="30">
        <f>P11+P12</f>
        <v>43.75</v>
      </c>
      <c r="S12" s="30">
        <f>Q11+Q12</f>
        <v>773.5</v>
      </c>
      <c r="T12" s="160">
        <f>Q11+Q12</f>
        <v>773.5</v>
      </c>
      <c r="U12" s="109"/>
      <c r="V12" s="110">
        <f t="shared" si="0"/>
        <v>773.5</v>
      </c>
      <c r="W12" s="109">
        <f>O12*1.93</f>
        <v>0</v>
      </c>
      <c r="X12" s="109">
        <f t="shared" si="1"/>
        <v>773.5</v>
      </c>
      <c r="Y12" s="109">
        <f t="shared" ref="Y12:Y14" si="22">IF(AV12&lt;0,0,(X12-134.62)*0.057)</f>
        <v>36.416159999999998</v>
      </c>
      <c r="Z12" s="109"/>
      <c r="AA12" s="111">
        <f t="shared" ref="AA12:AA14" si="23">V12*1.2%</f>
        <v>9.282</v>
      </c>
      <c r="AB12" s="120"/>
      <c r="AC12" s="109">
        <f t="shared" ref="AC12:AC14" si="24">V12*0.494%</f>
        <v>3.8210899999999999</v>
      </c>
      <c r="AD12" s="109"/>
      <c r="AE12" s="109"/>
      <c r="AF12" s="109"/>
      <c r="AG12" s="109">
        <f t="shared" si="5"/>
        <v>773.5</v>
      </c>
      <c r="AH12" s="156">
        <f>IF(VLOOKUP(AG12,'Table 26'!$A$2:$C$438,2,TRUE)&gt;=VLOOKUP(AG12,'Table 26'!$C$2:$D$438,2,TRUE),MAX(VLOOKUP(AG12,'Table 26'!$A$2:$B$438,2,TRUE),VLOOKUP(AG12,'Table 26'!$C$2:$D$438,2,TRUE)),0)</f>
        <v>25.6</v>
      </c>
      <c r="AI12" s="109">
        <f t="shared" ref="AI12:AI15" si="25">X12-AF12</f>
        <v>773.5</v>
      </c>
      <c r="AJ12" s="158">
        <f>IF(VLOOKUP(AI12,'Table 26'!$E$2:$F$306,2,TRUE)&gt;=VLOOKUP(AI12,'Table 26'!$G$2:$H$306,2,TRUE),MAX(VLOOKUP(AI12,'Table 26'!$E$2:$F$306,2,TRUE),VLOOKUP(AI12,'Table 26'!$G$2:$H$306,2,TRUE)),0)</f>
        <v>19.78</v>
      </c>
      <c r="AK12" s="109"/>
      <c r="AL12" s="109">
        <f>SUM(AH12+AJ12+AK12+Y12+AA12+AC12+AD12+AE12+AF12)</f>
        <v>94.899249999999995</v>
      </c>
      <c r="AM12" s="109">
        <f>V12-AL12</f>
        <v>678.60075000000006</v>
      </c>
      <c r="AN12" s="109">
        <f t="shared" si="8"/>
        <v>0</v>
      </c>
      <c r="AO12" s="109">
        <v>54</v>
      </c>
      <c r="AP12" s="273">
        <f t="shared" ref="AP12:AP15" si="26">AM12+AN12+AO12</f>
        <v>732.60075000000006</v>
      </c>
      <c r="AQ12" s="253">
        <f t="shared" si="19"/>
        <v>5.352619999999999</v>
      </c>
      <c r="AR12" s="72">
        <f t="shared" ref="AR12:AR14" si="27">O12*5.335</f>
        <v>0</v>
      </c>
      <c r="AS12" s="25">
        <f t="shared" ref="AS12:AS14" si="28">2*O12</f>
        <v>0</v>
      </c>
      <c r="AT12" s="25">
        <f t="shared" ref="AT12:AT14" si="29">0.04*O12</f>
        <v>0</v>
      </c>
      <c r="AV12" s="220">
        <f t="shared" si="20"/>
        <v>36.416159999999998</v>
      </c>
      <c r="AW12" s="238">
        <f t="shared" si="21"/>
        <v>30.94</v>
      </c>
    </row>
    <row r="13" spans="1:49" x14ac:dyDescent="0.25">
      <c r="A13" s="251"/>
      <c r="D13" s="107" t="s">
        <v>12</v>
      </c>
      <c r="E13" s="119">
        <v>15</v>
      </c>
      <c r="F13" s="30"/>
      <c r="G13" s="30"/>
      <c r="H13" s="30"/>
      <c r="I13" s="30"/>
      <c r="J13" s="30"/>
      <c r="K13" s="30"/>
      <c r="L13" s="30"/>
      <c r="M13" s="30">
        <v>0</v>
      </c>
      <c r="N13" s="30"/>
      <c r="O13" s="30"/>
      <c r="P13" s="30"/>
      <c r="Q13" s="30"/>
      <c r="R13" s="30"/>
      <c r="S13" s="30"/>
      <c r="T13" s="160"/>
      <c r="U13" s="109"/>
      <c r="V13" s="110">
        <f t="shared" si="0"/>
        <v>0</v>
      </c>
      <c r="W13" s="109">
        <f>O13*1.93</f>
        <v>0</v>
      </c>
      <c r="X13" s="109">
        <f t="shared" si="1"/>
        <v>0</v>
      </c>
      <c r="Y13" s="109">
        <f t="shared" si="22"/>
        <v>0</v>
      </c>
      <c r="Z13" s="109"/>
      <c r="AA13" s="111">
        <f t="shared" si="23"/>
        <v>0</v>
      </c>
      <c r="AB13" s="120"/>
      <c r="AC13" s="109">
        <f t="shared" si="24"/>
        <v>0</v>
      </c>
      <c r="AD13" s="109"/>
      <c r="AE13" s="109"/>
      <c r="AF13" s="109"/>
      <c r="AG13" s="109">
        <f t="shared" si="5"/>
        <v>0</v>
      </c>
      <c r="AH13" s="156">
        <f>IF(VLOOKUP(AG13,'Table 26'!$A$2:$C$438,2,TRUE)&gt;=VLOOKUP(AG13,'Table 26'!$C$2:$D$438,2,TRUE),MAX(VLOOKUP(AG13,'Table 26'!$A$2:$B$438,2,TRUE),VLOOKUP(AG13,'Table 26'!$C$2:$D$438,2,TRUE)),0)</f>
        <v>0</v>
      </c>
      <c r="AI13" s="109">
        <f t="shared" si="25"/>
        <v>0</v>
      </c>
      <c r="AJ13" s="158">
        <f>IF(VLOOKUP(AI13,'Table 26'!$E$2:$F$306,2,TRUE)&gt;=VLOOKUP(AI13,'Table 26'!$G$2:$H$306,2,TRUE),MAX(VLOOKUP(AI13,'Table 26'!$E$2:$F$306,2,TRUE),VLOOKUP(AI13,'Table 26'!$G$2:$H$306,2,TRUE)),0)</f>
        <v>0</v>
      </c>
      <c r="AK13" s="109"/>
      <c r="AL13" s="109">
        <f t="shared" si="16"/>
        <v>0</v>
      </c>
      <c r="AM13" s="109">
        <f t="shared" si="7"/>
        <v>0</v>
      </c>
      <c r="AN13" s="109">
        <f t="shared" si="8"/>
        <v>0</v>
      </c>
      <c r="AO13" s="109"/>
      <c r="AP13" s="109">
        <f t="shared" si="26"/>
        <v>0</v>
      </c>
      <c r="AQ13" s="253">
        <f t="shared" si="19"/>
        <v>0</v>
      </c>
      <c r="AR13" s="72">
        <f t="shared" si="27"/>
        <v>0</v>
      </c>
      <c r="AS13" s="25">
        <f t="shared" si="28"/>
        <v>0</v>
      </c>
      <c r="AT13" s="25">
        <f t="shared" si="29"/>
        <v>0</v>
      </c>
      <c r="AV13" s="220">
        <f t="shared" si="20"/>
        <v>-7.6733400000000005</v>
      </c>
      <c r="AW13" s="238">
        <f t="shared" si="21"/>
        <v>0</v>
      </c>
    </row>
    <row r="14" spans="1:49" x14ac:dyDescent="0.25">
      <c r="A14" s="11"/>
      <c r="B14" s="11"/>
      <c r="C14">
        <v>4</v>
      </c>
      <c r="D14" s="107" t="s">
        <v>12</v>
      </c>
      <c r="E14" s="271">
        <v>22</v>
      </c>
      <c r="F14" s="30"/>
      <c r="G14" s="30"/>
      <c r="H14" s="30"/>
      <c r="I14" s="30"/>
      <c r="J14" s="30"/>
      <c r="K14" s="30"/>
      <c r="L14" s="30"/>
      <c r="M14" s="30">
        <v>0</v>
      </c>
      <c r="N14" s="30"/>
      <c r="O14" s="30">
        <v>0</v>
      </c>
      <c r="P14" s="123"/>
      <c r="Q14" s="30"/>
      <c r="R14" s="30">
        <f>P13+P14</f>
        <v>0</v>
      </c>
      <c r="S14" s="30">
        <f>Q13+Q14</f>
        <v>0</v>
      </c>
      <c r="T14" s="160"/>
      <c r="U14" s="216"/>
      <c r="V14" s="110">
        <f t="shared" si="0"/>
        <v>0</v>
      </c>
      <c r="W14" s="109">
        <f t="shared" si="18"/>
        <v>0</v>
      </c>
      <c r="X14" s="109">
        <f t="shared" si="1"/>
        <v>0</v>
      </c>
      <c r="Y14" s="109">
        <f t="shared" si="22"/>
        <v>0</v>
      </c>
      <c r="Z14" s="109"/>
      <c r="AA14" s="111">
        <f t="shared" si="23"/>
        <v>0</v>
      </c>
      <c r="AB14" s="120"/>
      <c r="AC14" s="109">
        <f t="shared" si="24"/>
        <v>0</v>
      </c>
      <c r="AD14" s="109"/>
      <c r="AE14" s="109"/>
      <c r="AF14" s="109"/>
      <c r="AG14" s="109">
        <f t="shared" si="5"/>
        <v>0</v>
      </c>
      <c r="AH14" s="156">
        <f>IF(VLOOKUP(AG14,'Table 26'!$A$2:$C$438,2,TRUE)&gt;=VLOOKUP(AG14,'Table 26'!$C$2:$D$438,2,TRUE),MAX(VLOOKUP(AG14,'Table 26'!$A$2:$B$438,2,TRUE),VLOOKUP(AG14,'Table 26'!$C$2:$D$438,2,TRUE)),0)</f>
        <v>0</v>
      </c>
      <c r="AI14" s="109"/>
      <c r="AJ14" s="158">
        <f>IF(VLOOKUP(AI14,'Table 26'!$E$2:$F$306,2,TRUE)&gt;=VLOOKUP(AI14,'Table 26'!$G$2:$H$306,2,TRUE),MAX(VLOOKUP(AI14,'Table 26'!$E$2:$F$306,2,TRUE),VLOOKUP(AI14,'Table 26'!$G$2:$H$306,2,TRUE)),0)</f>
        <v>0</v>
      </c>
      <c r="AK14" s="109"/>
      <c r="AL14" s="109">
        <f t="shared" si="16"/>
        <v>0</v>
      </c>
      <c r="AM14" s="109">
        <f t="shared" si="7"/>
        <v>0</v>
      </c>
      <c r="AN14" s="109">
        <f t="shared" si="8"/>
        <v>0</v>
      </c>
      <c r="AO14" s="109"/>
      <c r="AP14" s="273">
        <f t="shared" si="26"/>
        <v>0</v>
      </c>
      <c r="AQ14" s="253">
        <f t="shared" si="19"/>
        <v>0</v>
      </c>
      <c r="AR14" s="72">
        <f t="shared" si="27"/>
        <v>0</v>
      </c>
      <c r="AS14" s="25">
        <f t="shared" si="28"/>
        <v>0</v>
      </c>
      <c r="AT14" s="25">
        <f t="shared" si="29"/>
        <v>0</v>
      </c>
      <c r="AV14" s="220">
        <f t="shared" si="20"/>
        <v>-7.6733400000000005</v>
      </c>
      <c r="AW14" s="238">
        <f t="shared" si="21"/>
        <v>0</v>
      </c>
    </row>
    <row r="15" spans="1:49" x14ac:dyDescent="0.25">
      <c r="A15" s="263"/>
      <c r="B15" s="263"/>
      <c r="D15" s="107" t="s">
        <v>12</v>
      </c>
      <c r="E15" s="119">
        <v>29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123"/>
      <c r="Q15" s="30"/>
      <c r="R15" s="30"/>
      <c r="S15" s="30"/>
      <c r="T15" s="160"/>
      <c r="U15" s="216"/>
      <c r="V15" s="217"/>
      <c r="W15" s="121"/>
      <c r="X15" s="121"/>
      <c r="Y15" s="121"/>
      <c r="Z15" s="121"/>
      <c r="AA15" s="131"/>
      <c r="AB15" s="218"/>
      <c r="AC15" s="121"/>
      <c r="AD15" s="121"/>
      <c r="AE15" s="121"/>
      <c r="AF15" s="121"/>
      <c r="AG15" s="121"/>
      <c r="AH15" s="157"/>
      <c r="AI15" s="121">
        <f t="shared" si="25"/>
        <v>0</v>
      </c>
      <c r="AJ15" s="159"/>
      <c r="AK15" s="121"/>
      <c r="AL15" s="121"/>
      <c r="AM15" s="121"/>
      <c r="AN15" s="121"/>
      <c r="AO15" s="121"/>
      <c r="AP15" s="121">
        <f t="shared" si="26"/>
        <v>0</v>
      </c>
      <c r="AQ15" s="254"/>
      <c r="AR15" s="72"/>
      <c r="AS15" s="25"/>
      <c r="AT15" s="25"/>
      <c r="AV15" s="220"/>
      <c r="AW15" s="238"/>
    </row>
    <row r="16" spans="1:49" ht="13.8" thickBot="1" x14ac:dyDescent="0.3">
      <c r="A16" s="4"/>
      <c r="B16" s="4"/>
      <c r="C16" s="4"/>
      <c r="D16" s="278" t="s">
        <v>32</v>
      </c>
      <c r="E16" s="279"/>
      <c r="F16" s="280"/>
      <c r="G16" s="280"/>
      <c r="H16" s="280"/>
      <c r="I16" s="280"/>
      <c r="J16" s="280"/>
      <c r="K16" s="280"/>
      <c r="L16" s="280"/>
      <c r="M16" s="280">
        <v>0</v>
      </c>
      <c r="N16" s="280">
        <v>0</v>
      </c>
      <c r="O16" s="280">
        <f>SUM(O11:O14)</f>
        <v>0</v>
      </c>
      <c r="P16" s="280"/>
      <c r="Q16" s="280"/>
      <c r="R16" s="280"/>
      <c r="S16" s="280"/>
      <c r="T16" s="281">
        <f>SUM(T11:T15)</f>
        <v>773.5</v>
      </c>
      <c r="U16" s="281">
        <f t="shared" ref="U16:AW16" si="30">SUM(U11:U15)</f>
        <v>0</v>
      </c>
      <c r="V16" s="281">
        <f t="shared" si="30"/>
        <v>773.5</v>
      </c>
      <c r="W16" s="281">
        <f t="shared" si="30"/>
        <v>0</v>
      </c>
      <c r="X16" s="281">
        <f t="shared" si="30"/>
        <v>773.5</v>
      </c>
      <c r="Y16" s="281">
        <f t="shared" si="30"/>
        <v>36.416159999999998</v>
      </c>
      <c r="Z16" s="281">
        <f t="shared" si="30"/>
        <v>0</v>
      </c>
      <c r="AA16" s="281">
        <f t="shared" si="30"/>
        <v>9.282</v>
      </c>
      <c r="AB16" s="281">
        <f t="shared" si="30"/>
        <v>0</v>
      </c>
      <c r="AC16" s="281">
        <f t="shared" si="30"/>
        <v>3.8210899999999999</v>
      </c>
      <c r="AD16" s="281">
        <f t="shared" si="30"/>
        <v>0</v>
      </c>
      <c r="AE16" s="281">
        <f t="shared" si="30"/>
        <v>0</v>
      </c>
      <c r="AF16" s="281">
        <f t="shared" si="30"/>
        <v>0</v>
      </c>
      <c r="AG16" s="281">
        <f t="shared" si="30"/>
        <v>773.5</v>
      </c>
      <c r="AH16" s="282">
        <f t="shared" si="30"/>
        <v>25.6</v>
      </c>
      <c r="AI16" s="281">
        <f t="shared" si="30"/>
        <v>773.5</v>
      </c>
      <c r="AJ16" s="283">
        <f t="shared" si="30"/>
        <v>19.78</v>
      </c>
      <c r="AK16" s="281">
        <f t="shared" si="30"/>
        <v>0</v>
      </c>
      <c r="AL16" s="281">
        <f t="shared" si="30"/>
        <v>94.899249999999995</v>
      </c>
      <c r="AM16" s="281">
        <f t="shared" si="30"/>
        <v>678.60075000000006</v>
      </c>
      <c r="AN16" s="281">
        <f t="shared" si="30"/>
        <v>0</v>
      </c>
      <c r="AO16" s="281">
        <f t="shared" si="30"/>
        <v>54</v>
      </c>
      <c r="AP16" s="281">
        <f t="shared" si="30"/>
        <v>732.60075000000006</v>
      </c>
      <c r="AQ16" s="284">
        <f t="shared" si="30"/>
        <v>5.352619999999999</v>
      </c>
      <c r="AR16" s="285">
        <f t="shared" si="30"/>
        <v>0</v>
      </c>
      <c r="AS16" s="285">
        <f t="shared" si="30"/>
        <v>0</v>
      </c>
      <c r="AT16" s="285">
        <f t="shared" si="30"/>
        <v>0</v>
      </c>
      <c r="AU16" s="285">
        <f t="shared" si="30"/>
        <v>0</v>
      </c>
      <c r="AV16" s="281">
        <f t="shared" si="30"/>
        <v>13.396139999999999</v>
      </c>
      <c r="AW16" s="286">
        <f t="shared" si="30"/>
        <v>30.94</v>
      </c>
    </row>
    <row r="17" spans="1:49" x14ac:dyDescent="0.25">
      <c r="A17" s="3"/>
      <c r="B17" s="3"/>
      <c r="E17" s="222"/>
      <c r="T17" s="1"/>
      <c r="U17" s="1"/>
      <c r="V17" s="41"/>
      <c r="W17" s="1"/>
      <c r="X17" s="1"/>
      <c r="Y17" s="1"/>
      <c r="Z17" s="1"/>
      <c r="AA17" s="14"/>
      <c r="AB17" s="15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7"/>
      <c r="AR17" s="72"/>
      <c r="AS17" s="25"/>
      <c r="AT17" s="25"/>
      <c r="AV17" s="220"/>
    </row>
    <row r="18" spans="1:49" x14ac:dyDescent="0.25">
      <c r="C18">
        <v>5</v>
      </c>
      <c r="D18" s="100" t="s">
        <v>13</v>
      </c>
      <c r="E18" s="272">
        <v>7</v>
      </c>
      <c r="F18" s="102"/>
      <c r="G18" s="102"/>
      <c r="H18" s="102"/>
      <c r="I18" s="102"/>
      <c r="J18" s="102"/>
      <c r="K18" s="102"/>
      <c r="L18" s="102"/>
      <c r="M18" s="102">
        <v>0</v>
      </c>
      <c r="N18" s="102"/>
      <c r="O18" s="102">
        <v>0</v>
      </c>
      <c r="P18" s="102"/>
      <c r="Q18" s="102"/>
      <c r="R18" s="327">
        <f>P15+P18</f>
        <v>0</v>
      </c>
      <c r="S18" s="102">
        <f>Q18+Q15</f>
        <v>0</v>
      </c>
      <c r="T18" s="160"/>
      <c r="U18" s="103"/>
      <c r="V18" s="104">
        <f t="shared" si="0"/>
        <v>0</v>
      </c>
      <c r="W18" s="103">
        <f t="shared" si="18"/>
        <v>0</v>
      </c>
      <c r="X18" s="103">
        <f t="shared" si="1"/>
        <v>0</v>
      </c>
      <c r="Y18" s="103">
        <f>IF(AV18&lt;0,0,(X18-134.62)*0.057)</f>
        <v>0</v>
      </c>
      <c r="Z18" s="103"/>
      <c r="AA18" s="105">
        <f>V18*1.2%</f>
        <v>0</v>
      </c>
      <c r="AB18" s="105"/>
      <c r="AC18" s="103">
        <f>V18*0.494%</f>
        <v>0</v>
      </c>
      <c r="AD18" s="103"/>
      <c r="AE18" s="103"/>
      <c r="AF18" s="103"/>
      <c r="AG18" s="103">
        <f t="shared" si="5"/>
        <v>0</v>
      </c>
      <c r="AH18" s="276">
        <f>IF(VLOOKUP(AG18,'Table 26'!$A$2:$C$438,2,TRUE)&gt;=VLOOKUP(AG18,'Table 26'!$C$2:$D$438,2,TRUE),MAX(VLOOKUP(AG18,'Table 26'!$A$2:$B$438,2,TRUE),VLOOKUP(AG18,'Table 26'!$C$2:$D$438,2,TRUE)),0)</f>
        <v>0</v>
      </c>
      <c r="AI18" s="103">
        <f>X18-AF18</f>
        <v>0</v>
      </c>
      <c r="AJ18" s="277">
        <f>IF(VLOOKUP(AI18,'Table 26'!$E$2:$F$306,2,TRUE)&gt;=VLOOKUP(AI18,'Table 26'!$G$2:$H$306,2,TRUE),MAX(VLOOKUP(AI18,'Table 26'!$E$2:$F$306,2,TRUE),VLOOKUP(AI18,'Table 26'!$G$2:$H$306,2,TRUE)),0)</f>
        <v>0</v>
      </c>
      <c r="AK18" s="102"/>
      <c r="AL18" s="103">
        <f t="shared" si="16"/>
        <v>0</v>
      </c>
      <c r="AM18" s="103">
        <f t="shared" si="7"/>
        <v>0</v>
      </c>
      <c r="AN18" s="103">
        <f t="shared" si="8"/>
        <v>0</v>
      </c>
      <c r="AO18" s="103"/>
      <c r="AP18" s="274">
        <f>AM18+AN18+AO18</f>
        <v>0</v>
      </c>
      <c r="AQ18" s="252">
        <f>V18*0.692%</f>
        <v>0</v>
      </c>
      <c r="AR18" s="101"/>
      <c r="AS18" s="102"/>
      <c r="AT18" s="102"/>
      <c r="AU18" s="102"/>
      <c r="AV18" s="256">
        <f>(X18-134.62)*0.057</f>
        <v>-7.6733400000000005</v>
      </c>
      <c r="AW18" s="255">
        <f>T18*0.04</f>
        <v>0</v>
      </c>
    </row>
    <row r="19" spans="1:49" x14ac:dyDescent="0.25">
      <c r="D19" s="107" t="s">
        <v>13</v>
      </c>
      <c r="E19" s="221">
        <v>14</v>
      </c>
      <c r="F19" s="30"/>
      <c r="G19" s="30"/>
      <c r="H19" s="30"/>
      <c r="I19" s="30"/>
      <c r="J19" s="30"/>
      <c r="K19" s="30"/>
      <c r="L19" s="30"/>
      <c r="M19" s="30">
        <v>0</v>
      </c>
      <c r="N19" s="30"/>
      <c r="O19" s="30">
        <v>0</v>
      </c>
      <c r="P19" s="123"/>
      <c r="Q19" s="30"/>
      <c r="R19" s="30"/>
      <c r="S19" s="30"/>
      <c r="T19" s="160"/>
      <c r="U19" s="109"/>
      <c r="V19" s="110">
        <f t="shared" si="0"/>
        <v>0</v>
      </c>
      <c r="W19" s="109">
        <f t="shared" si="18"/>
        <v>0</v>
      </c>
      <c r="X19" s="109">
        <f t="shared" si="1"/>
        <v>0</v>
      </c>
      <c r="Y19" s="109">
        <f t="shared" ref="Y19:Y22" si="31">IF(AV19&lt;0,0,(X19-134.62)*0.057)</f>
        <v>0</v>
      </c>
      <c r="Z19" s="109"/>
      <c r="AA19" s="111">
        <f t="shared" ref="AA19:AA22" si="32">V19*1.2%</f>
        <v>0</v>
      </c>
      <c r="AB19" s="111"/>
      <c r="AC19" s="109">
        <f t="shared" ref="AC19:AC22" si="33">V19*0.494%</f>
        <v>0</v>
      </c>
      <c r="AD19" s="109"/>
      <c r="AE19" s="109"/>
      <c r="AF19" s="109"/>
      <c r="AG19" s="109">
        <f>V19-AD19-AE19-AF19</f>
        <v>0</v>
      </c>
      <c r="AH19" s="156">
        <f>IF(VLOOKUP(AG19,'Table 26'!$A$2:$C$438,2,TRUE)&gt;=VLOOKUP(AG19,'Table 26'!$C$2:$D$438,2,TRUE),MAX(VLOOKUP(AG19,'Table 26'!$A$2:$B$438,2,TRUE),VLOOKUP(AG19,'Table 26'!$C$2:$D$438,2,TRUE)),0)</f>
        <v>0</v>
      </c>
      <c r="AI19" s="109">
        <f t="shared" ref="AI19:AI22" si="34">X19-AF19</f>
        <v>0</v>
      </c>
      <c r="AJ19" s="158">
        <f>IF(VLOOKUP(AI19,'Table 26'!$E$2:$F$306,2,TRUE)&gt;=VLOOKUP(AI19,'Table 26'!$G$2:$H$306,2,TRUE),MAX(VLOOKUP(AI19,'Table 26'!$E$2:$F$306,2,TRUE),VLOOKUP(AI19,'Table 26'!$G$2:$H$306,2,TRUE)),0)</f>
        <v>0</v>
      </c>
      <c r="AK19" s="109"/>
      <c r="AL19" s="109">
        <f>SUM(AH19+AJ19+AK19+Y19+AA19+AC19+AD19+AE19+AF19)</f>
        <v>0</v>
      </c>
      <c r="AM19" s="109">
        <f t="shared" si="7"/>
        <v>0</v>
      </c>
      <c r="AN19" s="109">
        <f t="shared" si="8"/>
        <v>0</v>
      </c>
      <c r="AO19" s="109"/>
      <c r="AP19" s="109">
        <f t="shared" ref="AP19:AP22" si="35">AM19+AN19+AO19</f>
        <v>0</v>
      </c>
      <c r="AQ19" s="253">
        <f t="shared" ref="AQ19:AQ22" si="36">V19*0.692%</f>
        <v>0</v>
      </c>
      <c r="AR19" s="72">
        <f>O19*5.335</f>
        <v>0</v>
      </c>
      <c r="AS19" s="25">
        <f>2*O19</f>
        <v>0</v>
      </c>
      <c r="AT19" s="25">
        <f>0.04*O19</f>
        <v>0</v>
      </c>
      <c r="AU19" s="25"/>
      <c r="AV19" s="220">
        <f t="shared" ref="AV19:AV22" si="37">(X19-134.62)*0.057</f>
        <v>-7.6733400000000005</v>
      </c>
      <c r="AW19" s="238">
        <f t="shared" ref="AW19:AW22" si="38">T19*0.04</f>
        <v>0</v>
      </c>
    </row>
    <row r="20" spans="1:49" x14ac:dyDescent="0.25">
      <c r="A20" s="54"/>
      <c r="B20" s="11"/>
      <c r="C20" s="11">
        <v>6</v>
      </c>
      <c r="D20" s="107" t="s">
        <v>13</v>
      </c>
      <c r="E20" s="271">
        <v>21</v>
      </c>
      <c r="F20" s="30"/>
      <c r="G20" s="30"/>
      <c r="H20" s="30"/>
      <c r="I20" s="30"/>
      <c r="J20" s="30"/>
      <c r="K20" s="30"/>
      <c r="L20" s="30"/>
      <c r="M20" s="30">
        <v>0</v>
      </c>
      <c r="N20" s="30"/>
      <c r="O20" s="30">
        <v>0</v>
      </c>
      <c r="P20" s="123"/>
      <c r="Q20" s="30"/>
      <c r="R20" s="30">
        <f>P19+P20</f>
        <v>0</v>
      </c>
      <c r="S20" s="30">
        <f>Q19+Q20</f>
        <v>0</v>
      </c>
      <c r="T20" s="160"/>
      <c r="U20" s="109"/>
      <c r="V20" s="110">
        <f t="shared" si="0"/>
        <v>0</v>
      </c>
      <c r="W20" s="109">
        <f t="shared" si="18"/>
        <v>0</v>
      </c>
      <c r="X20" s="109">
        <f t="shared" si="1"/>
        <v>0</v>
      </c>
      <c r="Y20" s="109">
        <f t="shared" si="31"/>
        <v>0</v>
      </c>
      <c r="Z20" s="109"/>
      <c r="AA20" s="111">
        <f t="shared" si="32"/>
        <v>0</v>
      </c>
      <c r="AB20" s="111"/>
      <c r="AC20" s="109">
        <f t="shared" si="33"/>
        <v>0</v>
      </c>
      <c r="AD20" s="109"/>
      <c r="AE20" s="109"/>
      <c r="AF20" s="109"/>
      <c r="AG20" s="109">
        <f t="shared" si="5"/>
        <v>0</v>
      </c>
      <c r="AH20" s="156">
        <f>IF(VLOOKUP(AG20,'Table 26'!$A$2:$C$438,2,TRUE)&gt;=VLOOKUP(AG20,'Table 26'!$C$2:$D$438,2,TRUE),MAX(VLOOKUP(AG20,'Table 26'!$A$2:$B$438,2,TRUE),VLOOKUP(AG20,'Table 26'!$C$2:$D$438,2,TRUE)),0)</f>
        <v>0</v>
      </c>
      <c r="AI20" s="109">
        <f t="shared" si="34"/>
        <v>0</v>
      </c>
      <c r="AJ20" s="158">
        <f>IF(VLOOKUP(AI20,'Table 26'!$E$2:$F$306,2,TRUE)&gt;=VLOOKUP(AI20,'Table 26'!$G$2:$H$306,2,TRUE),MAX(VLOOKUP(AI20,'Table 26'!$E$2:$F$306,2,TRUE),VLOOKUP(AI20,'Table 26'!$G$2:$H$306,2,TRUE)),0)</f>
        <v>0</v>
      </c>
      <c r="AK20" s="109"/>
      <c r="AL20" s="109">
        <f t="shared" si="16"/>
        <v>0</v>
      </c>
      <c r="AM20" s="109">
        <f t="shared" si="7"/>
        <v>0</v>
      </c>
      <c r="AN20" s="109">
        <f t="shared" si="8"/>
        <v>0</v>
      </c>
      <c r="AO20" s="109"/>
      <c r="AP20" s="273">
        <f t="shared" si="35"/>
        <v>0</v>
      </c>
      <c r="AQ20" s="253">
        <f t="shared" si="36"/>
        <v>0</v>
      </c>
      <c r="AR20" s="72">
        <f t="shared" ref="AR20:AR22" si="39">O20*5.335</f>
        <v>0</v>
      </c>
      <c r="AS20" s="25">
        <f t="shared" ref="AS20:AS22" si="40">2*O20</f>
        <v>0</v>
      </c>
      <c r="AT20" s="25">
        <f t="shared" ref="AT20:AT22" si="41">0.04*O20</f>
        <v>0</v>
      </c>
      <c r="AV20" s="220">
        <f t="shared" si="37"/>
        <v>-7.6733400000000005</v>
      </c>
      <c r="AW20" s="238">
        <f t="shared" si="38"/>
        <v>0</v>
      </c>
    </row>
    <row r="21" spans="1:49" x14ac:dyDescent="0.25">
      <c r="D21" s="107" t="s">
        <v>13</v>
      </c>
      <c r="E21" s="221">
        <v>28</v>
      </c>
      <c r="F21" s="30"/>
      <c r="G21" s="30"/>
      <c r="H21" s="30"/>
      <c r="I21" s="30"/>
      <c r="J21" s="30"/>
      <c r="K21" s="30"/>
      <c r="L21" s="30"/>
      <c r="M21" s="30">
        <v>0</v>
      </c>
      <c r="N21" s="30"/>
      <c r="O21" s="30">
        <v>0</v>
      </c>
      <c r="P21" s="123"/>
      <c r="Q21" s="30"/>
      <c r="R21" s="30"/>
      <c r="S21" s="30"/>
      <c r="T21" s="160"/>
      <c r="U21" s="109"/>
      <c r="V21" s="110">
        <f t="shared" si="0"/>
        <v>0</v>
      </c>
      <c r="W21" s="109">
        <f t="shared" si="18"/>
        <v>0</v>
      </c>
      <c r="X21" s="109">
        <f t="shared" si="1"/>
        <v>0</v>
      </c>
      <c r="Y21" s="109">
        <f t="shared" si="31"/>
        <v>0</v>
      </c>
      <c r="Z21" s="109"/>
      <c r="AA21" s="111">
        <f t="shared" si="32"/>
        <v>0</v>
      </c>
      <c r="AB21" s="111"/>
      <c r="AC21" s="109">
        <f t="shared" si="33"/>
        <v>0</v>
      </c>
      <c r="AD21" s="109"/>
      <c r="AE21" s="109"/>
      <c r="AF21" s="109"/>
      <c r="AG21" s="109">
        <f t="shared" si="5"/>
        <v>0</v>
      </c>
      <c r="AH21" s="156">
        <f>IF(VLOOKUP(AG21,'Table 26'!$A$2:$C$438,2,TRUE)&gt;=VLOOKUP(AG21,'Table 26'!$C$2:$D$438,2,TRUE),MAX(VLOOKUP(AG21,'Table 26'!$A$2:$B$438,2,TRUE),VLOOKUP(AG21,'Table 26'!$C$2:$D$438,2,TRUE)),0)</f>
        <v>0</v>
      </c>
      <c r="AI21" s="109"/>
      <c r="AJ21" s="158">
        <f>IF(VLOOKUP(AI21,'Table 26'!$E$2:$F$306,2,TRUE)&gt;=VLOOKUP(AI21,'Table 26'!$G$2:$H$306,2,TRUE),MAX(VLOOKUP(AI21,'Table 26'!$E$2:$F$306,2,TRUE),VLOOKUP(AI21,'Table 26'!$G$2:$H$306,2,TRUE)),0)</f>
        <v>0</v>
      </c>
      <c r="AK21" s="109"/>
      <c r="AL21" s="109">
        <f t="shared" si="16"/>
        <v>0</v>
      </c>
      <c r="AM21" s="109">
        <f t="shared" si="7"/>
        <v>0</v>
      </c>
      <c r="AN21" s="109">
        <f t="shared" si="8"/>
        <v>0</v>
      </c>
      <c r="AO21" s="109"/>
      <c r="AP21" s="109">
        <f t="shared" si="35"/>
        <v>0</v>
      </c>
      <c r="AQ21" s="253">
        <f t="shared" si="36"/>
        <v>0</v>
      </c>
      <c r="AR21" s="72">
        <f t="shared" si="39"/>
        <v>0</v>
      </c>
      <c r="AS21" s="25">
        <f t="shared" si="40"/>
        <v>0</v>
      </c>
      <c r="AT21" s="25">
        <f t="shared" si="41"/>
        <v>0</v>
      </c>
      <c r="AV21" s="220">
        <f t="shared" si="37"/>
        <v>-7.6733400000000005</v>
      </c>
      <c r="AW21" s="238">
        <f t="shared" si="38"/>
        <v>0</v>
      </c>
    </row>
    <row r="22" spans="1:49" x14ac:dyDescent="0.25">
      <c r="A22" s="224"/>
      <c r="D22" s="107" t="s">
        <v>13</v>
      </c>
      <c r="E22" s="221"/>
      <c r="F22" s="30"/>
      <c r="G22" s="30"/>
      <c r="H22" s="30"/>
      <c r="I22" s="30"/>
      <c r="J22" s="30"/>
      <c r="K22" s="30"/>
      <c r="L22" s="30"/>
      <c r="M22" s="30">
        <v>0</v>
      </c>
      <c r="N22" s="30"/>
      <c r="O22" s="30">
        <v>0</v>
      </c>
      <c r="P22" s="30"/>
      <c r="Q22" s="30"/>
      <c r="R22" s="30"/>
      <c r="S22" s="30"/>
      <c r="T22" s="160"/>
      <c r="U22" s="216"/>
      <c r="V22" s="217">
        <f t="shared" si="0"/>
        <v>0</v>
      </c>
      <c r="W22" s="121">
        <f t="shared" si="18"/>
        <v>0</v>
      </c>
      <c r="X22" s="121">
        <f t="shared" si="1"/>
        <v>0</v>
      </c>
      <c r="Y22" s="121">
        <f t="shared" si="31"/>
        <v>0</v>
      </c>
      <c r="Z22" s="121"/>
      <c r="AA22" s="131">
        <f t="shared" si="32"/>
        <v>0</v>
      </c>
      <c r="AB22" s="131"/>
      <c r="AC22" s="121">
        <f t="shared" si="33"/>
        <v>0</v>
      </c>
      <c r="AD22" s="121"/>
      <c r="AE22" s="121"/>
      <c r="AF22" s="121"/>
      <c r="AG22" s="121">
        <f t="shared" si="5"/>
        <v>0</v>
      </c>
      <c r="AH22" s="157">
        <f>IF(VLOOKUP(AG22,'Table 26'!$A$2:$C$438,2,TRUE)&gt;=VLOOKUP(AG22,'Table 26'!$C$2:$D$438,2,TRUE),MAX(VLOOKUP(AG22,'Table 26'!$A$2:$B$438,2,TRUE),VLOOKUP(AG22,'Table 26'!$C$2:$D$438,2,TRUE)),0)</f>
        <v>0</v>
      </c>
      <c r="AI22" s="121">
        <f t="shared" si="34"/>
        <v>0</v>
      </c>
      <c r="AJ22" s="159">
        <f>IF(VLOOKUP(AI22,'Table 26'!$E$2:$F$306,2,TRUE)&gt;=VLOOKUP(AI22,'Table 26'!$G$2:$H$306,2,TRUE),MAX(VLOOKUP(AI22,'Table 26'!$E$2:$F$306,2,TRUE),VLOOKUP(AI22,'Table 26'!$G$2:$H$306,2,TRUE)),0)</f>
        <v>0</v>
      </c>
      <c r="AK22" s="121"/>
      <c r="AL22" s="121">
        <f t="shared" si="16"/>
        <v>0</v>
      </c>
      <c r="AM22" s="121">
        <f t="shared" si="7"/>
        <v>0</v>
      </c>
      <c r="AN22" s="121">
        <f t="shared" si="8"/>
        <v>0</v>
      </c>
      <c r="AO22" s="121"/>
      <c r="AP22" s="121">
        <f t="shared" si="35"/>
        <v>0</v>
      </c>
      <c r="AQ22" s="254">
        <f t="shared" si="36"/>
        <v>0</v>
      </c>
      <c r="AR22" s="72">
        <f t="shared" si="39"/>
        <v>0</v>
      </c>
      <c r="AS22" s="25">
        <f t="shared" si="40"/>
        <v>0</v>
      </c>
      <c r="AT22" s="25">
        <f t="shared" si="41"/>
        <v>0</v>
      </c>
      <c r="AV22" s="220">
        <f t="shared" si="37"/>
        <v>-7.6733400000000005</v>
      </c>
      <c r="AW22" s="238">
        <f t="shared" si="38"/>
        <v>0</v>
      </c>
    </row>
    <row r="23" spans="1:49" s="4" customFormat="1" ht="13.8" thickBot="1" x14ac:dyDescent="0.3">
      <c r="A23" s="54"/>
      <c r="B23" s="11"/>
      <c r="C23" s="11"/>
      <c r="D23" s="278" t="s">
        <v>32</v>
      </c>
      <c r="E23" s="287"/>
      <c r="F23" s="280"/>
      <c r="G23" s="280"/>
      <c r="H23" s="280"/>
      <c r="I23" s="280"/>
      <c r="J23" s="280"/>
      <c r="K23" s="280"/>
      <c r="L23" s="280"/>
      <c r="M23" s="280">
        <v>0</v>
      </c>
      <c r="N23" s="280">
        <v>0</v>
      </c>
      <c r="O23" s="280">
        <v>0</v>
      </c>
      <c r="P23" s="280"/>
      <c r="Q23" s="280"/>
      <c r="R23" s="280"/>
      <c r="S23" s="280"/>
      <c r="T23" s="281">
        <f>SUM(T18:T22)</f>
        <v>0</v>
      </c>
      <c r="U23" s="281">
        <f t="shared" ref="U23:AU23" si="42">SUM(U18:U22)</f>
        <v>0</v>
      </c>
      <c r="V23" s="281">
        <f t="shared" si="42"/>
        <v>0</v>
      </c>
      <c r="W23" s="281">
        <f t="shared" si="42"/>
        <v>0</v>
      </c>
      <c r="X23" s="281">
        <f t="shared" si="42"/>
        <v>0</v>
      </c>
      <c r="Y23" s="281">
        <f t="shared" si="42"/>
        <v>0</v>
      </c>
      <c r="Z23" s="281">
        <f t="shared" si="42"/>
        <v>0</v>
      </c>
      <c r="AA23" s="281">
        <f t="shared" si="42"/>
        <v>0</v>
      </c>
      <c r="AB23" s="281">
        <f t="shared" si="42"/>
        <v>0</v>
      </c>
      <c r="AC23" s="281">
        <f t="shared" si="42"/>
        <v>0</v>
      </c>
      <c r="AD23" s="281"/>
      <c r="AE23" s="281">
        <f t="shared" si="42"/>
        <v>0</v>
      </c>
      <c r="AF23" s="281"/>
      <c r="AG23" s="281">
        <f t="shared" si="42"/>
        <v>0</v>
      </c>
      <c r="AH23" s="282">
        <f t="shared" si="42"/>
        <v>0</v>
      </c>
      <c r="AI23" s="281">
        <f t="shared" si="42"/>
        <v>0</v>
      </c>
      <c r="AJ23" s="283">
        <f t="shared" si="42"/>
        <v>0</v>
      </c>
      <c r="AK23" s="281"/>
      <c r="AL23" s="281">
        <f t="shared" si="42"/>
        <v>0</v>
      </c>
      <c r="AM23" s="281">
        <f t="shared" si="42"/>
        <v>0</v>
      </c>
      <c r="AN23" s="281">
        <f t="shared" si="42"/>
        <v>0</v>
      </c>
      <c r="AO23" s="281">
        <f t="shared" si="42"/>
        <v>0</v>
      </c>
      <c r="AP23" s="281">
        <f t="shared" si="42"/>
        <v>0</v>
      </c>
      <c r="AQ23" s="284">
        <f t="shared" si="42"/>
        <v>0</v>
      </c>
      <c r="AR23" s="285">
        <f t="shared" si="42"/>
        <v>0</v>
      </c>
      <c r="AS23" s="285">
        <f t="shared" si="42"/>
        <v>0</v>
      </c>
      <c r="AT23" s="285">
        <f t="shared" si="42"/>
        <v>0</v>
      </c>
      <c r="AU23" s="285">
        <f t="shared" si="42"/>
        <v>0</v>
      </c>
      <c r="AV23" s="281"/>
      <c r="AW23" s="286">
        <f t="shared" ref="AW23" si="43">SUM(AW18:AW22)</f>
        <v>0</v>
      </c>
    </row>
    <row r="24" spans="1:49" x14ac:dyDescent="0.25">
      <c r="A24" s="16"/>
      <c r="E24" s="222"/>
      <c r="T24" s="1"/>
      <c r="U24" s="1"/>
      <c r="V24" s="41"/>
      <c r="W24" s="1"/>
      <c r="X24" s="1"/>
      <c r="Y24" s="1"/>
      <c r="Z24" s="1"/>
      <c r="AA24" s="15"/>
      <c r="AB24" s="15"/>
      <c r="AC24" s="1"/>
      <c r="AD24" s="1"/>
      <c r="AE24" s="1"/>
      <c r="AF24" s="1"/>
      <c r="AG24" s="1"/>
      <c r="AH24" s="1"/>
      <c r="AI24" s="1"/>
      <c r="AJ24" s="1"/>
      <c r="AL24" s="1"/>
      <c r="AM24" s="1"/>
      <c r="AN24" s="1"/>
      <c r="AO24" s="1"/>
      <c r="AP24" s="1"/>
      <c r="AQ24" s="17"/>
      <c r="AR24" s="72"/>
      <c r="AS24" s="25"/>
      <c r="AV24" s="220"/>
    </row>
    <row r="25" spans="1:49" x14ac:dyDescent="0.25">
      <c r="A25" s="11"/>
      <c r="B25" s="11"/>
      <c r="C25">
        <v>7</v>
      </c>
      <c r="D25" s="100" t="s">
        <v>14</v>
      </c>
      <c r="E25" s="272">
        <v>4</v>
      </c>
      <c r="F25" s="102"/>
      <c r="G25" s="102"/>
      <c r="H25" s="102"/>
      <c r="I25" s="102"/>
      <c r="J25" s="102"/>
      <c r="K25" s="102"/>
      <c r="L25" s="102"/>
      <c r="M25" s="102">
        <v>0</v>
      </c>
      <c r="N25" s="102"/>
      <c r="O25" s="102">
        <v>0</v>
      </c>
      <c r="P25" s="102"/>
      <c r="Q25" s="102"/>
      <c r="R25" s="102">
        <f>P21+P25</f>
        <v>0</v>
      </c>
      <c r="S25" s="102">
        <f>Q21+Q25</f>
        <v>0</v>
      </c>
      <c r="T25" s="160"/>
      <c r="U25" s="103"/>
      <c r="V25" s="104">
        <f t="shared" si="0"/>
        <v>0</v>
      </c>
      <c r="W25" s="103">
        <f t="shared" si="18"/>
        <v>0</v>
      </c>
      <c r="X25" s="103">
        <f t="shared" si="1"/>
        <v>0</v>
      </c>
      <c r="Y25" s="103">
        <f>IF(AV25&lt;0,0,(X25-134.62)*0.057)</f>
        <v>0</v>
      </c>
      <c r="Z25" s="103"/>
      <c r="AA25" s="105">
        <f>V25*1.2%</f>
        <v>0</v>
      </c>
      <c r="AB25" s="105"/>
      <c r="AC25" s="103">
        <f>V25*0.494%</f>
        <v>0</v>
      </c>
      <c r="AD25" s="103"/>
      <c r="AE25" s="103"/>
      <c r="AF25" s="103"/>
      <c r="AG25" s="103">
        <f t="shared" si="5"/>
        <v>0</v>
      </c>
      <c r="AH25" s="276">
        <f>IF(VLOOKUP(AG25,'Table 26'!$A$2:$C$438,2,TRUE)&gt;=VLOOKUP(AG25,'Table 26'!$C$2:$D$438,2,TRUE),MAX(VLOOKUP(AG25,'Table 26'!$A$2:$B$438,2,TRUE),VLOOKUP(AG25,'Table 26'!$C$2:$D$438,2,TRUE)),0)</f>
        <v>0</v>
      </c>
      <c r="AI25" s="103">
        <f>X25-AF25</f>
        <v>0</v>
      </c>
      <c r="AJ25" s="277">
        <f>IF(VLOOKUP(AI25,'Table 26'!$E$2:$F$306,2,TRUE)&gt;=VLOOKUP(AI25,'Table 26'!$G$2:$H$306,2,TRUE),MAX(VLOOKUP(AI25,'Table 26'!$E$2:$F$306,2,TRUE),VLOOKUP(AI25,'Table 26'!$G$2:$H$306,2,TRUE)),0)</f>
        <v>0</v>
      </c>
      <c r="AK25" s="102"/>
      <c r="AL25" s="103">
        <f t="shared" si="16"/>
        <v>0</v>
      </c>
      <c r="AM25" s="103">
        <f t="shared" si="7"/>
        <v>0</v>
      </c>
      <c r="AN25" s="103">
        <f t="shared" si="8"/>
        <v>0</v>
      </c>
      <c r="AO25" s="103"/>
      <c r="AP25" s="274">
        <f>AM25+AN25+AO25</f>
        <v>0</v>
      </c>
      <c r="AQ25" s="252">
        <f>V25*0.692%</f>
        <v>0</v>
      </c>
      <c r="AR25" s="101"/>
      <c r="AS25" s="102"/>
      <c r="AT25" s="102"/>
      <c r="AU25" s="102"/>
      <c r="AV25" s="256">
        <f>(X25-134.62)*0.057</f>
        <v>-7.6733400000000005</v>
      </c>
      <c r="AW25" s="255">
        <f>T25*0.04</f>
        <v>0</v>
      </c>
    </row>
    <row r="26" spans="1:49" x14ac:dyDescent="0.25">
      <c r="A26" s="347"/>
      <c r="B26" s="347"/>
      <c r="D26" s="107" t="s">
        <v>14</v>
      </c>
      <c r="E26" s="221">
        <v>11</v>
      </c>
      <c r="F26" s="30"/>
      <c r="G26" s="30"/>
      <c r="H26" s="30"/>
      <c r="I26" s="30"/>
      <c r="J26" s="30"/>
      <c r="K26" s="30"/>
      <c r="L26" s="30"/>
      <c r="M26" s="30">
        <v>0</v>
      </c>
      <c r="N26" s="123"/>
      <c r="O26" s="123">
        <v>0</v>
      </c>
      <c r="P26" s="123"/>
      <c r="Q26" s="123"/>
      <c r="R26" s="123"/>
      <c r="S26" s="123"/>
      <c r="T26" s="160"/>
      <c r="U26" s="109"/>
      <c r="V26" s="110">
        <f t="shared" si="0"/>
        <v>0</v>
      </c>
      <c r="W26" s="109">
        <f t="shared" si="18"/>
        <v>0</v>
      </c>
      <c r="X26" s="109">
        <f t="shared" si="1"/>
        <v>0</v>
      </c>
      <c r="Y26" s="109">
        <f t="shared" ref="Y26:Y29" si="44">IF(AV26&lt;0,0,(X26-134.62)*0.057)</f>
        <v>0</v>
      </c>
      <c r="Z26" s="109"/>
      <c r="AA26" s="111">
        <f t="shared" ref="AA26:AA29" si="45">V26*1.2%</f>
        <v>0</v>
      </c>
      <c r="AB26" s="111"/>
      <c r="AC26" s="109">
        <f t="shared" ref="AC26:AC29" si="46">V26*0.494%</f>
        <v>0</v>
      </c>
      <c r="AD26" s="109"/>
      <c r="AE26" s="109"/>
      <c r="AF26" s="109"/>
      <c r="AG26" s="109">
        <f t="shared" si="5"/>
        <v>0</v>
      </c>
      <c r="AH26" s="156">
        <f>IF(VLOOKUP(AG26,'Table 26'!$A$2:$C$438,2,TRUE)&gt;=VLOOKUP(AG26,'Table 26'!$C$2:$D$438,2,TRUE),MAX(VLOOKUP(AG26,'Table 26'!$A$2:$B$438,2,TRUE),VLOOKUP(AG26,'Table 26'!$C$2:$D$438,2,TRUE)),0)</f>
        <v>0</v>
      </c>
      <c r="AI26" s="109">
        <f t="shared" ref="AI26:AI29" si="47">X26-AF26</f>
        <v>0</v>
      </c>
      <c r="AJ26" s="158">
        <f>IF(VLOOKUP(AI26,'Table 26'!$E$2:$F$306,2,TRUE)&gt;=VLOOKUP(AI26,'Table 26'!$G$2:$H$306,2,TRUE),MAX(VLOOKUP(AI26,'Table 26'!$E$2:$F$306,2,TRUE),VLOOKUP(AI26,'Table 26'!$G$2:$H$306,2,TRUE)),0)</f>
        <v>0</v>
      </c>
      <c r="AK26" s="109"/>
      <c r="AL26" s="109">
        <f t="shared" si="16"/>
        <v>0</v>
      </c>
      <c r="AM26" s="109">
        <f t="shared" si="7"/>
        <v>0</v>
      </c>
      <c r="AN26" s="109">
        <f t="shared" si="8"/>
        <v>0</v>
      </c>
      <c r="AO26" s="109"/>
      <c r="AP26" s="109">
        <f t="shared" ref="AP26:AP29" si="48">AM26+AN26+AO26</f>
        <v>0</v>
      </c>
      <c r="AQ26" s="253">
        <f t="shared" ref="AQ26:AQ29" si="49">V26*0.692%</f>
        <v>0</v>
      </c>
      <c r="AR26" s="72">
        <f>O26*5.335</f>
        <v>0</v>
      </c>
      <c r="AS26" s="25">
        <f>2*O26</f>
        <v>0</v>
      </c>
      <c r="AT26" s="25">
        <f>0.04*O26</f>
        <v>0</v>
      </c>
      <c r="AU26" s="25"/>
      <c r="AV26" s="220">
        <f t="shared" ref="AV26:AV29" si="50">(X26-134.62)*0.057</f>
        <v>-7.6733400000000005</v>
      </c>
      <c r="AW26" s="238">
        <f t="shared" ref="AW26:AW29" si="51">T26*0.04</f>
        <v>0</v>
      </c>
    </row>
    <row r="27" spans="1:49" x14ac:dyDescent="0.25">
      <c r="A27" s="4"/>
      <c r="C27">
        <v>8</v>
      </c>
      <c r="D27" s="107" t="s">
        <v>14</v>
      </c>
      <c r="E27" s="271">
        <v>18</v>
      </c>
      <c r="F27" s="30"/>
      <c r="G27" s="30"/>
      <c r="H27" s="30"/>
      <c r="I27" s="30"/>
      <c r="J27" s="30"/>
      <c r="K27" s="30"/>
      <c r="L27" s="30"/>
      <c r="M27" s="30">
        <v>0</v>
      </c>
      <c r="N27" s="123"/>
      <c r="O27" s="123">
        <v>0</v>
      </c>
      <c r="P27" s="123"/>
      <c r="Q27" s="123"/>
      <c r="R27" s="30">
        <f>P26+P27</f>
        <v>0</v>
      </c>
      <c r="S27" s="30">
        <f>Q26+Q27</f>
        <v>0</v>
      </c>
      <c r="T27" s="160"/>
      <c r="U27" s="109"/>
      <c r="V27" s="110">
        <f t="shared" si="0"/>
        <v>0</v>
      </c>
      <c r="W27" s="109">
        <f t="shared" si="18"/>
        <v>0</v>
      </c>
      <c r="X27" s="109">
        <f t="shared" si="1"/>
        <v>0</v>
      </c>
      <c r="Y27" s="109">
        <f t="shared" si="44"/>
        <v>0</v>
      </c>
      <c r="Z27" s="109"/>
      <c r="AA27" s="111">
        <f t="shared" si="45"/>
        <v>0</v>
      </c>
      <c r="AB27" s="111"/>
      <c r="AC27" s="109">
        <f t="shared" si="46"/>
        <v>0</v>
      </c>
      <c r="AD27" s="109"/>
      <c r="AE27" s="109"/>
      <c r="AF27" s="109"/>
      <c r="AG27" s="109">
        <f t="shared" si="5"/>
        <v>0</v>
      </c>
      <c r="AH27" s="156">
        <f>IF(VLOOKUP(AG27,'Table 26'!$A$2:$C$438,2,TRUE)&gt;=VLOOKUP(AG27,'Table 26'!$C$2:$D$438,2,TRUE),MAX(VLOOKUP(AG27,'Table 26'!$A$2:$B$438,2,TRUE),VLOOKUP(AG27,'Table 26'!$C$2:$D$438,2,TRUE)),0)</f>
        <v>0</v>
      </c>
      <c r="AI27" s="109">
        <f t="shared" si="47"/>
        <v>0</v>
      </c>
      <c r="AJ27" s="158">
        <f>IF(VLOOKUP(AI27,'Table 26'!$E$2:$F$306,2,TRUE)&gt;=VLOOKUP(AI27,'Table 26'!$G$2:$H$306,2,TRUE),MAX(VLOOKUP(AI27,'Table 26'!$E$2:$F$306,2,TRUE),VLOOKUP(AI27,'Table 26'!$G$2:$H$306,2,TRUE)),0)</f>
        <v>0</v>
      </c>
      <c r="AK27" s="109"/>
      <c r="AL27" s="109">
        <f t="shared" si="16"/>
        <v>0</v>
      </c>
      <c r="AM27" s="109">
        <f t="shared" si="7"/>
        <v>0</v>
      </c>
      <c r="AN27" s="109">
        <f t="shared" si="8"/>
        <v>0</v>
      </c>
      <c r="AO27" s="109"/>
      <c r="AP27" s="273">
        <f t="shared" si="48"/>
        <v>0</v>
      </c>
      <c r="AQ27" s="253">
        <f t="shared" si="49"/>
        <v>0</v>
      </c>
      <c r="AR27" s="72">
        <f t="shared" ref="AR27:AR29" si="52">O27*5.335</f>
        <v>0</v>
      </c>
      <c r="AS27" s="25">
        <f t="shared" ref="AS27:AS29" si="53">2*O27</f>
        <v>0</v>
      </c>
      <c r="AT27" s="25">
        <f t="shared" ref="AT27:AT29" si="54">0.04*O27</f>
        <v>0</v>
      </c>
      <c r="AV27" s="220">
        <f t="shared" si="50"/>
        <v>-7.6733400000000005</v>
      </c>
      <c r="AW27" s="238">
        <f t="shared" si="51"/>
        <v>0</v>
      </c>
    </row>
    <row r="28" spans="1:49" x14ac:dyDescent="0.25">
      <c r="D28" s="107" t="s">
        <v>14</v>
      </c>
      <c r="E28" s="221">
        <v>25</v>
      </c>
      <c r="F28" s="30"/>
      <c r="G28" s="30"/>
      <c r="H28" s="30"/>
      <c r="I28" s="30"/>
      <c r="J28" s="30"/>
      <c r="K28" s="30"/>
      <c r="L28" s="30"/>
      <c r="M28" s="30"/>
      <c r="N28" s="123"/>
      <c r="O28" s="123"/>
      <c r="P28" s="123"/>
      <c r="Q28" s="123"/>
      <c r="R28" s="123"/>
      <c r="S28" s="123"/>
      <c r="T28" s="160"/>
      <c r="U28" s="109"/>
      <c r="V28" s="110">
        <f t="shared" si="0"/>
        <v>0</v>
      </c>
      <c r="W28" s="109">
        <f t="shared" si="18"/>
        <v>0</v>
      </c>
      <c r="X28" s="109">
        <f t="shared" si="1"/>
        <v>0</v>
      </c>
      <c r="Y28" s="109">
        <f t="shared" si="44"/>
        <v>0</v>
      </c>
      <c r="Z28" s="109"/>
      <c r="AA28" s="111">
        <f t="shared" si="45"/>
        <v>0</v>
      </c>
      <c r="AB28" s="111"/>
      <c r="AC28" s="109">
        <f t="shared" si="46"/>
        <v>0</v>
      </c>
      <c r="AD28" s="109"/>
      <c r="AE28" s="109"/>
      <c r="AF28" s="109"/>
      <c r="AG28" s="109">
        <f t="shared" si="5"/>
        <v>0</v>
      </c>
      <c r="AH28" s="156">
        <f>IF(VLOOKUP(AG28,'Table 26'!$A$2:$C$438,2,TRUE)&gt;=VLOOKUP(AG28,'Table 26'!$C$2:$D$438,2,TRUE),MAX(VLOOKUP(AG28,'Table 26'!$A$2:$B$438,2,TRUE),VLOOKUP(AG28,'Table 26'!$C$2:$D$438,2,TRUE)),0)</f>
        <v>0</v>
      </c>
      <c r="AI28" s="109"/>
      <c r="AJ28" s="158">
        <f>IF(VLOOKUP(AI28,'Table 26'!$E$2:$F$306,2,TRUE)&gt;=VLOOKUP(AI28,'Table 26'!$G$2:$H$306,2,TRUE),MAX(VLOOKUP(AI28,'Table 26'!$E$2:$F$306,2,TRUE),VLOOKUP(AI28,'Table 26'!$G$2:$H$306,2,TRUE)),0)</f>
        <v>0</v>
      </c>
      <c r="AK28" s="109"/>
      <c r="AL28" s="109">
        <f t="shared" si="16"/>
        <v>0</v>
      </c>
      <c r="AM28" s="109">
        <f t="shared" si="7"/>
        <v>0</v>
      </c>
      <c r="AN28" s="109">
        <f t="shared" si="8"/>
        <v>0</v>
      </c>
      <c r="AO28" s="109"/>
      <c r="AP28" s="109">
        <f t="shared" si="48"/>
        <v>0</v>
      </c>
      <c r="AQ28" s="253">
        <f t="shared" si="49"/>
        <v>0</v>
      </c>
      <c r="AR28" s="72">
        <f t="shared" si="52"/>
        <v>0</v>
      </c>
      <c r="AS28" s="25">
        <f t="shared" si="53"/>
        <v>0</v>
      </c>
      <c r="AT28" s="25">
        <f t="shared" si="54"/>
        <v>0</v>
      </c>
      <c r="AV28" s="220">
        <f t="shared" si="50"/>
        <v>-7.6733400000000005</v>
      </c>
      <c r="AW28" s="238">
        <f t="shared" si="51"/>
        <v>0</v>
      </c>
    </row>
    <row r="29" spans="1:49" x14ac:dyDescent="0.25">
      <c r="A29" s="53"/>
      <c r="B29" s="53"/>
      <c r="D29" s="107" t="s">
        <v>14</v>
      </c>
      <c r="E29" s="221"/>
      <c r="F29" s="30"/>
      <c r="G29" s="30"/>
      <c r="H29" s="30"/>
      <c r="I29" s="30"/>
      <c r="J29" s="30"/>
      <c r="K29" s="30"/>
      <c r="L29" s="30"/>
      <c r="M29" s="30">
        <v>0</v>
      </c>
      <c r="N29" s="123"/>
      <c r="O29" s="123">
        <v>0</v>
      </c>
      <c r="P29" s="123"/>
      <c r="Q29" s="123"/>
      <c r="R29" s="123"/>
      <c r="S29" s="123"/>
      <c r="T29" s="160"/>
      <c r="U29" s="216"/>
      <c r="V29" s="217">
        <f t="shared" si="0"/>
        <v>0</v>
      </c>
      <c r="W29" s="121">
        <f t="shared" si="18"/>
        <v>0</v>
      </c>
      <c r="X29" s="121">
        <f t="shared" si="1"/>
        <v>0</v>
      </c>
      <c r="Y29" s="121">
        <f t="shared" si="44"/>
        <v>0</v>
      </c>
      <c r="Z29" s="121"/>
      <c r="AA29" s="131">
        <f t="shared" si="45"/>
        <v>0</v>
      </c>
      <c r="AB29" s="131"/>
      <c r="AC29" s="121">
        <f t="shared" si="46"/>
        <v>0</v>
      </c>
      <c r="AD29" s="121"/>
      <c r="AE29" s="121"/>
      <c r="AF29" s="121"/>
      <c r="AG29" s="121">
        <f t="shared" si="5"/>
        <v>0</v>
      </c>
      <c r="AH29" s="157">
        <f>IF(VLOOKUP(AG29,'Table 26'!$A$2:$C$438,2,TRUE)&gt;=VLOOKUP(AG29,'Table 26'!$C$2:$D$438,2,TRUE),MAX(VLOOKUP(AG29,'Table 26'!$A$2:$B$438,2,TRUE),VLOOKUP(AG29,'Table 26'!$C$2:$D$438,2,TRUE)),0)</f>
        <v>0</v>
      </c>
      <c r="AI29" s="121">
        <f t="shared" si="47"/>
        <v>0</v>
      </c>
      <c r="AJ29" s="159">
        <f>IF(VLOOKUP(AI29,'Table 26'!$E$2:$F$306,2,TRUE)&gt;=VLOOKUP(AI29,'Table 26'!$G$2:$H$306,2,TRUE),MAX(VLOOKUP(AI29,'Table 26'!$E$2:$F$306,2,TRUE),VLOOKUP(AI29,'Table 26'!$G$2:$H$306,2,TRUE)),0)</f>
        <v>0</v>
      </c>
      <c r="AK29" s="121"/>
      <c r="AL29" s="121">
        <f t="shared" si="16"/>
        <v>0</v>
      </c>
      <c r="AM29" s="121">
        <f t="shared" si="7"/>
        <v>0</v>
      </c>
      <c r="AN29" s="121">
        <f t="shared" si="8"/>
        <v>0</v>
      </c>
      <c r="AO29" s="121"/>
      <c r="AP29" s="121">
        <f t="shared" si="48"/>
        <v>0</v>
      </c>
      <c r="AQ29" s="254">
        <f t="shared" si="49"/>
        <v>0</v>
      </c>
      <c r="AR29" s="72">
        <f t="shared" si="52"/>
        <v>0</v>
      </c>
      <c r="AS29" s="25">
        <f t="shared" si="53"/>
        <v>0</v>
      </c>
      <c r="AT29" s="25">
        <f t="shared" si="54"/>
        <v>0</v>
      </c>
      <c r="AV29" s="220">
        <f t="shared" si="50"/>
        <v>-7.6733400000000005</v>
      </c>
      <c r="AW29" s="238">
        <f t="shared" si="51"/>
        <v>0</v>
      </c>
    </row>
    <row r="30" spans="1:49" ht="13.8" thickBot="1" x14ac:dyDescent="0.3">
      <c r="A30" s="4"/>
      <c r="B30" s="4"/>
      <c r="C30" s="4"/>
      <c r="D30" s="278" t="s">
        <v>33</v>
      </c>
      <c r="E30" s="287"/>
      <c r="F30" s="280"/>
      <c r="G30" s="280"/>
      <c r="H30" s="280"/>
      <c r="I30" s="280"/>
      <c r="J30" s="280"/>
      <c r="K30" s="280"/>
      <c r="L30" s="280"/>
      <c r="M30" s="280">
        <v>0</v>
      </c>
      <c r="N30" s="280">
        <v>0</v>
      </c>
      <c r="O30" s="280">
        <v>0</v>
      </c>
      <c r="P30" s="280"/>
      <c r="Q30" s="280"/>
      <c r="R30" s="280"/>
      <c r="S30" s="280"/>
      <c r="T30" s="281">
        <f>SUM(T25:T29)</f>
        <v>0</v>
      </c>
      <c r="U30" s="281">
        <f t="shared" ref="U30:AU30" si="55">SUM(U25:U29)</f>
        <v>0</v>
      </c>
      <c r="V30" s="281">
        <f t="shared" si="55"/>
        <v>0</v>
      </c>
      <c r="W30" s="281">
        <f t="shared" si="55"/>
        <v>0</v>
      </c>
      <c r="X30" s="281">
        <f t="shared" si="55"/>
        <v>0</v>
      </c>
      <c r="Y30" s="281">
        <f t="shared" si="55"/>
        <v>0</v>
      </c>
      <c r="Z30" s="281">
        <f t="shared" si="55"/>
        <v>0</v>
      </c>
      <c r="AA30" s="281">
        <f t="shared" si="55"/>
        <v>0</v>
      </c>
      <c r="AB30" s="281">
        <f t="shared" si="55"/>
        <v>0</v>
      </c>
      <c r="AC30" s="281">
        <f t="shared" si="55"/>
        <v>0</v>
      </c>
      <c r="AD30" s="281"/>
      <c r="AE30" s="281">
        <f t="shared" si="55"/>
        <v>0</v>
      </c>
      <c r="AF30" s="281"/>
      <c r="AG30" s="281">
        <f t="shared" si="55"/>
        <v>0</v>
      </c>
      <c r="AH30" s="282">
        <f t="shared" si="55"/>
        <v>0</v>
      </c>
      <c r="AI30" s="281">
        <f t="shared" si="55"/>
        <v>0</v>
      </c>
      <c r="AJ30" s="283">
        <f t="shared" si="55"/>
        <v>0</v>
      </c>
      <c r="AK30" s="281"/>
      <c r="AL30" s="281">
        <f t="shared" si="55"/>
        <v>0</v>
      </c>
      <c r="AM30" s="281">
        <f t="shared" si="55"/>
        <v>0</v>
      </c>
      <c r="AN30" s="281">
        <f t="shared" si="55"/>
        <v>0</v>
      </c>
      <c r="AO30" s="281">
        <f t="shared" si="55"/>
        <v>0</v>
      </c>
      <c r="AP30" s="281">
        <f>SUM(AP25:AP29)</f>
        <v>0</v>
      </c>
      <c r="AQ30" s="284">
        <f t="shared" si="55"/>
        <v>0</v>
      </c>
      <c r="AR30" s="285">
        <f t="shared" si="55"/>
        <v>0</v>
      </c>
      <c r="AS30" s="285">
        <f t="shared" si="55"/>
        <v>0</v>
      </c>
      <c r="AT30" s="285">
        <f t="shared" si="55"/>
        <v>0</v>
      </c>
      <c r="AU30" s="285">
        <f t="shared" si="55"/>
        <v>0</v>
      </c>
      <c r="AV30" s="281"/>
      <c r="AW30" s="286">
        <f t="shared" ref="AW30" si="56">SUM(AW25:AW29)</f>
        <v>0</v>
      </c>
    </row>
    <row r="31" spans="1:49" x14ac:dyDescent="0.25">
      <c r="E31" s="222"/>
      <c r="T31" s="1"/>
      <c r="U31" s="1"/>
      <c r="V31" s="41"/>
      <c r="W31" s="1"/>
      <c r="X31" s="1"/>
      <c r="Y31" s="1"/>
      <c r="Z31" s="1"/>
      <c r="AA31" s="15"/>
      <c r="AB31" s="15"/>
      <c r="AC31" s="1"/>
      <c r="AD31" s="1"/>
      <c r="AE31" s="1"/>
      <c r="AF31" s="1"/>
      <c r="AG31" s="1"/>
      <c r="AH31" s="1"/>
      <c r="AI31" s="1"/>
      <c r="AJ31" s="1"/>
      <c r="AL31" s="1"/>
      <c r="AM31" s="1"/>
      <c r="AN31" s="1"/>
      <c r="AO31" s="1"/>
      <c r="AP31" s="1"/>
      <c r="AQ31" s="17"/>
      <c r="AR31" s="72"/>
      <c r="AS31" s="25"/>
      <c r="AV31" s="220"/>
    </row>
    <row r="32" spans="1:49" x14ac:dyDescent="0.25">
      <c r="C32">
        <v>9</v>
      </c>
      <c r="D32" s="100" t="s">
        <v>15</v>
      </c>
      <c r="E32" s="272">
        <v>2</v>
      </c>
      <c r="F32" s="102"/>
      <c r="G32" s="102"/>
      <c r="H32" s="102"/>
      <c r="I32" s="102"/>
      <c r="J32" s="102"/>
      <c r="K32" s="102"/>
      <c r="L32" s="102"/>
      <c r="M32" s="102">
        <v>0</v>
      </c>
      <c r="N32" s="102"/>
      <c r="O32" s="102">
        <v>0</v>
      </c>
      <c r="P32" s="102"/>
      <c r="Q32" s="102"/>
      <c r="R32" s="102">
        <f>P28+P32</f>
        <v>0</v>
      </c>
      <c r="S32" s="102">
        <f>Q28+Q32</f>
        <v>0</v>
      </c>
      <c r="T32" s="160"/>
      <c r="U32" s="103"/>
      <c r="V32" s="104">
        <f t="shared" si="0"/>
        <v>0</v>
      </c>
      <c r="W32" s="103">
        <f t="shared" si="18"/>
        <v>0</v>
      </c>
      <c r="X32" s="103">
        <f t="shared" si="1"/>
        <v>0</v>
      </c>
      <c r="Y32" s="103">
        <f>IF(AV32&lt;0,0,(X32-134.62)*0.057)</f>
        <v>0</v>
      </c>
      <c r="Z32" s="103"/>
      <c r="AA32" s="105">
        <f>V32*1.2%</f>
        <v>0</v>
      </c>
      <c r="AB32" s="105"/>
      <c r="AC32" s="103">
        <f>V32*0.494%</f>
        <v>0</v>
      </c>
      <c r="AD32" s="103"/>
      <c r="AE32" s="103"/>
      <c r="AF32" s="103"/>
      <c r="AG32" s="103">
        <f t="shared" si="5"/>
        <v>0</v>
      </c>
      <c r="AH32" s="276">
        <f>IF(VLOOKUP(AG32,'Table 26'!$A$2:$C$438,2,TRUE)&gt;=VLOOKUP(AG32,'Table 26'!$C$2:$D$438,2,TRUE),MAX(VLOOKUP(AG32,'Table 26'!$A$2:$B$438,2,TRUE),VLOOKUP(AG32,'Table 26'!$C$2:$D$438,2,TRUE)),0)</f>
        <v>0</v>
      </c>
      <c r="AI32" s="103">
        <f>X32-AF32</f>
        <v>0</v>
      </c>
      <c r="AJ32" s="277">
        <f>IF(VLOOKUP(AI32,'Table 26'!$E$2:$F$306,2,TRUE)&gt;=VLOOKUP(AI32,'Table 26'!$G$2:$H$306,2,TRUE),MAX(VLOOKUP(AI32,'Table 26'!$E$2:$F$306,2,TRUE),VLOOKUP(AI32,'Table 26'!$G$2:$H$306,2,TRUE)),0)</f>
        <v>0</v>
      </c>
      <c r="AK32" s="102"/>
      <c r="AL32" s="103">
        <f t="shared" si="16"/>
        <v>0</v>
      </c>
      <c r="AM32" s="103">
        <f t="shared" si="7"/>
        <v>0</v>
      </c>
      <c r="AN32" s="103">
        <f t="shared" si="8"/>
        <v>0</v>
      </c>
      <c r="AO32" s="103"/>
      <c r="AP32" s="274">
        <f>AM32+AN32+AO32</f>
        <v>0</v>
      </c>
      <c r="AQ32" s="252">
        <f>V32*0.692%</f>
        <v>0</v>
      </c>
      <c r="AR32" s="101"/>
      <c r="AS32" s="102"/>
      <c r="AT32" s="102"/>
      <c r="AU32" s="102"/>
      <c r="AV32" s="256">
        <f>(X32-134.62)*0.057</f>
        <v>-7.6733400000000005</v>
      </c>
      <c r="AW32" s="255">
        <f>T32*0.04</f>
        <v>0</v>
      </c>
    </row>
    <row r="33" spans="1:49" x14ac:dyDescent="0.25">
      <c r="D33" s="107" t="s">
        <v>15</v>
      </c>
      <c r="E33" s="221">
        <v>9</v>
      </c>
      <c r="F33" s="30"/>
      <c r="G33" s="30"/>
      <c r="H33" s="30"/>
      <c r="I33" s="30"/>
      <c r="J33" s="30"/>
      <c r="K33" s="30"/>
      <c r="L33" s="30"/>
      <c r="M33" s="30">
        <v>0</v>
      </c>
      <c r="N33" s="30"/>
      <c r="O33" s="30">
        <v>0</v>
      </c>
      <c r="P33" s="30"/>
      <c r="Q33" s="30"/>
      <c r="R33" s="30"/>
      <c r="S33" s="30"/>
      <c r="T33" s="160"/>
      <c r="U33" s="109"/>
      <c r="V33" s="110">
        <f t="shared" si="0"/>
        <v>0</v>
      </c>
      <c r="W33" s="109">
        <f t="shared" si="18"/>
        <v>0</v>
      </c>
      <c r="X33" s="109">
        <f t="shared" si="1"/>
        <v>0</v>
      </c>
      <c r="Y33" s="109">
        <f t="shared" ref="Y33:Y36" si="57">IF(AV33&lt;0,0,(X33-134.62)*0.057)</f>
        <v>0</v>
      </c>
      <c r="Z33" s="109"/>
      <c r="AA33" s="111">
        <f t="shared" ref="AA33:AA36" si="58">V33*1.2%</f>
        <v>0</v>
      </c>
      <c r="AB33" s="111"/>
      <c r="AC33" s="109">
        <f t="shared" ref="AC33:AC36" si="59">V33*0.494%</f>
        <v>0</v>
      </c>
      <c r="AD33" s="109"/>
      <c r="AE33" s="109"/>
      <c r="AF33" s="109"/>
      <c r="AG33" s="109">
        <f t="shared" si="5"/>
        <v>0</v>
      </c>
      <c r="AH33" s="156">
        <f>IF(VLOOKUP(AG33,'Table 26'!$A$2:$C$438,2,TRUE)&gt;=VLOOKUP(AG33,'Table 26'!$C$2:$D$438,2,TRUE),MAX(VLOOKUP(AG33,'Table 26'!$A$2:$B$438,2,TRUE),VLOOKUP(AG33,'Table 26'!$C$2:$D$438,2,TRUE)),0)</f>
        <v>0</v>
      </c>
      <c r="AI33" s="109">
        <f t="shared" ref="AI33:AI36" si="60">X33-AF33</f>
        <v>0</v>
      </c>
      <c r="AJ33" s="158">
        <f>IF(VLOOKUP(AI33,'Table 26'!$E$2:$F$306,2,TRUE)&gt;=VLOOKUP(AI33,'Table 26'!$G$2:$H$306,2,TRUE),MAX(VLOOKUP(AI33,'Table 26'!$E$2:$F$306,2,TRUE),VLOOKUP(AI33,'Table 26'!$G$2:$H$306,2,TRUE)),0)</f>
        <v>0</v>
      </c>
      <c r="AK33" s="109"/>
      <c r="AL33" s="109">
        <f t="shared" si="16"/>
        <v>0</v>
      </c>
      <c r="AM33" s="109">
        <f t="shared" si="7"/>
        <v>0</v>
      </c>
      <c r="AN33" s="109">
        <f t="shared" si="8"/>
        <v>0</v>
      </c>
      <c r="AO33" s="109"/>
      <c r="AP33" s="109">
        <f t="shared" ref="AP33:AP36" si="61">AM33+AN33+AO33</f>
        <v>0</v>
      </c>
      <c r="AQ33" s="253">
        <f t="shared" ref="AQ33:AQ36" si="62">V33*0.692%</f>
        <v>0</v>
      </c>
      <c r="AR33" s="72">
        <f>O33*5.335</f>
        <v>0</v>
      </c>
      <c r="AS33" s="25">
        <f>2*O33</f>
        <v>0</v>
      </c>
      <c r="AT33" s="25">
        <f>0.04*O33</f>
        <v>0</v>
      </c>
      <c r="AU33" s="25"/>
      <c r="AV33" s="220">
        <f t="shared" ref="AV33:AV36" si="63">(X33-134.62)*0.057</f>
        <v>-7.6733400000000005</v>
      </c>
      <c r="AW33" s="238">
        <f t="shared" ref="AW33:AW36" si="64">T33*0.04</f>
        <v>0</v>
      </c>
    </row>
    <row r="34" spans="1:49" x14ac:dyDescent="0.25">
      <c r="C34">
        <v>10</v>
      </c>
      <c r="D34" s="107" t="s">
        <v>15</v>
      </c>
      <c r="E34" s="271">
        <v>16</v>
      </c>
      <c r="F34" s="30"/>
      <c r="G34" s="30"/>
      <c r="H34" s="30"/>
      <c r="I34" s="30"/>
      <c r="J34" s="30"/>
      <c r="K34" s="30"/>
      <c r="L34" s="30"/>
      <c r="M34" s="30">
        <v>0</v>
      </c>
      <c r="N34" s="30"/>
      <c r="O34" s="30">
        <v>0</v>
      </c>
      <c r="P34" s="30"/>
      <c r="Q34" s="30"/>
      <c r="R34" s="30">
        <f>P33+P34</f>
        <v>0</v>
      </c>
      <c r="S34" s="30">
        <f>Q33+Q34</f>
        <v>0</v>
      </c>
      <c r="T34" s="160"/>
      <c r="U34" s="109"/>
      <c r="V34" s="110">
        <f t="shared" si="0"/>
        <v>0</v>
      </c>
      <c r="W34" s="109">
        <f t="shared" si="18"/>
        <v>0</v>
      </c>
      <c r="X34" s="109">
        <f t="shared" si="1"/>
        <v>0</v>
      </c>
      <c r="Y34" s="109">
        <f t="shared" si="57"/>
        <v>0</v>
      </c>
      <c r="Z34" s="109"/>
      <c r="AA34" s="111">
        <f t="shared" si="58"/>
        <v>0</v>
      </c>
      <c r="AB34" s="111"/>
      <c r="AC34" s="109">
        <f t="shared" si="59"/>
        <v>0</v>
      </c>
      <c r="AD34" s="109"/>
      <c r="AE34" s="109"/>
      <c r="AF34" s="109"/>
      <c r="AG34" s="109">
        <f t="shared" si="5"/>
        <v>0</v>
      </c>
      <c r="AH34" s="156">
        <f>IF(VLOOKUP(AG34,'Table 26'!$A$2:$C$438,2,TRUE)&gt;=VLOOKUP(AG34,'Table 26'!$C$2:$D$438,2,TRUE),MAX(VLOOKUP(AG34,'Table 26'!$A$2:$B$438,2,TRUE),VLOOKUP(AG34,'Table 26'!$C$2:$D$438,2,TRUE)),0)</f>
        <v>0</v>
      </c>
      <c r="AI34" s="109">
        <f t="shared" si="60"/>
        <v>0</v>
      </c>
      <c r="AJ34" s="158">
        <f>IF(VLOOKUP(AI34,'Table 26'!$E$2:$F$306,2,TRUE)&gt;=VLOOKUP(AI34,'Table 26'!$G$2:$H$306,2,TRUE),MAX(VLOOKUP(AI34,'Table 26'!$E$2:$F$306,2,TRUE),VLOOKUP(AI34,'Table 26'!$G$2:$H$306,2,TRUE)),0)</f>
        <v>0</v>
      </c>
      <c r="AK34" s="109"/>
      <c r="AL34" s="109">
        <f t="shared" si="16"/>
        <v>0</v>
      </c>
      <c r="AM34" s="109">
        <f t="shared" si="7"/>
        <v>0</v>
      </c>
      <c r="AN34" s="109">
        <f t="shared" si="8"/>
        <v>0</v>
      </c>
      <c r="AO34" s="109"/>
      <c r="AP34" s="273">
        <f t="shared" si="61"/>
        <v>0</v>
      </c>
      <c r="AQ34" s="253">
        <f t="shared" si="62"/>
        <v>0</v>
      </c>
      <c r="AR34" s="72">
        <f t="shared" ref="AR34:AR36" si="65">O34*5.335</f>
        <v>0</v>
      </c>
      <c r="AS34" s="25">
        <f t="shared" ref="AS34:AS36" si="66">2*O34</f>
        <v>0</v>
      </c>
      <c r="AT34" s="25">
        <f t="shared" ref="AT34:AT36" si="67">0.04*O34</f>
        <v>0</v>
      </c>
      <c r="AV34" s="220">
        <f t="shared" si="63"/>
        <v>-7.6733400000000005</v>
      </c>
      <c r="AW34" s="238">
        <f t="shared" si="64"/>
        <v>0</v>
      </c>
    </row>
    <row r="35" spans="1:49" x14ac:dyDescent="0.25">
      <c r="D35" s="107" t="s">
        <v>15</v>
      </c>
      <c r="E35" s="221">
        <v>23</v>
      </c>
      <c r="F35" s="30"/>
      <c r="G35" s="30"/>
      <c r="H35" s="30"/>
      <c r="I35" s="30"/>
      <c r="J35" s="30"/>
      <c r="K35" s="30"/>
      <c r="L35" s="30"/>
      <c r="M35" s="30">
        <v>0</v>
      </c>
      <c r="N35" s="30"/>
      <c r="O35" s="30">
        <v>0</v>
      </c>
      <c r="P35" s="123"/>
      <c r="Q35" s="30"/>
      <c r="R35" s="30"/>
      <c r="S35" s="30"/>
      <c r="T35" s="160"/>
      <c r="U35" s="109"/>
      <c r="V35" s="110">
        <f t="shared" si="0"/>
        <v>0</v>
      </c>
      <c r="W35" s="109">
        <f t="shared" si="18"/>
        <v>0</v>
      </c>
      <c r="X35" s="109">
        <f t="shared" si="1"/>
        <v>0</v>
      </c>
      <c r="Y35" s="109">
        <f t="shared" si="57"/>
        <v>0</v>
      </c>
      <c r="Z35" s="109"/>
      <c r="AA35" s="111">
        <f t="shared" si="58"/>
        <v>0</v>
      </c>
      <c r="AB35" s="111"/>
      <c r="AC35" s="109">
        <f t="shared" si="59"/>
        <v>0</v>
      </c>
      <c r="AD35" s="109"/>
      <c r="AE35" s="109"/>
      <c r="AF35" s="109"/>
      <c r="AG35" s="109">
        <f t="shared" si="5"/>
        <v>0</v>
      </c>
      <c r="AH35" s="156">
        <f>IF(VLOOKUP(AG35,'Table 26'!$A$2:$C$438,2,TRUE)&gt;=VLOOKUP(AG35,'Table 26'!$C$2:$D$438,2,TRUE),MAX(VLOOKUP(AG35,'Table 26'!$A$2:$B$438,2,TRUE),VLOOKUP(AG35,'Table 26'!$C$2:$D$438,2,TRUE)),0)</f>
        <v>0</v>
      </c>
      <c r="AI35" s="109"/>
      <c r="AJ35" s="158">
        <f>IF(VLOOKUP(AI35,'Table 26'!$E$2:$F$306,2,TRUE)&gt;=VLOOKUP(AI35,'Table 26'!$G$2:$H$306,2,TRUE),MAX(VLOOKUP(AI35,'Table 26'!$E$2:$F$306,2,TRUE),VLOOKUP(AI35,'Table 26'!$G$2:$H$306,2,TRUE)),0)</f>
        <v>0</v>
      </c>
      <c r="AK35" s="109"/>
      <c r="AL35" s="109">
        <f t="shared" si="16"/>
        <v>0</v>
      </c>
      <c r="AM35" s="109">
        <f t="shared" si="7"/>
        <v>0</v>
      </c>
      <c r="AN35" s="109">
        <f t="shared" si="8"/>
        <v>0</v>
      </c>
      <c r="AO35" s="109"/>
      <c r="AP35" s="109">
        <f t="shared" si="61"/>
        <v>0</v>
      </c>
      <c r="AQ35" s="253">
        <f t="shared" si="62"/>
        <v>0</v>
      </c>
      <c r="AR35" s="72">
        <f t="shared" si="65"/>
        <v>0</v>
      </c>
      <c r="AS35" s="25">
        <f t="shared" si="66"/>
        <v>0</v>
      </c>
      <c r="AT35" s="25">
        <f t="shared" si="67"/>
        <v>0</v>
      </c>
      <c r="AV35" s="220">
        <f t="shared" si="63"/>
        <v>-7.6733400000000005</v>
      </c>
      <c r="AW35" s="238">
        <f t="shared" si="64"/>
        <v>0</v>
      </c>
    </row>
    <row r="36" spans="1:49" x14ac:dyDescent="0.25">
      <c r="C36">
        <v>11</v>
      </c>
      <c r="D36" s="107" t="s">
        <v>15</v>
      </c>
      <c r="E36" s="271">
        <v>30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123"/>
      <c r="Q36" s="30"/>
      <c r="R36" s="30">
        <f>P35+P36</f>
        <v>0</v>
      </c>
      <c r="S36" s="30">
        <f>Q35+Q36</f>
        <v>0</v>
      </c>
      <c r="T36" s="160"/>
      <c r="U36" s="216"/>
      <c r="V36" s="217">
        <f t="shared" si="0"/>
        <v>0</v>
      </c>
      <c r="W36" s="121">
        <f t="shared" si="18"/>
        <v>0</v>
      </c>
      <c r="X36" s="121">
        <f t="shared" si="1"/>
        <v>0</v>
      </c>
      <c r="Y36" s="121">
        <f t="shared" si="57"/>
        <v>0</v>
      </c>
      <c r="Z36" s="121"/>
      <c r="AA36" s="131">
        <f t="shared" si="58"/>
        <v>0</v>
      </c>
      <c r="AB36" s="131"/>
      <c r="AC36" s="121">
        <f t="shared" si="59"/>
        <v>0</v>
      </c>
      <c r="AD36" s="121"/>
      <c r="AE36" s="121"/>
      <c r="AF36" s="121"/>
      <c r="AG36" s="121">
        <f t="shared" si="5"/>
        <v>0</v>
      </c>
      <c r="AH36" s="157">
        <f>IF(VLOOKUP(AG36,'Table 26'!$A$2:$C$438,2,TRUE)&gt;=VLOOKUP(AG36,'Table 26'!$C$2:$D$438,2,TRUE),MAX(VLOOKUP(AG36,'Table 26'!$A$2:$B$438,2,TRUE),VLOOKUP(AG36,'Table 26'!$C$2:$D$438,2,TRUE)),0)</f>
        <v>0</v>
      </c>
      <c r="AI36" s="121">
        <f t="shared" si="60"/>
        <v>0</v>
      </c>
      <c r="AJ36" s="159">
        <f>IF(VLOOKUP(AI36,'Table 26'!$E$2:$F$306,2,TRUE)&gt;=VLOOKUP(AI36,'Table 26'!$G$2:$H$306,2,TRUE),MAX(VLOOKUP(AI36,'Table 26'!$E$2:$F$306,2,TRUE),VLOOKUP(AI36,'Table 26'!$G$2:$H$306,2,TRUE)),0)</f>
        <v>0</v>
      </c>
      <c r="AK36" s="121"/>
      <c r="AL36" s="121">
        <f t="shared" si="16"/>
        <v>0</v>
      </c>
      <c r="AM36" s="121">
        <f t="shared" si="7"/>
        <v>0</v>
      </c>
      <c r="AN36" s="121">
        <f t="shared" si="8"/>
        <v>0</v>
      </c>
      <c r="AO36" s="121"/>
      <c r="AP36" s="275">
        <f t="shared" si="61"/>
        <v>0</v>
      </c>
      <c r="AQ36" s="254">
        <f t="shared" si="62"/>
        <v>0</v>
      </c>
      <c r="AR36" s="72">
        <f t="shared" si="65"/>
        <v>0</v>
      </c>
      <c r="AS36" s="25">
        <f t="shared" si="66"/>
        <v>0</v>
      </c>
      <c r="AT36" s="25">
        <f t="shared" si="67"/>
        <v>0</v>
      </c>
      <c r="AV36" s="220">
        <f t="shared" si="63"/>
        <v>-7.6733400000000005</v>
      </c>
      <c r="AW36" s="238">
        <f t="shared" si="64"/>
        <v>0</v>
      </c>
    </row>
    <row r="37" spans="1:49" ht="13.8" thickBot="1" x14ac:dyDescent="0.3">
      <c r="A37" s="4"/>
      <c r="B37" s="4"/>
      <c r="C37" s="4"/>
      <c r="D37" s="278" t="s">
        <v>33</v>
      </c>
      <c r="E37" s="287"/>
      <c r="F37" s="280"/>
      <c r="G37" s="280"/>
      <c r="H37" s="280"/>
      <c r="I37" s="280"/>
      <c r="J37" s="280"/>
      <c r="K37" s="280"/>
      <c r="L37" s="280"/>
      <c r="M37" s="280">
        <v>0</v>
      </c>
      <c r="N37" s="280">
        <v>0</v>
      </c>
      <c r="O37" s="280">
        <v>0</v>
      </c>
      <c r="P37" s="280"/>
      <c r="Q37" s="280"/>
      <c r="R37" s="280"/>
      <c r="S37" s="280"/>
      <c r="T37" s="281">
        <f>SUM(T32:T36)</f>
        <v>0</v>
      </c>
      <c r="U37" s="281">
        <f t="shared" ref="U37:AU37" si="68">SUM(U32:U36)</f>
        <v>0</v>
      </c>
      <c r="V37" s="281">
        <f t="shared" si="68"/>
        <v>0</v>
      </c>
      <c r="W37" s="281">
        <f t="shared" si="68"/>
        <v>0</v>
      </c>
      <c r="X37" s="281">
        <f t="shared" si="68"/>
        <v>0</v>
      </c>
      <c r="Y37" s="281">
        <f t="shared" si="68"/>
        <v>0</v>
      </c>
      <c r="Z37" s="281">
        <f t="shared" si="68"/>
        <v>0</v>
      </c>
      <c r="AA37" s="281">
        <f t="shared" si="68"/>
        <v>0</v>
      </c>
      <c r="AB37" s="281">
        <f t="shared" si="68"/>
        <v>0</v>
      </c>
      <c r="AC37" s="281">
        <f t="shared" si="68"/>
        <v>0</v>
      </c>
      <c r="AD37" s="281"/>
      <c r="AE37" s="281">
        <f t="shared" si="68"/>
        <v>0</v>
      </c>
      <c r="AF37" s="281"/>
      <c r="AG37" s="281">
        <f t="shared" si="68"/>
        <v>0</v>
      </c>
      <c r="AH37" s="282">
        <f t="shared" si="68"/>
        <v>0</v>
      </c>
      <c r="AI37" s="281">
        <f t="shared" si="68"/>
        <v>0</v>
      </c>
      <c r="AJ37" s="283">
        <f t="shared" si="68"/>
        <v>0</v>
      </c>
      <c r="AK37" s="281"/>
      <c r="AL37" s="281">
        <f t="shared" si="68"/>
        <v>0</v>
      </c>
      <c r="AM37" s="281">
        <f t="shared" si="68"/>
        <v>0</v>
      </c>
      <c r="AN37" s="281">
        <f t="shared" si="68"/>
        <v>0</v>
      </c>
      <c r="AO37" s="281">
        <f t="shared" si="68"/>
        <v>0</v>
      </c>
      <c r="AP37" s="281">
        <f t="shared" si="68"/>
        <v>0</v>
      </c>
      <c r="AQ37" s="284">
        <f t="shared" si="68"/>
        <v>0</v>
      </c>
      <c r="AR37" s="285">
        <f t="shared" si="68"/>
        <v>0</v>
      </c>
      <c r="AS37" s="285">
        <f t="shared" si="68"/>
        <v>0</v>
      </c>
      <c r="AT37" s="285">
        <f t="shared" si="68"/>
        <v>0</v>
      </c>
      <c r="AU37" s="285">
        <f t="shared" si="68"/>
        <v>0</v>
      </c>
      <c r="AV37" s="281"/>
      <c r="AW37" s="286">
        <f t="shared" ref="AW37" si="69">SUM(AW32:AW36)</f>
        <v>0</v>
      </c>
    </row>
    <row r="38" spans="1:49" x14ac:dyDescent="0.25">
      <c r="E38" s="222"/>
      <c r="T38" s="1"/>
      <c r="U38" s="1"/>
      <c r="V38" s="41"/>
      <c r="W38" s="1"/>
      <c r="X38" s="1"/>
      <c r="Y38" s="1"/>
      <c r="Z38" s="1"/>
      <c r="AA38" s="15"/>
      <c r="AB38" s="15"/>
      <c r="AC38" s="1"/>
      <c r="AD38" s="1"/>
      <c r="AE38" s="1"/>
      <c r="AF38" s="1"/>
      <c r="AG38" s="1"/>
      <c r="AH38" s="1"/>
      <c r="AI38" s="1"/>
      <c r="AJ38" s="1"/>
      <c r="AL38" s="1"/>
      <c r="AM38" s="1"/>
      <c r="AN38" s="1"/>
      <c r="AO38" s="1"/>
      <c r="AP38" s="1"/>
      <c r="AQ38" s="17"/>
      <c r="AR38" s="72"/>
      <c r="AS38" s="25"/>
      <c r="AV38" s="220"/>
    </row>
    <row r="39" spans="1:49" x14ac:dyDescent="0.25">
      <c r="D39" s="100" t="s">
        <v>16</v>
      </c>
      <c r="E39" s="101">
        <v>6</v>
      </c>
      <c r="F39" s="102"/>
      <c r="G39" s="102"/>
      <c r="H39" s="102"/>
      <c r="I39" s="102"/>
      <c r="J39" s="102"/>
      <c r="K39" s="102"/>
      <c r="L39" s="102"/>
      <c r="M39" s="102">
        <v>0</v>
      </c>
      <c r="N39" s="102"/>
      <c r="O39" s="102">
        <v>0</v>
      </c>
      <c r="P39" s="102"/>
      <c r="Q39" s="102"/>
      <c r="R39" s="102"/>
      <c r="S39" s="102"/>
      <c r="T39" s="160"/>
      <c r="U39" s="103"/>
      <c r="V39" s="104">
        <f t="shared" si="0"/>
        <v>0</v>
      </c>
      <c r="W39" s="103">
        <f t="shared" si="18"/>
        <v>0</v>
      </c>
      <c r="X39" s="103">
        <f t="shared" si="1"/>
        <v>0</v>
      </c>
      <c r="Y39" s="103">
        <f>IF(AV39&lt;0,0,(X39-134.62)*0.057)</f>
        <v>0</v>
      </c>
      <c r="Z39" s="103"/>
      <c r="AA39" s="105">
        <f>V39*1.2%</f>
        <v>0</v>
      </c>
      <c r="AB39" s="105"/>
      <c r="AC39" s="103">
        <f>V39*0.494%</f>
        <v>0</v>
      </c>
      <c r="AD39" s="103"/>
      <c r="AE39" s="103"/>
      <c r="AF39" s="103"/>
      <c r="AG39" s="103">
        <f t="shared" si="5"/>
        <v>0</v>
      </c>
      <c r="AH39" s="276">
        <f>IF(VLOOKUP(AG39,'Table 26'!$A$2:$C$438,2,TRUE)&gt;=VLOOKUP(AG39,'Table 26'!$C$2:$D$438,2,TRUE),MAX(VLOOKUP(AG39,'Table 26'!$A$2:$B$438,2,TRUE),VLOOKUP(AG39,'Table 26'!$C$2:$D$438,2,TRUE)),0)</f>
        <v>0</v>
      </c>
      <c r="AI39" s="103">
        <f>X39-AF39</f>
        <v>0</v>
      </c>
      <c r="AJ39" s="277">
        <f>IF(VLOOKUP(AI39,'Table 26'!$E$2:$F$306,2,TRUE)&gt;=VLOOKUP(AI39,'Table 26'!$G$2:$H$306,2,TRUE),MAX(VLOOKUP(AI39,'Table 26'!$E$2:$F$306,2,TRUE),VLOOKUP(AI39,'Table 26'!$G$2:$H$306,2,TRUE)),0)</f>
        <v>0</v>
      </c>
      <c r="AK39" s="102"/>
      <c r="AL39" s="103">
        <f t="shared" si="16"/>
        <v>0</v>
      </c>
      <c r="AM39" s="103">
        <f t="shared" si="7"/>
        <v>0</v>
      </c>
      <c r="AN39" s="103">
        <f t="shared" si="8"/>
        <v>0</v>
      </c>
      <c r="AO39" s="103"/>
      <c r="AP39" s="103">
        <f>AM39+AN39+AO39</f>
        <v>0</v>
      </c>
      <c r="AQ39" s="252">
        <f>V39*0.692%</f>
        <v>0</v>
      </c>
      <c r="AR39" s="101"/>
      <c r="AS39" s="102"/>
      <c r="AT39" s="102"/>
      <c r="AU39" s="102"/>
      <c r="AV39" s="256">
        <f>(X39-134.62)*0.057</f>
        <v>-7.6733400000000005</v>
      </c>
      <c r="AW39" s="255">
        <f>T39*0.04</f>
        <v>0</v>
      </c>
    </row>
    <row r="40" spans="1:49" x14ac:dyDescent="0.25">
      <c r="C40">
        <v>12</v>
      </c>
      <c r="D40" s="107" t="s">
        <v>16</v>
      </c>
      <c r="E40" s="271">
        <v>13</v>
      </c>
      <c r="F40" s="30"/>
      <c r="G40" s="30"/>
      <c r="H40" s="30"/>
      <c r="I40" s="30"/>
      <c r="J40" s="30"/>
      <c r="K40" s="30"/>
      <c r="L40" s="30"/>
      <c r="M40" s="30">
        <v>0</v>
      </c>
      <c r="N40" s="30"/>
      <c r="O40" s="30">
        <v>0</v>
      </c>
      <c r="P40" s="123"/>
      <c r="Q40" s="30"/>
      <c r="R40" s="30">
        <f>P39+P40</f>
        <v>0</v>
      </c>
      <c r="S40" s="30">
        <f>Q39+Q40</f>
        <v>0</v>
      </c>
      <c r="T40" s="160"/>
      <c r="U40" s="109"/>
      <c r="V40" s="110">
        <f t="shared" si="0"/>
        <v>0</v>
      </c>
      <c r="W40" s="109">
        <f t="shared" si="18"/>
        <v>0</v>
      </c>
      <c r="X40" s="109">
        <f t="shared" si="1"/>
        <v>0</v>
      </c>
      <c r="Y40" s="109">
        <f t="shared" ref="Y40:Y43" si="70">IF(AV40&lt;0,0,(X40-134.62)*0.057)</f>
        <v>0</v>
      </c>
      <c r="Z40" s="109"/>
      <c r="AA40" s="111">
        <f t="shared" ref="AA40:AA43" si="71">V40*1.2%</f>
        <v>0</v>
      </c>
      <c r="AB40" s="111"/>
      <c r="AC40" s="109">
        <f t="shared" ref="AC40:AC43" si="72">V40*0.494%</f>
        <v>0</v>
      </c>
      <c r="AD40" s="109"/>
      <c r="AE40" s="109"/>
      <c r="AF40" s="109"/>
      <c r="AG40" s="109">
        <f t="shared" si="5"/>
        <v>0</v>
      </c>
      <c r="AH40" s="156">
        <f>IF(VLOOKUP(AG40,'Table 26'!$A$2:$C$438,2,TRUE)&gt;=VLOOKUP(AG40,'Table 26'!$C$2:$D$438,2,TRUE),MAX(VLOOKUP(AG40,'Table 26'!$A$2:$B$438,2,TRUE),VLOOKUP(AG40,'Table 26'!$C$2:$D$438,2,TRUE)),0)</f>
        <v>0</v>
      </c>
      <c r="AI40" s="109">
        <f t="shared" ref="AI40:AI43" si="73">X40-AF40</f>
        <v>0</v>
      </c>
      <c r="AJ40" s="158">
        <f>IF(VLOOKUP(AI40,'Table 26'!$E$2:$F$306,2,TRUE)&gt;=VLOOKUP(AI40,'Table 26'!$G$2:$H$306,2,TRUE),MAX(VLOOKUP(AI40,'Table 26'!$E$2:$F$306,2,TRUE),VLOOKUP(AI40,'Table 26'!$G$2:$H$306,2,TRUE)),0)</f>
        <v>0</v>
      </c>
      <c r="AK40" s="109"/>
      <c r="AL40" s="109">
        <f t="shared" si="16"/>
        <v>0</v>
      </c>
      <c r="AM40" s="109">
        <f t="shared" si="7"/>
        <v>0</v>
      </c>
      <c r="AN40" s="109">
        <f t="shared" si="8"/>
        <v>0</v>
      </c>
      <c r="AO40" s="109"/>
      <c r="AP40" s="273">
        <f t="shared" ref="AP40:AP43" si="74">AM40+AN40+AO40</f>
        <v>0</v>
      </c>
      <c r="AQ40" s="253">
        <f t="shared" ref="AQ40:AQ43" si="75">V40*0.692%</f>
        <v>0</v>
      </c>
      <c r="AR40" s="72">
        <f>O40*5.335</f>
        <v>0</v>
      </c>
      <c r="AS40" s="25">
        <f>2*O40</f>
        <v>0</v>
      </c>
      <c r="AT40" s="25">
        <f>0.04*O40</f>
        <v>0</v>
      </c>
      <c r="AU40" s="25"/>
      <c r="AV40" s="220">
        <f t="shared" ref="AV40:AV43" si="76">(X40-134.62)*0.057</f>
        <v>-7.6733400000000005</v>
      </c>
      <c r="AW40" s="238">
        <f t="shared" ref="AW40:AW43" si="77">T40*0.04</f>
        <v>0</v>
      </c>
    </row>
    <row r="41" spans="1:49" x14ac:dyDescent="0.25">
      <c r="D41" s="107" t="s">
        <v>16</v>
      </c>
      <c r="E41" s="221">
        <v>20</v>
      </c>
      <c r="F41" s="30"/>
      <c r="G41" s="30"/>
      <c r="H41" s="30"/>
      <c r="I41" s="30"/>
      <c r="J41" s="30"/>
      <c r="K41" s="30"/>
      <c r="L41" s="30"/>
      <c r="M41" s="30">
        <v>0</v>
      </c>
      <c r="N41" s="30"/>
      <c r="O41" s="30">
        <v>0</v>
      </c>
      <c r="P41" s="123"/>
      <c r="Q41" s="30"/>
      <c r="R41" s="30"/>
      <c r="S41" s="30"/>
      <c r="T41" s="160"/>
      <c r="U41" s="109"/>
      <c r="V41" s="110">
        <f t="shared" si="0"/>
        <v>0</v>
      </c>
      <c r="W41" s="109">
        <f t="shared" si="18"/>
        <v>0</v>
      </c>
      <c r="X41" s="109">
        <f t="shared" si="1"/>
        <v>0</v>
      </c>
      <c r="Y41" s="109">
        <f t="shared" si="70"/>
        <v>0</v>
      </c>
      <c r="Z41" s="109"/>
      <c r="AA41" s="111">
        <f t="shared" si="71"/>
        <v>0</v>
      </c>
      <c r="AB41" s="111"/>
      <c r="AC41" s="109">
        <f t="shared" si="72"/>
        <v>0</v>
      </c>
      <c r="AD41" s="109"/>
      <c r="AE41" s="109"/>
      <c r="AF41" s="109"/>
      <c r="AG41" s="109">
        <f t="shared" si="5"/>
        <v>0</v>
      </c>
      <c r="AH41" s="156">
        <f>IF(VLOOKUP(AG41,'Table 26'!$A$2:$C$438,2,TRUE)&gt;=VLOOKUP(AG41,'Table 26'!$C$2:$D$438,2,TRUE),MAX(VLOOKUP(AG41,'Table 26'!$A$2:$B$438,2,TRUE),VLOOKUP(AG41,'Table 26'!$C$2:$D$438,2,TRUE)),0)</f>
        <v>0</v>
      </c>
      <c r="AI41" s="109">
        <f t="shared" si="73"/>
        <v>0</v>
      </c>
      <c r="AJ41" s="158">
        <f>IF(VLOOKUP(AI41,'Table 26'!$E$2:$F$306,2,TRUE)&gt;=VLOOKUP(AI41,'Table 26'!$G$2:$H$306,2,TRUE),MAX(VLOOKUP(AI41,'Table 26'!$E$2:$F$306,2,TRUE),VLOOKUP(AI41,'Table 26'!$G$2:$H$306,2,TRUE)),0)</f>
        <v>0</v>
      </c>
      <c r="AK41" s="109"/>
      <c r="AL41" s="109">
        <f t="shared" si="16"/>
        <v>0</v>
      </c>
      <c r="AM41" s="109">
        <f t="shared" si="7"/>
        <v>0</v>
      </c>
      <c r="AN41" s="109">
        <f t="shared" si="8"/>
        <v>0</v>
      </c>
      <c r="AO41" s="109"/>
      <c r="AP41" s="109">
        <f t="shared" si="74"/>
        <v>0</v>
      </c>
      <c r="AQ41" s="253">
        <f t="shared" si="75"/>
        <v>0</v>
      </c>
      <c r="AR41" s="72">
        <f t="shared" ref="AR41:AR43" si="78">O41*5.335</f>
        <v>0</v>
      </c>
      <c r="AS41" s="25">
        <f t="shared" ref="AS41:AS43" si="79">2*O41</f>
        <v>0</v>
      </c>
      <c r="AT41" s="25">
        <f t="shared" ref="AT41:AT43" si="80">0.04*O41</f>
        <v>0</v>
      </c>
      <c r="AV41" s="220">
        <f t="shared" si="76"/>
        <v>-7.6733400000000005</v>
      </c>
      <c r="AW41" s="238">
        <f t="shared" si="77"/>
        <v>0</v>
      </c>
    </row>
    <row r="42" spans="1:49" x14ac:dyDescent="0.25">
      <c r="C42">
        <v>13</v>
      </c>
      <c r="D42" s="107" t="s">
        <v>16</v>
      </c>
      <c r="E42" s="271">
        <v>27</v>
      </c>
      <c r="F42" s="30"/>
      <c r="G42" s="30"/>
      <c r="H42" s="30"/>
      <c r="I42" s="30"/>
      <c r="J42" s="30"/>
      <c r="K42" s="30"/>
      <c r="L42" s="30"/>
      <c r="M42" s="30">
        <v>0</v>
      </c>
      <c r="N42" s="30"/>
      <c r="O42" s="30">
        <v>0</v>
      </c>
      <c r="P42" s="123"/>
      <c r="Q42" s="30"/>
      <c r="R42" s="30">
        <f>P41+P42</f>
        <v>0</v>
      </c>
      <c r="S42" s="30">
        <f>Q41+Q42</f>
        <v>0</v>
      </c>
      <c r="T42" s="160"/>
      <c r="U42" s="109"/>
      <c r="V42" s="110">
        <f t="shared" si="0"/>
        <v>0</v>
      </c>
      <c r="W42" s="109">
        <f t="shared" si="18"/>
        <v>0</v>
      </c>
      <c r="X42" s="109">
        <f t="shared" si="1"/>
        <v>0</v>
      </c>
      <c r="Y42" s="109">
        <f t="shared" si="70"/>
        <v>0</v>
      </c>
      <c r="Z42" s="109"/>
      <c r="AA42" s="111">
        <f t="shared" si="71"/>
        <v>0</v>
      </c>
      <c r="AB42" s="111"/>
      <c r="AC42" s="109">
        <f t="shared" si="72"/>
        <v>0</v>
      </c>
      <c r="AD42" s="109"/>
      <c r="AE42" s="109"/>
      <c r="AF42" s="109"/>
      <c r="AG42" s="109">
        <f t="shared" si="5"/>
        <v>0</v>
      </c>
      <c r="AH42" s="156">
        <f>IF(VLOOKUP(AG42,'Table 26'!$A$2:$C$438,2,TRUE)&gt;=VLOOKUP(AG42,'Table 26'!$C$2:$D$438,2,TRUE),MAX(VLOOKUP(AG42,'Table 26'!$A$2:$B$438,2,TRUE),VLOOKUP(AG42,'Table 26'!$C$2:$D$438,2,TRUE)),0)</f>
        <v>0</v>
      </c>
      <c r="AI42" s="109"/>
      <c r="AJ42" s="158">
        <f>IF(VLOOKUP(AI42,'Table 26'!$E$2:$F$306,2,TRUE)&gt;=VLOOKUP(AI42,'Table 26'!$G$2:$H$306,2,TRUE),MAX(VLOOKUP(AI42,'Table 26'!$E$2:$F$306,2,TRUE),VLOOKUP(AI42,'Table 26'!$G$2:$H$306,2,TRUE)),0)</f>
        <v>0</v>
      </c>
      <c r="AK42" s="109"/>
      <c r="AL42" s="109">
        <f t="shared" si="16"/>
        <v>0</v>
      </c>
      <c r="AM42" s="109">
        <f t="shared" si="7"/>
        <v>0</v>
      </c>
      <c r="AN42" s="109">
        <f t="shared" si="8"/>
        <v>0</v>
      </c>
      <c r="AO42" s="109"/>
      <c r="AP42" s="273">
        <f t="shared" si="74"/>
        <v>0</v>
      </c>
      <c r="AQ42" s="253">
        <f t="shared" si="75"/>
        <v>0</v>
      </c>
      <c r="AR42" s="72">
        <f t="shared" si="78"/>
        <v>0</v>
      </c>
      <c r="AS42" s="25">
        <f t="shared" si="79"/>
        <v>0</v>
      </c>
      <c r="AT42" s="25">
        <f t="shared" si="80"/>
        <v>0</v>
      </c>
      <c r="AV42" s="220">
        <f t="shared" si="76"/>
        <v>-7.6733400000000005</v>
      </c>
      <c r="AW42" s="238">
        <f t="shared" si="77"/>
        <v>0</v>
      </c>
    </row>
    <row r="43" spans="1:49" x14ac:dyDescent="0.25">
      <c r="D43" s="124" t="s">
        <v>137</v>
      </c>
      <c r="E43" s="221"/>
      <c r="F43" s="30"/>
      <c r="G43" s="30"/>
      <c r="H43" s="30"/>
      <c r="I43" s="30"/>
      <c r="J43" s="30"/>
      <c r="K43" s="30"/>
      <c r="L43" s="30"/>
      <c r="M43" s="30">
        <v>0</v>
      </c>
      <c r="N43" s="30"/>
      <c r="O43" s="30">
        <v>0</v>
      </c>
      <c r="P43" s="30"/>
      <c r="Q43" s="30"/>
      <c r="R43" s="30"/>
      <c r="S43" s="30"/>
      <c r="T43" s="160"/>
      <c r="U43" s="216"/>
      <c r="V43" s="217">
        <f t="shared" si="0"/>
        <v>0</v>
      </c>
      <c r="W43" s="121">
        <f t="shared" si="18"/>
        <v>0</v>
      </c>
      <c r="X43" s="121">
        <f t="shared" si="1"/>
        <v>0</v>
      </c>
      <c r="Y43" s="121">
        <f t="shared" si="70"/>
        <v>0</v>
      </c>
      <c r="Z43" s="121"/>
      <c r="AA43" s="131">
        <f t="shared" si="71"/>
        <v>0</v>
      </c>
      <c r="AB43" s="131"/>
      <c r="AC43" s="121">
        <f t="shared" si="72"/>
        <v>0</v>
      </c>
      <c r="AD43" s="121"/>
      <c r="AE43" s="121"/>
      <c r="AF43" s="121"/>
      <c r="AG43" s="121">
        <f t="shared" si="5"/>
        <v>0</v>
      </c>
      <c r="AH43" s="157">
        <f>IF(VLOOKUP(AG43,'Table 26'!$A$2:$C$438,2,TRUE)&gt;=VLOOKUP(AG43,'Table 26'!$C$2:$D$438,2,TRUE),MAX(VLOOKUP(AG43,'Table 26'!$A$2:$B$438,2,TRUE),VLOOKUP(AG43,'Table 26'!$C$2:$D$438,2,TRUE)),0)</f>
        <v>0</v>
      </c>
      <c r="AI43" s="121">
        <f t="shared" si="73"/>
        <v>0</v>
      </c>
      <c r="AJ43" s="159">
        <f>IF(VLOOKUP(AI43,'Table 26'!$E$2:$F$306,2,TRUE)&gt;=VLOOKUP(AI43,'Table 26'!$G$2:$H$306,2,TRUE),MAX(VLOOKUP(AI43,'Table 26'!$E$2:$F$306,2,TRUE),VLOOKUP(AI43,'Table 26'!$G$2:$H$306,2,TRUE)),0)</f>
        <v>0</v>
      </c>
      <c r="AK43" s="121"/>
      <c r="AL43" s="121">
        <f t="shared" si="16"/>
        <v>0</v>
      </c>
      <c r="AM43" s="121">
        <f t="shared" si="7"/>
        <v>0</v>
      </c>
      <c r="AN43" s="121">
        <f t="shared" si="8"/>
        <v>0</v>
      </c>
      <c r="AO43" s="121"/>
      <c r="AP43" s="121">
        <f t="shared" si="74"/>
        <v>0</v>
      </c>
      <c r="AQ43" s="254">
        <f t="shared" si="75"/>
        <v>0</v>
      </c>
      <c r="AR43" s="72">
        <f t="shared" si="78"/>
        <v>0</v>
      </c>
      <c r="AS43" s="25">
        <f t="shared" si="79"/>
        <v>0</v>
      </c>
      <c r="AT43" s="25">
        <f t="shared" si="80"/>
        <v>0</v>
      </c>
      <c r="AV43" s="220">
        <f t="shared" si="76"/>
        <v>-7.6733400000000005</v>
      </c>
      <c r="AW43" s="238">
        <f t="shared" si="77"/>
        <v>0</v>
      </c>
    </row>
    <row r="44" spans="1:49" ht="13.8" thickBot="1" x14ac:dyDescent="0.3">
      <c r="A44" s="4"/>
      <c r="B44" s="4"/>
      <c r="C44" s="4"/>
      <c r="D44" s="278" t="s">
        <v>33</v>
      </c>
      <c r="E44" s="287"/>
      <c r="F44" s="280"/>
      <c r="G44" s="280"/>
      <c r="H44" s="280"/>
      <c r="I44" s="280"/>
      <c r="J44" s="280"/>
      <c r="K44" s="280"/>
      <c r="L44" s="280"/>
      <c r="M44" s="280">
        <v>0</v>
      </c>
      <c r="N44" s="280">
        <v>0</v>
      </c>
      <c r="O44" s="280">
        <v>0</v>
      </c>
      <c r="P44" s="280"/>
      <c r="Q44" s="280"/>
      <c r="R44" s="280"/>
      <c r="S44" s="280"/>
      <c r="T44" s="281">
        <f>SUM(T39:T43)</f>
        <v>0</v>
      </c>
      <c r="U44" s="281">
        <f t="shared" ref="U44:AU44" si="81">SUM(U39:U43)</f>
        <v>0</v>
      </c>
      <c r="V44" s="281">
        <f t="shared" si="81"/>
        <v>0</v>
      </c>
      <c r="W44" s="281">
        <f t="shared" si="81"/>
        <v>0</v>
      </c>
      <c r="X44" s="281">
        <f t="shared" si="81"/>
        <v>0</v>
      </c>
      <c r="Y44" s="281">
        <f t="shared" si="81"/>
        <v>0</v>
      </c>
      <c r="Z44" s="281">
        <f t="shared" si="81"/>
        <v>0</v>
      </c>
      <c r="AA44" s="281">
        <f t="shared" si="81"/>
        <v>0</v>
      </c>
      <c r="AB44" s="281">
        <f t="shared" si="81"/>
        <v>0</v>
      </c>
      <c r="AC44" s="281">
        <f t="shared" si="81"/>
        <v>0</v>
      </c>
      <c r="AD44" s="281"/>
      <c r="AE44" s="281">
        <f t="shared" si="81"/>
        <v>0</v>
      </c>
      <c r="AF44" s="281"/>
      <c r="AG44" s="281">
        <f t="shared" si="81"/>
        <v>0</v>
      </c>
      <c r="AH44" s="282">
        <f t="shared" si="81"/>
        <v>0</v>
      </c>
      <c r="AI44" s="281">
        <f t="shared" si="81"/>
        <v>0</v>
      </c>
      <c r="AJ44" s="283">
        <f t="shared" si="81"/>
        <v>0</v>
      </c>
      <c r="AK44" s="281"/>
      <c r="AL44" s="281">
        <f t="shared" si="81"/>
        <v>0</v>
      </c>
      <c r="AM44" s="281">
        <f t="shared" si="81"/>
        <v>0</v>
      </c>
      <c r="AN44" s="281">
        <f t="shared" si="81"/>
        <v>0</v>
      </c>
      <c r="AO44" s="281">
        <f>SUM(AO39:AO43)</f>
        <v>0</v>
      </c>
      <c r="AP44" s="281">
        <f t="shared" si="81"/>
        <v>0</v>
      </c>
      <c r="AQ44" s="284">
        <f t="shared" si="81"/>
        <v>0</v>
      </c>
      <c r="AR44" s="285">
        <f t="shared" si="81"/>
        <v>0</v>
      </c>
      <c r="AS44" s="285">
        <f t="shared" si="81"/>
        <v>0</v>
      </c>
      <c r="AT44" s="285">
        <f t="shared" si="81"/>
        <v>0</v>
      </c>
      <c r="AU44" s="285">
        <f t="shared" si="81"/>
        <v>0</v>
      </c>
      <c r="AV44" s="281"/>
      <c r="AW44" s="286">
        <f t="shared" ref="AW44" si="82">SUM(AW39:AW43)</f>
        <v>0</v>
      </c>
    </row>
    <row r="45" spans="1:49" x14ac:dyDescent="0.25">
      <c r="E45" s="222"/>
      <c r="T45" s="1"/>
      <c r="U45" s="1"/>
      <c r="V45" s="41"/>
      <c r="W45" s="1"/>
      <c r="X45" s="1"/>
      <c r="Y45" s="1"/>
      <c r="Z45" s="1"/>
      <c r="AA45" s="15"/>
      <c r="AB45" s="15"/>
      <c r="AC45" s="1"/>
      <c r="AD45" s="1"/>
      <c r="AE45" s="1"/>
      <c r="AF45" s="1"/>
      <c r="AG45" s="1"/>
      <c r="AH45" s="1"/>
      <c r="AI45" s="1"/>
      <c r="AJ45" s="1"/>
      <c r="AL45" s="1"/>
      <c r="AM45" s="1"/>
      <c r="AN45" s="1"/>
      <c r="AO45" s="1"/>
      <c r="AP45" s="1"/>
      <c r="AQ45" s="17"/>
      <c r="AR45" s="72"/>
      <c r="AS45" s="25"/>
      <c r="AV45" s="220"/>
    </row>
    <row r="46" spans="1:49" x14ac:dyDescent="0.25">
      <c r="D46" s="100" t="s">
        <v>17</v>
      </c>
      <c r="E46" s="101">
        <v>4</v>
      </c>
      <c r="F46" s="102"/>
      <c r="G46" s="102"/>
      <c r="H46" s="102"/>
      <c r="I46" s="102"/>
      <c r="J46" s="102"/>
      <c r="K46" s="102"/>
      <c r="L46" s="102"/>
      <c r="M46" s="102">
        <v>0</v>
      </c>
      <c r="N46" s="102"/>
      <c r="O46" s="102">
        <v>0</v>
      </c>
      <c r="P46" s="102"/>
      <c r="Q46" s="102"/>
      <c r="R46" s="102"/>
      <c r="S46" s="102"/>
      <c r="T46" s="160"/>
      <c r="U46" s="103"/>
      <c r="V46" s="104">
        <f t="shared" si="0"/>
        <v>0</v>
      </c>
      <c r="W46" s="103">
        <f t="shared" si="18"/>
        <v>0</v>
      </c>
      <c r="X46" s="103">
        <f t="shared" si="1"/>
        <v>0</v>
      </c>
      <c r="Y46" s="103">
        <f>IF(AV46&lt;0,0,(X46-134.62)*0.057)</f>
        <v>0</v>
      </c>
      <c r="Z46" s="103"/>
      <c r="AA46" s="105">
        <f>V46*1.2%</f>
        <v>0</v>
      </c>
      <c r="AB46" s="105"/>
      <c r="AC46" s="103">
        <f>V46*0.494%</f>
        <v>0</v>
      </c>
      <c r="AD46" s="103"/>
      <c r="AE46" s="103"/>
      <c r="AF46" s="103"/>
      <c r="AG46" s="103">
        <f t="shared" si="5"/>
        <v>0</v>
      </c>
      <c r="AH46" s="276">
        <f>IF(VLOOKUP(AG46,'Table 26'!$A$2:$C$438,2,TRUE)&gt;=VLOOKUP(AG46,'Table 26'!$C$2:$D$438,2,TRUE),MAX(VLOOKUP(AG46,'Table 26'!$A$2:$B$438,2,TRUE),VLOOKUP(AG46,'Table 26'!$C$2:$D$438,2,TRUE)),0)</f>
        <v>0</v>
      </c>
      <c r="AI46" s="103">
        <f>X46-AF46</f>
        <v>0</v>
      </c>
      <c r="AJ46" s="277">
        <f>IF(VLOOKUP(AI46,'Table 26'!$E$2:$F$306,2,TRUE)&gt;=VLOOKUP(AI46,'Table 26'!$G$2:$H$306,2,TRUE),MAX(VLOOKUP(AI46,'Table 26'!$E$2:$F$306,2,TRUE),VLOOKUP(AI46,'Table 26'!$G$2:$H$306,2,TRUE)),0)</f>
        <v>0</v>
      </c>
      <c r="AK46" s="102"/>
      <c r="AL46" s="103">
        <f t="shared" si="16"/>
        <v>0</v>
      </c>
      <c r="AM46" s="103">
        <f t="shared" si="7"/>
        <v>0</v>
      </c>
      <c r="AN46" s="103">
        <f t="shared" si="8"/>
        <v>0</v>
      </c>
      <c r="AO46" s="103"/>
      <c r="AP46" s="103">
        <f>AM46+AN46+AO46</f>
        <v>0</v>
      </c>
      <c r="AQ46" s="252">
        <f>V46*0.692%</f>
        <v>0</v>
      </c>
      <c r="AR46" s="101"/>
      <c r="AS46" s="102"/>
      <c r="AT46" s="102"/>
      <c r="AU46" s="102"/>
      <c r="AV46" s="256">
        <f>(X46-134.62)*0.057</f>
        <v>-7.6733400000000005</v>
      </c>
      <c r="AW46" s="255">
        <f>T46*0.04</f>
        <v>0</v>
      </c>
    </row>
    <row r="47" spans="1:49" x14ac:dyDescent="0.25">
      <c r="C47">
        <v>14</v>
      </c>
      <c r="D47" s="107" t="s">
        <v>17</v>
      </c>
      <c r="E47" s="271">
        <v>11</v>
      </c>
      <c r="F47" s="30"/>
      <c r="G47" s="30"/>
      <c r="H47" s="30"/>
      <c r="I47" s="30"/>
      <c r="J47" s="30"/>
      <c r="K47" s="30"/>
      <c r="L47" s="30"/>
      <c r="M47" s="30">
        <v>0</v>
      </c>
      <c r="N47" s="30"/>
      <c r="O47" s="30">
        <v>0</v>
      </c>
      <c r="P47" s="30"/>
      <c r="Q47" s="30"/>
      <c r="R47" s="30">
        <f>P46+P47</f>
        <v>0</v>
      </c>
      <c r="S47" s="30">
        <f>Q46+Q47</f>
        <v>0</v>
      </c>
      <c r="T47" s="160"/>
      <c r="U47" s="109"/>
      <c r="V47" s="110">
        <f t="shared" si="0"/>
        <v>0</v>
      </c>
      <c r="W47" s="109">
        <f t="shared" si="18"/>
        <v>0</v>
      </c>
      <c r="X47" s="109">
        <f t="shared" si="1"/>
        <v>0</v>
      </c>
      <c r="Y47" s="109">
        <f t="shared" ref="Y47:Y50" si="83">IF(AV47&lt;0,0,(X47-134.62)*0.057)</f>
        <v>0</v>
      </c>
      <c r="Z47" s="109"/>
      <c r="AA47" s="111">
        <f t="shared" ref="AA47:AA50" si="84">V47*1.2%</f>
        <v>0</v>
      </c>
      <c r="AB47" s="111"/>
      <c r="AC47" s="109">
        <f t="shared" ref="AC47:AC50" si="85">V47*0.494%</f>
        <v>0</v>
      </c>
      <c r="AD47" s="109"/>
      <c r="AE47" s="109"/>
      <c r="AF47" s="109"/>
      <c r="AG47" s="109">
        <f t="shared" si="5"/>
        <v>0</v>
      </c>
      <c r="AH47" s="156">
        <f>IF(VLOOKUP(AG47,'Table 26'!$A$2:$C$438,2,TRUE)&gt;=VLOOKUP(AG47,'Table 26'!$C$2:$D$438,2,TRUE),MAX(VLOOKUP(AG47,'Table 26'!$A$2:$B$438,2,TRUE),VLOOKUP(AG47,'Table 26'!$C$2:$D$438,2,TRUE)),0)</f>
        <v>0</v>
      </c>
      <c r="AI47" s="109">
        <f t="shared" ref="AI47:AI50" si="86">X47-AF47</f>
        <v>0</v>
      </c>
      <c r="AJ47" s="158">
        <f>IF(VLOOKUP(AI47,'Table 26'!$E$2:$F$306,2,TRUE)&gt;=VLOOKUP(AI47,'Table 26'!$G$2:$H$306,2,TRUE),MAX(VLOOKUP(AI47,'Table 26'!$E$2:$F$306,2,TRUE),VLOOKUP(AI47,'Table 26'!$G$2:$H$306,2,TRUE)),0)</f>
        <v>0</v>
      </c>
      <c r="AK47" s="109"/>
      <c r="AL47" s="109">
        <f t="shared" si="16"/>
        <v>0</v>
      </c>
      <c r="AM47" s="109">
        <f t="shared" si="7"/>
        <v>0</v>
      </c>
      <c r="AN47" s="109">
        <f t="shared" si="8"/>
        <v>0</v>
      </c>
      <c r="AO47" s="109"/>
      <c r="AP47" s="273">
        <f t="shared" ref="AP47:AP50" si="87">AM47+AN47+AO47</f>
        <v>0</v>
      </c>
      <c r="AQ47" s="253">
        <f t="shared" ref="AQ47:AQ50" si="88">V47*0.692%</f>
        <v>0</v>
      </c>
      <c r="AR47" s="72">
        <f>O47*5.335</f>
        <v>0</v>
      </c>
      <c r="AS47" s="25">
        <f>2*O47</f>
        <v>0</v>
      </c>
      <c r="AT47" s="25">
        <f>0.04*O47</f>
        <v>0</v>
      </c>
      <c r="AU47" s="25"/>
      <c r="AV47" s="220">
        <f t="shared" ref="AV47:AV50" si="89">(X47-134.62)*0.057</f>
        <v>-7.6733400000000005</v>
      </c>
      <c r="AW47" s="238">
        <f t="shared" ref="AW47:AW50" si="90">T47*0.04</f>
        <v>0</v>
      </c>
    </row>
    <row r="48" spans="1:49" x14ac:dyDescent="0.25">
      <c r="D48" s="107" t="s">
        <v>17</v>
      </c>
      <c r="E48" s="221">
        <v>18</v>
      </c>
      <c r="F48" s="30"/>
      <c r="G48" s="30"/>
      <c r="H48" s="30"/>
      <c r="I48" s="30"/>
      <c r="J48" s="30"/>
      <c r="K48" s="30"/>
      <c r="L48" s="30"/>
      <c r="M48" s="30">
        <v>0</v>
      </c>
      <c r="N48" s="30"/>
      <c r="O48" s="30">
        <v>0</v>
      </c>
      <c r="P48" s="30"/>
      <c r="Q48" s="30"/>
      <c r="R48" s="30"/>
      <c r="S48" s="30"/>
      <c r="T48" s="160"/>
      <c r="U48" s="109"/>
      <c r="V48" s="110">
        <f t="shared" si="0"/>
        <v>0</v>
      </c>
      <c r="W48" s="109">
        <f t="shared" si="18"/>
        <v>0</v>
      </c>
      <c r="X48" s="109">
        <f t="shared" si="1"/>
        <v>0</v>
      </c>
      <c r="Y48" s="109">
        <f t="shared" si="83"/>
        <v>0</v>
      </c>
      <c r="Z48" s="109"/>
      <c r="AA48" s="111">
        <f t="shared" si="84"/>
        <v>0</v>
      </c>
      <c r="AB48" s="111"/>
      <c r="AC48" s="109">
        <f t="shared" si="85"/>
        <v>0</v>
      </c>
      <c r="AD48" s="109"/>
      <c r="AE48" s="109"/>
      <c r="AF48" s="109"/>
      <c r="AG48" s="109">
        <f t="shared" si="5"/>
        <v>0</v>
      </c>
      <c r="AH48" s="156">
        <f>IF(VLOOKUP(AG48,'Table 26'!$A$2:$C$438,2,TRUE)&gt;=VLOOKUP(AG48,'Table 26'!$C$2:$D$438,2,TRUE),MAX(VLOOKUP(AG48,'Table 26'!$A$2:$B$438,2,TRUE),VLOOKUP(AG48,'Table 26'!$C$2:$D$438,2,TRUE)),0)</f>
        <v>0</v>
      </c>
      <c r="AI48" s="109">
        <f t="shared" si="86"/>
        <v>0</v>
      </c>
      <c r="AJ48" s="158">
        <f>IF(VLOOKUP(AI48,'Table 26'!$E$2:$F$306,2,TRUE)&gt;=VLOOKUP(AI48,'Table 26'!$G$2:$H$306,2,TRUE),MAX(VLOOKUP(AI48,'Table 26'!$E$2:$F$306,2,TRUE),VLOOKUP(AI48,'Table 26'!$G$2:$H$306,2,TRUE)),0)</f>
        <v>0</v>
      </c>
      <c r="AK48" s="109"/>
      <c r="AL48" s="109">
        <f t="shared" si="16"/>
        <v>0</v>
      </c>
      <c r="AM48" s="109">
        <f t="shared" si="7"/>
        <v>0</v>
      </c>
      <c r="AN48" s="109">
        <f t="shared" si="8"/>
        <v>0</v>
      </c>
      <c r="AO48" s="109"/>
      <c r="AP48" s="109">
        <f t="shared" si="87"/>
        <v>0</v>
      </c>
      <c r="AQ48" s="253">
        <f t="shared" si="88"/>
        <v>0</v>
      </c>
      <c r="AR48" s="72">
        <f t="shared" ref="AR48:AR50" si="91">O48*5.335</f>
        <v>0</v>
      </c>
      <c r="AS48" s="25">
        <f t="shared" ref="AS48:AS50" si="92">2*O48</f>
        <v>0</v>
      </c>
      <c r="AT48" s="25">
        <f t="shared" ref="AT48:AT50" si="93">0.04*O48</f>
        <v>0</v>
      </c>
      <c r="AV48" s="220">
        <f t="shared" si="89"/>
        <v>-7.6733400000000005</v>
      </c>
      <c r="AW48" s="238">
        <f t="shared" si="90"/>
        <v>0</v>
      </c>
    </row>
    <row r="49" spans="1:49" x14ac:dyDescent="0.25">
      <c r="C49">
        <v>15</v>
      </c>
      <c r="D49" s="107" t="s">
        <v>17</v>
      </c>
      <c r="E49" s="271">
        <v>25</v>
      </c>
      <c r="F49" s="30"/>
      <c r="G49" s="30"/>
      <c r="H49" s="30"/>
      <c r="I49" s="30"/>
      <c r="J49" s="30"/>
      <c r="K49" s="30"/>
      <c r="L49" s="30"/>
      <c r="M49" s="30">
        <v>0</v>
      </c>
      <c r="N49" s="30"/>
      <c r="O49" s="30">
        <v>0</v>
      </c>
      <c r="P49" s="123"/>
      <c r="Q49" s="30"/>
      <c r="R49" s="30">
        <f>P48+P49</f>
        <v>0</v>
      </c>
      <c r="S49" s="30">
        <f>Q48+Q49</f>
        <v>0</v>
      </c>
      <c r="T49" s="160"/>
      <c r="U49" s="125"/>
      <c r="V49" s="110">
        <f t="shared" si="0"/>
        <v>0</v>
      </c>
      <c r="W49" s="109">
        <f t="shared" si="18"/>
        <v>0</v>
      </c>
      <c r="X49" s="109">
        <f t="shared" si="1"/>
        <v>0</v>
      </c>
      <c r="Y49" s="109">
        <f t="shared" si="83"/>
        <v>0</v>
      </c>
      <c r="Z49" s="109"/>
      <c r="AA49" s="111">
        <f t="shared" si="84"/>
        <v>0</v>
      </c>
      <c r="AB49" s="111"/>
      <c r="AC49" s="109">
        <f t="shared" si="85"/>
        <v>0</v>
      </c>
      <c r="AD49" s="109"/>
      <c r="AE49" s="109"/>
      <c r="AF49" s="109"/>
      <c r="AG49" s="109">
        <f t="shared" si="5"/>
        <v>0</v>
      </c>
      <c r="AH49" s="156">
        <f>IF(VLOOKUP(AG49,'Table 26'!$A$2:$C$438,2,TRUE)&gt;=VLOOKUP(AG49,'Table 26'!$C$2:$D$438,2,TRUE),MAX(VLOOKUP(AG49,'Table 26'!$A$2:$B$438,2,TRUE),VLOOKUP(AG49,'Table 26'!$C$2:$D$438,2,TRUE)),0)</f>
        <v>0</v>
      </c>
      <c r="AI49" s="109"/>
      <c r="AJ49" s="158">
        <f>IF(VLOOKUP(AI49,'Table 26'!$E$2:$F$306,2,TRUE)&gt;=VLOOKUP(AI49,'Table 26'!$G$2:$H$306,2,TRUE),MAX(VLOOKUP(AI49,'Table 26'!$E$2:$F$306,2,TRUE),VLOOKUP(AI49,'Table 26'!$G$2:$H$306,2,TRUE)),0)</f>
        <v>0</v>
      </c>
      <c r="AK49" s="109"/>
      <c r="AL49" s="109">
        <f t="shared" si="16"/>
        <v>0</v>
      </c>
      <c r="AM49" s="109">
        <f t="shared" si="7"/>
        <v>0</v>
      </c>
      <c r="AN49" s="109">
        <f t="shared" si="8"/>
        <v>0</v>
      </c>
      <c r="AO49" s="109"/>
      <c r="AP49" s="273">
        <f t="shared" si="87"/>
        <v>0</v>
      </c>
      <c r="AQ49" s="253">
        <f t="shared" si="88"/>
        <v>0</v>
      </c>
      <c r="AR49" s="72">
        <f t="shared" si="91"/>
        <v>0</v>
      </c>
      <c r="AS49" s="25">
        <f t="shared" si="92"/>
        <v>0</v>
      </c>
      <c r="AT49" s="25">
        <f t="shared" si="93"/>
        <v>0</v>
      </c>
      <c r="AV49" s="220">
        <f t="shared" si="89"/>
        <v>-7.6733400000000005</v>
      </c>
      <c r="AW49" s="238">
        <f t="shared" si="90"/>
        <v>0</v>
      </c>
    </row>
    <row r="50" spans="1:49" x14ac:dyDescent="0.25">
      <c r="D50" s="107" t="s">
        <v>52</v>
      </c>
      <c r="E50" s="221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160"/>
      <c r="U50" s="216"/>
      <c r="V50" s="217">
        <f t="shared" si="0"/>
        <v>0</v>
      </c>
      <c r="W50" s="121">
        <f t="shared" si="18"/>
        <v>0</v>
      </c>
      <c r="X50" s="121">
        <f t="shared" si="1"/>
        <v>0</v>
      </c>
      <c r="Y50" s="121">
        <f t="shared" si="83"/>
        <v>0</v>
      </c>
      <c r="Z50" s="121"/>
      <c r="AA50" s="131">
        <f t="shared" si="84"/>
        <v>0</v>
      </c>
      <c r="AB50" s="131"/>
      <c r="AC50" s="121">
        <f t="shared" si="85"/>
        <v>0</v>
      </c>
      <c r="AD50" s="121"/>
      <c r="AE50" s="121"/>
      <c r="AF50" s="121"/>
      <c r="AG50" s="121">
        <f t="shared" si="5"/>
        <v>0</v>
      </c>
      <c r="AH50" s="157">
        <f>IF(VLOOKUP(AG50,'Table 26'!$A$2:$C$438,2,TRUE)&gt;=VLOOKUP(AG50,'Table 26'!$C$2:$D$438,2,TRUE),MAX(VLOOKUP(AG50,'Table 26'!$A$2:$B$438,2,TRUE),VLOOKUP(AG50,'Table 26'!$C$2:$D$438,2,TRUE)),0)</f>
        <v>0</v>
      </c>
      <c r="AI50" s="121">
        <f t="shared" si="86"/>
        <v>0</v>
      </c>
      <c r="AJ50" s="159">
        <f>IF(VLOOKUP(AI50,'Table 26'!$E$2:$F$306,2,TRUE)&gt;=VLOOKUP(AI50,'Table 26'!$G$2:$H$306,2,TRUE),MAX(VLOOKUP(AI50,'Table 26'!$E$2:$F$306,2,TRUE),VLOOKUP(AI50,'Table 26'!$G$2:$H$306,2,TRUE)),0)</f>
        <v>0</v>
      </c>
      <c r="AK50" s="121"/>
      <c r="AL50" s="121">
        <f t="shared" si="16"/>
        <v>0</v>
      </c>
      <c r="AM50" s="121">
        <f t="shared" si="7"/>
        <v>0</v>
      </c>
      <c r="AN50" s="121">
        <f t="shared" si="8"/>
        <v>0</v>
      </c>
      <c r="AO50" s="121"/>
      <c r="AP50" s="121">
        <f t="shared" si="87"/>
        <v>0</v>
      </c>
      <c r="AQ50" s="254">
        <f t="shared" si="88"/>
        <v>0</v>
      </c>
      <c r="AR50" s="72">
        <f t="shared" si="91"/>
        <v>0</v>
      </c>
      <c r="AS50" s="25">
        <f t="shared" si="92"/>
        <v>0</v>
      </c>
      <c r="AT50" s="25">
        <f t="shared" si="93"/>
        <v>0</v>
      </c>
      <c r="AV50" s="220">
        <f t="shared" si="89"/>
        <v>-7.6733400000000005</v>
      </c>
      <c r="AW50" s="238">
        <f t="shared" si="90"/>
        <v>0</v>
      </c>
    </row>
    <row r="51" spans="1:49" ht="13.8" thickBot="1" x14ac:dyDescent="0.3">
      <c r="A51" s="4"/>
      <c r="B51" s="4"/>
      <c r="C51" s="4"/>
      <c r="D51" s="278" t="s">
        <v>33</v>
      </c>
      <c r="E51" s="287"/>
      <c r="F51" s="280"/>
      <c r="G51" s="280"/>
      <c r="H51" s="280"/>
      <c r="I51" s="280"/>
      <c r="J51" s="280"/>
      <c r="K51" s="280"/>
      <c r="L51" s="280"/>
      <c r="M51" s="280">
        <v>0</v>
      </c>
      <c r="N51" s="280">
        <v>0</v>
      </c>
      <c r="O51" s="280">
        <v>0</v>
      </c>
      <c r="P51" s="280"/>
      <c r="Q51" s="280"/>
      <c r="R51" s="280"/>
      <c r="S51" s="280"/>
      <c r="T51" s="281">
        <f>SUM(T46:T50)</f>
        <v>0</v>
      </c>
      <c r="U51" s="281">
        <f t="shared" ref="U51:AU51" si="94">SUM(U46:U50)</f>
        <v>0</v>
      </c>
      <c r="V51" s="281">
        <f t="shared" si="94"/>
        <v>0</v>
      </c>
      <c r="W51" s="281">
        <f t="shared" si="94"/>
        <v>0</v>
      </c>
      <c r="X51" s="281">
        <f t="shared" si="94"/>
        <v>0</v>
      </c>
      <c r="Y51" s="281">
        <f t="shared" si="94"/>
        <v>0</v>
      </c>
      <c r="Z51" s="281">
        <f t="shared" si="94"/>
        <v>0</v>
      </c>
      <c r="AA51" s="281">
        <f t="shared" si="94"/>
        <v>0</v>
      </c>
      <c r="AB51" s="281">
        <f t="shared" si="94"/>
        <v>0</v>
      </c>
      <c r="AC51" s="281">
        <f t="shared" si="94"/>
        <v>0</v>
      </c>
      <c r="AD51" s="281"/>
      <c r="AE51" s="281">
        <f t="shared" si="94"/>
        <v>0</v>
      </c>
      <c r="AF51" s="281"/>
      <c r="AG51" s="281">
        <f t="shared" si="94"/>
        <v>0</v>
      </c>
      <c r="AH51" s="282">
        <f t="shared" si="94"/>
        <v>0</v>
      </c>
      <c r="AI51" s="281">
        <f t="shared" si="94"/>
        <v>0</v>
      </c>
      <c r="AJ51" s="283">
        <f t="shared" si="94"/>
        <v>0</v>
      </c>
      <c r="AK51" s="281"/>
      <c r="AL51" s="281">
        <f t="shared" si="94"/>
        <v>0</v>
      </c>
      <c r="AM51" s="281">
        <f t="shared" si="94"/>
        <v>0</v>
      </c>
      <c r="AN51" s="281">
        <f t="shared" si="94"/>
        <v>0</v>
      </c>
      <c r="AO51" s="281">
        <f>SUM(AO46:AO50)</f>
        <v>0</v>
      </c>
      <c r="AP51" s="281">
        <f t="shared" si="94"/>
        <v>0</v>
      </c>
      <c r="AQ51" s="284">
        <f t="shared" si="94"/>
        <v>0</v>
      </c>
      <c r="AR51" s="285">
        <f t="shared" si="94"/>
        <v>0</v>
      </c>
      <c r="AS51" s="285">
        <f t="shared" si="94"/>
        <v>0</v>
      </c>
      <c r="AT51" s="285">
        <f t="shared" si="94"/>
        <v>0</v>
      </c>
      <c r="AU51" s="285">
        <f t="shared" si="94"/>
        <v>0</v>
      </c>
      <c r="AV51" s="281"/>
      <c r="AW51" s="286">
        <f t="shared" ref="AW51" si="95">SUM(AW46:AW50)</f>
        <v>0</v>
      </c>
    </row>
    <row r="52" spans="1:49" x14ac:dyDescent="0.25">
      <c r="E52" s="222"/>
      <c r="T52" s="1"/>
      <c r="U52" s="1"/>
      <c r="V52" s="41"/>
      <c r="W52" s="1"/>
      <c r="X52" s="1"/>
      <c r="Y52" s="1"/>
      <c r="Z52" s="1"/>
      <c r="AA52" s="15"/>
      <c r="AB52" s="15"/>
      <c r="AC52" s="1"/>
      <c r="AD52" s="1"/>
      <c r="AE52" s="1"/>
      <c r="AF52" s="1"/>
      <c r="AG52" s="1"/>
      <c r="AH52" s="1"/>
      <c r="AI52" s="1"/>
      <c r="AJ52" s="1"/>
      <c r="AL52" s="1"/>
      <c r="AM52" s="6"/>
      <c r="AN52" s="1"/>
      <c r="AO52" s="1"/>
      <c r="AP52" s="6"/>
      <c r="AQ52" s="17"/>
      <c r="AR52" s="72"/>
      <c r="AS52" s="25"/>
      <c r="AV52" s="220"/>
    </row>
    <row r="53" spans="1:49" x14ac:dyDescent="0.25">
      <c r="D53" s="100" t="s">
        <v>18</v>
      </c>
      <c r="E53" s="101">
        <v>1</v>
      </c>
      <c r="F53" s="102"/>
      <c r="G53" s="102"/>
      <c r="H53" s="102"/>
      <c r="I53" s="102"/>
      <c r="J53" s="102"/>
      <c r="K53" s="102"/>
      <c r="L53" s="102"/>
      <c r="M53" s="102">
        <v>0</v>
      </c>
      <c r="N53" s="102"/>
      <c r="O53" s="102">
        <v>0</v>
      </c>
      <c r="P53" s="102"/>
      <c r="Q53" s="102"/>
      <c r="R53" s="102"/>
      <c r="S53" s="102"/>
      <c r="T53" s="160"/>
      <c r="U53" s="103"/>
      <c r="V53" s="104">
        <f t="shared" si="0"/>
        <v>0</v>
      </c>
      <c r="W53" s="103">
        <f t="shared" si="18"/>
        <v>0</v>
      </c>
      <c r="X53" s="103">
        <f t="shared" si="1"/>
        <v>0</v>
      </c>
      <c r="Y53" s="103">
        <f>IF(AV53&lt;0,0,(X53-134.62)*0.057)</f>
        <v>0</v>
      </c>
      <c r="Z53" s="103"/>
      <c r="AA53" s="105">
        <f>V53*1.2%</f>
        <v>0</v>
      </c>
      <c r="AB53" s="105"/>
      <c r="AC53" s="103">
        <f>V53*0.494%</f>
        <v>0</v>
      </c>
      <c r="AD53" s="103"/>
      <c r="AE53" s="103"/>
      <c r="AF53" s="103"/>
      <c r="AG53" s="103">
        <f t="shared" si="5"/>
        <v>0</v>
      </c>
      <c r="AH53" s="276">
        <f>IF(VLOOKUP(AG53,'Table 26'!$A$2:$C$438,2,TRUE)&gt;=VLOOKUP(AG53,'Table 26'!$C$2:$D$438,2,TRUE),MAX(VLOOKUP(AG53,'Table 26'!$A$2:$B$438,2,TRUE),VLOOKUP(AG53,'Table 26'!$C$2:$D$438,2,TRUE)),0)</f>
        <v>0</v>
      </c>
      <c r="AI53" s="103">
        <f>X53-AF53</f>
        <v>0</v>
      </c>
      <c r="AJ53" s="277">
        <f>IF(VLOOKUP(AI53,'Table 26'!$E$2:$F$306,2,TRUE)&gt;=VLOOKUP(AI53,'Table 26'!$G$2:$H$306,2,TRUE),MAX(VLOOKUP(AI53,'Table 26'!$E$2:$F$306,2,TRUE),VLOOKUP(AI53,'Table 26'!$G$2:$H$306,2,TRUE)),0)</f>
        <v>0</v>
      </c>
      <c r="AK53" s="102"/>
      <c r="AL53" s="103">
        <f t="shared" si="16"/>
        <v>0</v>
      </c>
      <c r="AM53" s="126">
        <f t="shared" si="7"/>
        <v>0</v>
      </c>
      <c r="AN53" s="103">
        <f t="shared" si="8"/>
        <v>0</v>
      </c>
      <c r="AO53" s="103"/>
      <c r="AP53" s="103">
        <f>AM53+AN53+AO53</f>
        <v>0</v>
      </c>
      <c r="AQ53" s="252">
        <f>V53*0.692%</f>
        <v>0</v>
      </c>
      <c r="AR53" s="101"/>
      <c r="AS53" s="102"/>
      <c r="AT53" s="102"/>
      <c r="AU53" s="102"/>
      <c r="AV53" s="256">
        <f>(X53-134.62)*0.057</f>
        <v>-7.6733400000000005</v>
      </c>
      <c r="AW53" s="255">
        <f>T53*0.04</f>
        <v>0</v>
      </c>
    </row>
    <row r="54" spans="1:49" x14ac:dyDescent="0.25">
      <c r="C54">
        <v>16</v>
      </c>
      <c r="D54" s="107" t="s">
        <v>18</v>
      </c>
      <c r="E54" s="271">
        <v>8</v>
      </c>
      <c r="F54" s="30"/>
      <c r="G54" s="30"/>
      <c r="H54" s="30"/>
      <c r="I54" s="30"/>
      <c r="J54" s="30"/>
      <c r="K54" s="30"/>
      <c r="L54" s="30"/>
      <c r="M54" s="30">
        <v>0</v>
      </c>
      <c r="N54" s="30"/>
      <c r="O54" s="30">
        <v>0</v>
      </c>
      <c r="P54" s="30"/>
      <c r="Q54" s="30"/>
      <c r="R54" s="30">
        <f>P53+P54</f>
        <v>0</v>
      </c>
      <c r="S54" s="30">
        <f>Q53+Q54</f>
        <v>0</v>
      </c>
      <c r="T54" s="160"/>
      <c r="U54" s="125"/>
      <c r="V54" s="110">
        <f t="shared" si="0"/>
        <v>0</v>
      </c>
      <c r="W54" s="109">
        <f t="shared" si="18"/>
        <v>0</v>
      </c>
      <c r="X54" s="109">
        <f t="shared" si="1"/>
        <v>0</v>
      </c>
      <c r="Y54" s="109">
        <f t="shared" ref="Y54:Y57" si="96">IF(AV54&lt;0,0,(X54-134.62)*0.057)</f>
        <v>0</v>
      </c>
      <c r="Z54" s="109"/>
      <c r="AA54" s="111">
        <f t="shared" ref="AA54:AA57" si="97">V54*1.2%</f>
        <v>0</v>
      </c>
      <c r="AB54" s="111"/>
      <c r="AC54" s="109">
        <f t="shared" ref="AC54:AC57" si="98">V54*0.494%</f>
        <v>0</v>
      </c>
      <c r="AD54" s="109"/>
      <c r="AE54" s="109"/>
      <c r="AF54" s="109"/>
      <c r="AG54" s="109">
        <f t="shared" si="5"/>
        <v>0</v>
      </c>
      <c r="AH54" s="156">
        <f>IF(VLOOKUP(AG54,'Table 26'!$A$2:$C$438,2,TRUE)&gt;=VLOOKUP(AG54,'Table 26'!$C$2:$D$438,2,TRUE),MAX(VLOOKUP(AG54,'Table 26'!$A$2:$B$438,2,TRUE),VLOOKUP(AG54,'Table 26'!$C$2:$D$438,2,TRUE)),0)</f>
        <v>0</v>
      </c>
      <c r="AI54" s="109">
        <f t="shared" ref="AI54:AI57" si="99">X54-AF54</f>
        <v>0</v>
      </c>
      <c r="AJ54" s="158">
        <f>IF(VLOOKUP(AI54,'Table 26'!$E$2:$F$306,2,TRUE)&gt;=VLOOKUP(AI54,'Table 26'!$G$2:$H$306,2,TRUE),MAX(VLOOKUP(AI54,'Table 26'!$E$2:$F$306,2,TRUE),VLOOKUP(AI54,'Table 26'!$G$2:$H$306,2,TRUE)),0)</f>
        <v>0</v>
      </c>
      <c r="AK54" s="109"/>
      <c r="AL54" s="109">
        <f t="shared" si="16"/>
        <v>0</v>
      </c>
      <c r="AM54" s="127">
        <f t="shared" si="7"/>
        <v>0</v>
      </c>
      <c r="AN54" s="109">
        <f t="shared" si="8"/>
        <v>0</v>
      </c>
      <c r="AO54" s="109"/>
      <c r="AP54" s="273">
        <f t="shared" ref="AP54:AP57" si="100">AM54+AN54+AO54</f>
        <v>0</v>
      </c>
      <c r="AQ54" s="253">
        <f t="shared" ref="AQ54:AQ57" si="101">V54*0.692%</f>
        <v>0</v>
      </c>
      <c r="AR54" s="72">
        <f>O54*5.335</f>
        <v>0</v>
      </c>
      <c r="AS54" s="25">
        <f>2*O54</f>
        <v>0</v>
      </c>
      <c r="AT54" s="25">
        <f>0.04*O54</f>
        <v>0</v>
      </c>
      <c r="AU54" s="25"/>
      <c r="AV54" s="220">
        <f t="shared" ref="AV54:AV57" si="102">(X54-134.62)*0.057</f>
        <v>-7.6733400000000005</v>
      </c>
      <c r="AW54" s="238">
        <f t="shared" ref="AW54:AW57" si="103">T54*0.04</f>
        <v>0</v>
      </c>
    </row>
    <row r="55" spans="1:49" x14ac:dyDescent="0.25">
      <c r="D55" s="107" t="s">
        <v>18</v>
      </c>
      <c r="E55" s="221">
        <v>15</v>
      </c>
      <c r="F55" s="30"/>
      <c r="G55" s="30"/>
      <c r="H55" s="30"/>
      <c r="I55" s="30"/>
      <c r="J55" s="30"/>
      <c r="K55" s="30"/>
      <c r="L55" s="30"/>
      <c r="M55" s="30">
        <v>0</v>
      </c>
      <c r="N55" s="30"/>
      <c r="O55" s="30">
        <v>0</v>
      </c>
      <c r="P55" s="30"/>
      <c r="Q55" s="30"/>
      <c r="R55" s="30"/>
      <c r="S55" s="30"/>
      <c r="T55" s="160"/>
      <c r="U55" s="109"/>
      <c r="V55" s="110">
        <f t="shared" si="0"/>
        <v>0</v>
      </c>
      <c r="W55" s="109">
        <f t="shared" si="18"/>
        <v>0</v>
      </c>
      <c r="X55" s="109">
        <f t="shared" si="1"/>
        <v>0</v>
      </c>
      <c r="Y55" s="109">
        <f t="shared" si="96"/>
        <v>0</v>
      </c>
      <c r="Z55" s="109"/>
      <c r="AA55" s="111">
        <f t="shared" si="97"/>
        <v>0</v>
      </c>
      <c r="AB55" s="111"/>
      <c r="AC55" s="109">
        <f t="shared" si="98"/>
        <v>0</v>
      </c>
      <c r="AD55" s="109"/>
      <c r="AE55" s="109"/>
      <c r="AF55" s="109"/>
      <c r="AG55" s="109">
        <f t="shared" si="5"/>
        <v>0</v>
      </c>
      <c r="AH55" s="156">
        <f>IF(VLOOKUP(AG55,'Table 26'!$A$2:$C$438,2,TRUE)&gt;=VLOOKUP(AG55,'Table 26'!$C$2:$D$438,2,TRUE),MAX(VLOOKUP(AG55,'Table 26'!$A$2:$B$438,2,TRUE),VLOOKUP(AG55,'Table 26'!$C$2:$D$438,2,TRUE)),0)</f>
        <v>0</v>
      </c>
      <c r="AI55" s="109">
        <f t="shared" si="99"/>
        <v>0</v>
      </c>
      <c r="AJ55" s="158">
        <f>IF(VLOOKUP(AI55,'Table 26'!$E$2:$F$306,2,TRUE)&gt;=VLOOKUP(AI55,'Table 26'!$G$2:$H$306,2,TRUE),MAX(VLOOKUP(AI55,'Table 26'!$E$2:$F$306,2,TRUE),VLOOKUP(AI55,'Table 26'!$G$2:$H$306,2,TRUE)),0)</f>
        <v>0</v>
      </c>
      <c r="AK55" s="109"/>
      <c r="AL55" s="109">
        <f t="shared" si="16"/>
        <v>0</v>
      </c>
      <c r="AM55" s="127">
        <f t="shared" si="7"/>
        <v>0</v>
      </c>
      <c r="AN55" s="109">
        <f t="shared" si="8"/>
        <v>0</v>
      </c>
      <c r="AO55" s="109"/>
      <c r="AP55" s="109">
        <f t="shared" si="100"/>
        <v>0</v>
      </c>
      <c r="AQ55" s="253">
        <f t="shared" si="101"/>
        <v>0</v>
      </c>
      <c r="AR55" s="72">
        <f t="shared" ref="AR55:AR57" si="104">O55*5.335</f>
        <v>0</v>
      </c>
      <c r="AS55" s="25">
        <f t="shared" ref="AS55:AS57" si="105">2*O55</f>
        <v>0</v>
      </c>
      <c r="AT55" s="25">
        <f t="shared" ref="AT55:AT57" si="106">0.04*O55</f>
        <v>0</v>
      </c>
      <c r="AV55" s="220">
        <f t="shared" si="102"/>
        <v>-7.6733400000000005</v>
      </c>
      <c r="AW55" s="238">
        <f t="shared" si="103"/>
        <v>0</v>
      </c>
    </row>
    <row r="56" spans="1:49" x14ac:dyDescent="0.25">
      <c r="C56">
        <v>17</v>
      </c>
      <c r="D56" s="107" t="s">
        <v>18</v>
      </c>
      <c r="E56" s="271">
        <v>22</v>
      </c>
      <c r="F56" s="112"/>
      <c r="G56" s="30"/>
      <c r="H56" s="30"/>
      <c r="I56" s="30"/>
      <c r="J56" s="30"/>
      <c r="K56" s="30"/>
      <c r="L56" s="30"/>
      <c r="M56" s="30">
        <v>0</v>
      </c>
      <c r="N56" s="30"/>
      <c r="O56" s="30">
        <v>0</v>
      </c>
      <c r="P56" s="123"/>
      <c r="Q56" s="30"/>
      <c r="R56" s="30">
        <f>P55+P56</f>
        <v>0</v>
      </c>
      <c r="S56" s="30">
        <f>Q55+Q56</f>
        <v>0</v>
      </c>
      <c r="T56" s="160"/>
      <c r="U56" s="125"/>
      <c r="V56" s="110">
        <f t="shared" si="0"/>
        <v>0</v>
      </c>
      <c r="W56" s="109">
        <f t="shared" si="18"/>
        <v>0</v>
      </c>
      <c r="X56" s="109">
        <f t="shared" si="1"/>
        <v>0</v>
      </c>
      <c r="Y56" s="109">
        <f t="shared" si="96"/>
        <v>0</v>
      </c>
      <c r="Z56" s="109"/>
      <c r="AA56" s="111">
        <f t="shared" si="97"/>
        <v>0</v>
      </c>
      <c r="AB56" s="111"/>
      <c r="AC56" s="109">
        <f t="shared" si="98"/>
        <v>0</v>
      </c>
      <c r="AD56" s="109"/>
      <c r="AE56" s="109"/>
      <c r="AF56" s="109"/>
      <c r="AG56" s="109">
        <f t="shared" si="5"/>
        <v>0</v>
      </c>
      <c r="AH56" s="156">
        <f>IF(VLOOKUP(AG56,'Table 26'!$A$2:$C$438,2,TRUE)&gt;=VLOOKUP(AG56,'Table 26'!$C$2:$D$438,2,TRUE),MAX(VLOOKUP(AG56,'Table 26'!$A$2:$B$438,2,TRUE),VLOOKUP(AG56,'Table 26'!$C$2:$D$438,2,TRUE)),0)</f>
        <v>0</v>
      </c>
      <c r="AI56" s="109"/>
      <c r="AJ56" s="158">
        <f>IF(VLOOKUP(AI56,'Table 26'!$E$2:$F$306,2,TRUE)&gt;=VLOOKUP(AI56,'Table 26'!$G$2:$H$306,2,TRUE),MAX(VLOOKUP(AI56,'Table 26'!$E$2:$F$306,2,TRUE),VLOOKUP(AI56,'Table 26'!$G$2:$H$306,2,TRUE)),0)</f>
        <v>0</v>
      </c>
      <c r="AK56" s="109"/>
      <c r="AL56" s="109">
        <f t="shared" si="16"/>
        <v>0</v>
      </c>
      <c r="AM56" s="127">
        <f t="shared" si="7"/>
        <v>0</v>
      </c>
      <c r="AN56" s="109">
        <f t="shared" si="8"/>
        <v>0</v>
      </c>
      <c r="AO56" s="109"/>
      <c r="AP56" s="273">
        <f t="shared" si="100"/>
        <v>0</v>
      </c>
      <c r="AQ56" s="253">
        <f t="shared" si="101"/>
        <v>0</v>
      </c>
      <c r="AR56" s="72">
        <f t="shared" si="104"/>
        <v>0</v>
      </c>
      <c r="AS56" s="25">
        <f t="shared" si="105"/>
        <v>0</v>
      </c>
      <c r="AT56" s="25">
        <f t="shared" si="106"/>
        <v>0</v>
      </c>
      <c r="AV56" s="220">
        <f t="shared" si="102"/>
        <v>-7.6733400000000005</v>
      </c>
      <c r="AW56" s="238">
        <f t="shared" si="103"/>
        <v>0</v>
      </c>
    </row>
    <row r="57" spans="1:49" x14ac:dyDescent="0.25">
      <c r="D57" s="107" t="s">
        <v>18</v>
      </c>
      <c r="E57" s="221">
        <v>29</v>
      </c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123"/>
      <c r="Q57" s="30"/>
      <c r="R57" s="30"/>
      <c r="S57" s="30"/>
      <c r="T57" s="160"/>
      <c r="U57" s="204"/>
      <c r="V57" s="217">
        <f t="shared" si="0"/>
        <v>0</v>
      </c>
      <c r="W57" s="121">
        <f t="shared" si="18"/>
        <v>0</v>
      </c>
      <c r="X57" s="121">
        <f t="shared" si="1"/>
        <v>0</v>
      </c>
      <c r="Y57" s="121">
        <f t="shared" si="96"/>
        <v>0</v>
      </c>
      <c r="Z57" s="121"/>
      <c r="AA57" s="131">
        <f t="shared" si="97"/>
        <v>0</v>
      </c>
      <c r="AB57" s="131"/>
      <c r="AC57" s="121">
        <f t="shared" si="98"/>
        <v>0</v>
      </c>
      <c r="AD57" s="121"/>
      <c r="AE57" s="121"/>
      <c r="AF57" s="121"/>
      <c r="AG57" s="121">
        <f t="shared" si="5"/>
        <v>0</v>
      </c>
      <c r="AH57" s="157">
        <f>IF(VLOOKUP(AG57,'Table 26'!$A$2:$C$438,2,TRUE)&gt;=VLOOKUP(AG57,'Table 26'!$C$2:$D$438,2,TRUE),MAX(VLOOKUP(AG57,'Table 26'!$A$2:$B$438,2,TRUE),VLOOKUP(AG57,'Table 26'!$C$2:$D$438,2,TRUE)),0)</f>
        <v>0</v>
      </c>
      <c r="AI57" s="121">
        <f t="shared" si="99"/>
        <v>0</v>
      </c>
      <c r="AJ57" s="159">
        <f>IF(VLOOKUP(AI57,'Table 26'!$E$2:$F$306,2,TRUE)&gt;=VLOOKUP(AI57,'Table 26'!$G$2:$H$306,2,TRUE),MAX(VLOOKUP(AI57,'Table 26'!$E$2:$F$306,2,TRUE),VLOOKUP(AI57,'Table 26'!$G$2:$H$306,2,TRUE)),0)</f>
        <v>0</v>
      </c>
      <c r="AK57" s="121"/>
      <c r="AL57" s="121">
        <f t="shared" si="16"/>
        <v>0</v>
      </c>
      <c r="AM57" s="115">
        <f t="shared" si="7"/>
        <v>0</v>
      </c>
      <c r="AN57" s="121">
        <f t="shared" si="8"/>
        <v>0</v>
      </c>
      <c r="AO57" s="121"/>
      <c r="AP57" s="121">
        <f t="shared" si="100"/>
        <v>0</v>
      </c>
      <c r="AQ57" s="254">
        <f t="shared" si="101"/>
        <v>0</v>
      </c>
      <c r="AR57" s="72">
        <f t="shared" si="104"/>
        <v>0</v>
      </c>
      <c r="AS57" s="25">
        <f t="shared" si="105"/>
        <v>0</v>
      </c>
      <c r="AT57" s="25">
        <f t="shared" si="106"/>
        <v>0</v>
      </c>
      <c r="AV57" s="220">
        <f t="shared" si="102"/>
        <v>-7.6733400000000005</v>
      </c>
      <c r="AW57" s="238">
        <f t="shared" si="103"/>
        <v>0</v>
      </c>
    </row>
    <row r="58" spans="1:49" ht="13.8" thickBot="1" x14ac:dyDescent="0.3">
      <c r="A58" s="4"/>
      <c r="B58" s="4"/>
      <c r="C58" s="4"/>
      <c r="D58" s="278" t="s">
        <v>33</v>
      </c>
      <c r="E58" s="287"/>
      <c r="F58" s="280"/>
      <c r="G58" s="280"/>
      <c r="H58" s="280"/>
      <c r="I58" s="280"/>
      <c r="J58" s="280"/>
      <c r="K58" s="280"/>
      <c r="L58" s="280"/>
      <c r="M58" s="280">
        <v>0</v>
      </c>
      <c r="N58" s="280">
        <v>0</v>
      </c>
      <c r="O58" s="280">
        <v>0</v>
      </c>
      <c r="P58" s="280"/>
      <c r="Q58" s="280"/>
      <c r="R58" s="280"/>
      <c r="S58" s="280"/>
      <c r="T58" s="281">
        <f>SUM(T53:T57)</f>
        <v>0</v>
      </c>
      <c r="U58" s="281">
        <f t="shared" ref="U58:AU58" si="107">SUM(U53:U57)</f>
        <v>0</v>
      </c>
      <c r="V58" s="281">
        <f t="shared" si="107"/>
        <v>0</v>
      </c>
      <c r="W58" s="281">
        <f t="shared" si="107"/>
        <v>0</v>
      </c>
      <c r="X58" s="281">
        <f t="shared" si="107"/>
        <v>0</v>
      </c>
      <c r="Y58" s="281">
        <f t="shared" si="107"/>
        <v>0</v>
      </c>
      <c r="Z58" s="281">
        <f t="shared" si="107"/>
        <v>0</v>
      </c>
      <c r="AA58" s="281">
        <f t="shared" si="107"/>
        <v>0</v>
      </c>
      <c r="AB58" s="281">
        <f t="shared" si="107"/>
        <v>0</v>
      </c>
      <c r="AC58" s="281">
        <f t="shared" si="107"/>
        <v>0</v>
      </c>
      <c r="AD58" s="281"/>
      <c r="AE58" s="281">
        <f t="shared" si="107"/>
        <v>0</v>
      </c>
      <c r="AF58" s="281"/>
      <c r="AG58" s="281">
        <f t="shared" si="107"/>
        <v>0</v>
      </c>
      <c r="AH58" s="282">
        <f t="shared" si="107"/>
        <v>0</v>
      </c>
      <c r="AI58" s="281">
        <f t="shared" si="107"/>
        <v>0</v>
      </c>
      <c r="AJ58" s="283">
        <f t="shared" si="107"/>
        <v>0</v>
      </c>
      <c r="AK58" s="281"/>
      <c r="AL58" s="281">
        <f t="shared" si="107"/>
        <v>0</v>
      </c>
      <c r="AM58" s="281">
        <f t="shared" si="107"/>
        <v>0</v>
      </c>
      <c r="AN58" s="281">
        <f t="shared" si="107"/>
        <v>0</v>
      </c>
      <c r="AO58" s="281">
        <f>SUM(AO53:AO57)</f>
        <v>0</v>
      </c>
      <c r="AP58" s="281">
        <f t="shared" si="107"/>
        <v>0</v>
      </c>
      <c r="AQ58" s="284">
        <f t="shared" si="107"/>
        <v>0</v>
      </c>
      <c r="AR58" s="285">
        <f t="shared" si="107"/>
        <v>0</v>
      </c>
      <c r="AS58" s="285">
        <f t="shared" si="107"/>
        <v>0</v>
      </c>
      <c r="AT58" s="285">
        <f t="shared" si="107"/>
        <v>0</v>
      </c>
      <c r="AU58" s="285">
        <f t="shared" si="107"/>
        <v>0</v>
      </c>
      <c r="AV58" s="281"/>
      <c r="AW58" s="286">
        <f t="shared" ref="AW58" si="108">SUM(AW53:AW57)</f>
        <v>0</v>
      </c>
    </row>
    <row r="59" spans="1:49" x14ac:dyDescent="0.25">
      <c r="E59" s="222"/>
      <c r="T59" s="1"/>
      <c r="U59" s="1"/>
      <c r="V59" s="41"/>
      <c r="W59" s="1"/>
      <c r="X59" s="1"/>
      <c r="Y59" s="1"/>
      <c r="Z59" s="1"/>
      <c r="AA59" s="15"/>
      <c r="AB59" s="15"/>
      <c r="AC59" s="1"/>
      <c r="AD59" s="1"/>
      <c r="AE59" s="1"/>
      <c r="AF59" s="1"/>
      <c r="AG59" s="1"/>
      <c r="AH59" s="1"/>
      <c r="AI59" s="1"/>
      <c r="AJ59" s="1"/>
      <c r="AL59" s="1"/>
      <c r="AM59" s="1"/>
      <c r="AN59" s="1"/>
      <c r="AO59" s="1"/>
      <c r="AP59" s="1"/>
      <c r="AQ59" s="17"/>
      <c r="AR59" s="72"/>
      <c r="AS59" s="25"/>
      <c r="AV59" s="220"/>
    </row>
    <row r="60" spans="1:49" x14ac:dyDescent="0.25">
      <c r="C60">
        <v>18</v>
      </c>
      <c r="D60" s="100" t="s">
        <v>19</v>
      </c>
      <c r="E60" s="272">
        <v>5</v>
      </c>
      <c r="F60" s="102"/>
      <c r="G60" s="102"/>
      <c r="H60" s="102"/>
      <c r="I60" s="102"/>
      <c r="J60" s="102"/>
      <c r="K60" s="102"/>
      <c r="L60" s="102"/>
      <c r="M60" s="102">
        <v>0</v>
      </c>
      <c r="N60" s="102"/>
      <c r="O60" s="102">
        <v>0</v>
      </c>
      <c r="P60" s="102"/>
      <c r="Q60" s="102"/>
      <c r="R60" s="102">
        <f>P57+P60</f>
        <v>0</v>
      </c>
      <c r="S60" s="102">
        <f>Q57+Q60</f>
        <v>0</v>
      </c>
      <c r="T60" s="160"/>
      <c r="U60" s="103"/>
      <c r="V60" s="104">
        <f t="shared" si="0"/>
        <v>0</v>
      </c>
      <c r="W60" s="103">
        <f t="shared" si="18"/>
        <v>0</v>
      </c>
      <c r="X60" s="103">
        <f t="shared" si="1"/>
        <v>0</v>
      </c>
      <c r="Y60" s="103">
        <f>IF(AV60&lt;0,0,(X60-134.62)*0.057)</f>
        <v>0</v>
      </c>
      <c r="Z60" s="103"/>
      <c r="AA60" s="105">
        <f>V60*1.2%</f>
        <v>0</v>
      </c>
      <c r="AB60" s="105"/>
      <c r="AC60" s="103">
        <f>V60*0.494%</f>
        <v>0</v>
      </c>
      <c r="AD60" s="103"/>
      <c r="AE60" s="103"/>
      <c r="AF60" s="103"/>
      <c r="AG60" s="103">
        <f t="shared" si="5"/>
        <v>0</v>
      </c>
      <c r="AH60" s="276">
        <f>IF(VLOOKUP(AG60,'Table 26'!$A$2:$C$438,2,TRUE)&gt;=VLOOKUP(AG60,'Table 26'!$C$2:$D$438,2,TRUE),MAX(VLOOKUP(AG60,'Table 26'!$A$2:$B$438,2,TRUE),VLOOKUP(AG60,'Table 26'!$C$2:$D$438,2,TRUE)),0)</f>
        <v>0</v>
      </c>
      <c r="AI60" s="103">
        <f>X60-AF60</f>
        <v>0</v>
      </c>
      <c r="AJ60" s="277">
        <f>IF(VLOOKUP(AI60,'Table 26'!$E$2:$F$306,2,TRUE)&gt;=VLOOKUP(AI60,'Table 26'!$G$2:$H$306,2,TRUE),MAX(VLOOKUP(AI60,'Table 26'!$E$2:$F$306,2,TRUE),VLOOKUP(AI60,'Table 26'!$G$2:$H$306,2,TRUE)),0)</f>
        <v>0</v>
      </c>
      <c r="AK60" s="102"/>
      <c r="AL60" s="103">
        <f t="shared" si="16"/>
        <v>0</v>
      </c>
      <c r="AM60" s="103">
        <f t="shared" si="7"/>
        <v>0</v>
      </c>
      <c r="AN60" s="103">
        <f t="shared" si="8"/>
        <v>0</v>
      </c>
      <c r="AO60" s="103"/>
      <c r="AP60" s="274">
        <f>AM60+AN60+AO60</f>
        <v>0</v>
      </c>
      <c r="AQ60" s="252">
        <f>V60*0.692%</f>
        <v>0</v>
      </c>
      <c r="AR60" s="101"/>
      <c r="AS60" s="102"/>
      <c r="AT60" s="102"/>
      <c r="AU60" s="102"/>
      <c r="AV60" s="256">
        <f>(X60-134.62)*0.057</f>
        <v>-7.6733400000000005</v>
      </c>
      <c r="AW60" s="255">
        <f>T60*0.04</f>
        <v>0</v>
      </c>
    </row>
    <row r="61" spans="1:49" x14ac:dyDescent="0.25">
      <c r="D61" s="107" t="s">
        <v>19</v>
      </c>
      <c r="E61" s="221">
        <v>12</v>
      </c>
      <c r="F61" s="30"/>
      <c r="G61" s="30"/>
      <c r="H61" s="30"/>
      <c r="I61" s="30"/>
      <c r="J61" s="30"/>
      <c r="K61" s="30"/>
      <c r="L61" s="30"/>
      <c r="M61" s="30">
        <v>0</v>
      </c>
      <c r="N61" s="30"/>
      <c r="O61" s="30">
        <v>0</v>
      </c>
      <c r="P61" s="123"/>
      <c r="Q61" s="30"/>
      <c r="R61" s="30"/>
      <c r="S61" s="30"/>
      <c r="T61" s="160"/>
      <c r="U61" s="125"/>
      <c r="V61" s="110">
        <f t="shared" si="0"/>
        <v>0</v>
      </c>
      <c r="W61" s="109">
        <f t="shared" si="18"/>
        <v>0</v>
      </c>
      <c r="X61" s="109">
        <f t="shared" si="1"/>
        <v>0</v>
      </c>
      <c r="Y61" s="109">
        <f t="shared" ref="Y61:Y64" si="109">IF(AV61&lt;0,0,(X61-134.62)*0.057)</f>
        <v>0</v>
      </c>
      <c r="Z61" s="109"/>
      <c r="AA61" s="111">
        <f t="shared" ref="AA61:AA64" si="110">V61*1.2%</f>
        <v>0</v>
      </c>
      <c r="AB61" s="111"/>
      <c r="AC61" s="109">
        <f t="shared" ref="AC61:AC64" si="111">V61*0.494%</f>
        <v>0</v>
      </c>
      <c r="AD61" s="109"/>
      <c r="AE61" s="109"/>
      <c r="AF61" s="109"/>
      <c r="AG61" s="109">
        <f t="shared" si="5"/>
        <v>0</v>
      </c>
      <c r="AH61" s="156">
        <f>IF(VLOOKUP(AG61,'Table 26'!$A$2:$C$438,2,TRUE)&gt;=VLOOKUP(AG61,'Table 26'!$C$2:$D$438,2,TRUE),MAX(VLOOKUP(AG61,'Table 26'!$A$2:$B$438,2,TRUE),VLOOKUP(AG61,'Table 26'!$C$2:$D$438,2,TRUE)),0)</f>
        <v>0</v>
      </c>
      <c r="AI61" s="109">
        <f t="shared" ref="AI61:AI64" si="112">X61-AF61</f>
        <v>0</v>
      </c>
      <c r="AJ61" s="158">
        <f>IF(VLOOKUP(AI61,'Table 26'!$E$2:$F$306,2,TRUE)&gt;=VLOOKUP(AI61,'Table 26'!$G$2:$H$306,2,TRUE),MAX(VLOOKUP(AI61,'Table 26'!$E$2:$F$306,2,TRUE),VLOOKUP(AI61,'Table 26'!$G$2:$H$306,2,TRUE)),0)</f>
        <v>0</v>
      </c>
      <c r="AK61" s="109"/>
      <c r="AL61" s="109">
        <f t="shared" si="16"/>
        <v>0</v>
      </c>
      <c r="AM61" s="109">
        <f t="shared" si="7"/>
        <v>0</v>
      </c>
      <c r="AN61" s="109">
        <f t="shared" si="8"/>
        <v>0</v>
      </c>
      <c r="AO61" s="109"/>
      <c r="AP61" s="109">
        <f t="shared" ref="AP61:AP64" si="113">AM61+AN61+AO61</f>
        <v>0</v>
      </c>
      <c r="AQ61" s="253">
        <f t="shared" ref="AQ61:AQ64" si="114">V61*0.692%</f>
        <v>0</v>
      </c>
      <c r="AR61" s="72">
        <f>O61*5.335</f>
        <v>0</v>
      </c>
      <c r="AS61" s="25">
        <f>2*O61</f>
        <v>0</v>
      </c>
      <c r="AT61" s="25">
        <f>0.04*O61</f>
        <v>0</v>
      </c>
      <c r="AU61" s="25"/>
      <c r="AV61" s="220">
        <f t="shared" ref="AV61:AV64" si="115">(X61-134.62)*0.057</f>
        <v>-7.6733400000000005</v>
      </c>
      <c r="AW61" s="238">
        <f t="shared" ref="AW61:AW64" si="116">T61*0.04</f>
        <v>0</v>
      </c>
    </row>
    <row r="62" spans="1:49" x14ac:dyDescent="0.25">
      <c r="C62">
        <v>19</v>
      </c>
      <c r="D62" s="107" t="s">
        <v>19</v>
      </c>
      <c r="E62" s="271">
        <v>19</v>
      </c>
      <c r="F62" s="30"/>
      <c r="G62" s="30"/>
      <c r="H62" s="30"/>
      <c r="I62" s="30"/>
      <c r="J62" s="30"/>
      <c r="K62" s="30"/>
      <c r="L62" s="30"/>
      <c r="M62" s="30">
        <v>0</v>
      </c>
      <c r="N62" s="30"/>
      <c r="O62" s="30">
        <v>0</v>
      </c>
      <c r="P62" s="123"/>
      <c r="Q62" s="30"/>
      <c r="R62" s="30">
        <f>P61+P62</f>
        <v>0</v>
      </c>
      <c r="S62" s="30">
        <f>Q61+Q62</f>
        <v>0</v>
      </c>
      <c r="T62" s="160"/>
      <c r="U62" s="109"/>
      <c r="V62" s="110">
        <f t="shared" si="0"/>
        <v>0</v>
      </c>
      <c r="W62" s="109">
        <f t="shared" si="18"/>
        <v>0</v>
      </c>
      <c r="X62" s="109">
        <f t="shared" si="1"/>
        <v>0</v>
      </c>
      <c r="Y62" s="109">
        <f t="shared" si="109"/>
        <v>0</v>
      </c>
      <c r="Z62" s="109"/>
      <c r="AA62" s="111">
        <f t="shared" si="110"/>
        <v>0</v>
      </c>
      <c r="AB62" s="111"/>
      <c r="AC62" s="109">
        <f t="shared" si="111"/>
        <v>0</v>
      </c>
      <c r="AD62" s="109"/>
      <c r="AE62" s="109"/>
      <c r="AF62" s="109"/>
      <c r="AG62" s="109">
        <f t="shared" si="5"/>
        <v>0</v>
      </c>
      <c r="AH62" s="156">
        <f>IF(VLOOKUP(AG62,'Table 26'!$A$2:$C$438,2,TRUE)&gt;=VLOOKUP(AG62,'Table 26'!$C$2:$D$438,2,TRUE),MAX(VLOOKUP(AG62,'Table 26'!$A$2:$B$438,2,TRUE),VLOOKUP(AG62,'Table 26'!$C$2:$D$438,2,TRUE)),0)</f>
        <v>0</v>
      </c>
      <c r="AI62" s="109">
        <f t="shared" si="112"/>
        <v>0</v>
      </c>
      <c r="AJ62" s="158">
        <f>IF(VLOOKUP(AI62,'Table 26'!$E$2:$F$306,2,TRUE)&gt;=VLOOKUP(AI62,'Table 26'!$G$2:$H$306,2,TRUE),MAX(VLOOKUP(AI62,'Table 26'!$E$2:$F$306,2,TRUE),VLOOKUP(AI62,'Table 26'!$G$2:$H$306,2,TRUE)),0)</f>
        <v>0</v>
      </c>
      <c r="AK62" s="109"/>
      <c r="AL62" s="109">
        <f t="shared" si="16"/>
        <v>0</v>
      </c>
      <c r="AM62" s="109">
        <f t="shared" si="7"/>
        <v>0</v>
      </c>
      <c r="AN62" s="109">
        <f t="shared" si="8"/>
        <v>0</v>
      </c>
      <c r="AO62" s="109"/>
      <c r="AP62" s="273">
        <f t="shared" si="113"/>
        <v>0</v>
      </c>
      <c r="AQ62" s="253">
        <f t="shared" si="114"/>
        <v>0</v>
      </c>
      <c r="AR62" s="72">
        <f t="shared" ref="AR62:AR64" si="117">O62*5.335</f>
        <v>0</v>
      </c>
      <c r="AS62" s="25">
        <f t="shared" ref="AS62:AS64" si="118">2*O62</f>
        <v>0</v>
      </c>
      <c r="AT62" s="25">
        <f t="shared" ref="AT62:AT64" si="119">0.04*O62</f>
        <v>0</v>
      </c>
      <c r="AV62" s="220">
        <f t="shared" si="115"/>
        <v>-7.6733400000000005</v>
      </c>
      <c r="AW62" s="238">
        <f t="shared" si="116"/>
        <v>0</v>
      </c>
    </row>
    <row r="63" spans="1:49" x14ac:dyDescent="0.25">
      <c r="D63" s="107" t="s">
        <v>19</v>
      </c>
      <c r="E63" s="221">
        <v>26</v>
      </c>
      <c r="F63" s="30"/>
      <c r="G63" s="30"/>
      <c r="H63" s="30"/>
      <c r="I63" s="30"/>
      <c r="J63" s="30"/>
      <c r="K63" s="30"/>
      <c r="L63" s="30"/>
      <c r="M63" s="30">
        <v>0</v>
      </c>
      <c r="N63" s="30"/>
      <c r="O63" s="30"/>
      <c r="P63" s="123"/>
      <c r="Q63" s="30"/>
      <c r="R63" s="30"/>
      <c r="S63" s="30"/>
      <c r="T63" s="160"/>
      <c r="U63" s="125"/>
      <c r="V63" s="110">
        <f t="shared" si="0"/>
        <v>0</v>
      </c>
      <c r="W63" s="109">
        <f t="shared" si="18"/>
        <v>0</v>
      </c>
      <c r="X63" s="109">
        <f t="shared" si="1"/>
        <v>0</v>
      </c>
      <c r="Y63" s="109">
        <f t="shared" si="109"/>
        <v>0</v>
      </c>
      <c r="Z63" s="109"/>
      <c r="AA63" s="111">
        <f t="shared" si="110"/>
        <v>0</v>
      </c>
      <c r="AB63" s="111"/>
      <c r="AC63" s="109">
        <f t="shared" si="111"/>
        <v>0</v>
      </c>
      <c r="AD63" s="109"/>
      <c r="AE63" s="109"/>
      <c r="AF63" s="109"/>
      <c r="AG63" s="109">
        <f t="shared" si="5"/>
        <v>0</v>
      </c>
      <c r="AH63" s="156">
        <f>IF(VLOOKUP(AG63,'Table 26'!$A$2:$C$438,2,TRUE)&gt;=VLOOKUP(AG63,'Table 26'!$C$2:$D$438,2,TRUE),MAX(VLOOKUP(AG63,'Table 26'!$A$2:$B$438,2,TRUE),VLOOKUP(AG63,'Table 26'!$C$2:$D$438,2,TRUE)),0)</f>
        <v>0</v>
      </c>
      <c r="AI63" s="109"/>
      <c r="AJ63" s="158">
        <f>IF(VLOOKUP(AI63,'Table 26'!$E$2:$F$306,2,TRUE)&gt;=VLOOKUP(AI63,'Table 26'!$G$2:$H$306,2,TRUE),MAX(VLOOKUP(AI63,'Table 26'!$E$2:$F$306,2,TRUE),VLOOKUP(AI63,'Table 26'!$G$2:$H$306,2,TRUE)),0)</f>
        <v>0</v>
      </c>
      <c r="AK63" s="109"/>
      <c r="AL63" s="109">
        <f>SUM(AH63+AJ63+AK63+Y63+AA63+AC63+AD63+AE63+AF63)</f>
        <v>0</v>
      </c>
      <c r="AM63" s="109">
        <f t="shared" si="7"/>
        <v>0</v>
      </c>
      <c r="AN63" s="109">
        <f t="shared" si="8"/>
        <v>0</v>
      </c>
      <c r="AO63" s="109"/>
      <c r="AP63" s="109">
        <f>AM63+AN63+AO63</f>
        <v>0</v>
      </c>
      <c r="AQ63" s="253">
        <f t="shared" si="114"/>
        <v>0</v>
      </c>
      <c r="AR63" s="72">
        <f t="shared" si="117"/>
        <v>0</v>
      </c>
      <c r="AS63" s="25">
        <f t="shared" si="118"/>
        <v>0</v>
      </c>
      <c r="AT63" s="25">
        <f t="shared" si="119"/>
        <v>0</v>
      </c>
      <c r="AV63" s="220">
        <f t="shared" si="115"/>
        <v>-7.6733400000000005</v>
      </c>
      <c r="AW63" s="238">
        <f t="shared" si="116"/>
        <v>0</v>
      </c>
    </row>
    <row r="64" spans="1:49" x14ac:dyDescent="0.25">
      <c r="D64" s="124" t="s">
        <v>19</v>
      </c>
      <c r="E64" s="221"/>
      <c r="F64" s="30"/>
      <c r="G64" s="30"/>
      <c r="H64" s="30"/>
      <c r="I64" s="30"/>
      <c r="J64" s="30"/>
      <c r="K64" s="30"/>
      <c r="L64" s="30"/>
      <c r="M64" s="30">
        <v>0</v>
      </c>
      <c r="N64" s="30"/>
      <c r="O64" s="30">
        <v>0</v>
      </c>
      <c r="P64" s="30"/>
      <c r="Q64" s="30"/>
      <c r="R64" s="30"/>
      <c r="S64" s="30"/>
      <c r="T64" s="160"/>
      <c r="U64" s="204"/>
      <c r="V64" s="217">
        <f t="shared" si="0"/>
        <v>0</v>
      </c>
      <c r="W64" s="121">
        <f t="shared" si="18"/>
        <v>0</v>
      </c>
      <c r="X64" s="121">
        <f t="shared" si="1"/>
        <v>0</v>
      </c>
      <c r="Y64" s="121">
        <f t="shared" si="109"/>
        <v>0</v>
      </c>
      <c r="Z64" s="121"/>
      <c r="AA64" s="131">
        <f t="shared" si="110"/>
        <v>0</v>
      </c>
      <c r="AB64" s="131"/>
      <c r="AC64" s="121">
        <f t="shared" si="111"/>
        <v>0</v>
      </c>
      <c r="AD64" s="121"/>
      <c r="AE64" s="121"/>
      <c r="AF64" s="121"/>
      <c r="AG64" s="121">
        <f t="shared" si="5"/>
        <v>0</v>
      </c>
      <c r="AH64" s="157">
        <f>IF(VLOOKUP(AG64,'Table 26'!$A$2:$C$438,2,TRUE)&gt;=VLOOKUP(AG64,'Table 26'!$C$2:$D$438,2,TRUE),MAX(VLOOKUP(AG64,'Table 26'!$A$2:$B$438,2,TRUE),VLOOKUP(AG64,'Table 26'!$C$2:$D$438,2,TRUE)),0)</f>
        <v>0</v>
      </c>
      <c r="AI64" s="121">
        <f t="shared" si="112"/>
        <v>0</v>
      </c>
      <c r="AJ64" s="159">
        <f>IF(VLOOKUP(AI64,'Table 26'!$E$2:$F$306,2,TRUE)&gt;=VLOOKUP(AI64,'Table 26'!$G$2:$H$306,2,TRUE),MAX(VLOOKUP(AI64,'Table 26'!$E$2:$F$306,2,TRUE),VLOOKUP(AI64,'Table 26'!$G$2:$H$306,2,TRUE)),0)</f>
        <v>0</v>
      </c>
      <c r="AK64" s="121"/>
      <c r="AL64" s="121">
        <f t="shared" si="16"/>
        <v>0</v>
      </c>
      <c r="AM64" s="121">
        <f t="shared" si="7"/>
        <v>0</v>
      </c>
      <c r="AN64" s="121">
        <f t="shared" si="8"/>
        <v>0</v>
      </c>
      <c r="AO64" s="121"/>
      <c r="AP64" s="121">
        <f t="shared" si="113"/>
        <v>0</v>
      </c>
      <c r="AQ64" s="254">
        <f t="shared" si="114"/>
        <v>0</v>
      </c>
      <c r="AR64" s="72">
        <f t="shared" si="117"/>
        <v>0</v>
      </c>
      <c r="AS64" s="25">
        <f t="shared" si="118"/>
        <v>0</v>
      </c>
      <c r="AT64" s="25">
        <f t="shared" si="119"/>
        <v>0</v>
      </c>
      <c r="AV64" s="220">
        <f t="shared" si="115"/>
        <v>-7.6733400000000005</v>
      </c>
      <c r="AW64" s="238">
        <f t="shared" si="116"/>
        <v>0</v>
      </c>
    </row>
    <row r="65" spans="1:49" ht="13.8" thickBot="1" x14ac:dyDescent="0.3">
      <c r="A65" s="4"/>
      <c r="B65" s="4"/>
      <c r="C65" s="4"/>
      <c r="D65" s="278" t="s">
        <v>33</v>
      </c>
      <c r="E65" s="287"/>
      <c r="F65" s="280"/>
      <c r="G65" s="280"/>
      <c r="H65" s="280"/>
      <c r="I65" s="280"/>
      <c r="J65" s="280"/>
      <c r="K65" s="280"/>
      <c r="L65" s="280"/>
      <c r="M65" s="280">
        <v>0</v>
      </c>
      <c r="N65" s="280">
        <v>0</v>
      </c>
      <c r="O65" s="280">
        <v>0</v>
      </c>
      <c r="P65" s="280"/>
      <c r="Q65" s="280"/>
      <c r="R65" s="280"/>
      <c r="S65" s="280"/>
      <c r="T65" s="281">
        <f>SUM(T60:T64)</f>
        <v>0</v>
      </c>
      <c r="U65" s="281">
        <f t="shared" ref="U65:AU65" si="120">SUM(U60:U64)</f>
        <v>0</v>
      </c>
      <c r="V65" s="281">
        <f t="shared" si="120"/>
        <v>0</v>
      </c>
      <c r="W65" s="281">
        <f t="shared" si="120"/>
        <v>0</v>
      </c>
      <c r="X65" s="281">
        <f t="shared" si="120"/>
        <v>0</v>
      </c>
      <c r="Y65" s="281">
        <f t="shared" si="120"/>
        <v>0</v>
      </c>
      <c r="Z65" s="281">
        <f t="shared" si="120"/>
        <v>0</v>
      </c>
      <c r="AA65" s="281">
        <f t="shared" si="120"/>
        <v>0</v>
      </c>
      <c r="AB65" s="281">
        <f t="shared" si="120"/>
        <v>0</v>
      </c>
      <c r="AC65" s="281">
        <f t="shared" si="120"/>
        <v>0</v>
      </c>
      <c r="AD65" s="281"/>
      <c r="AE65" s="281">
        <f t="shared" si="120"/>
        <v>0</v>
      </c>
      <c r="AF65" s="281"/>
      <c r="AG65" s="281">
        <f t="shared" si="120"/>
        <v>0</v>
      </c>
      <c r="AH65" s="282">
        <f t="shared" si="120"/>
        <v>0</v>
      </c>
      <c r="AI65" s="281">
        <f t="shared" si="120"/>
        <v>0</v>
      </c>
      <c r="AJ65" s="283">
        <f t="shared" si="120"/>
        <v>0</v>
      </c>
      <c r="AK65" s="281"/>
      <c r="AL65" s="281">
        <f t="shared" si="120"/>
        <v>0</v>
      </c>
      <c r="AM65" s="281">
        <f t="shared" si="120"/>
        <v>0</v>
      </c>
      <c r="AN65" s="281">
        <f t="shared" si="120"/>
        <v>0</v>
      </c>
      <c r="AO65" s="281">
        <f>SUM(AO60:AO64)</f>
        <v>0</v>
      </c>
      <c r="AP65" s="281">
        <f t="shared" si="120"/>
        <v>0</v>
      </c>
      <c r="AQ65" s="284">
        <f t="shared" si="120"/>
        <v>0</v>
      </c>
      <c r="AR65" s="285">
        <f t="shared" si="120"/>
        <v>0</v>
      </c>
      <c r="AS65" s="285">
        <f t="shared" si="120"/>
        <v>0</v>
      </c>
      <c r="AT65" s="285">
        <f t="shared" si="120"/>
        <v>0</v>
      </c>
      <c r="AU65" s="285">
        <f t="shared" si="120"/>
        <v>0</v>
      </c>
      <c r="AV65" s="281"/>
      <c r="AW65" s="286">
        <f t="shared" ref="AW65" si="121">SUM(AW60:AW64)</f>
        <v>0</v>
      </c>
    </row>
    <row r="66" spans="1:49" x14ac:dyDescent="0.25">
      <c r="E66" s="222"/>
      <c r="T66" s="1"/>
      <c r="U66" s="1"/>
      <c r="V66" s="41"/>
      <c r="W66" s="1"/>
      <c r="X66" s="1"/>
      <c r="Y66" s="1"/>
      <c r="Z66" s="1"/>
      <c r="AA66" s="15"/>
      <c r="AB66" s="15"/>
      <c r="AC66" s="1"/>
      <c r="AD66" s="1"/>
      <c r="AE66" s="1"/>
      <c r="AF66" s="1"/>
      <c r="AG66" s="1"/>
      <c r="AH66" s="1"/>
      <c r="AI66" s="1"/>
      <c r="AJ66" s="1"/>
      <c r="AL66" s="1"/>
      <c r="AM66" s="1"/>
      <c r="AN66" s="1"/>
      <c r="AO66" s="1"/>
      <c r="AP66" s="1"/>
      <c r="AQ66" s="17"/>
      <c r="AR66" s="72"/>
      <c r="AS66" s="25"/>
      <c r="AV66" s="220"/>
    </row>
    <row r="67" spans="1:49" x14ac:dyDescent="0.25">
      <c r="C67">
        <v>20</v>
      </c>
      <c r="D67" s="100" t="s">
        <v>20</v>
      </c>
      <c r="E67" s="272">
        <v>3</v>
      </c>
      <c r="F67" s="102"/>
      <c r="G67" s="102"/>
      <c r="H67" s="102"/>
      <c r="I67" s="102"/>
      <c r="J67" s="102"/>
      <c r="K67" s="102"/>
      <c r="L67" s="102"/>
      <c r="M67" s="102">
        <v>0</v>
      </c>
      <c r="N67" s="102"/>
      <c r="O67" s="102">
        <v>0</v>
      </c>
      <c r="P67" s="102"/>
      <c r="Q67" s="102"/>
      <c r="R67" s="102">
        <f>P63+P67</f>
        <v>0</v>
      </c>
      <c r="S67" s="102">
        <f>Q63+Q67</f>
        <v>0</v>
      </c>
      <c r="T67" s="160"/>
      <c r="U67" s="103"/>
      <c r="V67" s="104">
        <f t="shared" si="0"/>
        <v>0</v>
      </c>
      <c r="W67" s="103">
        <f t="shared" si="18"/>
        <v>0</v>
      </c>
      <c r="X67" s="103">
        <f t="shared" si="1"/>
        <v>0</v>
      </c>
      <c r="Y67" s="103">
        <f>IF(AV67&lt;0,0,(X67-134.62)*0.057)</f>
        <v>0</v>
      </c>
      <c r="Z67" s="103"/>
      <c r="AA67" s="105">
        <f>V67*1.2%</f>
        <v>0</v>
      </c>
      <c r="AB67" s="105"/>
      <c r="AC67" s="103">
        <f>V67*0.494%</f>
        <v>0</v>
      </c>
      <c r="AD67" s="103"/>
      <c r="AE67" s="103"/>
      <c r="AF67" s="103"/>
      <c r="AG67" s="103">
        <f t="shared" si="5"/>
        <v>0</v>
      </c>
      <c r="AH67" s="276">
        <f>IF(VLOOKUP(AG67,'Table 26'!$A$2:$C$438,2,TRUE)&gt;=VLOOKUP(AG67,'Table 26'!$C$2:$D$438,2,TRUE),MAX(VLOOKUP(AG67,'Table 26'!$A$2:$B$438,2,TRUE),VLOOKUP(AG67,'Table 26'!$C$2:$D$438,2,TRUE)),0)</f>
        <v>0</v>
      </c>
      <c r="AI67" s="103">
        <f>X67-AF67</f>
        <v>0</v>
      </c>
      <c r="AJ67" s="277">
        <f>IF(VLOOKUP(AI67,'Table 26'!$E$2:$F$306,2,TRUE)&gt;=VLOOKUP(AI67,'Table 26'!$G$2:$H$306,2,TRUE),MAX(VLOOKUP(AI67,'Table 26'!$E$2:$F$306,2,TRUE),VLOOKUP(AI67,'Table 26'!$G$2:$H$306,2,TRUE)),0)</f>
        <v>0</v>
      </c>
      <c r="AK67" s="102"/>
      <c r="AL67" s="103">
        <f t="shared" si="16"/>
        <v>0</v>
      </c>
      <c r="AM67" s="103">
        <f t="shared" si="7"/>
        <v>0</v>
      </c>
      <c r="AN67" s="103">
        <f t="shared" si="8"/>
        <v>0</v>
      </c>
      <c r="AO67" s="103"/>
      <c r="AP67" s="274">
        <f>AM67+AN67+AO67</f>
        <v>0</v>
      </c>
      <c r="AQ67" s="252">
        <f>V67*0.692%</f>
        <v>0</v>
      </c>
      <c r="AR67" s="101"/>
      <c r="AS67" s="102"/>
      <c r="AT67" s="102"/>
      <c r="AU67" s="102"/>
      <c r="AV67" s="256">
        <f>(X67-134.62)*0.057</f>
        <v>-7.6733400000000005</v>
      </c>
      <c r="AW67" s="255">
        <f>T67*0.04</f>
        <v>0</v>
      </c>
    </row>
    <row r="68" spans="1:49" x14ac:dyDescent="0.25">
      <c r="D68" s="107" t="s">
        <v>20</v>
      </c>
      <c r="E68" s="221">
        <v>10</v>
      </c>
      <c r="F68" s="30"/>
      <c r="G68" s="30"/>
      <c r="H68" s="30"/>
      <c r="I68" s="30"/>
      <c r="J68" s="30"/>
      <c r="K68" s="30"/>
      <c r="L68" s="30"/>
      <c r="M68" s="30">
        <v>0</v>
      </c>
      <c r="N68" s="30"/>
      <c r="O68" s="30">
        <v>0</v>
      </c>
      <c r="P68" s="30"/>
      <c r="Q68" s="30"/>
      <c r="R68" s="30"/>
      <c r="S68" s="30"/>
      <c r="T68" s="160"/>
      <c r="U68" s="125"/>
      <c r="V68" s="110">
        <f t="shared" si="0"/>
        <v>0</v>
      </c>
      <c r="W68" s="109">
        <f t="shared" si="18"/>
        <v>0</v>
      </c>
      <c r="X68" s="109">
        <f t="shared" si="1"/>
        <v>0</v>
      </c>
      <c r="Y68" s="109">
        <f t="shared" ref="Y68:Y71" si="122">IF(AV68&lt;0,0,(X68-134.62)*0.057)</f>
        <v>0</v>
      </c>
      <c r="Z68" s="109"/>
      <c r="AA68" s="111">
        <f t="shared" ref="AA68:AA71" si="123">V68*1.2%</f>
        <v>0</v>
      </c>
      <c r="AB68" s="111"/>
      <c r="AC68" s="109">
        <f t="shared" ref="AC68:AC71" si="124">V68*0.494%</f>
        <v>0</v>
      </c>
      <c r="AD68" s="109"/>
      <c r="AE68" s="109"/>
      <c r="AF68" s="109"/>
      <c r="AG68" s="109">
        <f t="shared" si="5"/>
        <v>0</v>
      </c>
      <c r="AH68" s="156">
        <f>IF(VLOOKUP(AG68,'Table 26'!$A$2:$C$438,2,TRUE)&gt;=VLOOKUP(AG68,'Table 26'!$C$2:$D$438,2,TRUE),MAX(VLOOKUP(AG68,'Table 26'!$A$2:$B$438,2,TRUE),VLOOKUP(AG68,'Table 26'!$C$2:$D$438,2,TRUE)),0)</f>
        <v>0</v>
      </c>
      <c r="AI68" s="109">
        <f t="shared" ref="AI68:AI71" si="125">X68-AF68</f>
        <v>0</v>
      </c>
      <c r="AJ68" s="158">
        <f>IF(VLOOKUP(AI68,'Table 26'!$E$2:$F$306,2,TRUE)&gt;=VLOOKUP(AI68,'Table 26'!$G$2:$H$306,2,TRUE),MAX(VLOOKUP(AI68,'Table 26'!$E$2:$F$306,2,TRUE),VLOOKUP(AI68,'Table 26'!$G$2:$H$306,2,TRUE)),0)</f>
        <v>0</v>
      </c>
      <c r="AK68" s="109"/>
      <c r="AL68" s="109">
        <f t="shared" si="16"/>
        <v>0</v>
      </c>
      <c r="AM68" s="109">
        <f t="shared" si="7"/>
        <v>0</v>
      </c>
      <c r="AN68" s="109">
        <f t="shared" si="8"/>
        <v>0</v>
      </c>
      <c r="AO68" s="109"/>
      <c r="AP68" s="109">
        <f t="shared" ref="AP68:AP71" si="126">AM68+AN68+AO68</f>
        <v>0</v>
      </c>
      <c r="AQ68" s="253">
        <f t="shared" ref="AQ68:AQ71" si="127">V68*0.692%</f>
        <v>0</v>
      </c>
      <c r="AR68" s="72">
        <f>O68*5.335</f>
        <v>0</v>
      </c>
      <c r="AS68" s="25">
        <f>2*O68</f>
        <v>0</v>
      </c>
      <c r="AT68" s="25">
        <f>0.04*O68</f>
        <v>0</v>
      </c>
      <c r="AU68" s="25"/>
      <c r="AV68" s="220">
        <f t="shared" ref="AV68:AV71" si="128">(X68-134.62)*0.057</f>
        <v>-7.6733400000000005</v>
      </c>
      <c r="AW68" s="238">
        <f t="shared" ref="AW68:AW71" si="129">T68*0.04</f>
        <v>0</v>
      </c>
    </row>
    <row r="69" spans="1:49" x14ac:dyDescent="0.25">
      <c r="C69">
        <v>21</v>
      </c>
      <c r="D69" s="107" t="s">
        <v>20</v>
      </c>
      <c r="E69" s="271">
        <v>17</v>
      </c>
      <c r="F69" s="30"/>
      <c r="G69" s="30"/>
      <c r="H69" s="30"/>
      <c r="I69" s="30"/>
      <c r="J69" s="30"/>
      <c r="K69" s="30"/>
      <c r="L69" s="30"/>
      <c r="M69" s="30">
        <v>0</v>
      </c>
      <c r="N69" s="30"/>
      <c r="O69" s="30">
        <v>0</v>
      </c>
      <c r="P69" s="30"/>
      <c r="Q69" s="30"/>
      <c r="R69" s="30">
        <f>P68+P69</f>
        <v>0</v>
      </c>
      <c r="S69" s="30">
        <f>Q68+Q69</f>
        <v>0</v>
      </c>
      <c r="T69" s="160"/>
      <c r="U69" s="109"/>
      <c r="V69" s="110">
        <f t="shared" si="0"/>
        <v>0</v>
      </c>
      <c r="W69" s="109">
        <f t="shared" si="18"/>
        <v>0</v>
      </c>
      <c r="X69" s="109">
        <f t="shared" si="1"/>
        <v>0</v>
      </c>
      <c r="Y69" s="109">
        <f t="shared" si="122"/>
        <v>0</v>
      </c>
      <c r="Z69" s="109"/>
      <c r="AA69" s="111">
        <f t="shared" si="123"/>
        <v>0</v>
      </c>
      <c r="AB69" s="111"/>
      <c r="AC69" s="109">
        <f t="shared" si="124"/>
        <v>0</v>
      </c>
      <c r="AD69" s="109"/>
      <c r="AE69" s="109"/>
      <c r="AF69" s="109"/>
      <c r="AG69" s="109">
        <f t="shared" si="5"/>
        <v>0</v>
      </c>
      <c r="AH69" s="156">
        <f>IF(VLOOKUP(AG69,'Table 26'!$A$2:$C$438,2,TRUE)&gt;=VLOOKUP(AG69,'Table 26'!$C$2:$D$438,2,TRUE),MAX(VLOOKUP(AG69,'Table 26'!$A$2:$B$438,2,TRUE),VLOOKUP(AG69,'Table 26'!$C$2:$D$438,2,TRUE)),0)</f>
        <v>0</v>
      </c>
      <c r="AI69" s="109">
        <f t="shared" si="125"/>
        <v>0</v>
      </c>
      <c r="AJ69" s="158">
        <f>IF(VLOOKUP(AI69,'Table 26'!$E$2:$F$306,2,TRUE)&gt;=VLOOKUP(AI69,'Table 26'!$G$2:$H$306,2,TRUE),MAX(VLOOKUP(AI69,'Table 26'!$E$2:$F$306,2,TRUE),VLOOKUP(AI69,'Table 26'!$G$2:$H$306,2,TRUE)),0)</f>
        <v>0</v>
      </c>
      <c r="AK69" s="109"/>
      <c r="AL69" s="109">
        <f t="shared" si="16"/>
        <v>0</v>
      </c>
      <c r="AM69" s="109">
        <f t="shared" si="7"/>
        <v>0</v>
      </c>
      <c r="AN69" s="109">
        <f t="shared" si="8"/>
        <v>0</v>
      </c>
      <c r="AO69" s="109"/>
      <c r="AP69" s="273">
        <f t="shared" si="126"/>
        <v>0</v>
      </c>
      <c r="AQ69" s="253">
        <f t="shared" si="127"/>
        <v>0</v>
      </c>
      <c r="AR69" s="72">
        <f t="shared" ref="AR69:AR71" si="130">O69*5.335</f>
        <v>0</v>
      </c>
      <c r="AS69" s="25">
        <f t="shared" ref="AS69:AS71" si="131">2*O69</f>
        <v>0</v>
      </c>
      <c r="AT69" s="25">
        <f t="shared" ref="AT69:AT71" si="132">0.04*O69</f>
        <v>0</v>
      </c>
      <c r="AV69" s="220">
        <f t="shared" si="128"/>
        <v>-7.6733400000000005</v>
      </c>
      <c r="AW69" s="238">
        <f t="shared" si="129"/>
        <v>0</v>
      </c>
    </row>
    <row r="70" spans="1:49" x14ac:dyDescent="0.25">
      <c r="D70" s="107" t="s">
        <v>20</v>
      </c>
      <c r="E70" s="221">
        <v>24</v>
      </c>
      <c r="F70" s="30"/>
      <c r="G70" s="30"/>
      <c r="H70" s="30"/>
      <c r="I70" s="30"/>
      <c r="J70" s="30"/>
      <c r="K70" s="30"/>
      <c r="L70" s="30"/>
      <c r="M70" s="30">
        <v>0</v>
      </c>
      <c r="N70" s="30"/>
      <c r="O70" s="30">
        <v>0</v>
      </c>
      <c r="P70" s="123"/>
      <c r="Q70" s="30"/>
      <c r="R70" s="30"/>
      <c r="S70" s="30"/>
      <c r="T70" s="160"/>
      <c r="U70" s="125"/>
      <c r="V70" s="110">
        <f t="shared" ref="V70:V85" si="133">T70+U70</f>
        <v>0</v>
      </c>
      <c r="W70" s="109">
        <f t="shared" ref="W70:W85" si="134">O70*1.879</f>
        <v>0</v>
      </c>
      <c r="X70" s="109">
        <f t="shared" ref="X70:X85" si="135">V70+W70</f>
        <v>0</v>
      </c>
      <c r="Y70" s="109">
        <f t="shared" si="122"/>
        <v>0</v>
      </c>
      <c r="Z70" s="109"/>
      <c r="AA70" s="111">
        <f t="shared" si="123"/>
        <v>0</v>
      </c>
      <c r="AB70" s="111"/>
      <c r="AC70" s="109">
        <f t="shared" si="124"/>
        <v>0</v>
      </c>
      <c r="AD70" s="109"/>
      <c r="AE70" s="109"/>
      <c r="AF70" s="109"/>
      <c r="AG70" s="109">
        <f t="shared" ref="AG70:AG85" si="136">V70-AD70-AE70-AF70</f>
        <v>0</v>
      </c>
      <c r="AH70" s="156">
        <f>IF(VLOOKUP(AG70,'Table 26'!$A$2:$C$438,2,TRUE)&gt;=VLOOKUP(AG70,'Table 26'!$C$2:$D$438,2,TRUE),MAX(VLOOKUP(AG70,'Table 26'!$A$2:$B$438,2,TRUE),VLOOKUP(AG70,'Table 26'!$C$2:$D$438,2,TRUE)),0)</f>
        <v>0</v>
      </c>
      <c r="AI70" s="109"/>
      <c r="AJ70" s="158">
        <f>IF(VLOOKUP(AI70,'Table 26'!$E$2:$F$306,2,TRUE)&gt;=VLOOKUP(AI70,'Table 26'!$G$2:$H$306,2,TRUE),MAX(VLOOKUP(AI70,'Table 26'!$E$2:$F$306,2,TRUE),VLOOKUP(AI70,'Table 26'!$G$2:$H$306,2,TRUE)),0)</f>
        <v>0</v>
      </c>
      <c r="AK70" s="109"/>
      <c r="AL70" s="109">
        <f t="shared" ref="AL70:AL85" si="137">SUM(AH70+AJ70+AK70+Y70+AA70+AC70+AD70+AE70+AF70)</f>
        <v>0</v>
      </c>
      <c r="AM70" s="109">
        <f t="shared" ref="AM70:AM85" si="138">V70-AL70</f>
        <v>0</v>
      </c>
      <c r="AN70" s="109">
        <f t="shared" ref="AN70:AN85" si="139">O70*0.6</f>
        <v>0</v>
      </c>
      <c r="AO70" s="109"/>
      <c r="AP70" s="109">
        <f>AM70+AN70+AO70</f>
        <v>0</v>
      </c>
      <c r="AQ70" s="253">
        <f t="shared" si="127"/>
        <v>0</v>
      </c>
      <c r="AR70" s="72">
        <f t="shared" si="130"/>
        <v>0</v>
      </c>
      <c r="AS70" s="25">
        <f t="shared" si="131"/>
        <v>0</v>
      </c>
      <c r="AT70" s="25">
        <f t="shared" si="132"/>
        <v>0</v>
      </c>
      <c r="AV70" s="220">
        <f t="shared" si="128"/>
        <v>-7.6733400000000005</v>
      </c>
      <c r="AW70" s="238">
        <f t="shared" si="129"/>
        <v>0</v>
      </c>
    </row>
    <row r="71" spans="1:49" x14ac:dyDescent="0.25">
      <c r="C71">
        <v>22</v>
      </c>
      <c r="D71" s="107" t="s">
        <v>20</v>
      </c>
      <c r="E71" s="271">
        <v>31</v>
      </c>
      <c r="F71" s="349"/>
      <c r="G71" s="349"/>
      <c r="H71" s="349"/>
      <c r="I71" s="349"/>
      <c r="J71" s="349"/>
      <c r="K71" s="349"/>
      <c r="L71" s="30"/>
      <c r="M71" s="30"/>
      <c r="N71" s="30"/>
      <c r="O71" s="30"/>
      <c r="P71" s="123"/>
      <c r="Q71" s="30"/>
      <c r="R71" s="30">
        <f>P70+P71</f>
        <v>0</v>
      </c>
      <c r="S71" s="30">
        <f>Q70+Q71</f>
        <v>0</v>
      </c>
      <c r="T71" s="160"/>
      <c r="U71" s="204"/>
      <c r="V71" s="217">
        <f t="shared" si="133"/>
        <v>0</v>
      </c>
      <c r="W71" s="121">
        <f t="shared" si="134"/>
        <v>0</v>
      </c>
      <c r="X71" s="121">
        <f t="shared" si="135"/>
        <v>0</v>
      </c>
      <c r="Y71" s="121">
        <f t="shared" si="122"/>
        <v>0</v>
      </c>
      <c r="Z71" s="121"/>
      <c r="AA71" s="131">
        <f t="shared" si="123"/>
        <v>0</v>
      </c>
      <c r="AB71" s="131"/>
      <c r="AC71" s="121">
        <f t="shared" si="124"/>
        <v>0</v>
      </c>
      <c r="AD71" s="121"/>
      <c r="AE71" s="121"/>
      <c r="AF71" s="121"/>
      <c r="AG71" s="121">
        <f t="shared" si="136"/>
        <v>0</v>
      </c>
      <c r="AH71" s="157">
        <f>IF(VLOOKUP(AG71,'Table 26'!$A$2:$C$438,2,TRUE)&gt;=VLOOKUP(AG71,'Table 26'!$C$2:$D$438,2,TRUE),MAX(VLOOKUP(AG71,'Table 26'!$A$2:$B$438,2,TRUE),VLOOKUP(AG71,'Table 26'!$C$2:$D$438,2,TRUE)),0)</f>
        <v>0</v>
      </c>
      <c r="AI71" s="121">
        <f t="shared" si="125"/>
        <v>0</v>
      </c>
      <c r="AJ71" s="159">
        <f>IF(VLOOKUP(AI71,'Table 26'!$E$2:$F$306,2,TRUE)&gt;=VLOOKUP(AI71,'Table 26'!$G$2:$H$306,2,TRUE),MAX(VLOOKUP(AI71,'Table 26'!$E$2:$F$306,2,TRUE),VLOOKUP(AI71,'Table 26'!$G$2:$H$306,2,TRUE)),0)</f>
        <v>0</v>
      </c>
      <c r="AK71" s="121"/>
      <c r="AL71" s="121">
        <f t="shared" si="137"/>
        <v>0</v>
      </c>
      <c r="AM71" s="121">
        <f t="shared" si="138"/>
        <v>0</v>
      </c>
      <c r="AN71" s="121">
        <f t="shared" si="139"/>
        <v>0</v>
      </c>
      <c r="AO71" s="121"/>
      <c r="AP71" s="275">
        <f t="shared" si="126"/>
        <v>0</v>
      </c>
      <c r="AQ71" s="254">
        <f t="shared" si="127"/>
        <v>0</v>
      </c>
      <c r="AR71" s="72">
        <f t="shared" si="130"/>
        <v>0</v>
      </c>
      <c r="AS71" s="25">
        <f t="shared" si="131"/>
        <v>0</v>
      </c>
      <c r="AT71" s="25">
        <f t="shared" si="132"/>
        <v>0</v>
      </c>
      <c r="AV71" s="220">
        <f t="shared" si="128"/>
        <v>-7.6733400000000005</v>
      </c>
      <c r="AW71" s="238">
        <f t="shared" si="129"/>
        <v>0</v>
      </c>
    </row>
    <row r="72" spans="1:49" ht="13.8" thickBot="1" x14ac:dyDescent="0.3">
      <c r="A72" s="4"/>
      <c r="B72" s="4"/>
      <c r="C72" s="4"/>
      <c r="D72" s="278" t="s">
        <v>33</v>
      </c>
      <c r="E72" s="287"/>
      <c r="F72" s="280"/>
      <c r="G72" s="280"/>
      <c r="H72" s="280"/>
      <c r="I72" s="280"/>
      <c r="J72" s="280"/>
      <c r="K72" s="280"/>
      <c r="L72" s="280"/>
      <c r="M72" s="280">
        <v>0</v>
      </c>
      <c r="N72" s="280">
        <v>0</v>
      </c>
      <c r="O72" s="280">
        <v>0</v>
      </c>
      <c r="P72" s="280"/>
      <c r="Q72" s="280"/>
      <c r="R72" s="280"/>
      <c r="S72" s="280"/>
      <c r="T72" s="281">
        <f>SUM(T67:T71)</f>
        <v>0</v>
      </c>
      <c r="U72" s="281">
        <f t="shared" ref="U72:AU72" si="140">SUM(U67:U71)</f>
        <v>0</v>
      </c>
      <c r="V72" s="281">
        <f t="shared" si="140"/>
        <v>0</v>
      </c>
      <c r="W72" s="281">
        <f t="shared" si="140"/>
        <v>0</v>
      </c>
      <c r="X72" s="281">
        <f t="shared" si="140"/>
        <v>0</v>
      </c>
      <c r="Y72" s="281">
        <f t="shared" si="140"/>
        <v>0</v>
      </c>
      <c r="Z72" s="281">
        <f t="shared" si="140"/>
        <v>0</v>
      </c>
      <c r="AA72" s="281">
        <f t="shared" si="140"/>
        <v>0</v>
      </c>
      <c r="AB72" s="281">
        <f t="shared" si="140"/>
        <v>0</v>
      </c>
      <c r="AC72" s="281">
        <f t="shared" si="140"/>
        <v>0</v>
      </c>
      <c r="AD72" s="281"/>
      <c r="AE72" s="281">
        <f t="shared" si="140"/>
        <v>0</v>
      </c>
      <c r="AF72" s="281"/>
      <c r="AG72" s="281">
        <f t="shared" si="140"/>
        <v>0</v>
      </c>
      <c r="AH72" s="282">
        <f t="shared" si="140"/>
        <v>0</v>
      </c>
      <c r="AI72" s="281">
        <f t="shared" si="140"/>
        <v>0</v>
      </c>
      <c r="AJ72" s="283">
        <f t="shared" si="140"/>
        <v>0</v>
      </c>
      <c r="AK72" s="281"/>
      <c r="AL72" s="281">
        <f t="shared" si="140"/>
        <v>0</v>
      </c>
      <c r="AM72" s="281">
        <f t="shared" si="140"/>
        <v>0</v>
      </c>
      <c r="AN72" s="281">
        <f t="shared" si="140"/>
        <v>0</v>
      </c>
      <c r="AO72" s="281">
        <f>SUM(AO67:AO71)</f>
        <v>0</v>
      </c>
      <c r="AP72" s="281">
        <f t="shared" si="140"/>
        <v>0</v>
      </c>
      <c r="AQ72" s="284">
        <f t="shared" si="140"/>
        <v>0</v>
      </c>
      <c r="AR72" s="285">
        <f t="shared" si="140"/>
        <v>0</v>
      </c>
      <c r="AS72" s="285">
        <f t="shared" si="140"/>
        <v>0</v>
      </c>
      <c r="AT72" s="285">
        <f t="shared" si="140"/>
        <v>0</v>
      </c>
      <c r="AU72" s="285">
        <f t="shared" si="140"/>
        <v>0</v>
      </c>
      <c r="AV72" s="281"/>
      <c r="AW72" s="286">
        <f t="shared" ref="AW72" si="141">SUM(AW67:AW71)</f>
        <v>0</v>
      </c>
    </row>
    <row r="73" spans="1:49" x14ac:dyDescent="0.25">
      <c r="E73" s="222"/>
      <c r="T73" s="1"/>
      <c r="U73" s="1"/>
      <c r="V73" s="41"/>
      <c r="W73" s="1"/>
      <c r="X73" s="1"/>
      <c r="Y73" s="1"/>
      <c r="Z73" s="1"/>
      <c r="AA73" s="15"/>
      <c r="AB73" s="15"/>
      <c r="AC73" s="1"/>
      <c r="AD73" s="1"/>
      <c r="AE73" s="1"/>
      <c r="AF73" s="1"/>
      <c r="AG73" s="1"/>
      <c r="AH73" s="1"/>
      <c r="AI73" s="1"/>
      <c r="AJ73" s="1"/>
      <c r="AL73" s="1"/>
      <c r="AM73" s="1"/>
      <c r="AN73" s="1"/>
      <c r="AO73" s="1"/>
      <c r="AP73" s="1"/>
      <c r="AQ73" s="17"/>
      <c r="AR73" s="72">
        <f t="shared" ref="AR73" si="142">5.165*O73</f>
        <v>0</v>
      </c>
      <c r="AS73" s="25"/>
      <c r="AV73" s="220"/>
    </row>
    <row r="74" spans="1:49" x14ac:dyDescent="0.25">
      <c r="D74" s="100" t="s">
        <v>21</v>
      </c>
      <c r="E74" s="101">
        <v>7</v>
      </c>
      <c r="F74" s="102"/>
      <c r="G74" s="102"/>
      <c r="H74" s="102"/>
      <c r="I74" s="102"/>
      <c r="J74" s="102"/>
      <c r="K74" s="101"/>
      <c r="L74" s="101"/>
      <c r="M74" s="102">
        <v>0</v>
      </c>
      <c r="N74" s="102"/>
      <c r="O74" s="102">
        <v>0</v>
      </c>
      <c r="P74" s="102"/>
      <c r="Q74" s="102"/>
      <c r="R74" s="102"/>
      <c r="S74" s="102"/>
      <c r="T74" s="160"/>
      <c r="U74" s="103"/>
      <c r="V74" s="104">
        <f t="shared" si="133"/>
        <v>0</v>
      </c>
      <c r="W74" s="103">
        <f t="shared" si="134"/>
        <v>0</v>
      </c>
      <c r="X74" s="103">
        <f t="shared" si="135"/>
        <v>0</v>
      </c>
      <c r="Y74" s="103">
        <f>IF(AV74&lt;0,0,(X74-134.62)*0.057)</f>
        <v>0</v>
      </c>
      <c r="Z74" s="103"/>
      <c r="AA74" s="105">
        <f>V74*1.2%</f>
        <v>0</v>
      </c>
      <c r="AB74" s="105"/>
      <c r="AC74" s="103">
        <f>V74*0.494%</f>
        <v>0</v>
      </c>
      <c r="AD74" s="103"/>
      <c r="AE74" s="103"/>
      <c r="AF74" s="103"/>
      <c r="AG74" s="103">
        <f t="shared" si="136"/>
        <v>0</v>
      </c>
      <c r="AH74" s="276">
        <f>IF(VLOOKUP(AG74,'Table 26'!$A$2:$C$438,2,TRUE)&gt;=VLOOKUP(AG74,'Table 26'!$C$2:$D$438,2,TRUE),MAX(VLOOKUP(AG74,'Table 26'!$A$2:$B$438,2,TRUE),VLOOKUP(AG74,'Table 26'!$C$2:$D$438,2,TRUE)),0)</f>
        <v>0</v>
      </c>
      <c r="AI74" s="103">
        <f>X74-AF74</f>
        <v>0</v>
      </c>
      <c r="AJ74" s="277">
        <f>IF(VLOOKUP(AI74,'Table 26'!$E$2:$F$306,2,TRUE)&gt;=VLOOKUP(AI74,'Table 26'!$G$2:$H$306,2,TRUE),MAX(VLOOKUP(AI74,'Table 26'!$E$2:$F$306,2,TRUE),VLOOKUP(AI74,'Table 26'!$G$2:$H$306,2,TRUE)),0)</f>
        <v>0</v>
      </c>
      <c r="AK74" s="102"/>
      <c r="AL74" s="103">
        <f t="shared" si="137"/>
        <v>0</v>
      </c>
      <c r="AM74" s="103">
        <f t="shared" si="138"/>
        <v>0</v>
      </c>
      <c r="AN74" s="103">
        <f t="shared" si="139"/>
        <v>0</v>
      </c>
      <c r="AO74" s="103"/>
      <c r="AP74" s="103">
        <f>AM74+AN74+AO74</f>
        <v>0</v>
      </c>
      <c r="AQ74" s="252">
        <f>V74*0.692%</f>
        <v>0</v>
      </c>
      <c r="AR74" s="101"/>
      <c r="AS74" s="102"/>
      <c r="AT74" s="102"/>
      <c r="AU74" s="102"/>
      <c r="AV74" s="256">
        <f>(X74-134.62)*0.057</f>
        <v>-7.6733400000000005</v>
      </c>
      <c r="AW74" s="255">
        <f>T74*0.04</f>
        <v>0</v>
      </c>
    </row>
    <row r="75" spans="1:49" x14ac:dyDescent="0.25">
      <c r="C75">
        <v>23</v>
      </c>
      <c r="D75" s="107" t="s">
        <v>21</v>
      </c>
      <c r="E75" s="271">
        <v>14</v>
      </c>
      <c r="F75" s="30"/>
      <c r="G75" s="30"/>
      <c r="H75" s="30"/>
      <c r="I75" s="30"/>
      <c r="J75" s="30"/>
      <c r="K75" s="30"/>
      <c r="L75" s="30"/>
      <c r="M75" s="30">
        <v>0</v>
      </c>
      <c r="N75" s="30"/>
      <c r="O75" s="30">
        <v>0</v>
      </c>
      <c r="P75" s="123"/>
      <c r="Q75" s="30"/>
      <c r="R75" s="30">
        <f>P74+P75</f>
        <v>0</v>
      </c>
      <c r="S75" s="30">
        <f>Q74+Q75</f>
        <v>0</v>
      </c>
      <c r="T75" s="160"/>
      <c r="U75" s="125"/>
      <c r="V75" s="110">
        <f t="shared" si="133"/>
        <v>0</v>
      </c>
      <c r="W75" s="109">
        <f t="shared" si="134"/>
        <v>0</v>
      </c>
      <c r="X75" s="109">
        <f t="shared" si="135"/>
        <v>0</v>
      </c>
      <c r="Y75" s="109">
        <f t="shared" ref="Y75:Y78" si="143">IF(AV75&lt;0,0,(X75-134.62)*0.057)</f>
        <v>0</v>
      </c>
      <c r="Z75" s="109"/>
      <c r="AA75" s="111">
        <f t="shared" ref="AA75:AA78" si="144">V75*1.2%</f>
        <v>0</v>
      </c>
      <c r="AB75" s="111"/>
      <c r="AC75" s="109">
        <f t="shared" ref="AC75:AC78" si="145">V75*0.494%</f>
        <v>0</v>
      </c>
      <c r="AD75" s="109"/>
      <c r="AE75" s="109"/>
      <c r="AF75" s="109"/>
      <c r="AG75" s="109">
        <f t="shared" si="136"/>
        <v>0</v>
      </c>
      <c r="AH75" s="156">
        <f>IF(VLOOKUP(AG75,'Table 26'!$A$2:$C$438,2,TRUE)&gt;=VLOOKUP(AG75,'Table 26'!$C$2:$D$438,2,TRUE),MAX(VLOOKUP(AG75,'Table 26'!$A$2:$B$438,2,TRUE),VLOOKUP(AG75,'Table 26'!$C$2:$D$438,2,TRUE)),0)</f>
        <v>0</v>
      </c>
      <c r="AI75" s="109">
        <f t="shared" ref="AI75:AI78" si="146">X75-AF75</f>
        <v>0</v>
      </c>
      <c r="AJ75" s="158">
        <f>IF(VLOOKUP(AI75,'Table 26'!$E$2:$F$306,2,TRUE)&gt;=VLOOKUP(AI75,'Table 26'!$G$2:$H$306,2,TRUE),MAX(VLOOKUP(AI75,'Table 26'!$E$2:$F$306,2,TRUE),VLOOKUP(AI75,'Table 26'!$G$2:$H$306,2,TRUE)),0)</f>
        <v>0</v>
      </c>
      <c r="AK75" s="109"/>
      <c r="AL75" s="109">
        <f t="shared" si="137"/>
        <v>0</v>
      </c>
      <c r="AM75" s="109">
        <f t="shared" si="138"/>
        <v>0</v>
      </c>
      <c r="AN75" s="109">
        <f t="shared" si="139"/>
        <v>0</v>
      </c>
      <c r="AO75" s="109"/>
      <c r="AP75" s="273">
        <f t="shared" ref="AP75:AP78" si="147">AM75+AN75+AO75</f>
        <v>0</v>
      </c>
      <c r="AQ75" s="253">
        <f t="shared" ref="AQ75:AQ78" si="148">V75*0.692%</f>
        <v>0</v>
      </c>
      <c r="AR75" s="72">
        <f>O75*5.335</f>
        <v>0</v>
      </c>
      <c r="AS75" s="25">
        <f>2*O75</f>
        <v>0</v>
      </c>
      <c r="AT75" s="25">
        <f>0.04*O75</f>
        <v>0</v>
      </c>
      <c r="AU75" s="25"/>
      <c r="AV75" s="220">
        <f t="shared" ref="AV75:AV78" si="149">(X75-134.62)*0.057</f>
        <v>-7.6733400000000005</v>
      </c>
      <c r="AW75" s="238">
        <f t="shared" ref="AW75:AW78" si="150">T75*0.04</f>
        <v>0</v>
      </c>
    </row>
    <row r="76" spans="1:49" x14ac:dyDescent="0.25">
      <c r="D76" s="107" t="s">
        <v>21</v>
      </c>
      <c r="E76" s="221">
        <v>21</v>
      </c>
      <c r="F76" s="30"/>
      <c r="G76" s="30"/>
      <c r="H76" s="30"/>
      <c r="I76" s="30"/>
      <c r="J76" s="30"/>
      <c r="K76" s="30"/>
      <c r="L76" s="30"/>
      <c r="M76" s="30">
        <v>0</v>
      </c>
      <c r="N76" s="30"/>
      <c r="O76" s="30">
        <v>0</v>
      </c>
      <c r="P76" s="123"/>
      <c r="Q76" s="30"/>
      <c r="R76" s="30"/>
      <c r="S76" s="30"/>
      <c r="T76" s="160"/>
      <c r="U76" s="109"/>
      <c r="V76" s="110">
        <f t="shared" si="133"/>
        <v>0</v>
      </c>
      <c r="W76" s="109">
        <f t="shared" si="134"/>
        <v>0</v>
      </c>
      <c r="X76" s="109">
        <f t="shared" si="135"/>
        <v>0</v>
      </c>
      <c r="Y76" s="109">
        <f t="shared" si="143"/>
        <v>0</v>
      </c>
      <c r="Z76" s="109"/>
      <c r="AA76" s="111">
        <f t="shared" si="144"/>
        <v>0</v>
      </c>
      <c r="AB76" s="111"/>
      <c r="AC76" s="109">
        <f t="shared" si="145"/>
        <v>0</v>
      </c>
      <c r="AD76" s="109"/>
      <c r="AE76" s="109"/>
      <c r="AF76" s="109"/>
      <c r="AG76" s="109">
        <f t="shared" si="136"/>
        <v>0</v>
      </c>
      <c r="AH76" s="156">
        <f>IF(VLOOKUP(AG76,'Table 26'!$A$2:$C$438,2,TRUE)&gt;=VLOOKUP(AG76,'Table 26'!$C$2:$D$438,2,TRUE),MAX(VLOOKUP(AG76,'Table 26'!$A$2:$B$438,2,TRUE),VLOOKUP(AG76,'Table 26'!$C$2:$D$438,2,TRUE)),0)</f>
        <v>0</v>
      </c>
      <c r="AI76" s="109">
        <f t="shared" si="146"/>
        <v>0</v>
      </c>
      <c r="AJ76" s="158">
        <f>IF(VLOOKUP(AI76,'Table 26'!$E$2:$F$306,2,TRUE)&gt;=VLOOKUP(AI76,'Table 26'!$G$2:$H$306,2,TRUE),MAX(VLOOKUP(AI76,'Table 26'!$E$2:$F$306,2,TRUE),VLOOKUP(AI76,'Table 26'!$G$2:$H$306,2,TRUE)),0)</f>
        <v>0</v>
      </c>
      <c r="AK76" s="109"/>
      <c r="AL76" s="109">
        <f t="shared" si="137"/>
        <v>0</v>
      </c>
      <c r="AM76" s="109">
        <f t="shared" si="138"/>
        <v>0</v>
      </c>
      <c r="AN76" s="109">
        <f t="shared" si="139"/>
        <v>0</v>
      </c>
      <c r="AO76" s="109"/>
      <c r="AP76" s="109">
        <f t="shared" si="147"/>
        <v>0</v>
      </c>
      <c r="AQ76" s="253">
        <f t="shared" si="148"/>
        <v>0</v>
      </c>
      <c r="AR76" s="72">
        <f t="shared" ref="AR76:AR78" si="151">O76*5.335</f>
        <v>0</v>
      </c>
      <c r="AS76" s="25">
        <f t="shared" ref="AS76:AS78" si="152">2*O76</f>
        <v>0</v>
      </c>
      <c r="AT76" s="25">
        <f t="shared" ref="AT76:AT78" si="153">0.04*O76</f>
        <v>0</v>
      </c>
      <c r="AV76" s="220">
        <f t="shared" si="149"/>
        <v>-7.6733400000000005</v>
      </c>
      <c r="AW76" s="238">
        <f t="shared" si="150"/>
        <v>0</v>
      </c>
    </row>
    <row r="77" spans="1:49" x14ac:dyDescent="0.25">
      <c r="C77">
        <v>24</v>
      </c>
      <c r="D77" s="107" t="s">
        <v>21</v>
      </c>
      <c r="E77" s="271">
        <v>28</v>
      </c>
      <c r="F77" s="30"/>
      <c r="G77" s="30"/>
      <c r="H77" s="30"/>
      <c r="I77" s="30"/>
      <c r="J77" s="30"/>
      <c r="K77" s="30"/>
      <c r="L77" s="30"/>
      <c r="M77" s="30">
        <v>0</v>
      </c>
      <c r="N77" s="30"/>
      <c r="O77" s="30"/>
      <c r="P77" s="123"/>
      <c r="Q77" s="30"/>
      <c r="R77" s="30">
        <f>P76+P77</f>
        <v>0</v>
      </c>
      <c r="S77" s="30">
        <f>Q76+Q77</f>
        <v>0</v>
      </c>
      <c r="T77" s="160"/>
      <c r="U77" s="125"/>
      <c r="V77" s="110">
        <f t="shared" si="133"/>
        <v>0</v>
      </c>
      <c r="W77" s="109">
        <f>O77*1.926</f>
        <v>0</v>
      </c>
      <c r="X77" s="109">
        <f t="shared" si="135"/>
        <v>0</v>
      </c>
      <c r="Y77" s="109">
        <f t="shared" si="143"/>
        <v>0</v>
      </c>
      <c r="Z77" s="109"/>
      <c r="AA77" s="111">
        <f t="shared" si="144"/>
        <v>0</v>
      </c>
      <c r="AB77" s="111"/>
      <c r="AC77" s="109">
        <f t="shared" si="145"/>
        <v>0</v>
      </c>
      <c r="AD77" s="109"/>
      <c r="AE77" s="109"/>
      <c r="AF77" s="109"/>
      <c r="AG77" s="109">
        <f t="shared" si="136"/>
        <v>0</v>
      </c>
      <c r="AH77" s="156">
        <f>IF(VLOOKUP(AG77,'Table 26'!$A$2:$C$438,2,TRUE)&gt;=VLOOKUP(AG77,'Table 26'!$C$2:$D$438,2,TRUE),MAX(VLOOKUP(AG77,'Table 26'!$A$2:$B$438,2,TRUE),VLOOKUP(AG77,'Table 26'!$C$2:$D$438,2,TRUE)),0)</f>
        <v>0</v>
      </c>
      <c r="AI77" s="109"/>
      <c r="AJ77" s="158">
        <f>IF(VLOOKUP(AI77,'Table 26'!$E$2:$F$306,2,TRUE)&gt;=VLOOKUP(AI77,'Table 26'!$G$2:$H$306,2,TRUE),MAX(VLOOKUP(AI77,'Table 26'!$E$2:$F$306,2,TRUE),VLOOKUP(AI77,'Table 26'!$G$2:$H$306,2,TRUE)),0)</f>
        <v>0</v>
      </c>
      <c r="AK77" s="109"/>
      <c r="AL77" s="109">
        <f>SUM(AH77+AJ77+AK77+Y77+AA77+AC77+AD77+AE77+AF77)</f>
        <v>0</v>
      </c>
      <c r="AM77" s="109">
        <f t="shared" si="138"/>
        <v>0</v>
      </c>
      <c r="AN77" s="109"/>
      <c r="AO77" s="109"/>
      <c r="AP77" s="273">
        <f>AM77+AN77+AO77</f>
        <v>0</v>
      </c>
      <c r="AQ77" s="253">
        <f t="shared" si="148"/>
        <v>0</v>
      </c>
      <c r="AR77" s="72">
        <f t="shared" si="151"/>
        <v>0</v>
      </c>
      <c r="AS77" s="25">
        <f t="shared" si="152"/>
        <v>0</v>
      </c>
      <c r="AT77" s="25">
        <f t="shared" si="153"/>
        <v>0</v>
      </c>
      <c r="AV77" s="220">
        <f t="shared" si="149"/>
        <v>-7.6733400000000005</v>
      </c>
      <c r="AW77" s="238">
        <f t="shared" si="150"/>
        <v>0</v>
      </c>
    </row>
    <row r="78" spans="1:49" x14ac:dyDescent="0.25">
      <c r="D78" s="107" t="s">
        <v>21</v>
      </c>
      <c r="E78" s="221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160"/>
      <c r="U78" s="204"/>
      <c r="V78" s="217">
        <f t="shared" si="133"/>
        <v>0</v>
      </c>
      <c r="W78" s="121">
        <f>O78*1.926</f>
        <v>0</v>
      </c>
      <c r="X78" s="121">
        <f t="shared" si="135"/>
        <v>0</v>
      </c>
      <c r="Y78" s="121">
        <f t="shared" si="143"/>
        <v>0</v>
      </c>
      <c r="Z78" s="121"/>
      <c r="AA78" s="131">
        <f t="shared" si="144"/>
        <v>0</v>
      </c>
      <c r="AB78" s="131"/>
      <c r="AC78" s="121">
        <f t="shared" si="145"/>
        <v>0</v>
      </c>
      <c r="AD78" s="121"/>
      <c r="AE78" s="121"/>
      <c r="AF78" s="121"/>
      <c r="AG78" s="121">
        <f t="shared" si="136"/>
        <v>0</v>
      </c>
      <c r="AH78" s="157">
        <f>IF(VLOOKUP(AG78,'Table 26'!$A$2:$C$438,2,TRUE)&gt;=VLOOKUP(AG78,'Table 26'!$C$2:$D$438,2,TRUE),MAX(VLOOKUP(AG78,'Table 26'!$A$2:$B$438,2,TRUE),VLOOKUP(AG78,'Table 26'!$C$2:$D$438,2,TRUE)),0)</f>
        <v>0</v>
      </c>
      <c r="AI78" s="121">
        <f t="shared" si="146"/>
        <v>0</v>
      </c>
      <c r="AJ78" s="159">
        <f>IF(VLOOKUP(AI78,'Table 26'!$E$2:$F$306,2,TRUE)&gt;=VLOOKUP(AI78,'Table 26'!$G$2:$H$306,2,TRUE),MAX(VLOOKUP(AI78,'Table 26'!$E$2:$F$306,2,TRUE),VLOOKUP(AI78,'Table 26'!$G$2:$H$306,2,TRUE)),0)</f>
        <v>0</v>
      </c>
      <c r="AK78" s="121"/>
      <c r="AL78" s="121">
        <f t="shared" si="137"/>
        <v>0</v>
      </c>
      <c r="AM78" s="121">
        <f t="shared" si="138"/>
        <v>0</v>
      </c>
      <c r="AN78" s="121">
        <f t="shared" si="139"/>
        <v>0</v>
      </c>
      <c r="AO78" s="121"/>
      <c r="AP78" s="121">
        <f t="shared" si="147"/>
        <v>0</v>
      </c>
      <c r="AQ78" s="254">
        <f t="shared" si="148"/>
        <v>0</v>
      </c>
      <c r="AR78" s="72">
        <f t="shared" si="151"/>
        <v>0</v>
      </c>
      <c r="AS78" s="25">
        <f t="shared" si="152"/>
        <v>0</v>
      </c>
      <c r="AT78" s="25">
        <f t="shared" si="153"/>
        <v>0</v>
      </c>
      <c r="AV78" s="220">
        <f t="shared" si="149"/>
        <v>-7.6733400000000005</v>
      </c>
      <c r="AW78" s="238">
        <f t="shared" si="150"/>
        <v>0</v>
      </c>
    </row>
    <row r="79" spans="1:49" ht="13.8" thickBot="1" x14ac:dyDescent="0.3">
      <c r="A79" s="4"/>
      <c r="B79" s="4"/>
      <c r="C79" s="4"/>
      <c r="D79" s="278" t="s">
        <v>33</v>
      </c>
      <c r="E79" s="287"/>
      <c r="F79" s="280"/>
      <c r="G79" s="280"/>
      <c r="H79" s="280"/>
      <c r="I79" s="280"/>
      <c r="J79" s="280"/>
      <c r="K79" s="280"/>
      <c r="L79" s="280"/>
      <c r="M79" s="280">
        <v>0</v>
      </c>
      <c r="N79" s="280">
        <v>0</v>
      </c>
      <c r="O79" s="280">
        <f>SUM(O74:O78)</f>
        <v>0</v>
      </c>
      <c r="P79" s="280"/>
      <c r="Q79" s="280"/>
      <c r="R79" s="280"/>
      <c r="S79" s="280"/>
      <c r="T79" s="281">
        <f>SUM(T74:T78)</f>
        <v>0</v>
      </c>
      <c r="U79" s="281">
        <f t="shared" ref="U79:AU79" si="154">SUM(U74:U78)</f>
        <v>0</v>
      </c>
      <c r="V79" s="281">
        <f t="shared" si="154"/>
        <v>0</v>
      </c>
      <c r="W79" s="281">
        <f t="shared" si="154"/>
        <v>0</v>
      </c>
      <c r="X79" s="281">
        <f t="shared" si="154"/>
        <v>0</v>
      </c>
      <c r="Y79" s="281">
        <f t="shared" si="154"/>
        <v>0</v>
      </c>
      <c r="Z79" s="281">
        <f t="shared" si="154"/>
        <v>0</v>
      </c>
      <c r="AA79" s="281">
        <f t="shared" si="154"/>
        <v>0</v>
      </c>
      <c r="AB79" s="281">
        <f t="shared" si="154"/>
        <v>0</v>
      </c>
      <c r="AC79" s="281">
        <f t="shared" si="154"/>
        <v>0</v>
      </c>
      <c r="AD79" s="281"/>
      <c r="AE79" s="281">
        <f t="shared" si="154"/>
        <v>0</v>
      </c>
      <c r="AF79" s="281"/>
      <c r="AG79" s="281">
        <f t="shared" si="154"/>
        <v>0</v>
      </c>
      <c r="AH79" s="282">
        <f t="shared" si="154"/>
        <v>0</v>
      </c>
      <c r="AI79" s="281">
        <f t="shared" si="154"/>
        <v>0</v>
      </c>
      <c r="AJ79" s="283">
        <f t="shared" si="154"/>
        <v>0</v>
      </c>
      <c r="AK79" s="281"/>
      <c r="AL79" s="281">
        <f t="shared" si="154"/>
        <v>0</v>
      </c>
      <c r="AM79" s="281">
        <f t="shared" si="154"/>
        <v>0</v>
      </c>
      <c r="AN79" s="281">
        <f t="shared" si="154"/>
        <v>0</v>
      </c>
      <c r="AO79" s="281">
        <f>SUM(AO74:AO78)</f>
        <v>0</v>
      </c>
      <c r="AP79" s="281">
        <f t="shared" si="154"/>
        <v>0</v>
      </c>
      <c r="AQ79" s="284">
        <f t="shared" si="154"/>
        <v>0</v>
      </c>
      <c r="AR79" s="285">
        <f t="shared" si="154"/>
        <v>0</v>
      </c>
      <c r="AS79" s="285">
        <f t="shared" si="154"/>
        <v>0</v>
      </c>
      <c r="AT79" s="285">
        <f t="shared" si="154"/>
        <v>0</v>
      </c>
      <c r="AU79" s="285">
        <f t="shared" si="154"/>
        <v>0</v>
      </c>
      <c r="AV79" s="281"/>
      <c r="AW79" s="286">
        <f t="shared" ref="AW79" si="155">SUM(AW74:AW78)</f>
        <v>0</v>
      </c>
    </row>
    <row r="80" spans="1:49" x14ac:dyDescent="0.25">
      <c r="E80" s="222"/>
      <c r="O80" s="1"/>
      <c r="P80" s="1"/>
      <c r="Q80" s="1"/>
      <c r="R80" s="1"/>
      <c r="S80" s="1"/>
      <c r="T80" s="1"/>
      <c r="U80" s="1"/>
      <c r="V80" s="41"/>
      <c r="W80" s="1"/>
      <c r="X80" s="1"/>
      <c r="Y80" s="1"/>
      <c r="Z80" s="1"/>
      <c r="AA80" s="15"/>
      <c r="AB80" s="15"/>
      <c r="AC80" s="1"/>
      <c r="AD80" s="1"/>
      <c r="AE80" s="1"/>
      <c r="AF80" s="1"/>
      <c r="AG80" s="1"/>
      <c r="AH80" s="1"/>
      <c r="AI80" s="1"/>
      <c r="AJ80" s="1"/>
      <c r="AL80" s="1"/>
      <c r="AM80" s="1"/>
      <c r="AN80" s="1"/>
      <c r="AO80" s="1"/>
      <c r="AP80" s="1"/>
      <c r="AQ80" s="17"/>
      <c r="AR80" s="72"/>
      <c r="AS80" s="25"/>
      <c r="AV80" s="220"/>
    </row>
    <row r="81" spans="1:49" x14ac:dyDescent="0.25">
      <c r="D81" s="100" t="s">
        <v>22</v>
      </c>
      <c r="E81" s="101">
        <v>5</v>
      </c>
      <c r="F81" s="102"/>
      <c r="G81" s="102"/>
      <c r="H81" s="102"/>
      <c r="I81" s="102"/>
      <c r="J81" s="102"/>
      <c r="K81" s="102"/>
      <c r="L81" s="102"/>
      <c r="M81" s="102">
        <v>0</v>
      </c>
      <c r="N81" s="102"/>
      <c r="O81" s="129">
        <v>0</v>
      </c>
      <c r="P81" s="129"/>
      <c r="Q81" s="129"/>
      <c r="R81" s="129"/>
      <c r="S81" s="129"/>
      <c r="T81" s="160"/>
      <c r="U81" s="103"/>
      <c r="V81" s="104">
        <f t="shared" si="133"/>
        <v>0</v>
      </c>
      <c r="W81" s="103">
        <f t="shared" si="134"/>
        <v>0</v>
      </c>
      <c r="X81" s="103">
        <f t="shared" si="135"/>
        <v>0</v>
      </c>
      <c r="Y81" s="103">
        <f>IF(AV81&lt;0,0,(X81-134.62)*0.057)</f>
        <v>0</v>
      </c>
      <c r="Z81" s="103"/>
      <c r="AA81" s="105">
        <f>V81*1.2%</f>
        <v>0</v>
      </c>
      <c r="AB81" s="105"/>
      <c r="AC81" s="103">
        <f>V81*0.494%</f>
        <v>0</v>
      </c>
      <c r="AD81" s="103"/>
      <c r="AE81" s="103"/>
      <c r="AF81" s="103"/>
      <c r="AG81" s="103">
        <f t="shared" si="136"/>
        <v>0</v>
      </c>
      <c r="AH81" s="276">
        <f>IF(VLOOKUP(AG81,'Table 26'!$A$2:$C$438,2,TRUE)&gt;=VLOOKUP(AG81,'Table 26'!$C$2:$D$438,2,TRUE),MAX(VLOOKUP(AG81,'Table 26'!$A$2:$B$438,2,TRUE),VLOOKUP(AG81,'Table 26'!$C$2:$D$438,2,TRUE)),0)</f>
        <v>0</v>
      </c>
      <c r="AI81" s="103">
        <f>X81-AF81</f>
        <v>0</v>
      </c>
      <c r="AJ81" s="277">
        <f>IF(VLOOKUP(AI81,'Table 26'!$E$2:$F$306,2,TRUE)&gt;=VLOOKUP(AI81,'Table 26'!$G$2:$H$306,2,TRUE),MAX(VLOOKUP(AI81,'Table 26'!$E$2:$F$306,2,TRUE),VLOOKUP(AI81,'Table 26'!$G$2:$H$306,2,TRUE)),0)</f>
        <v>0</v>
      </c>
      <c r="AK81" s="102"/>
      <c r="AL81" s="103">
        <f t="shared" si="137"/>
        <v>0</v>
      </c>
      <c r="AM81" s="103">
        <f t="shared" si="138"/>
        <v>0</v>
      </c>
      <c r="AN81" s="103">
        <f t="shared" si="139"/>
        <v>0</v>
      </c>
      <c r="AO81" s="103"/>
      <c r="AP81" s="103">
        <f>AM81+AN81+AO81</f>
        <v>0</v>
      </c>
      <c r="AQ81" s="252">
        <f>V81*0.692%</f>
        <v>0</v>
      </c>
      <c r="AR81" s="101"/>
      <c r="AS81" s="102"/>
      <c r="AT81" s="102"/>
      <c r="AU81" s="102"/>
      <c r="AV81" s="256">
        <f>(X81-134.62)*0.057</f>
        <v>-7.6733400000000005</v>
      </c>
      <c r="AW81" s="255">
        <f>T81*0.04</f>
        <v>0</v>
      </c>
    </row>
    <row r="82" spans="1:49" x14ac:dyDescent="0.25">
      <c r="C82">
        <v>25</v>
      </c>
      <c r="D82" s="107" t="s">
        <v>22</v>
      </c>
      <c r="E82" s="271">
        <v>12</v>
      </c>
      <c r="F82" s="30"/>
      <c r="G82" s="30"/>
      <c r="H82" s="30"/>
      <c r="I82" s="30"/>
      <c r="J82" s="30"/>
      <c r="K82" s="30"/>
      <c r="L82" s="30"/>
      <c r="M82" s="30">
        <v>0</v>
      </c>
      <c r="N82" s="30"/>
      <c r="O82" s="130">
        <v>0</v>
      </c>
      <c r="P82" s="130"/>
      <c r="Q82" s="130"/>
      <c r="R82" s="30">
        <f>P81+P82</f>
        <v>0</v>
      </c>
      <c r="S82" s="30">
        <f>Q81+Q82</f>
        <v>0</v>
      </c>
      <c r="T82" s="160"/>
      <c r="U82" s="125"/>
      <c r="V82" s="110">
        <f t="shared" si="133"/>
        <v>0</v>
      </c>
      <c r="W82" s="109">
        <f t="shared" si="134"/>
        <v>0</v>
      </c>
      <c r="X82" s="109">
        <f t="shared" si="135"/>
        <v>0</v>
      </c>
      <c r="Y82" s="109">
        <f t="shared" ref="Y82:Y85" si="156">IF(AV82&lt;0,0,(X82-134.62)*0.057)</f>
        <v>0</v>
      </c>
      <c r="Z82" s="109"/>
      <c r="AA82" s="111">
        <f t="shared" ref="AA82:AA85" si="157">V82*1.2%</f>
        <v>0</v>
      </c>
      <c r="AB82" s="111"/>
      <c r="AC82" s="109">
        <f t="shared" ref="AC82:AC85" si="158">V82*0.494%</f>
        <v>0</v>
      </c>
      <c r="AD82" s="109"/>
      <c r="AE82" s="109"/>
      <c r="AF82" s="109"/>
      <c r="AG82" s="109">
        <f t="shared" si="136"/>
        <v>0</v>
      </c>
      <c r="AH82" s="156">
        <f>IF(VLOOKUP(AG82,'Table 26'!$A$2:$C$438,2,TRUE)&gt;=VLOOKUP(AG82,'Table 26'!$C$2:$D$438,2,TRUE),MAX(VLOOKUP(AG82,'Table 26'!$A$2:$B$438,2,TRUE),VLOOKUP(AG82,'Table 26'!$C$2:$D$438,2,TRUE)),0)</f>
        <v>0</v>
      </c>
      <c r="AI82" s="109">
        <f t="shared" ref="AI82:AI85" si="159">X82-AF82</f>
        <v>0</v>
      </c>
      <c r="AJ82" s="158">
        <f>IF(VLOOKUP(AI82,'Table 26'!$E$2:$F$306,2,TRUE)&gt;=VLOOKUP(AI82,'Table 26'!$G$2:$H$306,2,TRUE),MAX(VLOOKUP(AI82,'Table 26'!$E$2:$F$306,2,TRUE),VLOOKUP(AI82,'Table 26'!$G$2:$H$306,2,TRUE)),0)</f>
        <v>0</v>
      </c>
      <c r="AK82" s="109"/>
      <c r="AL82" s="109">
        <f t="shared" si="137"/>
        <v>0</v>
      </c>
      <c r="AM82" s="109">
        <f t="shared" si="138"/>
        <v>0</v>
      </c>
      <c r="AN82" s="109">
        <f t="shared" si="139"/>
        <v>0</v>
      </c>
      <c r="AO82" s="109"/>
      <c r="AP82" s="273">
        <f t="shared" ref="AP82:AP85" si="160">AM82+AN82+AO82</f>
        <v>0</v>
      </c>
      <c r="AQ82" s="253">
        <f t="shared" ref="AQ82:AQ85" si="161">V82*0.692%</f>
        <v>0</v>
      </c>
      <c r="AR82" s="72">
        <f>O82*5.335</f>
        <v>0</v>
      </c>
      <c r="AS82" s="25">
        <f>2*O82</f>
        <v>0</v>
      </c>
      <c r="AT82" s="25">
        <f>0.04*O82</f>
        <v>0</v>
      </c>
      <c r="AU82" s="25"/>
      <c r="AV82" s="220">
        <f t="shared" ref="AV82:AV85" si="162">(X82-134.62)*0.057</f>
        <v>-7.6733400000000005</v>
      </c>
      <c r="AW82" s="238">
        <f t="shared" ref="AW82:AW85" si="163">T82*0.04</f>
        <v>0</v>
      </c>
    </row>
    <row r="83" spans="1:49" x14ac:dyDescent="0.25">
      <c r="D83" s="107" t="s">
        <v>22</v>
      </c>
      <c r="E83" s="221">
        <v>19</v>
      </c>
      <c r="F83" s="30"/>
      <c r="G83" s="30"/>
      <c r="H83" s="30"/>
      <c r="I83" s="30"/>
      <c r="J83" s="30"/>
      <c r="K83" s="30"/>
      <c r="L83" s="30"/>
      <c r="M83" s="30">
        <v>0</v>
      </c>
      <c r="N83" s="30"/>
      <c r="O83" s="130">
        <v>0</v>
      </c>
      <c r="P83" s="130"/>
      <c r="Q83" s="130"/>
      <c r="R83" s="130"/>
      <c r="S83" s="130"/>
      <c r="T83" s="160"/>
      <c r="U83" s="109"/>
      <c r="V83" s="110">
        <f t="shared" si="133"/>
        <v>0</v>
      </c>
      <c r="W83" s="109">
        <f t="shared" si="134"/>
        <v>0</v>
      </c>
      <c r="X83" s="109">
        <f t="shared" si="135"/>
        <v>0</v>
      </c>
      <c r="Y83" s="109">
        <f t="shared" si="156"/>
        <v>0</v>
      </c>
      <c r="Z83" s="109"/>
      <c r="AA83" s="111">
        <f t="shared" si="157"/>
        <v>0</v>
      </c>
      <c r="AB83" s="111"/>
      <c r="AC83" s="109">
        <f t="shared" si="158"/>
        <v>0</v>
      </c>
      <c r="AD83" s="109"/>
      <c r="AE83" s="109"/>
      <c r="AF83" s="109"/>
      <c r="AG83" s="109">
        <f t="shared" si="136"/>
        <v>0</v>
      </c>
      <c r="AH83" s="156">
        <f>IF(VLOOKUP(AG83,'Table 26'!$A$2:$C$438,2,TRUE)&gt;=VLOOKUP(AG83,'Table 26'!$C$2:$D$438,2,TRUE),MAX(VLOOKUP(AG83,'Table 26'!$A$2:$B$438,2,TRUE),VLOOKUP(AG83,'Table 26'!$C$2:$D$438,2,TRUE)),0)</f>
        <v>0</v>
      </c>
      <c r="AI83" s="109">
        <f t="shared" si="159"/>
        <v>0</v>
      </c>
      <c r="AJ83" s="158">
        <f>IF(VLOOKUP(AI83,'Table 26'!$E$2:$F$306,2,TRUE)&gt;=VLOOKUP(AI83,'Table 26'!$G$2:$H$306,2,TRUE),MAX(VLOOKUP(AI83,'Table 26'!$E$2:$F$306,2,TRUE),VLOOKUP(AI83,'Table 26'!$G$2:$H$306,2,TRUE)),0)</f>
        <v>0</v>
      </c>
      <c r="AK83" s="109"/>
      <c r="AL83" s="109">
        <f t="shared" si="137"/>
        <v>0</v>
      </c>
      <c r="AM83" s="109">
        <f t="shared" si="138"/>
        <v>0</v>
      </c>
      <c r="AN83" s="109">
        <f t="shared" si="139"/>
        <v>0</v>
      </c>
      <c r="AO83" s="109"/>
      <c r="AP83" s="109">
        <f t="shared" si="160"/>
        <v>0</v>
      </c>
      <c r="AQ83" s="253">
        <f t="shared" si="161"/>
        <v>0</v>
      </c>
      <c r="AR83" s="72">
        <f t="shared" ref="AR83:AR85" si="164">O83*5.335</f>
        <v>0</v>
      </c>
      <c r="AS83" s="25">
        <f t="shared" ref="AS83:AS85" si="165">2*O83</f>
        <v>0</v>
      </c>
      <c r="AT83" s="25">
        <f t="shared" ref="AT83:AT85" si="166">0.04*O83</f>
        <v>0</v>
      </c>
      <c r="AV83" s="220">
        <f t="shared" si="162"/>
        <v>-7.6733400000000005</v>
      </c>
      <c r="AW83" s="238">
        <f t="shared" si="163"/>
        <v>0</v>
      </c>
    </row>
    <row r="84" spans="1:49" x14ac:dyDescent="0.25">
      <c r="C84">
        <v>26</v>
      </c>
      <c r="D84" s="107" t="s">
        <v>22</v>
      </c>
      <c r="E84" s="271">
        <v>26</v>
      </c>
      <c r="F84" s="30"/>
      <c r="G84" s="30"/>
      <c r="H84" s="30"/>
      <c r="I84" s="30"/>
      <c r="J84" s="30"/>
      <c r="K84" s="30"/>
      <c r="L84" s="30"/>
      <c r="M84" s="30">
        <v>0</v>
      </c>
      <c r="N84" s="30"/>
      <c r="O84" s="130">
        <v>0</v>
      </c>
      <c r="P84" s="328"/>
      <c r="Q84" s="130"/>
      <c r="R84" s="30">
        <f>P83+P84</f>
        <v>0</v>
      </c>
      <c r="S84" s="30">
        <f>Q83+Q84</f>
        <v>0</v>
      </c>
      <c r="T84" s="160"/>
      <c r="U84" s="125"/>
      <c r="V84" s="110">
        <f t="shared" si="133"/>
        <v>0</v>
      </c>
      <c r="W84" s="109">
        <f t="shared" si="134"/>
        <v>0</v>
      </c>
      <c r="X84" s="109">
        <f t="shared" si="135"/>
        <v>0</v>
      </c>
      <c r="Y84" s="109">
        <f t="shared" si="156"/>
        <v>0</v>
      </c>
      <c r="Z84" s="109"/>
      <c r="AA84" s="111">
        <f t="shared" si="157"/>
        <v>0</v>
      </c>
      <c r="AB84" s="111"/>
      <c r="AC84" s="109">
        <f t="shared" si="158"/>
        <v>0</v>
      </c>
      <c r="AD84" s="109"/>
      <c r="AE84" s="109"/>
      <c r="AF84" s="109"/>
      <c r="AG84" s="109">
        <f t="shared" si="136"/>
        <v>0</v>
      </c>
      <c r="AH84" s="156">
        <f>IF(VLOOKUP(AG84,'Table 26'!$A$2:$C$438,2,TRUE)&gt;=VLOOKUP(AG84,'Table 26'!$C$2:$D$438,2,TRUE),MAX(VLOOKUP(AG84,'Table 26'!$A$2:$B$438,2,TRUE),VLOOKUP(AG84,'Table 26'!$C$2:$D$438,2,TRUE)),0)</f>
        <v>0</v>
      </c>
      <c r="AI84" s="109"/>
      <c r="AJ84" s="158">
        <f>IF(VLOOKUP(AI84,'Table 26'!$E$2:$F$306,2,TRUE)&gt;=VLOOKUP(AI84,'Table 26'!$G$2:$H$306,2,TRUE),MAX(VLOOKUP(AI84,'Table 26'!$E$2:$F$306,2,TRUE),VLOOKUP(AI84,'Table 26'!$G$2:$H$306,2,TRUE)),0)</f>
        <v>0</v>
      </c>
      <c r="AK84" s="109"/>
      <c r="AL84" s="109">
        <f t="shared" si="137"/>
        <v>0</v>
      </c>
      <c r="AM84" s="109">
        <f t="shared" si="138"/>
        <v>0</v>
      </c>
      <c r="AN84" s="109">
        <f t="shared" si="139"/>
        <v>0</v>
      </c>
      <c r="AO84" s="109"/>
      <c r="AP84" s="273">
        <f>AM84+AN84+AO84</f>
        <v>0</v>
      </c>
      <c r="AQ84" s="253">
        <f t="shared" si="161"/>
        <v>0</v>
      </c>
      <c r="AR84" s="72">
        <f t="shared" si="164"/>
        <v>0</v>
      </c>
      <c r="AS84" s="25">
        <f t="shared" si="165"/>
        <v>0</v>
      </c>
      <c r="AT84" s="25">
        <f t="shared" si="166"/>
        <v>0</v>
      </c>
      <c r="AV84" s="220">
        <f t="shared" si="162"/>
        <v>-7.6733400000000005</v>
      </c>
      <c r="AW84" s="238">
        <f t="shared" si="163"/>
        <v>0</v>
      </c>
    </row>
    <row r="85" spans="1:49" x14ac:dyDescent="0.25">
      <c r="D85" s="107" t="s">
        <v>22</v>
      </c>
      <c r="E85" s="221"/>
      <c r="F85" s="30"/>
      <c r="G85" s="30"/>
      <c r="H85" s="30"/>
      <c r="I85" s="30"/>
      <c r="J85" s="30"/>
      <c r="K85" s="30"/>
      <c r="L85" s="30"/>
      <c r="M85" s="30">
        <v>0</v>
      </c>
      <c r="N85" s="30"/>
      <c r="O85" s="130">
        <v>0</v>
      </c>
      <c r="P85" s="130"/>
      <c r="Q85" s="130"/>
      <c r="R85" s="130"/>
      <c r="S85" s="130"/>
      <c r="T85" s="160"/>
      <c r="U85" s="204"/>
      <c r="V85" s="217">
        <f t="shared" si="133"/>
        <v>0</v>
      </c>
      <c r="W85" s="121">
        <f t="shared" si="134"/>
        <v>0</v>
      </c>
      <c r="X85" s="121">
        <f t="shared" si="135"/>
        <v>0</v>
      </c>
      <c r="Y85" s="121">
        <f t="shared" si="156"/>
        <v>0</v>
      </c>
      <c r="Z85" s="121"/>
      <c r="AA85" s="131">
        <f t="shared" si="157"/>
        <v>0</v>
      </c>
      <c r="AB85" s="131"/>
      <c r="AC85" s="121">
        <f t="shared" si="158"/>
        <v>0</v>
      </c>
      <c r="AD85" s="121"/>
      <c r="AE85" s="121"/>
      <c r="AF85" s="121"/>
      <c r="AG85" s="121">
        <f t="shared" si="136"/>
        <v>0</v>
      </c>
      <c r="AH85" s="157">
        <f>IF(VLOOKUP(AG85,'Table 26'!$A$2:$C$438,2,TRUE)&gt;=VLOOKUP(AG85,'Table 26'!$C$2:$D$438,2,TRUE),MAX(VLOOKUP(AG85,'Table 26'!$A$2:$B$438,2,TRUE),VLOOKUP(AG85,'Table 26'!$C$2:$D$438,2,TRUE)),0)</f>
        <v>0</v>
      </c>
      <c r="AI85" s="121">
        <f t="shared" si="159"/>
        <v>0</v>
      </c>
      <c r="AJ85" s="159">
        <f>IF(VLOOKUP(AI85,'Table 26'!$E$2:$F$306,2,TRUE)&gt;=VLOOKUP(AI85,'Table 26'!$G$2:$H$306,2,TRUE),MAX(VLOOKUP(AI85,'Table 26'!$E$2:$F$306,2,TRUE),VLOOKUP(AI85,'Table 26'!$G$2:$H$306,2,TRUE)),0)</f>
        <v>0</v>
      </c>
      <c r="AK85" s="121"/>
      <c r="AL85" s="121">
        <f t="shared" si="137"/>
        <v>0</v>
      </c>
      <c r="AM85" s="121">
        <f t="shared" si="138"/>
        <v>0</v>
      </c>
      <c r="AN85" s="121">
        <f t="shared" si="139"/>
        <v>0</v>
      </c>
      <c r="AO85" s="121"/>
      <c r="AP85" s="121">
        <f t="shared" si="160"/>
        <v>0</v>
      </c>
      <c r="AQ85" s="254">
        <f t="shared" si="161"/>
        <v>0</v>
      </c>
      <c r="AR85" s="72">
        <f t="shared" si="164"/>
        <v>0</v>
      </c>
      <c r="AS85" s="25">
        <f t="shared" si="165"/>
        <v>0</v>
      </c>
      <c r="AT85" s="25">
        <f t="shared" si="166"/>
        <v>0</v>
      </c>
      <c r="AV85" s="220">
        <f t="shared" si="162"/>
        <v>-7.6733400000000005</v>
      </c>
      <c r="AW85" s="238">
        <f t="shared" si="163"/>
        <v>0</v>
      </c>
    </row>
    <row r="86" spans="1:49" ht="13.8" thickBot="1" x14ac:dyDescent="0.3">
      <c r="A86" s="4"/>
      <c r="B86" s="4"/>
      <c r="C86" s="4"/>
      <c r="D86" s="278" t="s">
        <v>33</v>
      </c>
      <c r="E86" s="287"/>
      <c r="F86" s="280"/>
      <c r="G86" s="280"/>
      <c r="H86" s="280"/>
      <c r="I86" s="280"/>
      <c r="J86" s="280"/>
      <c r="K86" s="280"/>
      <c r="L86" s="280"/>
      <c r="M86" s="280">
        <v>0</v>
      </c>
      <c r="N86" s="280">
        <v>0</v>
      </c>
      <c r="O86" s="280">
        <v>0</v>
      </c>
      <c r="P86" s="280"/>
      <c r="Q86" s="280"/>
      <c r="R86" s="280"/>
      <c r="S86" s="280"/>
      <c r="T86" s="281">
        <f>SUM(T81:T85)</f>
        <v>0</v>
      </c>
      <c r="U86" s="281">
        <f t="shared" ref="U86:AU86" si="167">SUM(U81:U85)</f>
        <v>0</v>
      </c>
      <c r="V86" s="281">
        <f t="shared" si="167"/>
        <v>0</v>
      </c>
      <c r="W86" s="281">
        <f t="shared" si="167"/>
        <v>0</v>
      </c>
      <c r="X86" s="281">
        <f t="shared" si="167"/>
        <v>0</v>
      </c>
      <c r="Y86" s="281">
        <f t="shared" si="167"/>
        <v>0</v>
      </c>
      <c r="Z86" s="281">
        <f t="shared" si="167"/>
        <v>0</v>
      </c>
      <c r="AA86" s="281">
        <f t="shared" si="167"/>
        <v>0</v>
      </c>
      <c r="AB86" s="281">
        <f t="shared" si="167"/>
        <v>0</v>
      </c>
      <c r="AC86" s="281">
        <f t="shared" si="167"/>
        <v>0</v>
      </c>
      <c r="AD86" s="281"/>
      <c r="AE86" s="281">
        <f t="shared" si="167"/>
        <v>0</v>
      </c>
      <c r="AF86" s="281"/>
      <c r="AG86" s="281">
        <f t="shared" si="167"/>
        <v>0</v>
      </c>
      <c r="AH86" s="282">
        <f t="shared" si="167"/>
        <v>0</v>
      </c>
      <c r="AI86" s="281">
        <f t="shared" si="167"/>
        <v>0</v>
      </c>
      <c r="AJ86" s="283">
        <f t="shared" si="167"/>
        <v>0</v>
      </c>
      <c r="AK86" s="281"/>
      <c r="AL86" s="281">
        <f t="shared" si="167"/>
        <v>0</v>
      </c>
      <c r="AM86" s="281">
        <f t="shared" si="167"/>
        <v>0</v>
      </c>
      <c r="AN86" s="281">
        <f t="shared" si="167"/>
        <v>0</v>
      </c>
      <c r="AO86" s="281">
        <f>SUM(AO81:AO85)</f>
        <v>0</v>
      </c>
      <c r="AP86" s="281">
        <f t="shared" si="167"/>
        <v>0</v>
      </c>
      <c r="AQ86" s="284">
        <f t="shared" si="167"/>
        <v>0</v>
      </c>
      <c r="AR86" s="285">
        <f t="shared" si="167"/>
        <v>0</v>
      </c>
      <c r="AS86" s="285">
        <f t="shared" si="167"/>
        <v>0</v>
      </c>
      <c r="AT86" s="285">
        <f t="shared" si="167"/>
        <v>0</v>
      </c>
      <c r="AU86" s="285">
        <f t="shared" si="167"/>
        <v>0</v>
      </c>
      <c r="AV86" s="281"/>
      <c r="AW86" s="286">
        <f t="shared" ref="AW86" si="168">SUM(AW81:AW85)</f>
        <v>0</v>
      </c>
    </row>
    <row r="87" spans="1:49" x14ac:dyDescent="0.25">
      <c r="E87" s="222"/>
      <c r="O87" s="1"/>
      <c r="P87" s="1"/>
      <c r="Q87" s="1"/>
      <c r="R87" s="1"/>
      <c r="S87" s="1"/>
      <c r="T87" s="1"/>
      <c r="U87" s="1"/>
      <c r="V87" s="41"/>
      <c r="W87" s="1"/>
      <c r="X87" s="1"/>
      <c r="Y87" s="1"/>
      <c r="Z87" s="1"/>
      <c r="AA87" s="15"/>
      <c r="AB87" s="15"/>
      <c r="AC87" s="1"/>
      <c r="AD87" s="1"/>
      <c r="AE87" s="1"/>
      <c r="AF87" s="1"/>
      <c r="AG87" s="1"/>
      <c r="AH87" s="1"/>
      <c r="AI87" s="1"/>
      <c r="AJ87" s="1"/>
      <c r="AL87" s="1"/>
      <c r="AM87" s="1"/>
      <c r="AN87" s="1"/>
      <c r="AO87" s="1"/>
      <c r="AP87" s="1"/>
      <c r="AQ87" s="17"/>
      <c r="AV87" s="220"/>
    </row>
    <row r="88" spans="1:49" x14ac:dyDescent="0.25">
      <c r="A88" s="4"/>
      <c r="B88" s="4"/>
      <c r="C88" s="4"/>
      <c r="D88" s="161" t="s">
        <v>34</v>
      </c>
      <c r="E88" s="162"/>
      <c r="F88" s="163"/>
      <c r="G88" s="163"/>
      <c r="H88" s="163"/>
      <c r="I88" s="163"/>
      <c r="J88" s="163"/>
      <c r="K88" s="163"/>
      <c r="L88" s="163"/>
      <c r="M88" s="163">
        <v>0</v>
      </c>
      <c r="N88" s="163">
        <v>0</v>
      </c>
      <c r="O88" s="163">
        <f>O9+O16+O23+O30+O37+O44+O51+O58+O65+O72+O79+O86</f>
        <v>0</v>
      </c>
      <c r="P88" s="163"/>
      <c r="Q88" s="163"/>
      <c r="R88" s="163"/>
      <c r="S88" s="163"/>
      <c r="T88" s="164">
        <f>T9+T16+T23+T30+T37+T44+T51+T58+T65+T72+T79+T86</f>
        <v>773.5</v>
      </c>
      <c r="U88" s="164">
        <f t="shared" ref="U88:AW88" si="169">U9+U16+U23+U30+U37+U44+U51+U58+U65+U72+U79+U86</f>
        <v>0</v>
      </c>
      <c r="V88" s="164">
        <f t="shared" si="169"/>
        <v>773.5</v>
      </c>
      <c r="W88" s="164">
        <f t="shared" si="169"/>
        <v>0</v>
      </c>
      <c r="X88" s="164">
        <f t="shared" si="169"/>
        <v>773.5</v>
      </c>
      <c r="Y88" s="164">
        <f t="shared" si="169"/>
        <v>36.416159999999998</v>
      </c>
      <c r="Z88" s="164">
        <f t="shared" si="169"/>
        <v>0</v>
      </c>
      <c r="AA88" s="164">
        <f t="shared" si="169"/>
        <v>9.282</v>
      </c>
      <c r="AB88" s="164">
        <f t="shared" si="169"/>
        <v>0</v>
      </c>
      <c r="AC88" s="164">
        <f t="shared" si="169"/>
        <v>3.8210899999999999</v>
      </c>
      <c r="AD88" s="164"/>
      <c r="AE88" s="164">
        <f t="shared" si="169"/>
        <v>0</v>
      </c>
      <c r="AF88" s="164"/>
      <c r="AG88" s="164">
        <f t="shared" si="169"/>
        <v>773.5</v>
      </c>
      <c r="AH88" s="164">
        <f t="shared" si="169"/>
        <v>25.6</v>
      </c>
      <c r="AI88" s="164">
        <f t="shared" si="169"/>
        <v>773.5</v>
      </c>
      <c r="AJ88" s="164">
        <f t="shared" si="169"/>
        <v>19.78</v>
      </c>
      <c r="AK88" s="164"/>
      <c r="AL88" s="164">
        <f t="shared" si="169"/>
        <v>94.899249999999995</v>
      </c>
      <c r="AM88" s="164">
        <f t="shared" si="169"/>
        <v>678.60075000000006</v>
      </c>
      <c r="AN88" s="164">
        <f t="shared" si="169"/>
        <v>0</v>
      </c>
      <c r="AO88" s="164">
        <f t="shared" si="169"/>
        <v>54</v>
      </c>
      <c r="AP88" s="164">
        <f t="shared" si="169"/>
        <v>732.60075000000006</v>
      </c>
      <c r="AQ88" s="257">
        <f t="shared" si="169"/>
        <v>5.352619999999999</v>
      </c>
      <c r="AR88" s="165">
        <f t="shared" si="169"/>
        <v>0</v>
      </c>
      <c r="AS88" s="165">
        <f t="shared" si="169"/>
        <v>0</v>
      </c>
      <c r="AT88" s="165">
        <f t="shared" si="169"/>
        <v>0</v>
      </c>
      <c r="AU88" s="165">
        <f t="shared" si="169"/>
        <v>0</v>
      </c>
      <c r="AV88" s="165">
        <f t="shared" si="169"/>
        <v>13.396139999999999</v>
      </c>
      <c r="AW88" s="165">
        <f t="shared" si="169"/>
        <v>30.94</v>
      </c>
    </row>
    <row r="89" spans="1:49" x14ac:dyDescent="0.25">
      <c r="AV89" s="220"/>
    </row>
    <row r="90" spans="1:49" x14ac:dyDescent="0.25">
      <c r="AV90" s="220"/>
    </row>
    <row r="91" spans="1:49" x14ac:dyDescent="0.25">
      <c r="AV91" s="220"/>
    </row>
    <row r="92" spans="1:49" x14ac:dyDescent="0.25">
      <c r="AV92" s="220"/>
    </row>
  </sheetData>
  <mergeCells count="3">
    <mergeCell ref="F71:K71"/>
    <mergeCell ref="A9:B9"/>
    <mergeCell ref="A10:B10"/>
  </mergeCells>
  <phoneticPr fontId="10" type="noConversion"/>
  <pageMargins left="0.78740157499999996" right="0.78740157499999996" top="0.984251969" bottom="0.984251969" header="0.4921259845" footer="0.4921259845"/>
  <pageSetup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95DA8-A0EA-4201-A5AD-CE208DC82A4B}">
  <sheetPr codeName="Feuil5"/>
  <dimension ref="A4:H34"/>
  <sheetViews>
    <sheetView workbookViewId="0">
      <selection activeCell="I29" sqref="I29"/>
    </sheetView>
  </sheetViews>
  <sheetFormatPr baseColWidth="10" defaultRowHeight="13.2" x14ac:dyDescent="0.25"/>
  <cols>
    <col min="1" max="1" width="2.21875" customWidth="1"/>
    <col min="6" max="6" width="16.5546875" customWidth="1"/>
    <col min="8" max="8" width="11.5546875" customWidth="1"/>
  </cols>
  <sheetData>
    <row r="4" spans="1:8" ht="13.8" thickBot="1" x14ac:dyDescent="0.3">
      <c r="B4" s="53"/>
      <c r="E4" s="53"/>
      <c r="F4" s="100"/>
      <c r="G4" s="102"/>
      <c r="H4" s="255"/>
    </row>
    <row r="5" spans="1:8" ht="13.8" thickBot="1" x14ac:dyDescent="0.3">
      <c r="B5" s="53"/>
      <c r="E5" s="53"/>
      <c r="F5" s="315" t="s">
        <v>194</v>
      </c>
      <c r="H5" s="329">
        <v>3</v>
      </c>
    </row>
    <row r="6" spans="1:8" x14ac:dyDescent="0.25">
      <c r="B6" s="53"/>
      <c r="F6" s="107"/>
      <c r="G6" s="30"/>
      <c r="H6" s="238"/>
    </row>
    <row r="7" spans="1:8" x14ac:dyDescent="0.25">
      <c r="F7" s="315" t="s">
        <v>195</v>
      </c>
      <c r="G7" s="30"/>
      <c r="H7" s="238"/>
    </row>
    <row r="8" spans="1:8" x14ac:dyDescent="0.25">
      <c r="F8" s="315" t="s">
        <v>196</v>
      </c>
      <c r="G8" s="30"/>
      <c r="H8" s="238"/>
    </row>
    <row r="9" spans="1:8" ht="13.8" thickBot="1" x14ac:dyDescent="0.3">
      <c r="F9" s="316" t="s">
        <v>209</v>
      </c>
      <c r="G9" s="30"/>
      <c r="H9" s="317"/>
    </row>
    <row r="10" spans="1:8" ht="13.8" thickBot="1" x14ac:dyDescent="0.3">
      <c r="B10" s="306"/>
      <c r="C10" s="307"/>
      <c r="D10" s="308"/>
      <c r="E10" s="309"/>
      <c r="F10" s="107"/>
      <c r="G10" s="30"/>
      <c r="H10" s="238"/>
    </row>
    <row r="11" spans="1:8" ht="13.8" thickBot="1" x14ac:dyDescent="0.3">
      <c r="B11" s="232"/>
      <c r="C11" s="30"/>
      <c r="D11" s="30"/>
      <c r="E11" s="310"/>
      <c r="F11" s="315" t="s">
        <v>210</v>
      </c>
      <c r="H11" s="323">
        <f>VLOOKUP($H$5,Empl.3!$C$4:$AW$86,40,FALSE)</f>
        <v>732.60075000000006</v>
      </c>
    </row>
    <row r="12" spans="1:8" ht="13.8" thickBot="1" x14ac:dyDescent="0.3">
      <c r="B12" s="311"/>
      <c r="C12" s="312"/>
      <c r="D12" s="312"/>
      <c r="E12" s="313"/>
      <c r="F12" s="318"/>
      <c r="G12" s="219"/>
      <c r="H12" s="267"/>
    </row>
    <row r="13" spans="1:8" ht="13.8" thickBot="1" x14ac:dyDescent="0.3">
      <c r="B13" s="30"/>
      <c r="C13" s="30"/>
      <c r="D13" s="30"/>
      <c r="E13" s="30"/>
      <c r="F13" s="30"/>
      <c r="G13" s="30"/>
    </row>
    <row r="14" spans="1:8" ht="13.8" thickBot="1" x14ac:dyDescent="0.3">
      <c r="B14" s="354" t="s">
        <v>197</v>
      </c>
      <c r="C14" s="355"/>
      <c r="D14" s="355"/>
      <c r="E14" s="355"/>
      <c r="F14" s="357" t="s">
        <v>203</v>
      </c>
      <c r="G14" s="356"/>
      <c r="H14" s="358"/>
    </row>
    <row r="15" spans="1:8" x14ac:dyDescent="0.25">
      <c r="A15" s="345"/>
      <c r="B15" s="340"/>
      <c r="C15" s="319" t="s">
        <v>198</v>
      </c>
      <c r="D15" s="319" t="s">
        <v>199</v>
      </c>
      <c r="E15" s="338" t="s">
        <v>202</v>
      </c>
      <c r="F15" s="322"/>
      <c r="G15" s="319" t="s">
        <v>205</v>
      </c>
      <c r="H15" s="320" t="s">
        <v>202</v>
      </c>
    </row>
    <row r="16" spans="1:8" x14ac:dyDescent="0.25">
      <c r="B16" s="107"/>
      <c r="C16" s="326"/>
      <c r="D16" s="326"/>
      <c r="E16" s="324"/>
      <c r="F16" s="107"/>
      <c r="G16" s="326"/>
      <c r="H16" s="324"/>
    </row>
    <row r="17" spans="2:8" x14ac:dyDescent="0.25">
      <c r="B17" s="315" t="s">
        <v>207</v>
      </c>
      <c r="C17" s="326">
        <f>VLOOKUP($H$5,Empl.2!$C$4:$AW$86,16,FALSE)</f>
        <v>30</v>
      </c>
      <c r="E17" s="324"/>
      <c r="F17" s="315" t="s">
        <v>211</v>
      </c>
      <c r="G17" s="326">
        <f>VLOOKUP($H$5,Empl.2!$C$4:$AW$86,32,FALSE)</f>
        <v>22.6</v>
      </c>
      <c r="H17" s="324"/>
    </row>
    <row r="18" spans="2:8" x14ac:dyDescent="0.25">
      <c r="B18" s="315" t="s">
        <v>204</v>
      </c>
      <c r="D18" s="326">
        <f>VLOOKUP($H$5,Empl.2!$C$4:$AW$86,18,FALSE)</f>
        <v>750</v>
      </c>
      <c r="E18" s="324"/>
      <c r="F18" s="315" t="s">
        <v>212</v>
      </c>
      <c r="G18" s="326">
        <f>VLOOKUP($H$5,Empl.2!$C$4:$AW$86,34,FALSE)</f>
        <v>16.850000000000001</v>
      </c>
      <c r="H18" s="324"/>
    </row>
    <row r="19" spans="2:8" x14ac:dyDescent="0.25">
      <c r="B19" s="315" t="s">
        <v>200</v>
      </c>
      <c r="C19" s="326"/>
      <c r="D19" s="326">
        <f>VLOOKUP($H$5,Empl.2!$C$4:$AW$86,47,FALSE)</f>
        <v>30</v>
      </c>
      <c r="E19" s="324"/>
      <c r="F19" s="315" t="s">
        <v>213</v>
      </c>
      <c r="G19" s="326">
        <f>VLOOKUP($H$5,Empl.2!$C$4:$AW$86,25,FALSE)</f>
        <v>9</v>
      </c>
      <c r="H19" s="324"/>
    </row>
    <row r="20" spans="2:8" x14ac:dyDescent="0.25">
      <c r="B20" s="315" t="s">
        <v>208</v>
      </c>
      <c r="C20" s="326"/>
      <c r="D20" s="326">
        <f>VLOOKUP($H$5,Empl.2!$C$4:$AW$86,39,FALSE)</f>
        <v>54</v>
      </c>
      <c r="E20" s="324"/>
      <c r="F20" s="315" t="s">
        <v>214</v>
      </c>
      <c r="G20" s="326">
        <f>VLOOKUP($H$5,Empl.2!$C$4:$AW$86,23,FALSE)</f>
        <v>35.076660000000004</v>
      </c>
      <c r="H20" s="324"/>
    </row>
    <row r="21" spans="2:8" x14ac:dyDescent="0.25">
      <c r="B21" s="107"/>
      <c r="C21" s="326"/>
      <c r="D21" s="326"/>
      <c r="E21" s="324"/>
      <c r="F21" s="315" t="s">
        <v>31</v>
      </c>
      <c r="G21" s="326">
        <f>VLOOKUP($H$5,Empl.2!$C$4:$AW$86,27,FALSE)</f>
        <v>3.7050000000000001</v>
      </c>
      <c r="H21" s="324"/>
    </row>
    <row r="22" spans="2:8" x14ac:dyDescent="0.25">
      <c r="B22" s="318"/>
      <c r="C22" s="330"/>
      <c r="D22" s="330"/>
      <c r="E22" s="331"/>
      <c r="F22" s="318"/>
      <c r="G22" s="330"/>
      <c r="H22" s="331"/>
    </row>
    <row r="23" spans="2:8" x14ac:dyDescent="0.25">
      <c r="B23" s="341" t="s">
        <v>199</v>
      </c>
      <c r="C23" s="330"/>
      <c r="D23" s="330">
        <f>SUM(D18:D20)</f>
        <v>834</v>
      </c>
      <c r="E23" s="331"/>
      <c r="F23" s="332"/>
      <c r="G23" s="330">
        <f>SUM(G17:G22)</f>
        <v>87.231660000000005</v>
      </c>
      <c r="H23" s="331"/>
    </row>
    <row r="24" spans="2:8" ht="13.8" thickBot="1" x14ac:dyDescent="0.3">
      <c r="B24" s="107"/>
    </row>
    <row r="25" spans="2:8" ht="13.8" thickBot="1" x14ac:dyDescent="0.3">
      <c r="B25" s="342" t="s">
        <v>201</v>
      </c>
      <c r="C25" s="335"/>
      <c r="D25" s="314" t="s">
        <v>194</v>
      </c>
      <c r="E25" s="343" t="s">
        <v>202</v>
      </c>
    </row>
    <row r="26" spans="2:8" x14ac:dyDescent="0.25">
      <c r="B26" s="322"/>
      <c r="D26" s="345"/>
      <c r="E26" s="321"/>
      <c r="F26" s="344"/>
    </row>
    <row r="27" spans="2:8" x14ac:dyDescent="0.25">
      <c r="B27" s="107"/>
      <c r="D27" s="325"/>
      <c r="E27" s="324"/>
      <c r="F27" s="326"/>
    </row>
    <row r="28" spans="2:8" x14ac:dyDescent="0.25">
      <c r="B28" s="315" t="s">
        <v>206</v>
      </c>
      <c r="D28" s="325">
        <f>D18</f>
        <v>750</v>
      </c>
      <c r="E28" s="334">
        <f>VLOOKUP($H$5,Empl.2!$C$4:$AW$86,18,FALSE)</f>
        <v>750</v>
      </c>
      <c r="F28" s="337"/>
    </row>
    <row r="29" spans="2:8" x14ac:dyDescent="0.25">
      <c r="B29" s="315" t="s">
        <v>25</v>
      </c>
      <c r="D29" s="325">
        <f>D19</f>
        <v>30</v>
      </c>
      <c r="E29" s="324"/>
      <c r="F29" s="326"/>
    </row>
    <row r="30" spans="2:8" x14ac:dyDescent="0.25">
      <c r="B30" s="316" t="s">
        <v>207</v>
      </c>
      <c r="D30" s="325">
        <f>C17</f>
        <v>30</v>
      </c>
      <c r="E30" s="324"/>
      <c r="F30" s="326"/>
    </row>
    <row r="31" spans="2:8" x14ac:dyDescent="0.25">
      <c r="B31" s="316" t="s">
        <v>193</v>
      </c>
      <c r="D31" s="325">
        <f>D20</f>
        <v>54</v>
      </c>
      <c r="E31" s="324"/>
      <c r="F31" s="326"/>
    </row>
    <row r="32" spans="2:8" x14ac:dyDescent="0.25">
      <c r="B32" s="107"/>
      <c r="D32" s="325"/>
      <c r="E32" s="324"/>
      <c r="F32" s="326"/>
    </row>
    <row r="33" spans="2:7" x14ac:dyDescent="0.25">
      <c r="B33" s="318"/>
      <c r="D33" s="330"/>
      <c r="E33" s="331"/>
      <c r="F33" s="326"/>
    </row>
    <row r="34" spans="2:7" x14ac:dyDescent="0.25">
      <c r="B34" s="332"/>
      <c r="C34" s="336"/>
      <c r="D34" s="330"/>
      <c r="E34" s="331"/>
      <c r="F34" s="53" t="s">
        <v>217</v>
      </c>
      <c r="G34" s="333">
        <f>D18+D20-G23</f>
        <v>716.76833999999997</v>
      </c>
    </row>
  </sheetData>
  <mergeCells count="2">
    <mergeCell ref="B14:E14"/>
    <mergeCell ref="F14:H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AO86"/>
  <sheetViews>
    <sheetView showZeros="0" workbookViewId="0">
      <pane ySplit="1" topLeftCell="A2" activePane="bottomLeft" state="frozen"/>
      <selection activeCell="P17" sqref="P17"/>
      <selection pane="bottomLeft" activeCell="P17" sqref="P17"/>
    </sheetView>
  </sheetViews>
  <sheetFormatPr baseColWidth="10" defaultRowHeight="13.2" x14ac:dyDescent="0.25"/>
  <cols>
    <col min="1" max="1" width="17" bestFit="1" customWidth="1"/>
    <col min="2" max="2" width="5.5546875" customWidth="1"/>
    <col min="3" max="3" width="2.5546875" customWidth="1"/>
    <col min="4" max="4" width="9.6640625" customWidth="1"/>
    <col min="5" max="5" width="4.88671875" customWidth="1"/>
    <col min="6" max="6" width="2.5546875" customWidth="1"/>
    <col min="7" max="7" width="2.33203125" customWidth="1"/>
    <col min="8" max="8" width="3.33203125" customWidth="1"/>
    <col min="9" max="9" width="3.44140625" customWidth="1"/>
    <col min="10" max="11" width="2.44140625" customWidth="1"/>
    <col min="12" max="12" width="2.5546875" customWidth="1"/>
    <col min="13" max="13" width="3.88671875" customWidth="1"/>
    <col min="14" max="14" width="3.44140625" customWidth="1"/>
    <col min="15" max="15" width="6.33203125" customWidth="1"/>
    <col min="16" max="16" width="9" customWidth="1"/>
    <col min="17" max="17" width="7.44140625" customWidth="1"/>
    <col min="18" max="18" width="9" customWidth="1"/>
    <col min="19" max="19" width="7.5546875" customWidth="1"/>
    <col min="20" max="20" width="8.33203125" customWidth="1"/>
    <col min="21" max="21" width="7" customWidth="1"/>
    <col min="22" max="22" width="6.109375" customWidth="1"/>
    <col min="23" max="23" width="8.33203125" customWidth="1"/>
    <col min="24" max="24" width="8.5546875" customWidth="1"/>
    <col min="25" max="25" width="6.44140625" customWidth="1"/>
    <col min="26" max="26" width="8" customWidth="1"/>
    <col min="27" max="27" width="8.109375" customWidth="1"/>
    <col min="28" max="28" width="8.88671875" customWidth="1"/>
    <col min="29" max="29" width="10.44140625" customWidth="1"/>
    <col min="30" max="30" width="9.109375" customWidth="1"/>
    <col min="32" max="32" width="10.44140625" customWidth="1"/>
    <col min="33" max="33" width="8.33203125" customWidth="1"/>
    <col min="34" max="34" width="9.44140625" customWidth="1"/>
    <col min="35" max="35" width="8.44140625" customWidth="1"/>
    <col min="36" max="36" width="6.44140625" customWidth="1"/>
    <col min="37" max="37" width="9.6640625" customWidth="1"/>
    <col min="38" max="38" width="6.5546875" customWidth="1"/>
    <col min="39" max="39" width="11.44140625" customWidth="1"/>
    <col min="40" max="40" width="8.44140625" customWidth="1"/>
    <col min="41" max="41" width="9.109375" customWidth="1"/>
  </cols>
  <sheetData>
    <row r="1" spans="1:41" x14ac:dyDescent="0.25">
      <c r="A1" s="2" t="s">
        <v>180</v>
      </c>
      <c r="B1" s="3"/>
      <c r="C1" s="4"/>
      <c r="D1" s="4" t="s">
        <v>3</v>
      </c>
      <c r="E1" s="47" t="s">
        <v>155</v>
      </c>
      <c r="F1" s="4" t="s">
        <v>63</v>
      </c>
      <c r="G1" s="4" t="s">
        <v>64</v>
      </c>
      <c r="H1" s="4" t="s">
        <v>65</v>
      </c>
      <c r="I1" s="4" t="s">
        <v>66</v>
      </c>
      <c r="J1" s="4" t="s">
        <v>67</v>
      </c>
      <c r="K1" s="4" t="s">
        <v>68</v>
      </c>
      <c r="L1" s="4" t="s">
        <v>69</v>
      </c>
      <c r="M1" s="4" t="s">
        <v>24</v>
      </c>
      <c r="N1" s="4" t="s">
        <v>156</v>
      </c>
      <c r="O1" s="4" t="s">
        <v>50</v>
      </c>
      <c r="P1" s="6" t="s">
        <v>55</v>
      </c>
      <c r="Q1" s="6" t="s">
        <v>108</v>
      </c>
      <c r="R1" s="23" t="s">
        <v>122</v>
      </c>
      <c r="S1" s="6" t="s">
        <v>123</v>
      </c>
      <c r="T1" s="6" t="s">
        <v>124</v>
      </c>
      <c r="U1" s="6" t="s">
        <v>28</v>
      </c>
      <c r="V1" s="6" t="s">
        <v>126</v>
      </c>
      <c r="W1" s="6" t="s">
        <v>161</v>
      </c>
      <c r="X1" s="6" t="s">
        <v>160</v>
      </c>
      <c r="Y1" s="6" t="s">
        <v>31</v>
      </c>
      <c r="Z1" s="6" t="s">
        <v>162</v>
      </c>
      <c r="AA1" s="6" t="s">
        <v>98</v>
      </c>
      <c r="AB1" s="6" t="s">
        <v>141</v>
      </c>
      <c r="AC1" s="6" t="s">
        <v>128</v>
      </c>
      <c r="AD1" s="6" t="s">
        <v>26</v>
      </c>
      <c r="AE1" s="6" t="s">
        <v>129</v>
      </c>
      <c r="AF1" s="6" t="s">
        <v>27</v>
      </c>
      <c r="AG1" s="6" t="s">
        <v>163</v>
      </c>
      <c r="AH1" s="6" t="s">
        <v>58</v>
      </c>
      <c r="AI1" s="6" t="s">
        <v>39</v>
      </c>
      <c r="AJ1" s="6" t="s">
        <v>100</v>
      </c>
      <c r="AK1" s="6" t="s">
        <v>133</v>
      </c>
      <c r="AL1" s="6" t="s">
        <v>31</v>
      </c>
      <c r="AM1" s="6" t="s">
        <v>157</v>
      </c>
      <c r="AN1" s="6" t="s">
        <v>150</v>
      </c>
      <c r="AO1" s="6" t="s">
        <v>151</v>
      </c>
    </row>
    <row r="2" spans="1:41" x14ac:dyDescent="0.25">
      <c r="A2" s="4" t="s">
        <v>181</v>
      </c>
      <c r="B2" s="4"/>
      <c r="D2" t="s">
        <v>11</v>
      </c>
      <c r="E2" s="46"/>
      <c r="P2" s="25"/>
      <c r="Q2" s="25"/>
      <c r="R2" s="28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</row>
    <row r="3" spans="1:41" x14ac:dyDescent="0.25">
      <c r="A3" s="4" t="s">
        <v>179</v>
      </c>
      <c r="B3" s="4"/>
      <c r="D3" t="s">
        <v>11</v>
      </c>
      <c r="E3" s="46">
        <v>4</v>
      </c>
      <c r="P3" s="25"/>
      <c r="Q3" s="25"/>
      <c r="R3" s="28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</row>
    <row r="4" spans="1:41" x14ac:dyDescent="0.25">
      <c r="A4" s="4" t="s">
        <v>182</v>
      </c>
      <c r="D4" t="s">
        <v>11</v>
      </c>
      <c r="E4" s="46">
        <v>11</v>
      </c>
      <c r="P4" s="25"/>
      <c r="Q4" s="25"/>
      <c r="R4" s="28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</row>
    <row r="5" spans="1:41" x14ac:dyDescent="0.25">
      <c r="A5" s="4" t="s">
        <v>178</v>
      </c>
      <c r="D5" t="s">
        <v>11</v>
      </c>
      <c r="E5" s="46">
        <v>18</v>
      </c>
      <c r="P5" s="25"/>
      <c r="Q5" s="25"/>
      <c r="R5" s="28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</row>
    <row r="6" spans="1:41" x14ac:dyDescent="0.25">
      <c r="D6" t="s">
        <v>11</v>
      </c>
      <c r="E6" s="46">
        <v>25</v>
      </c>
      <c r="P6" s="25"/>
      <c r="Q6" s="25"/>
      <c r="R6" s="28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</row>
    <row r="7" spans="1:41" x14ac:dyDescent="0.25">
      <c r="A7" s="351" t="s">
        <v>48</v>
      </c>
      <c r="B7" s="351"/>
      <c r="C7" s="11"/>
      <c r="D7" s="4" t="s">
        <v>32</v>
      </c>
      <c r="E7" s="47"/>
      <c r="P7" s="25"/>
      <c r="Q7" s="25"/>
      <c r="R7" s="28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</row>
    <row r="8" spans="1:41" x14ac:dyDescent="0.25">
      <c r="A8" s="4"/>
      <c r="E8" s="46"/>
      <c r="P8" s="25"/>
      <c r="Q8" s="25"/>
      <c r="R8" s="28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</row>
    <row r="9" spans="1:41" x14ac:dyDescent="0.25">
      <c r="A9" s="350" t="s">
        <v>49</v>
      </c>
      <c r="B9" s="350"/>
      <c r="C9" s="350"/>
      <c r="D9" t="s">
        <v>12</v>
      </c>
      <c r="E9" s="46">
        <v>1</v>
      </c>
      <c r="P9" s="25">
        <f>31.67*O9</f>
        <v>0</v>
      </c>
      <c r="Q9" s="25">
        <f>13%*P9</f>
        <v>0</v>
      </c>
      <c r="R9" s="28">
        <f>P9+Q9</f>
        <v>0</v>
      </c>
      <c r="S9" s="25">
        <f>1.93*O9</f>
        <v>0</v>
      </c>
      <c r="T9" s="25">
        <f>R9+S9</f>
        <v>0</v>
      </c>
      <c r="U9" s="25"/>
      <c r="V9" s="25"/>
      <c r="W9" s="25">
        <f>R9*1.47%</f>
        <v>0</v>
      </c>
      <c r="X9" s="25"/>
      <c r="Y9" s="25">
        <f>R9*0.559%</f>
        <v>0</v>
      </c>
      <c r="Z9" s="25">
        <f>0.75%*R9</f>
        <v>0</v>
      </c>
      <c r="AA9" s="25"/>
      <c r="AB9" s="25">
        <f>1.7*O9</f>
        <v>0</v>
      </c>
      <c r="AC9" s="25">
        <f>R9-Z9-AA9-AB9</f>
        <v>0</v>
      </c>
      <c r="AD9" s="25"/>
      <c r="AE9" s="25"/>
      <c r="AF9" s="25"/>
      <c r="AG9" s="25">
        <f>Q9</f>
        <v>0</v>
      </c>
      <c r="AH9" s="25">
        <f>U9+W9+Y9+Z9+AA9+AB9+AD9+AF9+AG9</f>
        <v>0</v>
      </c>
      <c r="AI9" s="25">
        <f>R9-AH9</f>
        <v>0</v>
      </c>
      <c r="AJ9" s="25">
        <f>0.6*O9</f>
        <v>0</v>
      </c>
      <c r="AK9" s="25">
        <f>AI9+AJ9</f>
        <v>0</v>
      </c>
      <c r="AL9" s="25">
        <f>R9*0.782%</f>
        <v>0</v>
      </c>
      <c r="AM9" s="25">
        <f>5.755*O9</f>
        <v>0</v>
      </c>
      <c r="AN9" s="25">
        <f>1.95*O9</f>
        <v>0</v>
      </c>
      <c r="AO9" s="25">
        <f>0.02*O9</f>
        <v>0</v>
      </c>
    </row>
    <row r="10" spans="1:41" x14ac:dyDescent="0.25">
      <c r="A10" s="361"/>
      <c r="B10" s="361"/>
      <c r="D10" t="s">
        <v>12</v>
      </c>
      <c r="E10" s="46">
        <v>8</v>
      </c>
      <c r="P10" s="25">
        <f>31.67*O10</f>
        <v>0</v>
      </c>
      <c r="Q10" s="25">
        <f>13%*P10</f>
        <v>0</v>
      </c>
      <c r="R10" s="28">
        <f>P10+Q10</f>
        <v>0</v>
      </c>
      <c r="S10" s="25">
        <f>1.93*O10</f>
        <v>0</v>
      </c>
      <c r="T10" s="25">
        <f>R10+S10</f>
        <v>0</v>
      </c>
      <c r="U10" s="25"/>
      <c r="V10" s="25"/>
      <c r="W10" s="25">
        <f>R10*1.47%</f>
        <v>0</v>
      </c>
      <c r="X10" s="25"/>
      <c r="Y10" s="25">
        <f>R10*0.559%</f>
        <v>0</v>
      </c>
      <c r="Z10" s="25">
        <f>0.75%*R10</f>
        <v>0</v>
      </c>
      <c r="AA10" s="25"/>
      <c r="AB10" s="25">
        <f>1.7*O10</f>
        <v>0</v>
      </c>
      <c r="AC10" s="25">
        <f>R10-Z10-AA10-AB10</f>
        <v>0</v>
      </c>
      <c r="AD10" s="25"/>
      <c r="AE10" s="25"/>
      <c r="AF10" s="25"/>
      <c r="AG10" s="25">
        <f>Q10</f>
        <v>0</v>
      </c>
      <c r="AH10" s="25">
        <f>U10+W10+Y10+Z10+AA10+AB10+AD10+AF10+AG10</f>
        <v>0</v>
      </c>
      <c r="AI10" s="25">
        <f>R10-AH10</f>
        <v>0</v>
      </c>
      <c r="AJ10" s="25">
        <f>0.6*O10</f>
        <v>0</v>
      </c>
      <c r="AK10" s="25">
        <f>AI10+AJ10</f>
        <v>0</v>
      </c>
      <c r="AL10" s="25">
        <f>R10*0.782%</f>
        <v>0</v>
      </c>
      <c r="AM10" s="25">
        <f t="shared" ref="AM10:AM12" si="0">5.755*O10</f>
        <v>0</v>
      </c>
      <c r="AN10" s="25">
        <f t="shared" ref="AN10:AN12" si="1">1.95*O10</f>
        <v>0</v>
      </c>
      <c r="AO10" s="25">
        <f t="shared" ref="AO10:AO12" si="2">0.02*O10</f>
        <v>0</v>
      </c>
    </row>
    <row r="11" spans="1:41" x14ac:dyDescent="0.25">
      <c r="A11" s="4" t="s">
        <v>121</v>
      </c>
      <c r="D11" t="s">
        <v>12</v>
      </c>
      <c r="E11" s="46">
        <v>15</v>
      </c>
      <c r="P11" s="25">
        <f>31.67*O11</f>
        <v>0</v>
      </c>
      <c r="Q11" s="25">
        <f>13%*P11</f>
        <v>0</v>
      </c>
      <c r="R11" s="28">
        <f>P11+Q11</f>
        <v>0</v>
      </c>
      <c r="S11" s="25">
        <f>1.93*O11</f>
        <v>0</v>
      </c>
      <c r="T11" s="25">
        <f>R11+S11</f>
        <v>0</v>
      </c>
      <c r="U11" s="25"/>
      <c r="V11" s="25"/>
      <c r="W11" s="25">
        <f>R11*1.47%</f>
        <v>0</v>
      </c>
      <c r="X11" s="25"/>
      <c r="Y11" s="25">
        <f>R11*0.559%</f>
        <v>0</v>
      </c>
      <c r="Z11" s="25">
        <f>0.75%*R11</f>
        <v>0</v>
      </c>
      <c r="AA11" s="25"/>
      <c r="AB11" s="25">
        <f>1.7*O11</f>
        <v>0</v>
      </c>
      <c r="AC11" s="25">
        <f>R11-Z11-AA11-AB11</f>
        <v>0</v>
      </c>
      <c r="AD11" s="25"/>
      <c r="AE11" s="25"/>
      <c r="AF11" s="25"/>
      <c r="AG11" s="25">
        <f>Q11</f>
        <v>0</v>
      </c>
      <c r="AH11" s="25">
        <f>U11+W11+Y11+Z11+AA11+AB11+AD11+AF11+AG11</f>
        <v>0</v>
      </c>
      <c r="AI11" s="25">
        <f>R11-AH11</f>
        <v>0</v>
      </c>
      <c r="AJ11" s="25">
        <f>0.6*O11</f>
        <v>0</v>
      </c>
      <c r="AK11" s="25">
        <f>AI11+AJ11</f>
        <v>0</v>
      </c>
      <c r="AL11" s="25">
        <f>R11*0.782%</f>
        <v>0</v>
      </c>
      <c r="AM11" s="25">
        <f t="shared" si="0"/>
        <v>0</v>
      </c>
      <c r="AN11" s="25">
        <f t="shared" si="1"/>
        <v>0</v>
      </c>
      <c r="AO11" s="25">
        <f t="shared" si="2"/>
        <v>0</v>
      </c>
    </row>
    <row r="12" spans="1:41" x14ac:dyDescent="0.25">
      <c r="A12" s="350" t="s">
        <v>35</v>
      </c>
      <c r="B12" s="350"/>
      <c r="D12" t="s">
        <v>12</v>
      </c>
      <c r="E12" s="46">
        <v>22</v>
      </c>
      <c r="P12" s="25">
        <f>31.67*O12</f>
        <v>0</v>
      </c>
      <c r="Q12" s="25">
        <f>13%*P12</f>
        <v>0</v>
      </c>
      <c r="R12" s="28">
        <f>P12+Q12</f>
        <v>0</v>
      </c>
      <c r="S12" s="25">
        <f>1.93*O12</f>
        <v>0</v>
      </c>
      <c r="T12" s="25">
        <f>R12+S12</f>
        <v>0</v>
      </c>
      <c r="U12" s="25"/>
      <c r="V12" s="25"/>
      <c r="W12" s="25">
        <f>R12*1.47%</f>
        <v>0</v>
      </c>
      <c r="X12" s="25"/>
      <c r="Y12" s="25">
        <f>R12*0.559%</f>
        <v>0</v>
      </c>
      <c r="Z12" s="25">
        <f>0.75%*R12</f>
        <v>0</v>
      </c>
      <c r="AA12" s="25"/>
      <c r="AB12" s="25">
        <f>1.7*O12</f>
        <v>0</v>
      </c>
      <c r="AC12" s="25">
        <f>R12-Z12-AA12-AB12</f>
        <v>0</v>
      </c>
      <c r="AD12" s="25"/>
      <c r="AE12" s="25"/>
      <c r="AF12" s="25"/>
      <c r="AG12" s="25">
        <f>Q12</f>
        <v>0</v>
      </c>
      <c r="AH12" s="25">
        <f>U12+W12+Y12+Z12+AA12+AB12+AD12+AF12+AG12</f>
        <v>0</v>
      </c>
      <c r="AI12" s="25">
        <f>R12-AH12</f>
        <v>0</v>
      </c>
      <c r="AJ12" s="25">
        <f>0.6*O12</f>
        <v>0</v>
      </c>
      <c r="AK12" s="25">
        <f>AI12+AJ12</f>
        <v>0</v>
      </c>
      <c r="AL12" s="25">
        <f>R12*0.782%</f>
        <v>0</v>
      </c>
      <c r="AM12" s="25">
        <f t="shared" si="0"/>
        <v>0</v>
      </c>
      <c r="AN12" s="25">
        <f t="shared" si="1"/>
        <v>0</v>
      </c>
      <c r="AO12" s="25">
        <f t="shared" si="2"/>
        <v>0</v>
      </c>
    </row>
    <row r="13" spans="1:41" x14ac:dyDescent="0.25">
      <c r="A13" s="4" t="s">
        <v>0</v>
      </c>
      <c r="B13" s="4"/>
      <c r="C13" s="4"/>
      <c r="D13" s="4" t="s">
        <v>32</v>
      </c>
      <c r="E13" s="47"/>
      <c r="O13" s="4">
        <f>SUM(O9:O12)</f>
        <v>0</v>
      </c>
      <c r="P13" s="13">
        <f t="shared" ref="P13:AK13" si="3">SUM(P9:P12)</f>
        <v>0</v>
      </c>
      <c r="Q13" s="13">
        <f t="shared" si="3"/>
        <v>0</v>
      </c>
      <c r="R13" s="29">
        <f t="shared" si="3"/>
        <v>0</v>
      </c>
      <c r="S13" s="13">
        <f t="shared" si="3"/>
        <v>0</v>
      </c>
      <c r="T13" s="13">
        <f t="shared" si="3"/>
        <v>0</v>
      </c>
      <c r="U13" s="13">
        <f t="shared" si="3"/>
        <v>0</v>
      </c>
      <c r="V13" s="13">
        <f t="shared" si="3"/>
        <v>0</v>
      </c>
      <c r="W13" s="13">
        <f t="shared" si="3"/>
        <v>0</v>
      </c>
      <c r="X13" s="13">
        <f t="shared" si="3"/>
        <v>0</v>
      </c>
      <c r="Y13" s="13">
        <f t="shared" si="3"/>
        <v>0</v>
      </c>
      <c r="Z13" s="13">
        <f t="shared" si="3"/>
        <v>0</v>
      </c>
      <c r="AA13" s="13">
        <f t="shared" si="3"/>
        <v>0</v>
      </c>
      <c r="AB13" s="13">
        <f t="shared" si="3"/>
        <v>0</v>
      </c>
      <c r="AC13" s="13">
        <f t="shared" si="3"/>
        <v>0</v>
      </c>
      <c r="AD13" s="13">
        <f t="shared" si="3"/>
        <v>0</v>
      </c>
      <c r="AE13" s="13">
        <f t="shared" si="3"/>
        <v>0</v>
      </c>
      <c r="AF13" s="13">
        <f t="shared" si="3"/>
        <v>0</v>
      </c>
      <c r="AG13" s="13">
        <f t="shared" si="3"/>
        <v>0</v>
      </c>
      <c r="AH13" s="13">
        <f t="shared" si="3"/>
        <v>0</v>
      </c>
      <c r="AI13" s="13">
        <f t="shared" si="3"/>
        <v>0</v>
      </c>
      <c r="AJ13" s="13">
        <f t="shared" si="3"/>
        <v>0</v>
      </c>
      <c r="AK13" s="13">
        <f t="shared" si="3"/>
        <v>0</v>
      </c>
      <c r="AL13" s="13">
        <f>SUM(AL9:AL12)</f>
        <v>0</v>
      </c>
      <c r="AM13" s="13">
        <f t="shared" ref="AM13:AO13" si="4">SUM(AM9:AM12)</f>
        <v>0</v>
      </c>
      <c r="AN13" s="13">
        <f t="shared" si="4"/>
        <v>0</v>
      </c>
      <c r="AO13" s="13">
        <f t="shared" si="4"/>
        <v>0</v>
      </c>
    </row>
    <row r="14" spans="1:41" x14ac:dyDescent="0.25">
      <c r="A14" s="360" t="s">
        <v>1</v>
      </c>
      <c r="B14" s="360"/>
      <c r="E14" s="46"/>
      <c r="P14" s="25"/>
      <c r="Q14" s="25"/>
      <c r="R14" s="28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</row>
    <row r="15" spans="1:41" x14ac:dyDescent="0.25">
      <c r="D15" t="s">
        <v>13</v>
      </c>
      <c r="E15" s="46">
        <v>1</v>
      </c>
      <c r="P15" s="25">
        <f>O15*31.67</f>
        <v>0</v>
      </c>
      <c r="Q15" s="25">
        <f>P15*13%</f>
        <v>0</v>
      </c>
      <c r="R15" s="28">
        <f>P15+Q15</f>
        <v>0</v>
      </c>
      <c r="S15" s="25">
        <f>1.93*O15</f>
        <v>0</v>
      </c>
      <c r="T15" s="25">
        <f>R15+S15</f>
        <v>0</v>
      </c>
      <c r="U15" s="25"/>
      <c r="V15" s="25"/>
      <c r="W15" s="25">
        <f>R15*1.47%</f>
        <v>0</v>
      </c>
      <c r="X15" s="25"/>
      <c r="Y15" s="25">
        <f>R15*0.559%</f>
        <v>0</v>
      </c>
      <c r="Z15" s="25">
        <f>R15*0.75%</f>
        <v>0</v>
      </c>
      <c r="AA15" s="25"/>
      <c r="AB15" s="25">
        <f>1.7*O15</f>
        <v>0</v>
      </c>
      <c r="AC15" s="25">
        <f>R15-Z15-AA15-AB15</f>
        <v>0</v>
      </c>
      <c r="AD15" s="25"/>
      <c r="AE15" s="25"/>
      <c r="AF15" s="25"/>
      <c r="AG15" s="25">
        <f>Q15</f>
        <v>0</v>
      </c>
      <c r="AH15" s="25">
        <f>U15+W15+Y15+Z15+AA15+AB15+AD15+AF15+AG15</f>
        <v>0</v>
      </c>
      <c r="AI15" s="25">
        <f>R15-AH15</f>
        <v>0</v>
      </c>
      <c r="AJ15" s="25">
        <f>0.6*O15</f>
        <v>0</v>
      </c>
      <c r="AK15" s="25">
        <f>AI15+AJ15</f>
        <v>0</v>
      </c>
      <c r="AL15" s="25">
        <f>R15*0.782%</f>
        <v>0</v>
      </c>
      <c r="AM15" s="25">
        <f>5.755*O15</f>
        <v>0</v>
      </c>
      <c r="AN15" s="25">
        <f>1.95*O15</f>
        <v>0</v>
      </c>
      <c r="AO15" s="25">
        <f>0.02*O15</f>
        <v>0</v>
      </c>
    </row>
    <row r="16" spans="1:41" x14ac:dyDescent="0.25">
      <c r="D16" t="s">
        <v>13</v>
      </c>
      <c r="E16" s="46">
        <v>8</v>
      </c>
      <c r="P16" s="25">
        <f>O16*31.67</f>
        <v>0</v>
      </c>
      <c r="Q16" s="25">
        <f>P16*13%</f>
        <v>0</v>
      </c>
      <c r="R16" s="28">
        <f>P16+Q16</f>
        <v>0</v>
      </c>
      <c r="S16" s="25">
        <f>1.93*O16</f>
        <v>0</v>
      </c>
      <c r="T16" s="25">
        <f>R16+S16</f>
        <v>0</v>
      </c>
      <c r="U16" s="25"/>
      <c r="V16" s="25"/>
      <c r="W16" s="25">
        <f>R16*1.47%</f>
        <v>0</v>
      </c>
      <c r="X16" s="25"/>
      <c r="Y16" s="25">
        <f>R16*0.559%</f>
        <v>0</v>
      </c>
      <c r="Z16" s="25">
        <f>R16*0.75%</f>
        <v>0</v>
      </c>
      <c r="AA16" s="25"/>
      <c r="AB16" s="25">
        <f>1.7*O16</f>
        <v>0</v>
      </c>
      <c r="AC16" s="25">
        <f>R16-Z16-AA16-AB16</f>
        <v>0</v>
      </c>
      <c r="AD16" s="25"/>
      <c r="AE16" s="25"/>
      <c r="AF16" s="25"/>
      <c r="AG16" s="25">
        <f>Q16</f>
        <v>0</v>
      </c>
      <c r="AH16" s="25">
        <f>U16+W16+Y16+Z16+AA16+AB16+AD16+AF16+AG16</f>
        <v>0</v>
      </c>
      <c r="AI16" s="25">
        <f>R16-AH16</f>
        <v>0</v>
      </c>
      <c r="AJ16" s="25">
        <f>0.6*O16</f>
        <v>0</v>
      </c>
      <c r="AK16" s="25">
        <f>AI16+AJ16</f>
        <v>0</v>
      </c>
      <c r="AL16" s="25">
        <f>R16*0.782%</f>
        <v>0</v>
      </c>
      <c r="AM16" s="25">
        <f>5.755*O16</f>
        <v>0</v>
      </c>
      <c r="AN16" s="25">
        <f>1.95*O16</f>
        <v>0</v>
      </c>
      <c r="AO16" s="25">
        <f>0.02*O16</f>
        <v>0</v>
      </c>
    </row>
    <row r="17" spans="1:41" x14ac:dyDescent="0.25">
      <c r="A17" s="350" t="s">
        <v>139</v>
      </c>
      <c r="B17" s="350"/>
      <c r="C17" s="350"/>
      <c r="D17" t="s">
        <v>13</v>
      </c>
      <c r="E17" s="46">
        <v>15</v>
      </c>
      <c r="P17" s="25">
        <f>O17*31.67</f>
        <v>0</v>
      </c>
      <c r="Q17" s="25">
        <f>P17*13%</f>
        <v>0</v>
      </c>
      <c r="R17" s="28">
        <f>P17+Q17</f>
        <v>0</v>
      </c>
      <c r="S17" s="25">
        <f>1.93*O17</f>
        <v>0</v>
      </c>
      <c r="T17" s="25">
        <f>R17+S17</f>
        <v>0</v>
      </c>
      <c r="U17" s="25"/>
      <c r="V17" s="25"/>
      <c r="W17" s="25">
        <f>R17*1.47%</f>
        <v>0</v>
      </c>
      <c r="X17" s="25"/>
      <c r="Y17" s="25">
        <f>R17*0.559%</f>
        <v>0</v>
      </c>
      <c r="Z17" s="25">
        <f>R17*0.75%</f>
        <v>0</v>
      </c>
      <c r="AA17" s="25"/>
      <c r="AB17" s="25">
        <f>1.7*O17</f>
        <v>0</v>
      </c>
      <c r="AC17" s="25">
        <f>R17-Z17-AA17-AB17</f>
        <v>0</v>
      </c>
      <c r="AD17" s="25"/>
      <c r="AE17" s="25"/>
      <c r="AF17" s="25"/>
      <c r="AG17" s="25">
        <f>Q17</f>
        <v>0</v>
      </c>
      <c r="AH17" s="25">
        <f>U17+W17+Y17+Z17+AA17+AB17+AD17+AF17+AG17</f>
        <v>0</v>
      </c>
      <c r="AI17" s="25">
        <f>R17-AH17</f>
        <v>0</v>
      </c>
      <c r="AJ17" s="25">
        <f>0.6*O17</f>
        <v>0</v>
      </c>
      <c r="AK17" s="25">
        <f>AI17+AJ17</f>
        <v>0</v>
      </c>
      <c r="AL17" s="25">
        <f>R17*0.782%</f>
        <v>0</v>
      </c>
      <c r="AM17" s="25">
        <f>5.755*O17</f>
        <v>0</v>
      </c>
      <c r="AN17" s="25">
        <f>1.95*O17</f>
        <v>0</v>
      </c>
      <c r="AO17" s="25">
        <f>0.02*O17</f>
        <v>0</v>
      </c>
    </row>
    <row r="18" spans="1:41" x14ac:dyDescent="0.25">
      <c r="A18" s="359" t="s">
        <v>61</v>
      </c>
      <c r="B18" s="350"/>
      <c r="C18" s="350"/>
      <c r="D18" t="s">
        <v>13</v>
      </c>
      <c r="E18" s="46">
        <v>22</v>
      </c>
      <c r="P18" s="25">
        <f>O18*31.67</f>
        <v>0</v>
      </c>
      <c r="Q18" s="25">
        <f>P18*13%</f>
        <v>0</v>
      </c>
      <c r="R18" s="28">
        <f>P18+Q18</f>
        <v>0</v>
      </c>
      <c r="S18" s="25">
        <f>1.93*O18</f>
        <v>0</v>
      </c>
      <c r="T18" s="25">
        <f t="shared" ref="T18:T19" si="5">R18+S18</f>
        <v>0</v>
      </c>
      <c r="U18" s="25"/>
      <c r="V18" s="25"/>
      <c r="W18" s="25">
        <f t="shared" ref="W18:W19" si="6">R18*1.47%</f>
        <v>0</v>
      </c>
      <c r="X18" s="25"/>
      <c r="Y18" s="25">
        <f t="shared" ref="Y18:Y19" si="7">R18*0.559%</f>
        <v>0</v>
      </c>
      <c r="Z18" s="25">
        <f t="shared" ref="Z18:Z19" si="8">R18*0.75%</f>
        <v>0</v>
      </c>
      <c r="AA18" s="25"/>
      <c r="AB18" s="25">
        <f t="shared" ref="AB18:AB19" si="9">1.7*O18</f>
        <v>0</v>
      </c>
      <c r="AC18" s="25">
        <f t="shared" ref="AC18:AC19" si="10">R18-Z18-AA18-AB18</f>
        <v>0</v>
      </c>
      <c r="AD18" s="25"/>
      <c r="AE18" s="25"/>
      <c r="AF18" s="25"/>
      <c r="AG18" s="25">
        <f t="shared" ref="AG18:AG19" si="11">Q18</f>
        <v>0</v>
      </c>
      <c r="AH18" s="25">
        <f t="shared" ref="AH18" si="12">U18+W18+Y18+Z18+AA18+AB18+AD18+AF18+AG18</f>
        <v>0</v>
      </c>
      <c r="AI18" s="25">
        <f t="shared" ref="AI18:AI19" si="13">R18-AH18</f>
        <v>0</v>
      </c>
      <c r="AJ18" s="25">
        <f t="shared" ref="AJ18:AJ19" si="14">0.6*O18</f>
        <v>0</v>
      </c>
      <c r="AK18" s="25">
        <f t="shared" ref="AK18:AK19" si="15">AI18+AJ18</f>
        <v>0</v>
      </c>
      <c r="AL18" s="25">
        <f t="shared" ref="AL18:AL19" si="16">R18*0.782%</f>
        <v>0</v>
      </c>
      <c r="AM18" s="25">
        <f t="shared" ref="AM18:AM19" si="17">5.755*O18</f>
        <v>0</v>
      </c>
      <c r="AN18" s="25">
        <f t="shared" ref="AN18:AN19" si="18">1.95*O18</f>
        <v>0</v>
      </c>
      <c r="AO18" s="25">
        <f t="shared" ref="AO18:AO19" si="19">0.02*O18</f>
        <v>0</v>
      </c>
    </row>
    <row r="19" spans="1:41" x14ac:dyDescent="0.25">
      <c r="A19" s="352" t="s">
        <v>142</v>
      </c>
      <c r="B19" s="350"/>
      <c r="D19" t="s">
        <v>13</v>
      </c>
      <c r="E19" s="46">
        <v>29</v>
      </c>
      <c r="P19" s="25">
        <f>O19*31.67</f>
        <v>0</v>
      </c>
      <c r="Q19" s="25">
        <f>P19*13%</f>
        <v>0</v>
      </c>
      <c r="R19" s="28">
        <f>P19+Q19</f>
        <v>0</v>
      </c>
      <c r="S19" s="25">
        <f>1.93*O19</f>
        <v>0</v>
      </c>
      <c r="T19" s="25">
        <f t="shared" si="5"/>
        <v>0</v>
      </c>
      <c r="U19" s="25"/>
      <c r="V19" s="25"/>
      <c r="W19" s="25">
        <f t="shared" si="6"/>
        <v>0</v>
      </c>
      <c r="X19" s="25"/>
      <c r="Y19" s="25">
        <f t="shared" si="7"/>
        <v>0</v>
      </c>
      <c r="Z19" s="25">
        <f t="shared" si="8"/>
        <v>0</v>
      </c>
      <c r="AA19" s="25">
        <f>((0.06*O19))</f>
        <v>0</v>
      </c>
      <c r="AB19" s="25">
        <f t="shared" si="9"/>
        <v>0</v>
      </c>
      <c r="AC19" s="25">
        <f t="shared" si="10"/>
        <v>0</v>
      </c>
      <c r="AD19" s="25"/>
      <c r="AE19" s="25"/>
      <c r="AF19" s="25"/>
      <c r="AG19" s="25">
        <f t="shared" si="11"/>
        <v>0</v>
      </c>
      <c r="AH19" s="25">
        <f>U19+W19+Y19+Z19+AA19+AB19+AD19+AF19+AG19</f>
        <v>0</v>
      </c>
      <c r="AI19" s="25">
        <f t="shared" si="13"/>
        <v>0</v>
      </c>
      <c r="AJ19" s="25">
        <f t="shared" si="14"/>
        <v>0</v>
      </c>
      <c r="AK19" s="25">
        <f t="shared" si="15"/>
        <v>0</v>
      </c>
      <c r="AL19" s="25">
        <f t="shared" si="16"/>
        <v>0</v>
      </c>
      <c r="AM19" s="25">
        <f t="shared" si="17"/>
        <v>0</v>
      </c>
      <c r="AN19" s="25">
        <f t="shared" si="18"/>
        <v>0</v>
      </c>
      <c r="AO19" s="25">
        <f t="shared" si="19"/>
        <v>0</v>
      </c>
    </row>
    <row r="20" spans="1:41" x14ac:dyDescent="0.25">
      <c r="A20" s="4" t="s">
        <v>2</v>
      </c>
      <c r="B20" s="4"/>
      <c r="C20" s="4"/>
      <c r="D20" s="4" t="s">
        <v>32</v>
      </c>
      <c r="E20" s="47"/>
      <c r="O20" s="4">
        <f>SUM(O15:O19)</f>
        <v>0</v>
      </c>
      <c r="P20" s="13">
        <f>SUM(P15:P19)</f>
        <v>0</v>
      </c>
      <c r="Q20" s="13">
        <f t="shared" ref="Q20:AO20" si="20">SUM(Q15:Q19)</f>
        <v>0</v>
      </c>
      <c r="R20" s="29">
        <f t="shared" si="20"/>
        <v>0</v>
      </c>
      <c r="S20" s="13">
        <f t="shared" si="20"/>
        <v>0</v>
      </c>
      <c r="T20" s="13">
        <f t="shared" si="20"/>
        <v>0</v>
      </c>
      <c r="U20" s="13">
        <f t="shared" si="20"/>
        <v>0</v>
      </c>
      <c r="V20" s="13">
        <f t="shared" si="20"/>
        <v>0</v>
      </c>
      <c r="W20" s="13">
        <f t="shared" si="20"/>
        <v>0</v>
      </c>
      <c r="X20" s="13">
        <f t="shared" si="20"/>
        <v>0</v>
      </c>
      <c r="Y20" s="13">
        <f t="shared" si="20"/>
        <v>0</v>
      </c>
      <c r="Z20" s="13">
        <f t="shared" si="20"/>
        <v>0</v>
      </c>
      <c r="AA20" s="13">
        <f t="shared" si="20"/>
        <v>0</v>
      </c>
      <c r="AB20" s="13">
        <f t="shared" si="20"/>
        <v>0</v>
      </c>
      <c r="AC20" s="13">
        <f t="shared" si="20"/>
        <v>0</v>
      </c>
      <c r="AD20" s="13">
        <f t="shared" si="20"/>
        <v>0</v>
      </c>
      <c r="AE20" s="13">
        <f t="shared" si="20"/>
        <v>0</v>
      </c>
      <c r="AF20" s="13">
        <f t="shared" si="20"/>
        <v>0</v>
      </c>
      <c r="AG20" s="13">
        <f t="shared" si="20"/>
        <v>0</v>
      </c>
      <c r="AH20" s="13">
        <f t="shared" si="20"/>
        <v>0</v>
      </c>
      <c r="AI20" s="13">
        <f t="shared" si="20"/>
        <v>0</v>
      </c>
      <c r="AJ20" s="13">
        <f t="shared" si="20"/>
        <v>0</v>
      </c>
      <c r="AK20" s="13">
        <f t="shared" si="20"/>
        <v>0</v>
      </c>
      <c r="AL20" s="13">
        <f t="shared" si="20"/>
        <v>0</v>
      </c>
      <c r="AM20" s="13">
        <f t="shared" si="20"/>
        <v>0</v>
      </c>
      <c r="AN20" s="13">
        <f t="shared" si="20"/>
        <v>0</v>
      </c>
      <c r="AO20" s="13">
        <f t="shared" si="20"/>
        <v>0</v>
      </c>
    </row>
    <row r="21" spans="1:41" x14ac:dyDescent="0.25">
      <c r="A21" s="16"/>
      <c r="E21" s="46"/>
      <c r="P21" s="25"/>
      <c r="Q21" s="25"/>
      <c r="R21" s="28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</row>
    <row r="22" spans="1:41" x14ac:dyDescent="0.25">
      <c r="A22" s="53" t="s">
        <v>165</v>
      </c>
      <c r="D22" t="s">
        <v>14</v>
      </c>
      <c r="E22" s="46">
        <v>7</v>
      </c>
      <c r="P22" s="25"/>
      <c r="Q22" s="25"/>
      <c r="R22" s="28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</row>
    <row r="23" spans="1:41" x14ac:dyDescent="0.25">
      <c r="A23" s="359" t="s">
        <v>166</v>
      </c>
      <c r="B23" s="352"/>
      <c r="D23" t="s">
        <v>14</v>
      </c>
      <c r="E23" s="46">
        <v>5</v>
      </c>
      <c r="P23" s="25">
        <f>O23*31.67</f>
        <v>0</v>
      </c>
      <c r="Q23" s="25">
        <f>P23*13%</f>
        <v>0</v>
      </c>
      <c r="R23" s="28">
        <f>P23+Q23</f>
        <v>0</v>
      </c>
      <c r="S23" s="25">
        <f>1.93*O23</f>
        <v>0</v>
      </c>
      <c r="T23" s="25">
        <f>R23+S23</f>
        <v>0</v>
      </c>
      <c r="U23" s="25"/>
      <c r="V23" s="25"/>
      <c r="W23" s="25">
        <f>R23*1.47%</f>
        <v>0</v>
      </c>
      <c r="X23" s="25"/>
      <c r="Y23" s="25">
        <f>R23*0.559%</f>
        <v>0</v>
      </c>
      <c r="Z23" s="25">
        <f>R23*0.75%</f>
        <v>0</v>
      </c>
      <c r="AA23" s="25"/>
      <c r="AB23" s="25">
        <f>1.7*O23</f>
        <v>0</v>
      </c>
      <c r="AC23" s="25">
        <f>R23-Z23-AA23-AB23</f>
        <v>0</v>
      </c>
      <c r="AD23" s="25"/>
      <c r="AE23" s="25"/>
      <c r="AF23" s="25"/>
      <c r="AG23" s="25">
        <f>Q23</f>
        <v>0</v>
      </c>
      <c r="AH23" s="25">
        <f>U23+W23+Y23+Z23+AA23+AB23+AD23+AF23+AG23</f>
        <v>0</v>
      </c>
      <c r="AI23" s="25">
        <f>R23-AH23</f>
        <v>0</v>
      </c>
      <c r="AJ23" s="25">
        <f>0.6*O23</f>
        <v>0</v>
      </c>
      <c r="AK23" s="25">
        <f>AI23+AJ23</f>
        <v>0</v>
      </c>
      <c r="AL23" s="25">
        <f>R23*0.782%</f>
        <v>0</v>
      </c>
      <c r="AM23">
        <f>5.755*O23</f>
        <v>0</v>
      </c>
      <c r="AN23" s="25">
        <f>1.95*O23</f>
        <v>0</v>
      </c>
      <c r="AO23">
        <f>0.02*O23</f>
        <v>0</v>
      </c>
    </row>
    <row r="24" spans="1:41" x14ac:dyDescent="0.25">
      <c r="D24" t="s">
        <v>14</v>
      </c>
      <c r="E24" s="46">
        <v>12</v>
      </c>
      <c r="P24" s="25">
        <f t="shared" ref="P24:P25" si="21">O24*31.67</f>
        <v>0</v>
      </c>
      <c r="Q24" s="25">
        <f t="shared" ref="Q24:Q25" si="22">P24*13%</f>
        <v>0</v>
      </c>
      <c r="R24" s="28">
        <f t="shared" ref="R24:R25" si="23">P24+Q24</f>
        <v>0</v>
      </c>
      <c r="S24" s="25">
        <f t="shared" ref="S24:S25" si="24">1.93*O24</f>
        <v>0</v>
      </c>
      <c r="T24" s="25">
        <f t="shared" ref="T24:T25" si="25">R24+S24</f>
        <v>0</v>
      </c>
      <c r="U24" s="25"/>
      <c r="V24" s="25"/>
      <c r="W24" s="25">
        <f t="shared" ref="W24:W25" si="26">R24*1.47%</f>
        <v>0</v>
      </c>
      <c r="X24" s="25"/>
      <c r="Y24" s="25">
        <f>R24*0.559%</f>
        <v>0</v>
      </c>
      <c r="Z24" s="25">
        <f t="shared" ref="Z24:Z25" si="27">R24*0.75%</f>
        <v>0</v>
      </c>
      <c r="AA24" s="25"/>
      <c r="AB24" s="25">
        <f t="shared" ref="AB24:AB25" si="28">1.7*O24</f>
        <v>0</v>
      </c>
      <c r="AC24" s="25">
        <f t="shared" ref="AC24:AC25" si="29">R24-Z24-AA24-AB24</f>
        <v>0</v>
      </c>
      <c r="AD24" s="25"/>
      <c r="AE24" s="25"/>
      <c r="AF24" s="25"/>
      <c r="AG24" s="25">
        <f t="shared" ref="AG24:AG25" si="30">Q24</f>
        <v>0</v>
      </c>
      <c r="AH24" s="25">
        <f t="shared" ref="AH24:AH25" si="31">U24+W24+Y24+Z24+AA24+AB24+AD24+AF24+AG24</f>
        <v>0</v>
      </c>
      <c r="AI24" s="25">
        <f t="shared" ref="AI24:AI25" si="32">R24-AH24</f>
        <v>0</v>
      </c>
      <c r="AJ24" s="25">
        <f t="shared" ref="AJ24:AJ25" si="33">0.6*O24</f>
        <v>0</v>
      </c>
      <c r="AK24" s="25">
        <f t="shared" ref="AK24:AK25" si="34">AI24+AJ24</f>
        <v>0</v>
      </c>
      <c r="AL24" s="25">
        <f t="shared" ref="AL24:AL25" si="35">R24*0.782%</f>
        <v>0</v>
      </c>
      <c r="AM24" s="25">
        <f t="shared" ref="AM24:AM25" si="36">5.755*O24</f>
        <v>0</v>
      </c>
      <c r="AN24" s="25">
        <f t="shared" ref="AN24:AN25" si="37">1.95*O24</f>
        <v>0</v>
      </c>
      <c r="AO24">
        <f t="shared" ref="AO24:AO25" si="38">0.02*O24</f>
        <v>0</v>
      </c>
    </row>
    <row r="25" spans="1:41" x14ac:dyDescent="0.25">
      <c r="D25" t="s">
        <v>14</v>
      </c>
      <c r="E25" s="46">
        <v>19</v>
      </c>
      <c r="O25" s="56"/>
      <c r="P25" s="25">
        <f t="shared" si="21"/>
        <v>0</v>
      </c>
      <c r="Q25" s="25">
        <f t="shared" si="22"/>
        <v>0</v>
      </c>
      <c r="R25" s="28">
        <f t="shared" si="23"/>
        <v>0</v>
      </c>
      <c r="S25" s="25">
        <f t="shared" si="24"/>
        <v>0</v>
      </c>
      <c r="T25" s="25">
        <f t="shared" si="25"/>
        <v>0</v>
      </c>
      <c r="U25" s="25"/>
      <c r="V25" s="25"/>
      <c r="W25" s="25">
        <f t="shared" si="26"/>
        <v>0</v>
      </c>
      <c r="X25" s="25"/>
      <c r="Y25" s="25">
        <f>R25*0.559%</f>
        <v>0</v>
      </c>
      <c r="Z25" s="25">
        <f t="shared" si="27"/>
        <v>0</v>
      </c>
      <c r="AA25" s="25"/>
      <c r="AB25" s="25">
        <f t="shared" si="28"/>
        <v>0</v>
      </c>
      <c r="AC25" s="25">
        <f t="shared" si="29"/>
        <v>0</v>
      </c>
      <c r="AD25" s="25"/>
      <c r="AE25" s="25"/>
      <c r="AF25" s="25"/>
      <c r="AG25" s="25">
        <f t="shared" si="30"/>
        <v>0</v>
      </c>
      <c r="AH25" s="25">
        <f t="shared" si="31"/>
        <v>0</v>
      </c>
      <c r="AI25" s="25">
        <f t="shared" si="32"/>
        <v>0</v>
      </c>
      <c r="AJ25" s="25">
        <f t="shared" si="33"/>
        <v>0</v>
      </c>
      <c r="AK25" s="25">
        <f t="shared" si="34"/>
        <v>0</v>
      </c>
      <c r="AL25" s="25">
        <f t="shared" si="35"/>
        <v>0</v>
      </c>
      <c r="AM25" s="25">
        <f t="shared" si="36"/>
        <v>0</v>
      </c>
      <c r="AN25" s="25">
        <f t="shared" si="37"/>
        <v>0</v>
      </c>
      <c r="AO25">
        <f t="shared" si="38"/>
        <v>0</v>
      </c>
    </row>
    <row r="26" spans="1:41" x14ac:dyDescent="0.25">
      <c r="D26" t="s">
        <v>14</v>
      </c>
      <c r="E26" s="46">
        <v>26</v>
      </c>
      <c r="P26" s="25"/>
      <c r="Q26" s="25"/>
      <c r="R26" s="28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</row>
    <row r="27" spans="1:41" x14ac:dyDescent="0.25">
      <c r="D27" s="4" t="s">
        <v>33</v>
      </c>
      <c r="E27" s="47"/>
      <c r="O27" s="4">
        <f>SUM(O22:O26)</f>
        <v>0</v>
      </c>
      <c r="P27" s="13">
        <f>SUM(P22:P26)</f>
        <v>0</v>
      </c>
      <c r="Q27" s="13">
        <f t="shared" ref="Q27:AO27" si="39">SUM(Q22:Q26)</f>
        <v>0</v>
      </c>
      <c r="R27" s="13">
        <f t="shared" si="39"/>
        <v>0</v>
      </c>
      <c r="S27" s="13">
        <f t="shared" si="39"/>
        <v>0</v>
      </c>
      <c r="T27" s="13">
        <f t="shared" si="39"/>
        <v>0</v>
      </c>
      <c r="U27" s="13">
        <f t="shared" si="39"/>
        <v>0</v>
      </c>
      <c r="V27" s="13">
        <f t="shared" si="39"/>
        <v>0</v>
      </c>
      <c r="W27" s="13">
        <f t="shared" si="39"/>
        <v>0</v>
      </c>
      <c r="X27" s="13">
        <f t="shared" si="39"/>
        <v>0</v>
      </c>
      <c r="Y27" s="13">
        <f t="shared" si="39"/>
        <v>0</v>
      </c>
      <c r="Z27" s="13">
        <f t="shared" si="39"/>
        <v>0</v>
      </c>
      <c r="AA27" s="13">
        <f t="shared" si="39"/>
        <v>0</v>
      </c>
      <c r="AB27" s="13">
        <f t="shared" si="39"/>
        <v>0</v>
      </c>
      <c r="AC27" s="13">
        <f t="shared" si="39"/>
        <v>0</v>
      </c>
      <c r="AD27" s="13">
        <f t="shared" si="39"/>
        <v>0</v>
      </c>
      <c r="AE27" s="13">
        <f t="shared" si="39"/>
        <v>0</v>
      </c>
      <c r="AF27" s="13">
        <f t="shared" si="39"/>
        <v>0</v>
      </c>
      <c r="AG27" s="13">
        <f t="shared" si="39"/>
        <v>0</v>
      </c>
      <c r="AH27" s="13">
        <f t="shared" si="39"/>
        <v>0</v>
      </c>
      <c r="AI27" s="13">
        <f t="shared" si="39"/>
        <v>0</v>
      </c>
      <c r="AJ27" s="13">
        <f t="shared" si="39"/>
        <v>0</v>
      </c>
      <c r="AK27" s="13">
        <f t="shared" si="39"/>
        <v>0</v>
      </c>
      <c r="AL27" s="13">
        <f t="shared" si="39"/>
        <v>0</v>
      </c>
      <c r="AM27" s="13">
        <f t="shared" si="39"/>
        <v>0</v>
      </c>
      <c r="AN27" s="13">
        <f t="shared" si="39"/>
        <v>0</v>
      </c>
      <c r="AO27" s="13">
        <f t="shared" si="39"/>
        <v>0</v>
      </c>
    </row>
    <row r="28" spans="1:41" x14ac:dyDescent="0.25">
      <c r="E28" s="46"/>
      <c r="P28" s="25"/>
      <c r="Q28" s="25"/>
      <c r="R28" s="28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</row>
    <row r="29" spans="1:41" x14ac:dyDescent="0.25">
      <c r="D29" t="s">
        <v>15</v>
      </c>
      <c r="E29" s="46">
        <v>3</v>
      </c>
      <c r="P29" s="25"/>
      <c r="Q29" s="25"/>
      <c r="R29" s="28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</row>
    <row r="30" spans="1:41" x14ac:dyDescent="0.25">
      <c r="D30" t="s">
        <v>15</v>
      </c>
      <c r="E30" s="46">
        <v>10</v>
      </c>
      <c r="P30" s="25">
        <f>32.4*O30</f>
        <v>0</v>
      </c>
      <c r="Q30" s="25">
        <f>P30*13%</f>
        <v>0</v>
      </c>
      <c r="R30" s="28">
        <f>P30+Q30</f>
        <v>0</v>
      </c>
      <c r="S30" s="25">
        <f>1.93*O30</f>
        <v>0</v>
      </c>
      <c r="T30" s="25">
        <f>R30+S30</f>
        <v>0</v>
      </c>
      <c r="U30" s="25"/>
      <c r="V30" s="25"/>
      <c r="W30" s="25">
        <f>R30*1.47%</f>
        <v>0</v>
      </c>
      <c r="X30" s="25"/>
      <c r="Y30" s="25">
        <f>R30*0.559%</f>
        <v>0</v>
      </c>
      <c r="Z30" s="25">
        <f>R30*0.75%</f>
        <v>0</v>
      </c>
      <c r="AA30" s="25"/>
      <c r="AB30" s="25">
        <f>1.7*O30</f>
        <v>0</v>
      </c>
      <c r="AC30" s="25">
        <f>R30-Z30-AA30-AB30</f>
        <v>0</v>
      </c>
      <c r="AD30" s="25"/>
      <c r="AE30" s="25"/>
      <c r="AF30" s="25"/>
      <c r="AG30" s="25">
        <f>Q30</f>
        <v>0</v>
      </c>
      <c r="AH30" s="25">
        <f>SUM(U30+W30+Y30+Z30+AA30+AB30+AD30+AF30+AG30)</f>
        <v>0</v>
      </c>
      <c r="AI30" s="25">
        <f>R30-AH30</f>
        <v>0</v>
      </c>
      <c r="AJ30" s="25">
        <f>0.65*O30</f>
        <v>0</v>
      </c>
      <c r="AK30" s="25">
        <f>AI30+AJ30</f>
        <v>0</v>
      </c>
      <c r="AL30" s="25">
        <f>R30*0.782%</f>
        <v>0</v>
      </c>
      <c r="AM30" s="25">
        <f>6.075*O30</f>
        <v>0</v>
      </c>
      <c r="AN30" s="25">
        <f>2*O30</f>
        <v>0</v>
      </c>
      <c r="AO30" s="25">
        <f>0.02*O30</f>
        <v>0</v>
      </c>
    </row>
    <row r="31" spans="1:41" x14ac:dyDescent="0.25">
      <c r="D31" t="s">
        <v>15</v>
      </c>
      <c r="E31" s="46">
        <v>17</v>
      </c>
      <c r="P31" s="25">
        <f t="shared" ref="P31:P33" si="40">32.4*O31</f>
        <v>0</v>
      </c>
      <c r="Q31" s="25">
        <f t="shared" ref="Q31:Q33" si="41">P31*13%</f>
        <v>0</v>
      </c>
      <c r="R31" s="28">
        <f t="shared" ref="R31:R33" si="42">P31+Q31</f>
        <v>0</v>
      </c>
      <c r="S31" s="25">
        <f t="shared" ref="S31:S33" si="43">1.93*O31</f>
        <v>0</v>
      </c>
      <c r="T31" s="25">
        <f t="shared" ref="T31:T33" si="44">R31+S31</f>
        <v>0</v>
      </c>
      <c r="U31" s="25"/>
      <c r="V31" s="25"/>
      <c r="W31" s="25">
        <f t="shared" ref="W31:W33" si="45">R31*1.47%</f>
        <v>0</v>
      </c>
      <c r="X31" s="25"/>
      <c r="Y31" s="25">
        <f t="shared" ref="Y31:Y33" si="46">R31*0.559%</f>
        <v>0</v>
      </c>
      <c r="Z31" s="25">
        <f t="shared" ref="Z31:Z33" si="47">R31*0.75%</f>
        <v>0</v>
      </c>
      <c r="AA31" s="25"/>
      <c r="AB31" s="25">
        <f t="shared" ref="AB31:AB33" si="48">1.7*O31</f>
        <v>0</v>
      </c>
      <c r="AC31" s="25">
        <f t="shared" ref="AC31:AC33" si="49">R31-Z31-AA31-AB31</f>
        <v>0</v>
      </c>
      <c r="AD31" s="25"/>
      <c r="AE31" s="25"/>
      <c r="AF31" s="25"/>
      <c r="AG31" s="25">
        <f t="shared" ref="AG31:AG33" si="50">Q31</f>
        <v>0</v>
      </c>
      <c r="AH31" s="25">
        <f t="shared" ref="AH31:AH33" si="51">SUM(U31+W31+Y31+Z31+AA31+AB31+AD31+AF31+AG31)</f>
        <v>0</v>
      </c>
      <c r="AI31" s="25">
        <f t="shared" ref="AI31:AI33" si="52">R31-AH31</f>
        <v>0</v>
      </c>
      <c r="AJ31" s="25">
        <f t="shared" ref="AJ31:AJ33" si="53">0.65*O31</f>
        <v>0</v>
      </c>
      <c r="AK31" s="25">
        <f t="shared" ref="AK31:AK33" si="54">AI31+AJ31</f>
        <v>0</v>
      </c>
      <c r="AL31" s="25">
        <f t="shared" ref="AL31:AL33" si="55">R31*0.782%</f>
        <v>0</v>
      </c>
      <c r="AM31" s="25">
        <f t="shared" ref="AM31:AM33" si="56">6.075*O31</f>
        <v>0</v>
      </c>
      <c r="AN31" s="25">
        <f t="shared" ref="AN31:AN33" si="57">2*O31</f>
        <v>0</v>
      </c>
      <c r="AO31" s="25">
        <f t="shared" ref="AO31:AO33" si="58">0.02*O31</f>
        <v>0</v>
      </c>
    </row>
    <row r="32" spans="1:41" x14ac:dyDescent="0.25">
      <c r="D32" t="s">
        <v>15</v>
      </c>
      <c r="E32" s="46">
        <v>24</v>
      </c>
      <c r="P32" s="25">
        <f t="shared" si="40"/>
        <v>0</v>
      </c>
      <c r="Q32" s="25">
        <f t="shared" si="41"/>
        <v>0</v>
      </c>
      <c r="R32" s="28">
        <f t="shared" si="42"/>
        <v>0</v>
      </c>
      <c r="S32" s="25">
        <f t="shared" si="43"/>
        <v>0</v>
      </c>
      <c r="T32" s="25">
        <f t="shared" si="44"/>
        <v>0</v>
      </c>
      <c r="U32" s="25"/>
      <c r="V32" s="25"/>
      <c r="W32" s="25">
        <f t="shared" si="45"/>
        <v>0</v>
      </c>
      <c r="X32" s="25"/>
      <c r="Y32" s="25">
        <f t="shared" si="46"/>
        <v>0</v>
      </c>
      <c r="Z32" s="25">
        <f t="shared" si="47"/>
        <v>0</v>
      </c>
      <c r="AA32" s="25"/>
      <c r="AB32" s="25">
        <f t="shared" si="48"/>
        <v>0</v>
      </c>
      <c r="AC32" s="25">
        <f t="shared" si="49"/>
        <v>0</v>
      </c>
      <c r="AD32" s="25"/>
      <c r="AE32" s="25"/>
      <c r="AF32" s="25"/>
      <c r="AG32" s="25">
        <f t="shared" si="50"/>
        <v>0</v>
      </c>
      <c r="AH32" s="25">
        <f t="shared" si="51"/>
        <v>0</v>
      </c>
      <c r="AI32" s="25">
        <f t="shared" si="52"/>
        <v>0</v>
      </c>
      <c r="AJ32" s="25">
        <f t="shared" si="53"/>
        <v>0</v>
      </c>
      <c r="AK32" s="25">
        <f t="shared" si="54"/>
        <v>0</v>
      </c>
      <c r="AL32" s="25">
        <f t="shared" si="55"/>
        <v>0</v>
      </c>
      <c r="AM32" s="25">
        <f t="shared" si="56"/>
        <v>0</v>
      </c>
      <c r="AN32" s="25">
        <f t="shared" si="57"/>
        <v>0</v>
      </c>
      <c r="AO32" s="25">
        <f t="shared" si="58"/>
        <v>0</v>
      </c>
    </row>
    <row r="33" spans="4:41" x14ac:dyDescent="0.25">
      <c r="D33" t="s">
        <v>15</v>
      </c>
      <c r="E33" s="46">
        <v>31</v>
      </c>
      <c r="P33" s="25">
        <f t="shared" si="40"/>
        <v>0</v>
      </c>
      <c r="Q33" s="25">
        <f t="shared" si="41"/>
        <v>0</v>
      </c>
      <c r="R33" s="28">
        <f t="shared" si="42"/>
        <v>0</v>
      </c>
      <c r="S33" s="25">
        <f t="shared" si="43"/>
        <v>0</v>
      </c>
      <c r="T33" s="25">
        <f t="shared" si="44"/>
        <v>0</v>
      </c>
      <c r="U33" s="25"/>
      <c r="V33" s="25"/>
      <c r="W33" s="25">
        <f t="shared" si="45"/>
        <v>0</v>
      </c>
      <c r="X33" s="25"/>
      <c r="Y33" s="25">
        <f t="shared" si="46"/>
        <v>0</v>
      </c>
      <c r="Z33" s="25">
        <f t="shared" si="47"/>
        <v>0</v>
      </c>
      <c r="AA33" s="25"/>
      <c r="AB33" s="25">
        <f t="shared" si="48"/>
        <v>0</v>
      </c>
      <c r="AC33" s="25">
        <f t="shared" si="49"/>
        <v>0</v>
      </c>
      <c r="AD33" s="25"/>
      <c r="AE33" s="25"/>
      <c r="AF33" s="25"/>
      <c r="AG33" s="25">
        <f t="shared" si="50"/>
        <v>0</v>
      </c>
      <c r="AH33" s="25">
        <f t="shared" si="51"/>
        <v>0</v>
      </c>
      <c r="AI33" s="25">
        <f t="shared" si="52"/>
        <v>0</v>
      </c>
      <c r="AJ33" s="25">
        <f t="shared" si="53"/>
        <v>0</v>
      </c>
      <c r="AK33" s="25">
        <f t="shared" si="54"/>
        <v>0</v>
      </c>
      <c r="AL33" s="25">
        <f t="shared" si="55"/>
        <v>0</v>
      </c>
      <c r="AM33" s="25">
        <f t="shared" si="56"/>
        <v>0</v>
      </c>
      <c r="AN33" s="25">
        <f t="shared" si="57"/>
        <v>0</v>
      </c>
      <c r="AO33" s="25">
        <f t="shared" si="58"/>
        <v>0</v>
      </c>
    </row>
    <row r="34" spans="4:41" x14ac:dyDescent="0.25">
      <c r="D34" s="4" t="s">
        <v>33</v>
      </c>
      <c r="E34" s="47"/>
      <c r="O34" s="4">
        <f>SUM(O29:O33)</f>
        <v>0</v>
      </c>
      <c r="P34" s="13">
        <f t="shared" ref="P34:AO34" si="59">SUM(P29:P33)</f>
        <v>0</v>
      </c>
      <c r="Q34" s="4">
        <f t="shared" si="59"/>
        <v>0</v>
      </c>
      <c r="R34" s="57">
        <f t="shared" si="59"/>
        <v>0</v>
      </c>
      <c r="S34" s="13">
        <f t="shared" si="59"/>
        <v>0</v>
      </c>
      <c r="T34" s="13">
        <f t="shared" si="59"/>
        <v>0</v>
      </c>
      <c r="U34" s="13">
        <f t="shared" si="59"/>
        <v>0</v>
      </c>
      <c r="V34" s="13">
        <f t="shared" si="59"/>
        <v>0</v>
      </c>
      <c r="W34" s="13">
        <f t="shared" si="59"/>
        <v>0</v>
      </c>
      <c r="X34" s="13">
        <f t="shared" si="59"/>
        <v>0</v>
      </c>
      <c r="Y34" s="13">
        <f t="shared" si="59"/>
        <v>0</v>
      </c>
      <c r="Z34" s="13">
        <f t="shared" si="59"/>
        <v>0</v>
      </c>
      <c r="AA34" s="13">
        <f t="shared" si="59"/>
        <v>0</v>
      </c>
      <c r="AB34" s="13">
        <f t="shared" si="59"/>
        <v>0</v>
      </c>
      <c r="AC34" s="13">
        <f t="shared" si="59"/>
        <v>0</v>
      </c>
      <c r="AD34" s="13">
        <f t="shared" si="59"/>
        <v>0</v>
      </c>
      <c r="AE34" s="13">
        <f t="shared" si="59"/>
        <v>0</v>
      </c>
      <c r="AF34" s="13">
        <f t="shared" si="59"/>
        <v>0</v>
      </c>
      <c r="AG34" s="13">
        <f t="shared" si="59"/>
        <v>0</v>
      </c>
      <c r="AH34" s="13">
        <f t="shared" si="59"/>
        <v>0</v>
      </c>
      <c r="AI34" s="13">
        <f t="shared" si="59"/>
        <v>0</v>
      </c>
      <c r="AJ34" s="13">
        <f t="shared" si="59"/>
        <v>0</v>
      </c>
      <c r="AK34" s="13">
        <f t="shared" si="59"/>
        <v>0</v>
      </c>
      <c r="AL34" s="13">
        <f t="shared" si="59"/>
        <v>0</v>
      </c>
      <c r="AM34" s="13">
        <f t="shared" si="59"/>
        <v>0</v>
      </c>
      <c r="AN34" s="13">
        <f t="shared" si="59"/>
        <v>0</v>
      </c>
      <c r="AO34" s="13">
        <f t="shared" si="59"/>
        <v>0</v>
      </c>
    </row>
    <row r="35" spans="4:41" x14ac:dyDescent="0.25">
      <c r="E35" s="46"/>
      <c r="P35" s="25"/>
      <c r="Q35" s="25"/>
      <c r="R35" s="28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</row>
    <row r="36" spans="4:41" x14ac:dyDescent="0.25">
      <c r="D36" t="s">
        <v>16</v>
      </c>
      <c r="E36" s="46">
        <v>7</v>
      </c>
      <c r="P36" s="25"/>
      <c r="Q36" s="25"/>
      <c r="R36" s="28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4:41" x14ac:dyDescent="0.25">
      <c r="D37" t="s">
        <v>16</v>
      </c>
      <c r="E37" s="46">
        <v>14</v>
      </c>
      <c r="P37" s="25"/>
      <c r="Q37" s="25"/>
      <c r="R37" s="28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4:41" x14ac:dyDescent="0.25">
      <c r="D38" t="s">
        <v>16</v>
      </c>
      <c r="E38" s="46">
        <v>21</v>
      </c>
      <c r="P38" s="25"/>
      <c r="Q38" s="25"/>
      <c r="R38" s="28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4:41" x14ac:dyDescent="0.25">
      <c r="D39" t="s">
        <v>16</v>
      </c>
      <c r="E39" s="46">
        <v>28</v>
      </c>
      <c r="P39" s="25"/>
      <c r="Q39" s="25"/>
      <c r="R39" s="28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4:41" x14ac:dyDescent="0.25">
      <c r="D40" t="s">
        <v>137</v>
      </c>
      <c r="E40" s="46"/>
      <c r="P40" s="25"/>
      <c r="Q40" s="25"/>
      <c r="R40" s="28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4:41" x14ac:dyDescent="0.25">
      <c r="D41" s="4" t="s">
        <v>33</v>
      </c>
      <c r="E41" s="47"/>
      <c r="P41" s="25"/>
      <c r="Q41" s="25"/>
      <c r="R41" s="28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4:41" x14ac:dyDescent="0.25">
      <c r="E42" s="46"/>
      <c r="P42" s="25"/>
      <c r="Q42" s="25"/>
      <c r="R42" s="28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4:41" x14ac:dyDescent="0.25">
      <c r="D43" t="s">
        <v>17</v>
      </c>
      <c r="E43" s="46"/>
      <c r="P43" s="25"/>
      <c r="Q43" s="25"/>
      <c r="R43" s="28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</row>
    <row r="44" spans="4:41" x14ac:dyDescent="0.25">
      <c r="D44" t="s">
        <v>17</v>
      </c>
      <c r="E44" s="46">
        <v>5</v>
      </c>
      <c r="P44" s="25"/>
      <c r="Q44" s="25"/>
      <c r="R44" s="28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</row>
    <row r="45" spans="4:41" x14ac:dyDescent="0.25">
      <c r="D45" t="s">
        <v>17</v>
      </c>
      <c r="E45" s="46">
        <v>12</v>
      </c>
      <c r="P45" s="25"/>
      <c r="Q45" s="25"/>
      <c r="R45" s="28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</row>
    <row r="46" spans="4:41" x14ac:dyDescent="0.25">
      <c r="D46" t="s">
        <v>17</v>
      </c>
      <c r="E46" s="46">
        <v>19</v>
      </c>
      <c r="P46" s="25"/>
      <c r="Q46" s="25"/>
      <c r="R46" s="28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</row>
    <row r="47" spans="4:41" x14ac:dyDescent="0.25">
      <c r="D47" t="s">
        <v>52</v>
      </c>
      <c r="E47" s="46">
        <v>26</v>
      </c>
      <c r="P47" s="25"/>
      <c r="Q47" s="25"/>
      <c r="R47" s="28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</row>
    <row r="48" spans="4:41" x14ac:dyDescent="0.25">
      <c r="D48" s="4" t="s">
        <v>33</v>
      </c>
      <c r="E48" s="47"/>
      <c r="P48" s="25"/>
      <c r="Q48" s="25"/>
      <c r="R48" s="28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</row>
    <row r="49" spans="4:41" x14ac:dyDescent="0.25">
      <c r="E49" s="46"/>
      <c r="P49" s="25"/>
      <c r="Q49" s="25"/>
      <c r="R49" s="28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</row>
    <row r="50" spans="4:41" x14ac:dyDescent="0.25">
      <c r="D50" t="s">
        <v>18</v>
      </c>
      <c r="E50" s="46">
        <v>2</v>
      </c>
      <c r="P50" s="25"/>
      <c r="Q50" s="25"/>
      <c r="R50" s="28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4:41" x14ac:dyDescent="0.25">
      <c r="D51" t="s">
        <v>18</v>
      </c>
      <c r="E51" s="46">
        <v>9</v>
      </c>
      <c r="P51" s="25"/>
      <c r="Q51" s="25"/>
      <c r="R51" s="28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4:41" x14ac:dyDescent="0.25">
      <c r="D52" t="s">
        <v>18</v>
      </c>
      <c r="E52" s="46">
        <v>16</v>
      </c>
      <c r="P52" s="25"/>
      <c r="Q52" s="25"/>
      <c r="R52" s="28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4:41" x14ac:dyDescent="0.25">
      <c r="D53" t="s">
        <v>18</v>
      </c>
      <c r="E53" s="46">
        <v>23</v>
      </c>
      <c r="P53" s="25"/>
      <c r="Q53" s="25"/>
      <c r="R53" s="28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</row>
    <row r="54" spans="4:41" x14ac:dyDescent="0.25">
      <c r="D54" t="s">
        <v>18</v>
      </c>
      <c r="E54" s="46">
        <v>30</v>
      </c>
      <c r="P54" s="25"/>
      <c r="Q54" s="25"/>
      <c r="R54" s="28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</row>
    <row r="55" spans="4:41" x14ac:dyDescent="0.25">
      <c r="D55" s="4" t="s">
        <v>33</v>
      </c>
      <c r="E55" s="47"/>
      <c r="P55" s="25"/>
      <c r="Q55" s="25"/>
      <c r="R55" s="28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4:41" x14ac:dyDescent="0.25">
      <c r="E56" s="46"/>
      <c r="P56" s="25"/>
      <c r="Q56" s="25"/>
      <c r="R56" s="28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4:41" x14ac:dyDescent="0.25">
      <c r="D57" t="s">
        <v>19</v>
      </c>
      <c r="E57" s="46">
        <v>1</v>
      </c>
      <c r="P57" s="25"/>
      <c r="Q57" s="25"/>
      <c r="R57" s="28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</row>
    <row r="58" spans="4:41" x14ac:dyDescent="0.25">
      <c r="D58" t="s">
        <v>19</v>
      </c>
      <c r="E58" s="46">
        <v>6</v>
      </c>
      <c r="P58" s="25"/>
      <c r="Q58" s="25"/>
      <c r="R58" s="28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</row>
    <row r="59" spans="4:41" x14ac:dyDescent="0.25">
      <c r="D59" t="s">
        <v>19</v>
      </c>
      <c r="E59" s="46">
        <v>13</v>
      </c>
      <c r="P59" s="25"/>
      <c r="Q59" s="25"/>
      <c r="R59" s="28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</row>
    <row r="60" spans="4:41" x14ac:dyDescent="0.25">
      <c r="D60" t="s">
        <v>19</v>
      </c>
      <c r="E60" s="46">
        <v>20</v>
      </c>
      <c r="P60" s="25"/>
      <c r="Q60" s="25"/>
      <c r="R60" s="28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</row>
    <row r="61" spans="4:41" x14ac:dyDescent="0.25">
      <c r="D61" t="s">
        <v>19</v>
      </c>
      <c r="E61" s="46">
        <v>27</v>
      </c>
      <c r="P61" s="25">
        <f>O61*32.4</f>
        <v>0</v>
      </c>
      <c r="Q61" s="25">
        <f>P61*13%</f>
        <v>0</v>
      </c>
      <c r="R61" s="28">
        <f>P61+Q61</f>
        <v>0</v>
      </c>
      <c r="S61" s="25">
        <f>O61*1.902</f>
        <v>0</v>
      </c>
      <c r="T61" s="25">
        <f>R61+S61</f>
        <v>0</v>
      </c>
      <c r="U61" s="25"/>
      <c r="V61" s="25"/>
      <c r="W61" s="25"/>
      <c r="X61" s="25"/>
      <c r="Y61" s="25">
        <f>R61*0.559%</f>
        <v>0</v>
      </c>
      <c r="Z61" s="25">
        <f>R61*0.75%</f>
        <v>0</v>
      </c>
      <c r="AA61" s="25"/>
      <c r="AB61" s="25">
        <f>O61*1.7</f>
        <v>0</v>
      </c>
      <c r="AC61" s="25">
        <f>R61-Z61-AA61-AB61</f>
        <v>0</v>
      </c>
      <c r="AD61" s="25"/>
      <c r="AE61" s="25">
        <f>T61-AB61</f>
        <v>0</v>
      </c>
      <c r="AF61" s="25"/>
      <c r="AG61" s="25">
        <f>Q61</f>
        <v>0</v>
      </c>
      <c r="AH61" s="25">
        <f>SUM(U61+W61+Y61+Z61+AA61+AB61+AD61+AF61+AG61)</f>
        <v>0</v>
      </c>
      <c r="AI61" s="25">
        <f>R61-AH61</f>
        <v>0</v>
      </c>
      <c r="AJ61" s="25">
        <f>0.65*O61</f>
        <v>0</v>
      </c>
      <c r="AK61" s="25">
        <f>AI61+AJ61</f>
        <v>0</v>
      </c>
      <c r="AL61" s="25">
        <f>R61*0.782%</f>
        <v>0</v>
      </c>
      <c r="AM61">
        <f>6.075*O61</f>
        <v>0</v>
      </c>
      <c r="AN61" s="25">
        <f>O61*2</f>
        <v>0</v>
      </c>
      <c r="AO61">
        <f>0.02*O61</f>
        <v>0</v>
      </c>
    </row>
    <row r="62" spans="4:41" x14ac:dyDescent="0.25">
      <c r="D62" s="4" t="s">
        <v>33</v>
      </c>
      <c r="E62" s="47"/>
      <c r="P62" s="25"/>
      <c r="Q62" s="25"/>
      <c r="R62" s="28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</row>
    <row r="63" spans="4:41" x14ac:dyDescent="0.25">
      <c r="E63" s="46"/>
      <c r="P63" s="25"/>
      <c r="Q63" s="25"/>
      <c r="R63" s="28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</row>
    <row r="64" spans="4:41" x14ac:dyDescent="0.25">
      <c r="D64" t="s">
        <v>20</v>
      </c>
      <c r="E64" s="46"/>
      <c r="P64" s="25"/>
      <c r="Q64" s="25"/>
      <c r="R64" s="28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4:38" x14ac:dyDescent="0.25">
      <c r="D65" t="s">
        <v>20</v>
      </c>
      <c r="E65" s="46">
        <v>4</v>
      </c>
      <c r="P65" s="25"/>
      <c r="Q65" s="25"/>
      <c r="R65" s="28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</row>
    <row r="66" spans="4:38" x14ac:dyDescent="0.25">
      <c r="D66" t="s">
        <v>20</v>
      </c>
      <c r="E66" s="46">
        <v>11</v>
      </c>
      <c r="P66" s="25"/>
      <c r="Q66" s="25"/>
      <c r="R66" s="28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</row>
    <row r="67" spans="4:38" x14ac:dyDescent="0.25">
      <c r="D67" t="s">
        <v>20</v>
      </c>
      <c r="E67" s="46">
        <v>18</v>
      </c>
      <c r="P67" s="25"/>
      <c r="Q67" s="25"/>
      <c r="R67" s="28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</row>
    <row r="68" spans="4:38" x14ac:dyDescent="0.25">
      <c r="D68" t="s">
        <v>20</v>
      </c>
      <c r="E68" s="46">
        <v>25</v>
      </c>
      <c r="P68" s="25"/>
      <c r="Q68" s="25"/>
      <c r="R68" s="28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4:38" x14ac:dyDescent="0.25">
      <c r="D69" s="4" t="s">
        <v>33</v>
      </c>
      <c r="E69" s="47"/>
      <c r="P69" s="25"/>
      <c r="Q69" s="25"/>
      <c r="R69" s="28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4:38" x14ac:dyDescent="0.25">
      <c r="E70" s="46"/>
      <c r="P70" s="25"/>
      <c r="Q70" s="25"/>
      <c r="R70" s="28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4:38" x14ac:dyDescent="0.25">
      <c r="D71" t="s">
        <v>21</v>
      </c>
      <c r="E71" s="46">
        <v>1</v>
      </c>
      <c r="P71" s="25"/>
      <c r="Q71" s="25"/>
      <c r="R71" s="28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4:38" x14ac:dyDescent="0.25">
      <c r="D72" t="s">
        <v>21</v>
      </c>
      <c r="E72" s="46">
        <v>8</v>
      </c>
      <c r="P72" s="25"/>
      <c r="Q72" s="25"/>
      <c r="R72" s="28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4:38" x14ac:dyDescent="0.25">
      <c r="D73" t="s">
        <v>21</v>
      </c>
      <c r="E73" s="46">
        <v>15</v>
      </c>
      <c r="P73" s="25"/>
      <c r="Q73" s="25"/>
      <c r="R73" s="28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4:38" x14ac:dyDescent="0.25">
      <c r="D74" t="s">
        <v>21</v>
      </c>
      <c r="E74" s="46">
        <v>22</v>
      </c>
      <c r="P74" s="25"/>
      <c r="Q74" s="25"/>
      <c r="R74" s="28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4:38" x14ac:dyDescent="0.25">
      <c r="D75" t="s">
        <v>21</v>
      </c>
      <c r="E75" s="46">
        <v>29</v>
      </c>
      <c r="P75" s="25"/>
      <c r="Q75" s="25"/>
      <c r="R75" s="28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4:38" x14ac:dyDescent="0.25">
      <c r="D76" s="4" t="s">
        <v>33</v>
      </c>
      <c r="E76" s="47"/>
      <c r="P76" s="25"/>
      <c r="Q76" s="25"/>
      <c r="R76" s="28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4:38" x14ac:dyDescent="0.25">
      <c r="E77" s="46"/>
      <c r="P77" s="25"/>
      <c r="Q77" s="25"/>
      <c r="R77" s="28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4:38" x14ac:dyDescent="0.25">
      <c r="D78" t="s">
        <v>22</v>
      </c>
      <c r="E78" s="46">
        <v>1</v>
      </c>
      <c r="P78" s="25"/>
      <c r="Q78" s="25"/>
      <c r="R78" s="28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4:38" x14ac:dyDescent="0.25">
      <c r="D79" t="s">
        <v>22</v>
      </c>
      <c r="E79" s="46">
        <v>6</v>
      </c>
      <c r="P79" s="25"/>
      <c r="Q79" s="25"/>
      <c r="R79" s="28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4:38" x14ac:dyDescent="0.25">
      <c r="D80" t="s">
        <v>22</v>
      </c>
      <c r="E80" s="46">
        <v>13</v>
      </c>
      <c r="P80" s="25"/>
      <c r="Q80" s="25"/>
      <c r="R80" s="28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4:41" x14ac:dyDescent="0.25">
      <c r="D81" t="s">
        <v>22</v>
      </c>
      <c r="E81" s="46">
        <v>20</v>
      </c>
      <c r="P81" s="25"/>
      <c r="Q81" s="25"/>
      <c r="R81" s="28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4:41" x14ac:dyDescent="0.25">
      <c r="D82" t="s">
        <v>22</v>
      </c>
      <c r="E82" s="46">
        <v>27</v>
      </c>
      <c r="P82" s="25"/>
      <c r="Q82" s="25"/>
      <c r="R82" s="28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4:41" x14ac:dyDescent="0.25">
      <c r="D83" s="4" t="s">
        <v>33</v>
      </c>
      <c r="E83" s="47"/>
      <c r="P83" s="25"/>
      <c r="Q83" s="25"/>
      <c r="R83" s="28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4:41" x14ac:dyDescent="0.25">
      <c r="E84" s="46"/>
      <c r="P84" s="25"/>
      <c r="Q84" s="25"/>
      <c r="R84" s="28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4:41" x14ac:dyDescent="0.25">
      <c r="D85" s="4" t="s">
        <v>34</v>
      </c>
      <c r="E85" s="47"/>
      <c r="P85" s="25">
        <f>SUM(P7+P13+P20+P27+P34+P41+P48+P55+P62+P69+P76+P83)</f>
        <v>0</v>
      </c>
      <c r="Q85" s="25">
        <f t="shared" ref="Q85:AO85" si="60">SUM(Q7+Q13+Q20+Q27+Q34+Q41+Q48+Q55+Q62+Q69+Q76+Q83)</f>
        <v>0</v>
      </c>
      <c r="R85" s="25">
        <f t="shared" si="60"/>
        <v>0</v>
      </c>
      <c r="S85" s="25">
        <f t="shared" si="60"/>
        <v>0</v>
      </c>
      <c r="T85" s="25">
        <f t="shared" si="60"/>
        <v>0</v>
      </c>
      <c r="U85" s="25">
        <f t="shared" si="60"/>
        <v>0</v>
      </c>
      <c r="V85" s="25">
        <f t="shared" si="60"/>
        <v>0</v>
      </c>
      <c r="W85" s="25">
        <f t="shared" si="60"/>
        <v>0</v>
      </c>
      <c r="X85" s="25">
        <f t="shared" si="60"/>
        <v>0</v>
      </c>
      <c r="Y85" s="25">
        <f t="shared" si="60"/>
        <v>0</v>
      </c>
      <c r="Z85" s="25">
        <f t="shared" si="60"/>
        <v>0</v>
      </c>
      <c r="AA85" s="25">
        <f t="shared" si="60"/>
        <v>0</v>
      </c>
      <c r="AB85" s="25">
        <f t="shared" si="60"/>
        <v>0</v>
      </c>
      <c r="AC85" s="25">
        <f t="shared" si="60"/>
        <v>0</v>
      </c>
      <c r="AD85" s="25">
        <f t="shared" si="60"/>
        <v>0</v>
      </c>
      <c r="AE85" s="25">
        <f t="shared" si="60"/>
        <v>0</v>
      </c>
      <c r="AF85" s="25">
        <f t="shared" si="60"/>
        <v>0</v>
      </c>
      <c r="AG85" s="25">
        <f t="shared" si="60"/>
        <v>0</v>
      </c>
      <c r="AH85" s="25">
        <f t="shared" si="60"/>
        <v>0</v>
      </c>
      <c r="AI85" s="25">
        <f t="shared" si="60"/>
        <v>0</v>
      </c>
      <c r="AJ85" s="25">
        <f t="shared" si="60"/>
        <v>0</v>
      </c>
      <c r="AK85" s="25">
        <f t="shared" si="60"/>
        <v>0</v>
      </c>
      <c r="AL85" s="25">
        <f t="shared" si="60"/>
        <v>0</v>
      </c>
      <c r="AM85" s="25">
        <f t="shared" si="60"/>
        <v>0</v>
      </c>
      <c r="AN85" s="25">
        <f t="shared" si="60"/>
        <v>0</v>
      </c>
      <c r="AO85" s="25">
        <f t="shared" si="60"/>
        <v>0</v>
      </c>
    </row>
    <row r="86" spans="4:41" x14ac:dyDescent="0.25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</row>
  </sheetData>
  <mergeCells count="9">
    <mergeCell ref="A19:B19"/>
    <mergeCell ref="A23:B23"/>
    <mergeCell ref="A7:B7"/>
    <mergeCell ref="A9:C9"/>
    <mergeCell ref="A12:B12"/>
    <mergeCell ref="A14:B14"/>
    <mergeCell ref="A17:C17"/>
    <mergeCell ref="A18:C18"/>
    <mergeCell ref="A10:B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Y86"/>
  <sheetViews>
    <sheetView showZeros="0" topLeftCell="A37" workbookViewId="0">
      <selection activeCell="P17" sqref="P17"/>
    </sheetView>
  </sheetViews>
  <sheetFormatPr baseColWidth="10" defaultRowHeight="13.2" x14ac:dyDescent="0.25"/>
  <cols>
    <col min="3" max="3" width="4.109375" customWidth="1"/>
    <col min="4" max="4" width="9.6640625" customWidth="1"/>
    <col min="5" max="5" width="7" customWidth="1"/>
    <col min="6" max="6" width="3.44140625" customWidth="1"/>
    <col min="7" max="7" width="3.33203125" customWidth="1"/>
    <col min="8" max="8" width="4" customWidth="1"/>
    <col min="9" max="9" width="4.109375" customWidth="1"/>
    <col min="10" max="11" width="3.33203125" customWidth="1"/>
    <col min="12" max="12" width="3.88671875" customWidth="1"/>
    <col min="13" max="14" width="4" customWidth="1"/>
    <col min="15" max="15" width="3.33203125" customWidth="1"/>
    <col min="16" max="16" width="8.109375" customWidth="1"/>
    <col min="17" max="17" width="9" customWidth="1"/>
    <col min="18" max="18" width="8.5546875" customWidth="1"/>
    <col min="19" max="19" width="6" customWidth="1"/>
    <col min="20" max="20" width="7.5546875" customWidth="1"/>
    <col min="21" max="21" width="6.33203125" customWidth="1"/>
    <col min="22" max="22" width="6.44140625" customWidth="1"/>
    <col min="23" max="23" width="9.5546875" customWidth="1"/>
    <col min="24" max="24" width="9" customWidth="1"/>
    <col min="25" max="25" width="6.109375" customWidth="1"/>
    <col min="26" max="26" width="8.6640625" customWidth="1"/>
    <col min="27" max="27" width="8.109375" customWidth="1"/>
    <col min="28" max="28" width="8.88671875" customWidth="1"/>
    <col min="29" max="29" width="10.33203125" customWidth="1"/>
    <col min="30" max="30" width="9.109375" customWidth="1"/>
    <col min="32" max="32" width="10.5546875" customWidth="1"/>
    <col min="33" max="33" width="8.88671875" customWidth="1"/>
    <col min="34" max="34" width="10.44140625" customWidth="1"/>
    <col min="35" max="35" width="7.33203125" customWidth="1"/>
    <col min="36" max="36" width="6.109375" customWidth="1"/>
    <col min="37" max="37" width="9.44140625" customWidth="1"/>
    <col min="38" max="38" width="6.44140625" customWidth="1"/>
    <col min="40" max="40" width="7.88671875" customWidth="1"/>
    <col min="41" max="41" width="9.5546875" customWidth="1"/>
  </cols>
  <sheetData>
    <row r="1" spans="1:41" x14ac:dyDescent="0.25">
      <c r="A1" s="2" t="s">
        <v>180</v>
      </c>
      <c r="B1" s="3"/>
      <c r="C1" s="4"/>
      <c r="D1" s="4" t="s">
        <v>3</v>
      </c>
      <c r="E1" s="49" t="s">
        <v>140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24</v>
      </c>
      <c r="N1" s="4" t="s">
        <v>23</v>
      </c>
      <c r="O1" s="4" t="s">
        <v>50</v>
      </c>
      <c r="P1" s="6" t="s">
        <v>55</v>
      </c>
      <c r="Q1" s="6" t="s">
        <v>25</v>
      </c>
      <c r="R1" s="23" t="s">
        <v>122</v>
      </c>
      <c r="S1" s="6" t="s">
        <v>123</v>
      </c>
      <c r="T1" s="6" t="s">
        <v>124</v>
      </c>
      <c r="U1" s="6" t="s">
        <v>28</v>
      </c>
      <c r="V1" s="6" t="s">
        <v>126</v>
      </c>
      <c r="W1" s="6" t="s">
        <v>54</v>
      </c>
      <c r="X1" s="6" t="s">
        <v>127</v>
      </c>
      <c r="Y1" s="6" t="s">
        <v>31</v>
      </c>
      <c r="Z1" s="6" t="s">
        <v>125</v>
      </c>
      <c r="AA1" s="6" t="s">
        <v>98</v>
      </c>
      <c r="AB1" s="6" t="s">
        <v>141</v>
      </c>
      <c r="AC1" s="6" t="s">
        <v>128</v>
      </c>
      <c r="AD1" s="6" t="s">
        <v>26</v>
      </c>
      <c r="AE1" s="6" t="s">
        <v>129</v>
      </c>
      <c r="AF1" s="6" t="s">
        <v>27</v>
      </c>
      <c r="AG1" s="6" t="s">
        <v>130</v>
      </c>
      <c r="AH1" s="6" t="s">
        <v>30</v>
      </c>
      <c r="AI1" s="6" t="s">
        <v>39</v>
      </c>
      <c r="AJ1" s="6" t="s">
        <v>100</v>
      </c>
      <c r="AK1" s="6" t="s">
        <v>133</v>
      </c>
      <c r="AL1" s="6" t="s">
        <v>31</v>
      </c>
      <c r="AM1" s="6" t="s">
        <v>157</v>
      </c>
      <c r="AN1" s="6" t="s">
        <v>152</v>
      </c>
      <c r="AO1" s="6" t="s">
        <v>153</v>
      </c>
    </row>
    <row r="2" spans="1:41" x14ac:dyDescent="0.25">
      <c r="A2" s="4" t="s">
        <v>181</v>
      </c>
      <c r="B2" s="4"/>
      <c r="D2" t="s">
        <v>11</v>
      </c>
      <c r="E2" s="48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</row>
    <row r="3" spans="1:41" x14ac:dyDescent="0.25">
      <c r="A3" s="4" t="s">
        <v>179</v>
      </c>
      <c r="B3" s="4"/>
      <c r="D3" t="s">
        <v>11</v>
      </c>
      <c r="E3" s="48">
        <v>4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</row>
    <row r="4" spans="1:41" x14ac:dyDescent="0.25">
      <c r="A4" s="4" t="s">
        <v>57</v>
      </c>
      <c r="D4" t="s">
        <v>11</v>
      </c>
      <c r="E4" s="48">
        <v>11</v>
      </c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</row>
    <row r="5" spans="1:41" x14ac:dyDescent="0.25">
      <c r="A5" s="4" t="s">
        <v>178</v>
      </c>
      <c r="D5" t="s">
        <v>11</v>
      </c>
      <c r="E5" s="48">
        <v>18</v>
      </c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</row>
    <row r="6" spans="1:41" x14ac:dyDescent="0.25">
      <c r="D6" t="s">
        <v>11</v>
      </c>
      <c r="E6" s="48">
        <v>25</v>
      </c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</row>
    <row r="7" spans="1:41" x14ac:dyDescent="0.25">
      <c r="A7" s="351" t="s">
        <v>48</v>
      </c>
      <c r="B7" s="351"/>
      <c r="C7" s="11"/>
      <c r="D7" s="4" t="s">
        <v>32</v>
      </c>
      <c r="E7" s="49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</row>
    <row r="8" spans="1:41" x14ac:dyDescent="0.25">
      <c r="A8" s="4"/>
      <c r="E8" s="48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</row>
    <row r="9" spans="1:41" x14ac:dyDescent="0.25">
      <c r="A9" s="350" t="s">
        <v>49</v>
      </c>
      <c r="B9" s="350"/>
      <c r="C9" s="350"/>
      <c r="D9" t="s">
        <v>12</v>
      </c>
      <c r="E9" s="48">
        <v>1</v>
      </c>
      <c r="P9" s="25">
        <f>31.67*O9</f>
        <v>0</v>
      </c>
      <c r="Q9" s="25">
        <f>13%*P9</f>
        <v>0</v>
      </c>
      <c r="R9" s="25">
        <f>P9+Q9</f>
        <v>0</v>
      </c>
      <c r="S9" s="25">
        <f>1.93*O9</f>
        <v>0</v>
      </c>
      <c r="T9" s="25">
        <f>R9+S9</f>
        <v>0</v>
      </c>
      <c r="U9" s="25"/>
      <c r="V9" s="25"/>
      <c r="W9" s="25">
        <f>R9*1.47%</f>
        <v>0</v>
      </c>
      <c r="X9" s="25"/>
      <c r="Y9" s="25">
        <f>R9*0.559%</f>
        <v>0</v>
      </c>
      <c r="Z9" s="25">
        <f>0.75%*R9</f>
        <v>0</v>
      </c>
      <c r="AA9" s="25"/>
      <c r="AB9" s="25">
        <f>1.7*O9</f>
        <v>0</v>
      </c>
      <c r="AC9" s="25">
        <f>R9-Z9-AA9-AB9</f>
        <v>0</v>
      </c>
      <c r="AD9" s="25"/>
      <c r="AE9" s="25">
        <f>T9-AB9</f>
        <v>0</v>
      </c>
      <c r="AF9" s="25"/>
      <c r="AG9" s="25">
        <f>Q9</f>
        <v>0</v>
      </c>
      <c r="AH9" s="25">
        <f>U9+W9+Y9+Z9+AA9+AB9+AD9+AF9+AG9</f>
        <v>0</v>
      </c>
      <c r="AI9" s="25">
        <f>R9-AH9</f>
        <v>0</v>
      </c>
      <c r="AJ9" s="25">
        <f>0.6*O9</f>
        <v>0</v>
      </c>
      <c r="AK9" s="25">
        <f>AI9+AJ9</f>
        <v>0</v>
      </c>
      <c r="AL9" s="25">
        <f>R9*0.782%</f>
        <v>0</v>
      </c>
      <c r="AM9" s="25"/>
      <c r="AN9" s="25"/>
      <c r="AO9" s="25"/>
    </row>
    <row r="10" spans="1:41" x14ac:dyDescent="0.25">
      <c r="A10" s="45"/>
      <c r="D10" t="s">
        <v>12</v>
      </c>
      <c r="E10" s="48">
        <v>8</v>
      </c>
      <c r="P10" s="25">
        <f>31.67*O10</f>
        <v>0</v>
      </c>
      <c r="Q10" s="25">
        <f>13%*P10</f>
        <v>0</v>
      </c>
      <c r="R10" s="25">
        <f>P10+Q10</f>
        <v>0</v>
      </c>
      <c r="S10" s="25">
        <f>1.93*O10</f>
        <v>0</v>
      </c>
      <c r="T10" s="25">
        <f>R10+S10</f>
        <v>0</v>
      </c>
      <c r="U10" s="25"/>
      <c r="V10" s="25"/>
      <c r="W10" s="25">
        <f>R10*1.47%</f>
        <v>0</v>
      </c>
      <c r="X10" s="25"/>
      <c r="Y10" s="25">
        <f>R10*0.559%</f>
        <v>0</v>
      </c>
      <c r="Z10" s="25">
        <f>0.75%*R10</f>
        <v>0</v>
      </c>
      <c r="AA10" s="25"/>
      <c r="AB10" s="25">
        <f>1.7*O10</f>
        <v>0</v>
      </c>
      <c r="AC10" s="25">
        <f>R10-Z10-AA10-AB10</f>
        <v>0</v>
      </c>
      <c r="AD10" s="25"/>
      <c r="AE10" s="25">
        <f>T10-AB10</f>
        <v>0</v>
      </c>
      <c r="AF10" s="25"/>
      <c r="AG10" s="25">
        <f>Q10</f>
        <v>0</v>
      </c>
      <c r="AH10" s="25">
        <f>U10+W10+Y10+Z10+AA10+AB10+AD10+AF10+AG10</f>
        <v>0</v>
      </c>
      <c r="AI10" s="25">
        <f>R10-AH10</f>
        <v>0</v>
      </c>
      <c r="AJ10" s="25">
        <f>0.6*O10</f>
        <v>0</v>
      </c>
      <c r="AK10" s="25">
        <f>AI10+AJ10</f>
        <v>0</v>
      </c>
      <c r="AL10" s="25">
        <f>R10*0.782%</f>
        <v>0</v>
      </c>
      <c r="AM10" s="25">
        <f>5.755*O10</f>
        <v>0</v>
      </c>
      <c r="AN10" s="25">
        <f>1.95*O10</f>
        <v>0</v>
      </c>
      <c r="AO10" s="25">
        <f>0.02*O10</f>
        <v>0</v>
      </c>
    </row>
    <row r="11" spans="1:41" x14ac:dyDescent="0.25">
      <c r="A11" s="4" t="s">
        <v>121</v>
      </c>
      <c r="D11" t="s">
        <v>12</v>
      </c>
      <c r="E11" s="48">
        <v>15</v>
      </c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</row>
    <row r="12" spans="1:41" x14ac:dyDescent="0.25">
      <c r="A12" s="350" t="s">
        <v>35</v>
      </c>
      <c r="B12" s="350"/>
      <c r="D12" t="s">
        <v>12</v>
      </c>
      <c r="E12" s="48">
        <v>22</v>
      </c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</row>
    <row r="13" spans="1:41" x14ac:dyDescent="0.25">
      <c r="A13" s="4" t="s">
        <v>0</v>
      </c>
      <c r="B13" s="4"/>
      <c r="C13" s="4"/>
      <c r="D13" s="4" t="s">
        <v>32</v>
      </c>
      <c r="E13" s="49"/>
      <c r="O13" s="4">
        <f>SUM(O9:O12)</f>
        <v>0</v>
      </c>
      <c r="P13" s="13">
        <f>SUM(P9:P12)</f>
        <v>0</v>
      </c>
      <c r="Q13" s="13">
        <f t="shared" ref="Q13:AO13" si="0">SUM(Q9:Q12)</f>
        <v>0</v>
      </c>
      <c r="R13" s="13">
        <f t="shared" si="0"/>
        <v>0</v>
      </c>
      <c r="S13" s="13">
        <f t="shared" si="0"/>
        <v>0</v>
      </c>
      <c r="T13" s="13">
        <f t="shared" si="0"/>
        <v>0</v>
      </c>
      <c r="U13" s="13">
        <f t="shared" si="0"/>
        <v>0</v>
      </c>
      <c r="V13" s="13">
        <f t="shared" si="0"/>
        <v>0</v>
      </c>
      <c r="W13" s="13">
        <f t="shared" si="0"/>
        <v>0</v>
      </c>
      <c r="X13" s="13">
        <f t="shared" si="0"/>
        <v>0</v>
      </c>
      <c r="Y13" s="13">
        <f t="shared" si="0"/>
        <v>0</v>
      </c>
      <c r="Z13" s="13">
        <f t="shared" si="0"/>
        <v>0</v>
      </c>
      <c r="AA13" s="13">
        <f t="shared" si="0"/>
        <v>0</v>
      </c>
      <c r="AB13" s="13">
        <f t="shared" si="0"/>
        <v>0</v>
      </c>
      <c r="AC13" s="13">
        <f t="shared" si="0"/>
        <v>0</v>
      </c>
      <c r="AD13" s="13">
        <f t="shared" si="0"/>
        <v>0</v>
      </c>
      <c r="AE13" s="13">
        <f t="shared" si="0"/>
        <v>0</v>
      </c>
      <c r="AF13" s="13">
        <f t="shared" si="0"/>
        <v>0</v>
      </c>
      <c r="AG13" s="13">
        <f t="shared" si="0"/>
        <v>0</v>
      </c>
      <c r="AH13" s="13">
        <f t="shared" si="0"/>
        <v>0</v>
      </c>
      <c r="AI13" s="13">
        <f t="shared" si="0"/>
        <v>0</v>
      </c>
      <c r="AJ13" s="13">
        <f t="shared" si="0"/>
        <v>0</v>
      </c>
      <c r="AK13" s="13">
        <f t="shared" si="0"/>
        <v>0</v>
      </c>
      <c r="AL13" s="13">
        <f t="shared" si="0"/>
        <v>0</v>
      </c>
      <c r="AM13" s="13">
        <f t="shared" si="0"/>
        <v>0</v>
      </c>
      <c r="AN13" s="13">
        <f t="shared" si="0"/>
        <v>0</v>
      </c>
      <c r="AO13" s="13">
        <f t="shared" si="0"/>
        <v>0</v>
      </c>
    </row>
    <row r="14" spans="1:41" x14ac:dyDescent="0.25">
      <c r="A14" s="360" t="s">
        <v>1</v>
      </c>
      <c r="B14" s="360"/>
      <c r="E14" s="48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</row>
    <row r="15" spans="1:41" x14ac:dyDescent="0.25">
      <c r="D15" t="s">
        <v>13</v>
      </c>
      <c r="E15" s="48">
        <v>1</v>
      </c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</row>
    <row r="16" spans="1:41" x14ac:dyDescent="0.25">
      <c r="D16" t="s">
        <v>13</v>
      </c>
      <c r="E16" s="48">
        <v>8</v>
      </c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</row>
    <row r="17" spans="1:38" x14ac:dyDescent="0.25">
      <c r="A17" s="352" t="s">
        <v>139</v>
      </c>
      <c r="B17" s="350"/>
      <c r="C17" s="350"/>
      <c r="D17" t="s">
        <v>13</v>
      </c>
      <c r="E17" s="48">
        <v>15</v>
      </c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</row>
    <row r="18" spans="1:38" x14ac:dyDescent="0.25">
      <c r="A18" s="16" t="s">
        <v>144</v>
      </c>
      <c r="D18" t="s">
        <v>13</v>
      </c>
      <c r="E18" s="48">
        <v>22</v>
      </c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</row>
    <row r="19" spans="1:38" x14ac:dyDescent="0.25">
      <c r="A19" s="359" t="s">
        <v>61</v>
      </c>
      <c r="B19" s="350"/>
      <c r="C19" s="350"/>
      <c r="D19" t="s">
        <v>13</v>
      </c>
      <c r="E19" s="48">
        <v>29</v>
      </c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</row>
    <row r="20" spans="1:38" x14ac:dyDescent="0.25">
      <c r="A20" s="350" t="s">
        <v>131</v>
      </c>
      <c r="B20" s="350"/>
      <c r="C20" s="4"/>
      <c r="D20" s="4" t="s">
        <v>32</v>
      </c>
      <c r="E20" s="49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</row>
    <row r="21" spans="1:38" x14ac:dyDescent="0.25">
      <c r="A21" s="4" t="s">
        <v>2</v>
      </c>
      <c r="E21" s="48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</row>
    <row r="22" spans="1:38" x14ac:dyDescent="0.25">
      <c r="A22" s="16" t="s">
        <v>143</v>
      </c>
      <c r="D22" t="s">
        <v>14</v>
      </c>
      <c r="E22" s="48">
        <v>7</v>
      </c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</row>
    <row r="23" spans="1:38" x14ac:dyDescent="0.25">
      <c r="A23" s="352"/>
      <c r="B23" s="352"/>
      <c r="D23" t="s">
        <v>14</v>
      </c>
      <c r="E23" s="48">
        <v>5</v>
      </c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</row>
    <row r="24" spans="1:38" x14ac:dyDescent="0.25">
      <c r="D24" t="s">
        <v>14</v>
      </c>
      <c r="E24" s="48">
        <v>12</v>
      </c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</row>
    <row r="25" spans="1:38" x14ac:dyDescent="0.25">
      <c r="D25" t="s">
        <v>14</v>
      </c>
      <c r="E25" s="48">
        <v>19</v>
      </c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</row>
    <row r="26" spans="1:38" x14ac:dyDescent="0.25">
      <c r="D26" t="s">
        <v>14</v>
      </c>
      <c r="E26" s="48">
        <v>26</v>
      </c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</row>
    <row r="27" spans="1:38" x14ac:dyDescent="0.25">
      <c r="D27" s="4" t="s">
        <v>33</v>
      </c>
      <c r="E27" s="49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</row>
    <row r="28" spans="1:38" x14ac:dyDescent="0.25">
      <c r="E28" s="48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</row>
    <row r="29" spans="1:38" x14ac:dyDescent="0.25">
      <c r="D29" t="s">
        <v>15</v>
      </c>
      <c r="E29" s="48">
        <v>3</v>
      </c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</row>
    <row r="30" spans="1:38" x14ac:dyDescent="0.25">
      <c r="D30" t="s">
        <v>15</v>
      </c>
      <c r="E30" s="48">
        <v>10</v>
      </c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</row>
    <row r="31" spans="1:38" x14ac:dyDescent="0.25">
      <c r="D31" t="s">
        <v>15</v>
      </c>
      <c r="E31" s="48">
        <v>17</v>
      </c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</row>
    <row r="32" spans="1:38" x14ac:dyDescent="0.25">
      <c r="D32" t="s">
        <v>15</v>
      </c>
      <c r="E32" s="48">
        <v>24</v>
      </c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</row>
    <row r="33" spans="4:38" x14ac:dyDescent="0.25">
      <c r="D33" t="s">
        <v>15</v>
      </c>
      <c r="E33" s="48">
        <v>31</v>
      </c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</row>
    <row r="34" spans="4:38" x14ac:dyDescent="0.25">
      <c r="D34" s="4" t="s">
        <v>33</v>
      </c>
      <c r="E34" s="49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</row>
    <row r="35" spans="4:38" x14ac:dyDescent="0.25">
      <c r="E35" s="48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</row>
    <row r="36" spans="4:38" x14ac:dyDescent="0.25">
      <c r="D36" t="s">
        <v>16</v>
      </c>
      <c r="E36" s="48">
        <v>7</v>
      </c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4:38" x14ac:dyDescent="0.25">
      <c r="D37" t="s">
        <v>16</v>
      </c>
      <c r="E37" s="48">
        <v>14</v>
      </c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4:38" x14ac:dyDescent="0.25">
      <c r="D38" t="s">
        <v>16</v>
      </c>
      <c r="E38" s="48">
        <v>21</v>
      </c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4:38" x14ac:dyDescent="0.25">
      <c r="D39" t="s">
        <v>16</v>
      </c>
      <c r="E39" s="48">
        <v>28</v>
      </c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4:38" x14ac:dyDescent="0.25">
      <c r="D40" t="s">
        <v>137</v>
      </c>
      <c r="E40" s="48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4:38" x14ac:dyDescent="0.25">
      <c r="D41" s="4" t="s">
        <v>33</v>
      </c>
      <c r="E41" s="49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4:38" x14ac:dyDescent="0.25">
      <c r="E42" s="48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4:38" x14ac:dyDescent="0.25">
      <c r="D43" t="s">
        <v>17</v>
      </c>
      <c r="E43" s="48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</row>
    <row r="44" spans="4:38" x14ac:dyDescent="0.25">
      <c r="D44" t="s">
        <v>17</v>
      </c>
      <c r="E44" s="48">
        <v>5</v>
      </c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</row>
    <row r="45" spans="4:38" x14ac:dyDescent="0.25">
      <c r="D45" t="s">
        <v>17</v>
      </c>
      <c r="E45" s="48">
        <v>12</v>
      </c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</row>
    <row r="46" spans="4:38" x14ac:dyDescent="0.25">
      <c r="D46" t="s">
        <v>17</v>
      </c>
      <c r="E46" s="48">
        <v>19</v>
      </c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</row>
    <row r="47" spans="4:38" x14ac:dyDescent="0.25">
      <c r="D47" t="s">
        <v>52</v>
      </c>
      <c r="E47" s="48">
        <v>26</v>
      </c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</row>
    <row r="48" spans="4:38" x14ac:dyDescent="0.25">
      <c r="D48" s="4" t="s">
        <v>33</v>
      </c>
      <c r="E48" s="49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</row>
    <row r="49" spans="4:38" x14ac:dyDescent="0.25">
      <c r="E49" s="48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</row>
    <row r="50" spans="4:38" x14ac:dyDescent="0.25">
      <c r="D50" t="s">
        <v>18</v>
      </c>
      <c r="E50" s="48">
        <v>2</v>
      </c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4:38" x14ac:dyDescent="0.25">
      <c r="D51" t="s">
        <v>18</v>
      </c>
      <c r="E51" s="48">
        <v>9</v>
      </c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4:38" x14ac:dyDescent="0.25">
      <c r="D52" t="s">
        <v>18</v>
      </c>
      <c r="E52" s="48">
        <v>16</v>
      </c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4:38" x14ac:dyDescent="0.25">
      <c r="D53" t="s">
        <v>18</v>
      </c>
      <c r="E53" s="48">
        <v>23</v>
      </c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</row>
    <row r="54" spans="4:38" x14ac:dyDescent="0.25">
      <c r="D54" t="s">
        <v>18</v>
      </c>
      <c r="E54" s="48">
        <v>30</v>
      </c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</row>
    <row r="55" spans="4:38" x14ac:dyDescent="0.25">
      <c r="D55" s="4" t="s">
        <v>33</v>
      </c>
      <c r="E55" s="49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4:38" x14ac:dyDescent="0.25">
      <c r="E56" s="48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4:38" x14ac:dyDescent="0.25">
      <c r="D57" t="s">
        <v>19</v>
      </c>
      <c r="E57" s="48">
        <v>1</v>
      </c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</row>
    <row r="58" spans="4:38" x14ac:dyDescent="0.25">
      <c r="D58" t="s">
        <v>19</v>
      </c>
      <c r="E58" s="48">
        <v>6</v>
      </c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</row>
    <row r="59" spans="4:38" x14ac:dyDescent="0.25">
      <c r="D59" t="s">
        <v>19</v>
      </c>
      <c r="E59" s="48">
        <v>13</v>
      </c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</row>
    <row r="60" spans="4:38" x14ac:dyDescent="0.25">
      <c r="D60" t="s">
        <v>19</v>
      </c>
      <c r="E60" s="48">
        <v>20</v>
      </c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</row>
    <row r="61" spans="4:38" x14ac:dyDescent="0.25">
      <c r="D61" t="s">
        <v>19</v>
      </c>
      <c r="E61" s="48">
        <v>27</v>
      </c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</row>
    <row r="62" spans="4:38" x14ac:dyDescent="0.25">
      <c r="D62" s="4" t="s">
        <v>33</v>
      </c>
      <c r="E62" s="49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</row>
    <row r="63" spans="4:38" x14ac:dyDescent="0.25">
      <c r="E63" s="48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</row>
    <row r="64" spans="4:38" x14ac:dyDescent="0.25">
      <c r="D64" t="s">
        <v>20</v>
      </c>
      <c r="E64" s="48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4:38" x14ac:dyDescent="0.25">
      <c r="D65" t="s">
        <v>20</v>
      </c>
      <c r="E65" s="48">
        <v>4</v>
      </c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</row>
    <row r="66" spans="4:38" x14ac:dyDescent="0.25">
      <c r="D66" t="s">
        <v>20</v>
      </c>
      <c r="E66" s="48">
        <v>11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</row>
    <row r="67" spans="4:38" x14ac:dyDescent="0.25">
      <c r="D67" t="s">
        <v>20</v>
      </c>
      <c r="E67" s="48">
        <v>18</v>
      </c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</row>
    <row r="68" spans="4:38" x14ac:dyDescent="0.25">
      <c r="D68" t="s">
        <v>20</v>
      </c>
      <c r="E68" s="48">
        <v>25</v>
      </c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4:38" x14ac:dyDescent="0.25">
      <c r="D69" s="4" t="s">
        <v>33</v>
      </c>
      <c r="E69" s="49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4:38" x14ac:dyDescent="0.25">
      <c r="E70" s="48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4:38" x14ac:dyDescent="0.25">
      <c r="D71" t="s">
        <v>21</v>
      </c>
      <c r="E71" s="48">
        <v>1</v>
      </c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4:38" x14ac:dyDescent="0.25">
      <c r="D72" t="s">
        <v>21</v>
      </c>
      <c r="E72" s="48">
        <v>8</v>
      </c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4:38" x14ac:dyDescent="0.25">
      <c r="D73" t="s">
        <v>21</v>
      </c>
      <c r="E73" s="48">
        <v>15</v>
      </c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4:38" x14ac:dyDescent="0.25">
      <c r="D74" t="s">
        <v>21</v>
      </c>
      <c r="E74" s="48">
        <v>22</v>
      </c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4:38" x14ac:dyDescent="0.25">
      <c r="D75" t="s">
        <v>21</v>
      </c>
      <c r="E75" s="48">
        <v>29</v>
      </c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4:38" x14ac:dyDescent="0.25">
      <c r="D76" s="4" t="s">
        <v>33</v>
      </c>
      <c r="E76" s="49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4:38" x14ac:dyDescent="0.25">
      <c r="E77" s="48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4:38" x14ac:dyDescent="0.25">
      <c r="D78" t="s">
        <v>22</v>
      </c>
      <c r="E78" s="48">
        <v>1</v>
      </c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4:38" x14ac:dyDescent="0.25">
      <c r="D79" t="s">
        <v>22</v>
      </c>
      <c r="E79" s="48">
        <v>6</v>
      </c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4:38" x14ac:dyDescent="0.25">
      <c r="D80" t="s">
        <v>22</v>
      </c>
      <c r="E80" s="48">
        <v>13</v>
      </c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4:51" x14ac:dyDescent="0.25">
      <c r="D81" t="s">
        <v>22</v>
      </c>
      <c r="E81" s="48">
        <v>20</v>
      </c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4:51" x14ac:dyDescent="0.25">
      <c r="D82" t="s">
        <v>22</v>
      </c>
      <c r="E82" s="48">
        <v>27</v>
      </c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4:51" x14ac:dyDescent="0.25">
      <c r="D83" s="4" t="s">
        <v>33</v>
      </c>
      <c r="E83" s="49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4:51" x14ac:dyDescent="0.25">
      <c r="E84" s="48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4:51" x14ac:dyDescent="0.25">
      <c r="D85" s="4" t="s">
        <v>34</v>
      </c>
      <c r="E85" s="49"/>
      <c r="P85" s="25">
        <f>SUM(P7+P13+P20+P27+P34+P41+P48+P55+P62+P69+P76+P83)</f>
        <v>0</v>
      </c>
      <c r="Q85" s="25">
        <f t="shared" ref="Q85:AO85" si="1">SUM(Q7+Q13+Q20+Q27+Q34+Q41+Q48+Q55+Q62+Q69+Q76+Q83)</f>
        <v>0</v>
      </c>
      <c r="R85" s="25">
        <f t="shared" si="1"/>
        <v>0</v>
      </c>
      <c r="S85" s="25">
        <f t="shared" si="1"/>
        <v>0</v>
      </c>
      <c r="T85" s="25">
        <f t="shared" si="1"/>
        <v>0</v>
      </c>
      <c r="U85" s="25">
        <f t="shared" si="1"/>
        <v>0</v>
      </c>
      <c r="V85" s="25">
        <f t="shared" si="1"/>
        <v>0</v>
      </c>
      <c r="W85" s="25">
        <f t="shared" si="1"/>
        <v>0</v>
      </c>
      <c r="X85" s="25">
        <f t="shared" si="1"/>
        <v>0</v>
      </c>
      <c r="Y85" s="25">
        <f t="shared" si="1"/>
        <v>0</v>
      </c>
      <c r="Z85" s="25">
        <f t="shared" si="1"/>
        <v>0</v>
      </c>
      <c r="AA85" s="25">
        <f t="shared" si="1"/>
        <v>0</v>
      </c>
      <c r="AB85" s="25">
        <f t="shared" si="1"/>
        <v>0</v>
      </c>
      <c r="AC85" s="25">
        <f t="shared" si="1"/>
        <v>0</v>
      </c>
      <c r="AD85" s="25">
        <f t="shared" si="1"/>
        <v>0</v>
      </c>
      <c r="AE85" s="25">
        <f t="shared" si="1"/>
        <v>0</v>
      </c>
      <c r="AF85" s="25">
        <f t="shared" si="1"/>
        <v>0</v>
      </c>
      <c r="AG85" s="25">
        <f t="shared" si="1"/>
        <v>0</v>
      </c>
      <c r="AH85" s="25">
        <f t="shared" si="1"/>
        <v>0</v>
      </c>
      <c r="AI85" s="25">
        <f t="shared" si="1"/>
        <v>0</v>
      </c>
      <c r="AJ85" s="25">
        <f t="shared" si="1"/>
        <v>0</v>
      </c>
      <c r="AK85" s="25">
        <f t="shared" si="1"/>
        <v>0</v>
      </c>
      <c r="AL85" s="25">
        <f t="shared" si="1"/>
        <v>0</v>
      </c>
      <c r="AM85" s="25">
        <f t="shared" si="1"/>
        <v>0</v>
      </c>
      <c r="AN85" s="25">
        <f t="shared" si="1"/>
        <v>0</v>
      </c>
      <c r="AO85" s="25">
        <f t="shared" si="1"/>
        <v>0</v>
      </c>
      <c r="AP85" s="25"/>
      <c r="AQ85" s="25"/>
      <c r="AR85" s="25"/>
      <c r="AS85" s="25"/>
      <c r="AT85" s="25"/>
      <c r="AU85" s="25"/>
      <c r="AV85" s="25"/>
      <c r="AW85" s="25"/>
      <c r="AX85" s="25"/>
      <c r="AY85" s="25"/>
    </row>
    <row r="86" spans="4:51" x14ac:dyDescent="0.25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</row>
  </sheetData>
  <mergeCells count="8">
    <mergeCell ref="A20:B20"/>
    <mergeCell ref="A23:B23"/>
    <mergeCell ref="A7:B7"/>
    <mergeCell ref="A9:C9"/>
    <mergeCell ref="A12:B12"/>
    <mergeCell ref="A14:B14"/>
    <mergeCell ref="A17:C17"/>
    <mergeCell ref="A19:C19"/>
  </mergeCells>
  <pageMargins left="0.7" right="0.7" top="0.75" bottom="0.75" header="0.3" footer="0.3"/>
  <pageSetup orientation="portrait" r:id="rId1"/>
  <ignoredErrors>
    <ignoredError sqref="S9:S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AO86"/>
  <sheetViews>
    <sheetView showZeros="0" workbookViewId="0">
      <pane ySplit="1" topLeftCell="A2" activePane="bottomLeft" state="frozen"/>
      <selection activeCell="P17" sqref="P17"/>
      <selection pane="bottomLeft" activeCell="P17" sqref="P17"/>
    </sheetView>
  </sheetViews>
  <sheetFormatPr baseColWidth="10" defaultRowHeight="13.2" x14ac:dyDescent="0.25"/>
  <cols>
    <col min="2" max="2" width="7.5546875" customWidth="1"/>
    <col min="3" max="3" width="2.6640625" customWidth="1"/>
    <col min="4" max="4" width="9.88671875" customWidth="1"/>
    <col min="5" max="5" width="6" customWidth="1"/>
    <col min="6" max="7" width="2" customWidth="1"/>
    <col min="8" max="9" width="3.109375" customWidth="1"/>
    <col min="10" max="10" width="2" customWidth="1"/>
    <col min="11" max="11" width="2.6640625" customWidth="1"/>
    <col min="12" max="12" width="2.5546875" customWidth="1"/>
    <col min="13" max="13" width="4.109375" customWidth="1"/>
    <col min="14" max="14" width="3.5546875" customWidth="1"/>
    <col min="15" max="15" width="6.44140625" customWidth="1"/>
    <col min="16" max="16" width="7.88671875" customWidth="1"/>
    <col min="17" max="17" width="7.6640625" bestFit="1" customWidth="1"/>
    <col min="18" max="18" width="9.109375" bestFit="1" customWidth="1"/>
    <col min="19" max="19" width="8.88671875" customWidth="1"/>
    <col min="20" max="20" width="7.5546875" bestFit="1" customWidth="1"/>
    <col min="21" max="21" width="6.6640625" bestFit="1" customWidth="1"/>
    <col min="22" max="22" width="6.44140625" customWidth="1"/>
    <col min="23" max="23" width="10.33203125" bestFit="1" customWidth="1"/>
    <col min="24" max="24" width="7.6640625" customWidth="1"/>
    <col min="25" max="25" width="6.33203125" bestFit="1" customWidth="1"/>
    <col min="26" max="26" width="8.6640625" bestFit="1" customWidth="1"/>
    <col min="27" max="27" width="9.33203125" customWidth="1"/>
    <col min="28" max="28" width="9.5546875" customWidth="1"/>
    <col min="30" max="30" width="9" customWidth="1"/>
    <col min="31" max="31" width="9.88671875" customWidth="1"/>
    <col min="32" max="32" width="10.109375" customWidth="1"/>
    <col min="33" max="33" width="7.88671875" customWidth="1"/>
    <col min="34" max="34" width="9.44140625" customWidth="1"/>
    <col min="35" max="35" width="7.33203125" customWidth="1"/>
    <col min="36" max="36" width="6.44140625" customWidth="1"/>
    <col min="37" max="37" width="8" bestFit="1" customWidth="1"/>
    <col min="38" max="38" width="10.88671875" bestFit="1" customWidth="1"/>
    <col min="39" max="39" width="11.88671875" customWidth="1"/>
    <col min="40" max="40" width="7" customWidth="1"/>
    <col min="41" max="41" width="9.88671875" customWidth="1"/>
  </cols>
  <sheetData>
    <row r="1" spans="1:41" x14ac:dyDescent="0.25">
      <c r="A1" s="20" t="s">
        <v>180</v>
      </c>
      <c r="B1" s="2"/>
      <c r="C1" s="4"/>
      <c r="D1" s="4" t="s">
        <v>3</v>
      </c>
      <c r="E1" s="51" t="s">
        <v>36</v>
      </c>
      <c r="F1" s="4" t="s">
        <v>63</v>
      </c>
      <c r="G1" s="4" t="s">
        <v>64</v>
      </c>
      <c r="H1" s="4" t="s">
        <v>65</v>
      </c>
      <c r="I1" s="4" t="s">
        <v>66</v>
      </c>
      <c r="J1" s="4" t="s">
        <v>67</v>
      </c>
      <c r="K1" s="4" t="s">
        <v>68</v>
      </c>
      <c r="L1" s="4" t="s">
        <v>69</v>
      </c>
      <c r="M1" s="4" t="s">
        <v>70</v>
      </c>
      <c r="N1" s="4" t="s">
        <v>104</v>
      </c>
      <c r="O1" s="4" t="s">
        <v>50</v>
      </c>
      <c r="P1" s="19" t="s">
        <v>109</v>
      </c>
      <c r="Q1" s="6" t="s">
        <v>108</v>
      </c>
      <c r="R1" s="23" t="s">
        <v>107</v>
      </c>
      <c r="S1" s="22" t="s">
        <v>106</v>
      </c>
      <c r="T1" s="6" t="s">
        <v>97</v>
      </c>
      <c r="U1" s="6" t="s">
        <v>28</v>
      </c>
      <c r="V1" s="6" t="s">
        <v>29</v>
      </c>
      <c r="W1" s="6" t="s">
        <v>54</v>
      </c>
      <c r="X1" s="6" t="s">
        <v>164</v>
      </c>
      <c r="Y1" s="6" t="s">
        <v>31</v>
      </c>
      <c r="Z1" s="6" t="s">
        <v>110</v>
      </c>
      <c r="AA1" s="6" t="s">
        <v>74</v>
      </c>
      <c r="AB1" s="6" t="s">
        <v>76</v>
      </c>
      <c r="AC1" s="6" t="s">
        <v>77</v>
      </c>
      <c r="AD1" s="6" t="s">
        <v>79</v>
      </c>
      <c r="AE1" s="6" t="s">
        <v>78</v>
      </c>
      <c r="AF1" s="6" t="s">
        <v>27</v>
      </c>
      <c r="AG1" s="6" t="s">
        <v>108</v>
      </c>
      <c r="AH1" s="6" t="s">
        <v>58</v>
      </c>
      <c r="AI1" s="6" t="s">
        <v>39</v>
      </c>
      <c r="AJ1" s="6" t="s">
        <v>111</v>
      </c>
      <c r="AK1" s="23" t="s">
        <v>112</v>
      </c>
      <c r="AL1" s="6" t="s">
        <v>75</v>
      </c>
      <c r="AM1" s="6" t="s">
        <v>158</v>
      </c>
      <c r="AN1" s="6" t="s">
        <v>150</v>
      </c>
      <c r="AO1" s="6" t="s">
        <v>153</v>
      </c>
    </row>
    <row r="2" spans="1:41" x14ac:dyDescent="0.25">
      <c r="A2" s="3" t="s">
        <v>181</v>
      </c>
      <c r="B2" s="4"/>
      <c r="D2" t="s">
        <v>11</v>
      </c>
      <c r="E2" s="50"/>
      <c r="N2" s="4"/>
      <c r="O2">
        <v>0</v>
      </c>
      <c r="P2" s="25">
        <f>30.51*O2</f>
        <v>0</v>
      </c>
      <c r="Q2" s="25">
        <f>P2*13%</f>
        <v>0</v>
      </c>
      <c r="R2" s="28">
        <f>SUM(P2:Q2)</f>
        <v>0</v>
      </c>
      <c r="S2" s="25">
        <f>1.879*O2</f>
        <v>0</v>
      </c>
      <c r="T2" s="35">
        <f>R2+S2</f>
        <v>0</v>
      </c>
      <c r="U2" s="25"/>
      <c r="V2" s="25"/>
      <c r="W2" s="52"/>
      <c r="X2" s="25"/>
      <c r="Y2" s="25">
        <f>R2*0.537%</f>
        <v>0</v>
      </c>
      <c r="Z2" s="25">
        <f>R2*0.75%</f>
        <v>0</v>
      </c>
      <c r="AA2" s="25"/>
      <c r="AB2" s="25">
        <f>1.7*O2</f>
        <v>0</v>
      </c>
      <c r="AC2" s="25">
        <f>R2-Z2-AA2-AB2</f>
        <v>0</v>
      </c>
      <c r="AD2" s="25"/>
      <c r="AE2" s="25">
        <f>T2-AB2</f>
        <v>0</v>
      </c>
      <c r="AF2" s="25"/>
      <c r="AG2" s="25">
        <f>Q2</f>
        <v>0</v>
      </c>
      <c r="AH2" s="25">
        <f>SUM(AD2+AF2+U2+W2+Y2+Z2+AA2+AB2+AG2)</f>
        <v>0</v>
      </c>
      <c r="AI2" s="25">
        <f>R2-AH2</f>
        <v>0</v>
      </c>
      <c r="AJ2" s="25">
        <f>O2*0.6</f>
        <v>0</v>
      </c>
      <c r="AK2" s="28">
        <f>AI2+AJ2</f>
        <v>0</v>
      </c>
      <c r="AL2" s="26">
        <f>R2*0.752%</f>
        <v>0</v>
      </c>
    </row>
    <row r="3" spans="1:41" x14ac:dyDescent="0.25">
      <c r="A3" s="21" t="s">
        <v>179</v>
      </c>
      <c r="B3" s="3"/>
      <c r="C3" s="4"/>
      <c r="D3" t="s">
        <v>11</v>
      </c>
      <c r="E3" s="50">
        <v>4</v>
      </c>
      <c r="O3">
        <v>0</v>
      </c>
      <c r="P3" s="25">
        <f t="shared" ref="P3:P6" si="0">30.51*O3</f>
        <v>0</v>
      </c>
      <c r="Q3" s="25">
        <f t="shared" ref="Q3:Q6" si="1">P3*13%</f>
        <v>0</v>
      </c>
      <c r="R3" s="28">
        <f t="shared" ref="R3:R6" si="2">SUM(P3:Q3)</f>
        <v>0</v>
      </c>
      <c r="S3" s="25">
        <f t="shared" ref="S3:S6" si="3">1.879*O3</f>
        <v>0</v>
      </c>
      <c r="T3" s="35">
        <f t="shared" ref="T3:T6" si="4">R3+S3</f>
        <v>0</v>
      </c>
      <c r="U3" s="25"/>
      <c r="V3" s="25"/>
      <c r="W3" s="52">
        <v>0</v>
      </c>
      <c r="X3" s="25"/>
      <c r="Y3" s="25">
        <f t="shared" ref="Y3:Y4" si="5">R3*0.537%</f>
        <v>0</v>
      </c>
      <c r="Z3" s="25">
        <f t="shared" ref="Z3:Z6" si="6">R3*0.75%</f>
        <v>0</v>
      </c>
      <c r="AA3" s="25"/>
      <c r="AB3" s="25">
        <f t="shared" ref="AB3:AB6" si="7">1.7*O3</f>
        <v>0</v>
      </c>
      <c r="AC3" s="25">
        <f t="shared" ref="AC3:AC6" si="8">R3-Z3-AA3-AB3</f>
        <v>0</v>
      </c>
      <c r="AD3" s="25"/>
      <c r="AE3" s="25">
        <f t="shared" ref="AE3:AE6" si="9">T3-AB3</f>
        <v>0</v>
      </c>
      <c r="AF3" s="25"/>
      <c r="AG3" s="25">
        <f t="shared" ref="AG3:AG6" si="10">Q3</f>
        <v>0</v>
      </c>
      <c r="AH3" s="25">
        <f t="shared" ref="AH3:AH6" si="11">SUM(AD3+AF3+U3+W3+Y3+Z3+AA3+AB3+AG3)</f>
        <v>0</v>
      </c>
      <c r="AI3" s="25">
        <f>R3-AH3</f>
        <v>0</v>
      </c>
      <c r="AJ3" s="25">
        <f>O3*0.6</f>
        <v>0</v>
      </c>
      <c r="AK3" s="28">
        <f t="shared" ref="AK3:AK4" si="12">AI3+AJ3</f>
        <v>0</v>
      </c>
      <c r="AL3" s="26">
        <f t="shared" ref="AL3:AL4" si="13">R3*0.752%</f>
        <v>0</v>
      </c>
    </row>
    <row r="4" spans="1:41" x14ac:dyDescent="0.25">
      <c r="A4" s="21" t="s">
        <v>57</v>
      </c>
      <c r="B4" s="3" t="s">
        <v>145</v>
      </c>
      <c r="C4" s="4"/>
      <c r="D4" t="s">
        <v>11</v>
      </c>
      <c r="E4" s="50">
        <v>11</v>
      </c>
      <c r="O4">
        <v>0</v>
      </c>
      <c r="P4" s="25">
        <f t="shared" si="0"/>
        <v>0</v>
      </c>
      <c r="Q4" s="25">
        <f t="shared" si="1"/>
        <v>0</v>
      </c>
      <c r="R4" s="28">
        <f t="shared" si="2"/>
        <v>0</v>
      </c>
      <c r="S4" s="25">
        <f t="shared" si="3"/>
        <v>0</v>
      </c>
      <c r="T4" s="35">
        <f t="shared" si="4"/>
        <v>0</v>
      </c>
      <c r="U4" s="25"/>
      <c r="V4" s="25"/>
      <c r="W4" s="52">
        <v>0</v>
      </c>
      <c r="X4" s="25"/>
      <c r="Y4" s="25">
        <f t="shared" si="5"/>
        <v>0</v>
      </c>
      <c r="Z4" s="25">
        <f t="shared" si="6"/>
        <v>0</v>
      </c>
      <c r="AA4" s="25"/>
      <c r="AB4" s="25">
        <f t="shared" si="7"/>
        <v>0</v>
      </c>
      <c r="AC4" s="25">
        <f t="shared" si="8"/>
        <v>0</v>
      </c>
      <c r="AD4" s="25"/>
      <c r="AE4" s="25">
        <f t="shared" si="9"/>
        <v>0</v>
      </c>
      <c r="AF4" s="25"/>
      <c r="AG4" s="25">
        <f t="shared" si="10"/>
        <v>0</v>
      </c>
      <c r="AH4" s="25">
        <f>SUM(AD4+AF4+U4+W4+Y4+Z4+AA4+AB4+AG4)</f>
        <v>0</v>
      </c>
      <c r="AI4" s="25">
        <f>R4-AH4</f>
        <v>0</v>
      </c>
      <c r="AJ4" s="25">
        <f>O4*0.6</f>
        <v>0</v>
      </c>
      <c r="AK4" s="28">
        <f t="shared" si="12"/>
        <v>0</v>
      </c>
      <c r="AL4" s="26">
        <f t="shared" si="13"/>
        <v>0</v>
      </c>
    </row>
    <row r="5" spans="1:41" x14ac:dyDescent="0.25">
      <c r="A5" s="4" t="s">
        <v>174</v>
      </c>
      <c r="B5" s="4"/>
      <c r="C5" s="4"/>
      <c r="D5" t="s">
        <v>11</v>
      </c>
      <c r="E5" s="50">
        <v>18</v>
      </c>
      <c r="P5" s="25">
        <f>33.6*O5</f>
        <v>0</v>
      </c>
      <c r="Q5" s="25">
        <f t="shared" si="1"/>
        <v>0</v>
      </c>
      <c r="R5" s="28">
        <f t="shared" si="2"/>
        <v>0</v>
      </c>
      <c r="S5" s="25">
        <f>1.93*O5</f>
        <v>0</v>
      </c>
      <c r="T5" s="35">
        <f t="shared" si="4"/>
        <v>0</v>
      </c>
      <c r="U5" s="25"/>
      <c r="V5" s="25"/>
      <c r="W5" s="52">
        <v>0</v>
      </c>
      <c r="X5" s="27"/>
      <c r="Y5" s="25">
        <f>R5*0.559%</f>
        <v>0</v>
      </c>
      <c r="Z5" s="25">
        <f t="shared" si="6"/>
        <v>0</v>
      </c>
      <c r="AA5" s="25"/>
      <c r="AB5" s="25">
        <f>2.1*O5</f>
        <v>0</v>
      </c>
      <c r="AC5" s="25">
        <f t="shared" si="8"/>
        <v>0</v>
      </c>
      <c r="AD5" s="25"/>
      <c r="AE5" s="25">
        <f t="shared" si="9"/>
        <v>0</v>
      </c>
      <c r="AF5" s="25"/>
      <c r="AG5" s="25">
        <f t="shared" si="10"/>
        <v>0</v>
      </c>
      <c r="AH5" s="25">
        <f>SUM(AD5+AF5+U5+W5+Y5+Z5+AA5+AB5+AG5)</f>
        <v>0</v>
      </c>
      <c r="AI5" s="25">
        <f>R5-AH5</f>
        <v>0</v>
      </c>
      <c r="AJ5" s="25"/>
      <c r="AK5" s="28">
        <f>AI5+AJ5</f>
        <v>0</v>
      </c>
      <c r="AL5" s="26">
        <f>R5*0.782%</f>
        <v>0</v>
      </c>
    </row>
    <row r="6" spans="1:41" x14ac:dyDescent="0.25">
      <c r="A6" s="4"/>
      <c r="B6" s="4"/>
      <c r="C6" s="4"/>
      <c r="D6" t="s">
        <v>11</v>
      </c>
      <c r="E6" s="50">
        <v>25</v>
      </c>
      <c r="O6">
        <v>0</v>
      </c>
      <c r="P6" s="25">
        <f t="shared" si="0"/>
        <v>0</v>
      </c>
      <c r="Q6" s="25">
        <f t="shared" si="1"/>
        <v>0</v>
      </c>
      <c r="R6" s="28">
        <f t="shared" si="2"/>
        <v>0</v>
      </c>
      <c r="S6" s="25">
        <f t="shared" si="3"/>
        <v>0</v>
      </c>
      <c r="T6" s="35">
        <f t="shared" si="4"/>
        <v>0</v>
      </c>
      <c r="U6" s="25"/>
      <c r="V6" s="25"/>
      <c r="W6" s="52">
        <v>0</v>
      </c>
      <c r="X6" s="25"/>
      <c r="Y6" s="25">
        <f>R6*0.559%</f>
        <v>0</v>
      </c>
      <c r="Z6" s="25">
        <f t="shared" si="6"/>
        <v>0</v>
      </c>
      <c r="AA6" s="25"/>
      <c r="AB6" s="25">
        <f t="shared" si="7"/>
        <v>0</v>
      </c>
      <c r="AC6" s="25">
        <f t="shared" si="8"/>
        <v>0</v>
      </c>
      <c r="AD6" s="25"/>
      <c r="AE6" s="25">
        <f t="shared" si="9"/>
        <v>0</v>
      </c>
      <c r="AF6" s="25"/>
      <c r="AG6" s="25">
        <f t="shared" si="10"/>
        <v>0</v>
      </c>
      <c r="AH6" s="25">
        <f t="shared" si="11"/>
        <v>0</v>
      </c>
      <c r="AI6" s="25">
        <f>R6-AH6</f>
        <v>0</v>
      </c>
      <c r="AJ6" s="25">
        <f>O6*0.6</f>
        <v>0</v>
      </c>
      <c r="AK6" s="28">
        <f>AI6+AJ6</f>
        <v>0</v>
      </c>
      <c r="AL6" s="26">
        <f>R6*0.782%</f>
        <v>0</v>
      </c>
    </row>
    <row r="7" spans="1:41" x14ac:dyDescent="0.25">
      <c r="A7" s="3" t="s">
        <v>48</v>
      </c>
      <c r="B7" s="3"/>
      <c r="C7" s="3"/>
      <c r="D7" s="4" t="s">
        <v>32</v>
      </c>
      <c r="E7" s="51"/>
      <c r="F7" s="4"/>
      <c r="G7" s="4"/>
      <c r="H7" s="4"/>
      <c r="I7" s="4"/>
      <c r="J7" s="4"/>
      <c r="K7" s="4"/>
      <c r="L7" s="4"/>
      <c r="M7" s="4"/>
      <c r="N7" s="4"/>
      <c r="O7" s="4">
        <f>SUM(O2:O6)</f>
        <v>0</v>
      </c>
      <c r="P7" s="13">
        <f>SUM(P2:P6)</f>
        <v>0</v>
      </c>
      <c r="Q7" s="13">
        <f>SUM(Q2:Q6)</f>
        <v>0</v>
      </c>
      <c r="R7" s="29">
        <f>SUM(R2:R6)</f>
        <v>0</v>
      </c>
      <c r="S7" s="13">
        <f>SUM(S2:S6)</f>
        <v>0</v>
      </c>
      <c r="T7" s="13">
        <f t="shared" ref="T7:AL7" si="14">SUM(T2:T6)</f>
        <v>0</v>
      </c>
      <c r="U7" s="13">
        <f t="shared" si="14"/>
        <v>0</v>
      </c>
      <c r="V7" s="13">
        <f t="shared" si="14"/>
        <v>0</v>
      </c>
      <c r="W7" s="13">
        <f t="shared" si="14"/>
        <v>0</v>
      </c>
      <c r="X7" s="13">
        <f t="shared" si="14"/>
        <v>0</v>
      </c>
      <c r="Y7" s="13">
        <f t="shared" si="14"/>
        <v>0</v>
      </c>
      <c r="Z7" s="13">
        <f t="shared" si="14"/>
        <v>0</v>
      </c>
      <c r="AA7" s="13">
        <f t="shared" si="14"/>
        <v>0</v>
      </c>
      <c r="AB7" s="13">
        <f t="shared" si="14"/>
        <v>0</v>
      </c>
      <c r="AC7" s="13">
        <f t="shared" si="14"/>
        <v>0</v>
      </c>
      <c r="AD7" s="13">
        <f t="shared" si="14"/>
        <v>0</v>
      </c>
      <c r="AE7" s="13">
        <f t="shared" si="14"/>
        <v>0</v>
      </c>
      <c r="AF7" s="13">
        <f t="shared" si="14"/>
        <v>0</v>
      </c>
      <c r="AG7" s="13">
        <f t="shared" si="14"/>
        <v>0</v>
      </c>
      <c r="AH7" s="13">
        <f t="shared" si="14"/>
        <v>0</v>
      </c>
      <c r="AI7" s="13">
        <f t="shared" si="14"/>
        <v>0</v>
      </c>
      <c r="AJ7" s="13">
        <f t="shared" si="14"/>
        <v>0</v>
      </c>
      <c r="AK7" s="29">
        <f>SUM(AK2:AK6)</f>
        <v>0</v>
      </c>
      <c r="AL7" s="13">
        <f t="shared" si="14"/>
        <v>0</v>
      </c>
    </row>
    <row r="8" spans="1:41" x14ac:dyDescent="0.25">
      <c r="A8" s="53"/>
      <c r="B8" s="4"/>
      <c r="C8" s="4"/>
      <c r="E8" s="50"/>
      <c r="P8" s="25"/>
      <c r="Q8" s="25"/>
      <c r="R8" s="28"/>
      <c r="S8" s="25"/>
      <c r="T8" s="35"/>
      <c r="U8" s="25"/>
      <c r="V8" s="25"/>
      <c r="W8" s="52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8"/>
      <c r="AL8" s="25"/>
    </row>
    <row r="9" spans="1:41" x14ac:dyDescent="0.25">
      <c r="A9" s="3" t="s">
        <v>49</v>
      </c>
      <c r="B9" s="3"/>
      <c r="C9" s="3"/>
      <c r="D9" t="s">
        <v>12</v>
      </c>
      <c r="E9" s="50">
        <v>1</v>
      </c>
      <c r="O9">
        <v>0</v>
      </c>
      <c r="P9" s="25">
        <f>30.51*O9</f>
        <v>0</v>
      </c>
      <c r="Q9" s="25">
        <f>P9*13%</f>
        <v>0</v>
      </c>
      <c r="R9" s="28">
        <f>P9+Q9</f>
        <v>0</v>
      </c>
      <c r="S9" s="25">
        <f>1.879*O9</f>
        <v>0</v>
      </c>
      <c r="T9" s="35">
        <f>R9+S9</f>
        <v>0</v>
      </c>
      <c r="U9" s="25"/>
      <c r="V9" s="25"/>
      <c r="W9" s="52"/>
      <c r="X9" s="25"/>
      <c r="Y9" s="25">
        <f>R9*0.537%</f>
        <v>0</v>
      </c>
      <c r="Z9" s="25">
        <f>R9*0.75%</f>
        <v>0</v>
      </c>
      <c r="AA9" s="25"/>
      <c r="AB9" s="25">
        <f>1.7*O9</f>
        <v>0</v>
      </c>
      <c r="AC9" s="25">
        <f>R9-Z9-AA9-AB9</f>
        <v>0</v>
      </c>
      <c r="AD9" s="25"/>
      <c r="AE9" s="25">
        <f>T9-AB9</f>
        <v>0</v>
      </c>
      <c r="AF9" s="25"/>
      <c r="AG9" s="25">
        <f>Q9</f>
        <v>0</v>
      </c>
      <c r="AH9" s="25">
        <f>SUM(AD9+AF9+U9+W9+Y9+Z9+AA9+AB9+AG9)</f>
        <v>0</v>
      </c>
      <c r="AI9" s="25">
        <f>R9-AH9</f>
        <v>0</v>
      </c>
      <c r="AJ9" s="25">
        <f>O9*0.6</f>
        <v>0</v>
      </c>
      <c r="AK9" s="28">
        <f>AI9+AJ9</f>
        <v>0</v>
      </c>
      <c r="AL9" s="25">
        <f>R9*0.752%</f>
        <v>0</v>
      </c>
    </row>
    <row r="10" spans="1:41" x14ac:dyDescent="0.25">
      <c r="A10" s="55"/>
      <c r="B10" s="4"/>
      <c r="C10" s="4"/>
      <c r="D10" t="s">
        <v>12</v>
      </c>
      <c r="E10" s="50">
        <v>8</v>
      </c>
      <c r="P10" s="25">
        <f t="shared" ref="P10:P12" si="15">30.51*O10</f>
        <v>0</v>
      </c>
      <c r="Q10" s="25">
        <f t="shared" ref="Q10:Q12" si="16">P10*13%</f>
        <v>0</v>
      </c>
      <c r="R10" s="28">
        <f t="shared" ref="R10:R12" si="17">P10+Q10</f>
        <v>0</v>
      </c>
      <c r="S10" s="25">
        <f t="shared" ref="S10:S12" si="18">1.879*O10</f>
        <v>0</v>
      </c>
      <c r="T10" s="35">
        <f t="shared" ref="T10:T12" si="19">R10+S10</f>
        <v>0</v>
      </c>
      <c r="U10" s="25"/>
      <c r="V10" s="25"/>
      <c r="W10" s="52"/>
      <c r="X10" s="25"/>
      <c r="Y10" s="25">
        <f t="shared" ref="Y10:Y12" si="20">R10*0.537%</f>
        <v>0</v>
      </c>
      <c r="Z10" s="25">
        <f t="shared" ref="Z10:Z12" si="21">R10*0.75%</f>
        <v>0</v>
      </c>
      <c r="AA10" s="25"/>
      <c r="AB10" s="25">
        <f t="shared" ref="AB10:AB12" si="22">1.7*O10</f>
        <v>0</v>
      </c>
      <c r="AC10" s="25">
        <f t="shared" ref="AC10:AC12" si="23">R10-Z10-AA10-AB10</f>
        <v>0</v>
      </c>
      <c r="AD10" s="25"/>
      <c r="AE10" s="25">
        <f t="shared" ref="AE10:AE12" si="24">T10-AB10</f>
        <v>0</v>
      </c>
      <c r="AF10" s="25"/>
      <c r="AG10" s="25">
        <f t="shared" ref="AG10:AG12" si="25">Q10</f>
        <v>0</v>
      </c>
      <c r="AH10" s="25">
        <f t="shared" ref="AH10:AH12" si="26">SUM(AD10+AF10+U10+W10+Y10+Z10+AA10+AB10+AG10)</f>
        <v>0</v>
      </c>
      <c r="AI10" s="25">
        <f t="shared" ref="AI10:AI12" si="27">R10-AH10</f>
        <v>0</v>
      </c>
      <c r="AJ10" s="25">
        <f t="shared" ref="AJ10:AJ12" si="28">O10*0.6</f>
        <v>0</v>
      </c>
      <c r="AK10" s="28">
        <f t="shared" ref="AK10:AK12" si="29">AI10+AJ10</f>
        <v>0</v>
      </c>
      <c r="AL10" s="25">
        <f t="shared" ref="AL10:AL12" si="30">R10*0.752%</f>
        <v>0</v>
      </c>
    </row>
    <row r="11" spans="1:41" x14ac:dyDescent="0.25">
      <c r="A11" s="3" t="s">
        <v>60</v>
      </c>
      <c r="B11" s="3"/>
      <c r="C11" s="4"/>
      <c r="D11" t="s">
        <v>12</v>
      </c>
      <c r="E11" s="50">
        <v>15</v>
      </c>
      <c r="P11" s="25">
        <f t="shared" si="15"/>
        <v>0</v>
      </c>
      <c r="Q11" s="25">
        <f t="shared" si="16"/>
        <v>0</v>
      </c>
      <c r="R11" s="28">
        <f t="shared" si="17"/>
        <v>0</v>
      </c>
      <c r="S11" s="25">
        <f t="shared" si="18"/>
        <v>0</v>
      </c>
      <c r="T11" s="35">
        <f t="shared" si="19"/>
        <v>0</v>
      </c>
      <c r="U11" s="25"/>
      <c r="V11" s="25"/>
      <c r="W11" s="52"/>
      <c r="X11" s="25"/>
      <c r="Y11" s="25">
        <f t="shared" si="20"/>
        <v>0</v>
      </c>
      <c r="Z11" s="25">
        <f t="shared" si="21"/>
        <v>0</v>
      </c>
      <c r="AA11" s="25"/>
      <c r="AB11" s="25">
        <f t="shared" si="22"/>
        <v>0</v>
      </c>
      <c r="AC11" s="25">
        <f t="shared" si="23"/>
        <v>0</v>
      </c>
      <c r="AD11" s="25"/>
      <c r="AE11" s="25">
        <f t="shared" si="24"/>
        <v>0</v>
      </c>
      <c r="AF11" s="25"/>
      <c r="AG11" s="25">
        <f t="shared" si="25"/>
        <v>0</v>
      </c>
      <c r="AH11" s="25">
        <f t="shared" si="26"/>
        <v>0</v>
      </c>
      <c r="AI11" s="25">
        <f t="shared" si="27"/>
        <v>0</v>
      </c>
      <c r="AJ11" s="25">
        <f t="shared" si="28"/>
        <v>0</v>
      </c>
      <c r="AK11" s="28">
        <f t="shared" si="29"/>
        <v>0</v>
      </c>
      <c r="AL11" s="25">
        <f t="shared" si="30"/>
        <v>0</v>
      </c>
    </row>
    <row r="12" spans="1:41" x14ac:dyDescent="0.25">
      <c r="A12" s="3" t="s">
        <v>62</v>
      </c>
      <c r="B12" s="3"/>
      <c r="C12" s="4"/>
      <c r="D12" t="s">
        <v>12</v>
      </c>
      <c r="E12" s="50">
        <v>22</v>
      </c>
      <c r="P12" s="25">
        <f t="shared" si="15"/>
        <v>0</v>
      </c>
      <c r="Q12" s="25">
        <f t="shared" si="16"/>
        <v>0</v>
      </c>
      <c r="R12" s="28">
        <f t="shared" si="17"/>
        <v>0</v>
      </c>
      <c r="S12" s="25">
        <f t="shared" si="18"/>
        <v>0</v>
      </c>
      <c r="T12" s="35">
        <f t="shared" si="19"/>
        <v>0</v>
      </c>
      <c r="U12" s="25"/>
      <c r="V12" s="25"/>
      <c r="W12" s="52"/>
      <c r="X12" s="25"/>
      <c r="Y12" s="25">
        <f t="shared" si="20"/>
        <v>0</v>
      </c>
      <c r="Z12" s="25">
        <f t="shared" si="21"/>
        <v>0</v>
      </c>
      <c r="AA12" s="25"/>
      <c r="AB12" s="25">
        <f t="shared" si="22"/>
        <v>0</v>
      </c>
      <c r="AC12" s="25">
        <f t="shared" si="23"/>
        <v>0</v>
      </c>
      <c r="AD12" s="25"/>
      <c r="AE12" s="25">
        <f t="shared" si="24"/>
        <v>0</v>
      </c>
      <c r="AF12" s="25"/>
      <c r="AG12" s="25">
        <f t="shared" si="25"/>
        <v>0</v>
      </c>
      <c r="AH12" s="25">
        <f t="shared" si="26"/>
        <v>0</v>
      </c>
      <c r="AI12" s="25">
        <f t="shared" si="27"/>
        <v>0</v>
      </c>
      <c r="AJ12" s="25">
        <f t="shared" si="28"/>
        <v>0</v>
      </c>
      <c r="AK12" s="28">
        <f t="shared" si="29"/>
        <v>0</v>
      </c>
      <c r="AL12" s="25">
        <f t="shared" si="30"/>
        <v>0</v>
      </c>
    </row>
    <row r="13" spans="1:41" x14ac:dyDescent="0.25">
      <c r="A13" s="4" t="s">
        <v>73</v>
      </c>
      <c r="B13" s="4"/>
      <c r="C13" s="4"/>
      <c r="D13" s="4" t="s">
        <v>32</v>
      </c>
      <c r="E13" s="51"/>
      <c r="F13" s="4"/>
      <c r="G13" s="4"/>
      <c r="H13" s="4"/>
      <c r="I13" s="4"/>
      <c r="J13" s="4"/>
      <c r="K13" s="4"/>
      <c r="L13" s="4"/>
      <c r="M13" s="4"/>
      <c r="N13" s="4"/>
      <c r="O13" s="4">
        <f>SUM(O9:O12)</f>
        <v>0</v>
      </c>
      <c r="P13" s="13">
        <f>SUM(P9:P12)</f>
        <v>0</v>
      </c>
      <c r="Q13" s="13">
        <f>SUM(Q9:Q12)</f>
        <v>0</v>
      </c>
      <c r="R13" s="29">
        <f>SUM(R9:R12)</f>
        <v>0</v>
      </c>
      <c r="S13" s="29">
        <f>SUM(S9:S12)</f>
        <v>0</v>
      </c>
      <c r="T13" s="36">
        <f t="shared" ref="T13:AH13" si="31">SUM(T9:T12)</f>
        <v>0</v>
      </c>
      <c r="U13" s="13">
        <f t="shared" si="31"/>
        <v>0</v>
      </c>
      <c r="V13" s="13">
        <f t="shared" si="31"/>
        <v>0</v>
      </c>
      <c r="W13" s="13">
        <f t="shared" si="31"/>
        <v>0</v>
      </c>
      <c r="X13" s="13">
        <f t="shared" si="31"/>
        <v>0</v>
      </c>
      <c r="Y13" s="13">
        <f t="shared" si="31"/>
        <v>0</v>
      </c>
      <c r="Z13" s="13">
        <f t="shared" si="31"/>
        <v>0</v>
      </c>
      <c r="AA13" s="13">
        <f t="shared" si="31"/>
        <v>0</v>
      </c>
      <c r="AB13" s="13">
        <f t="shared" si="31"/>
        <v>0</v>
      </c>
      <c r="AC13" s="13">
        <f t="shared" si="31"/>
        <v>0</v>
      </c>
      <c r="AD13" s="13">
        <f t="shared" si="31"/>
        <v>0</v>
      </c>
      <c r="AE13" s="13">
        <f t="shared" si="31"/>
        <v>0</v>
      </c>
      <c r="AF13" s="13">
        <f t="shared" si="31"/>
        <v>0</v>
      </c>
      <c r="AG13" s="13">
        <f t="shared" si="31"/>
        <v>0</v>
      </c>
      <c r="AH13" s="13">
        <f t="shared" si="31"/>
        <v>0</v>
      </c>
      <c r="AI13" s="13">
        <f>SUM(AI9:AI12)</f>
        <v>0</v>
      </c>
      <c r="AJ13" s="13">
        <f t="shared" ref="AJ13:AL13" si="32">SUM(AJ9:AJ12)</f>
        <v>0</v>
      </c>
      <c r="AK13" s="29">
        <f t="shared" si="32"/>
        <v>0</v>
      </c>
      <c r="AL13" s="13">
        <f t="shared" si="32"/>
        <v>0</v>
      </c>
    </row>
    <row r="14" spans="1:41" x14ac:dyDescent="0.25">
      <c r="A14" s="4" t="s">
        <v>71</v>
      </c>
      <c r="B14" s="3"/>
      <c r="C14" s="4"/>
      <c r="E14" s="50"/>
      <c r="P14" s="25"/>
      <c r="Q14" s="25"/>
      <c r="R14" s="28"/>
      <c r="S14" s="25"/>
      <c r="T14" s="35"/>
      <c r="U14" s="25"/>
      <c r="V14" s="25"/>
      <c r="W14" s="52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8"/>
      <c r="AL14" s="25"/>
    </row>
    <row r="15" spans="1:41" x14ac:dyDescent="0.25">
      <c r="A15" s="3" t="s">
        <v>72</v>
      </c>
      <c r="B15" s="4"/>
      <c r="C15" s="4"/>
      <c r="D15" t="s">
        <v>13</v>
      </c>
      <c r="E15" s="50">
        <v>1</v>
      </c>
      <c r="P15" s="26">
        <f>32.42*O15</f>
        <v>0</v>
      </c>
      <c r="Q15" s="25">
        <f>P15*13%</f>
        <v>0</v>
      </c>
      <c r="R15" s="28">
        <f>P15+Q15</f>
        <v>0</v>
      </c>
      <c r="S15" s="25">
        <f>2.047*O15</f>
        <v>0</v>
      </c>
      <c r="T15" s="35">
        <f>R15+S15</f>
        <v>0</v>
      </c>
      <c r="U15" s="25"/>
      <c r="V15" s="25"/>
      <c r="W15" s="52">
        <f>R15*1.47%</f>
        <v>0</v>
      </c>
      <c r="X15" s="25"/>
      <c r="Y15" s="25">
        <f>R15*0.559%</f>
        <v>0</v>
      </c>
      <c r="Z15" s="25">
        <f>R15*0.75%</f>
        <v>0</v>
      </c>
      <c r="AA15" s="25"/>
      <c r="AB15" s="25">
        <f>1.85*O15</f>
        <v>0</v>
      </c>
      <c r="AC15" s="25">
        <f>R15-Z15-AA15-AB15</f>
        <v>0</v>
      </c>
      <c r="AD15" s="25"/>
      <c r="AE15" s="25"/>
      <c r="AF15" s="25"/>
      <c r="AG15" s="25">
        <f>Q15</f>
        <v>0</v>
      </c>
      <c r="AH15" s="25">
        <f>SUM(AD15+AF15+U15+W15+Y15+Z15+AA15+AB15+AG15)</f>
        <v>0</v>
      </c>
      <c r="AI15" s="25">
        <f>R15-AH15</f>
        <v>0</v>
      </c>
      <c r="AJ15" s="25">
        <f>O15*0.5</f>
        <v>0</v>
      </c>
      <c r="AK15" s="28">
        <f>AI15+AJ15</f>
        <v>0</v>
      </c>
      <c r="AL15" s="25">
        <f>R15*0.782%</f>
        <v>0</v>
      </c>
      <c r="AM15" s="25">
        <f>5.925*O15</f>
        <v>0</v>
      </c>
      <c r="AN15" s="25">
        <f>2.12*O15</f>
        <v>0</v>
      </c>
      <c r="AO15" s="25">
        <f>0.02*O15</f>
        <v>0</v>
      </c>
    </row>
    <row r="16" spans="1:41" x14ac:dyDescent="0.25">
      <c r="A16" s="4"/>
      <c r="B16" s="4"/>
      <c r="C16" s="4"/>
      <c r="D16" t="s">
        <v>13</v>
      </c>
      <c r="E16" s="50">
        <v>8</v>
      </c>
      <c r="P16" s="26">
        <f t="shared" ref="P16:P19" si="33">32.42*O16</f>
        <v>0</v>
      </c>
      <c r="Q16" s="25">
        <f t="shared" ref="Q16:Q19" si="34">P16*13%</f>
        <v>0</v>
      </c>
      <c r="R16" s="28">
        <f t="shared" ref="R16:R19" si="35">P16+Q16</f>
        <v>0</v>
      </c>
      <c r="S16" s="25">
        <f t="shared" ref="S16:S19" si="36">2.047*O16</f>
        <v>0</v>
      </c>
      <c r="T16" s="35">
        <f t="shared" ref="T16:T19" si="37">R16+S16</f>
        <v>0</v>
      </c>
      <c r="U16" s="25"/>
      <c r="V16" s="25"/>
      <c r="W16" s="52">
        <f t="shared" ref="W16:W19" si="38">R16*1.47%</f>
        <v>0</v>
      </c>
      <c r="X16" s="25"/>
      <c r="Y16" s="25">
        <f t="shared" ref="Y16:Y19" si="39">R16*0.559%</f>
        <v>0</v>
      </c>
      <c r="Z16" s="25">
        <f t="shared" ref="Z16:Z19" si="40">R16*0.75%</f>
        <v>0</v>
      </c>
      <c r="AA16" s="25"/>
      <c r="AB16" s="25">
        <f>1.85*O16</f>
        <v>0</v>
      </c>
      <c r="AC16" s="25">
        <f t="shared" ref="AC16:AC19" si="41">R16-Z16-AA16-AB16</f>
        <v>0</v>
      </c>
      <c r="AD16" s="25"/>
      <c r="AE16" s="25"/>
      <c r="AF16" s="25"/>
      <c r="AG16" s="25">
        <f t="shared" ref="AG16:AG19" si="42">Q16</f>
        <v>0</v>
      </c>
      <c r="AH16" s="25">
        <f t="shared" ref="AH16:AH19" si="43">SUM(AD16+AF16+U16+W16+Y16+Z16+AA16+AB16+AG16)</f>
        <v>0</v>
      </c>
      <c r="AI16" s="25">
        <f t="shared" ref="AI16:AI19" si="44">R16-AH16</f>
        <v>0</v>
      </c>
      <c r="AJ16" s="25">
        <f t="shared" ref="AJ16:AJ19" si="45">O16*0.5</f>
        <v>0</v>
      </c>
      <c r="AK16" s="28">
        <f t="shared" ref="AK16:AK19" si="46">AI16+AJ16</f>
        <v>0</v>
      </c>
      <c r="AL16" s="25">
        <f t="shared" ref="AL16:AL19" si="47">R16*0.782%</f>
        <v>0</v>
      </c>
      <c r="AM16" s="25">
        <f t="shared" ref="AM16:AM19" si="48">5.925*O16</f>
        <v>0</v>
      </c>
      <c r="AN16" s="25">
        <f t="shared" ref="AN16:AN19" si="49">2.12*O16</f>
        <v>0</v>
      </c>
      <c r="AO16" s="25">
        <f t="shared" ref="AO16:AO19" si="50">0.02*O16</f>
        <v>0</v>
      </c>
    </row>
    <row r="17" spans="1:41" x14ac:dyDescent="0.25">
      <c r="A17" s="3" t="s">
        <v>51</v>
      </c>
      <c r="B17" s="3"/>
      <c r="C17" s="3"/>
      <c r="D17" t="s">
        <v>13</v>
      </c>
      <c r="E17" s="50">
        <v>15</v>
      </c>
      <c r="P17" s="26">
        <f t="shared" si="33"/>
        <v>0</v>
      </c>
      <c r="Q17" s="25">
        <f t="shared" si="34"/>
        <v>0</v>
      </c>
      <c r="R17" s="28">
        <f t="shared" si="35"/>
        <v>0</v>
      </c>
      <c r="S17" s="25">
        <f t="shared" si="36"/>
        <v>0</v>
      </c>
      <c r="T17" s="35">
        <f t="shared" si="37"/>
        <v>0</v>
      </c>
      <c r="U17" s="25"/>
      <c r="V17" s="25"/>
      <c r="W17" s="52">
        <f t="shared" si="38"/>
        <v>0</v>
      </c>
      <c r="X17" s="25"/>
      <c r="Y17" s="25">
        <f t="shared" si="39"/>
        <v>0</v>
      </c>
      <c r="Z17" s="25">
        <f t="shared" si="40"/>
        <v>0</v>
      </c>
      <c r="AA17" s="25"/>
      <c r="AB17" s="25">
        <f>1.85*O17</f>
        <v>0</v>
      </c>
      <c r="AC17" s="25">
        <f t="shared" si="41"/>
        <v>0</v>
      </c>
      <c r="AD17" s="25"/>
      <c r="AE17" s="25"/>
      <c r="AF17" s="25"/>
      <c r="AG17" s="25">
        <f t="shared" si="42"/>
        <v>0</v>
      </c>
      <c r="AH17" s="25">
        <f t="shared" si="43"/>
        <v>0</v>
      </c>
      <c r="AI17" s="25">
        <f t="shared" si="44"/>
        <v>0</v>
      </c>
      <c r="AJ17" s="25">
        <f t="shared" si="45"/>
        <v>0</v>
      </c>
      <c r="AK17" s="28">
        <f t="shared" si="46"/>
        <v>0</v>
      </c>
      <c r="AL17" s="25">
        <f t="shared" si="47"/>
        <v>0</v>
      </c>
      <c r="AM17" s="25">
        <f t="shared" si="48"/>
        <v>0</v>
      </c>
      <c r="AN17" s="25">
        <f t="shared" si="49"/>
        <v>0</v>
      </c>
      <c r="AO17" s="25">
        <f t="shared" si="50"/>
        <v>0</v>
      </c>
    </row>
    <row r="18" spans="1:41" x14ac:dyDescent="0.25">
      <c r="A18" s="54"/>
      <c r="B18" s="54"/>
      <c r="C18" s="3"/>
      <c r="D18" t="s">
        <v>13</v>
      </c>
      <c r="E18" s="50">
        <v>22</v>
      </c>
      <c r="P18" s="26">
        <f t="shared" si="33"/>
        <v>0</v>
      </c>
      <c r="Q18" s="25">
        <f t="shared" si="34"/>
        <v>0</v>
      </c>
      <c r="R18" s="28">
        <f t="shared" si="35"/>
        <v>0</v>
      </c>
      <c r="S18" s="25">
        <f t="shared" si="36"/>
        <v>0</v>
      </c>
      <c r="T18" s="35">
        <f t="shared" si="37"/>
        <v>0</v>
      </c>
      <c r="U18" s="25"/>
      <c r="V18" s="25"/>
      <c r="W18" s="52">
        <f t="shared" si="38"/>
        <v>0</v>
      </c>
      <c r="X18" s="25"/>
      <c r="Y18" s="25">
        <f t="shared" si="39"/>
        <v>0</v>
      </c>
      <c r="Z18" s="25">
        <f t="shared" si="40"/>
        <v>0</v>
      </c>
      <c r="AA18" s="25"/>
      <c r="AB18" s="25">
        <f>1.85*O18</f>
        <v>0</v>
      </c>
      <c r="AC18" s="25">
        <f t="shared" si="41"/>
        <v>0</v>
      </c>
      <c r="AD18" s="25"/>
      <c r="AE18" s="25"/>
      <c r="AF18" s="25"/>
      <c r="AG18" s="25">
        <f t="shared" si="42"/>
        <v>0</v>
      </c>
      <c r="AH18" s="25">
        <f t="shared" si="43"/>
        <v>0</v>
      </c>
      <c r="AI18" s="25">
        <f t="shared" si="44"/>
        <v>0</v>
      </c>
      <c r="AJ18" s="25">
        <f t="shared" si="45"/>
        <v>0</v>
      </c>
      <c r="AK18" s="28">
        <f t="shared" si="46"/>
        <v>0</v>
      </c>
      <c r="AL18" s="25">
        <f t="shared" si="47"/>
        <v>0</v>
      </c>
      <c r="AM18" s="25">
        <f t="shared" si="48"/>
        <v>0</v>
      </c>
      <c r="AN18" s="25">
        <f t="shared" si="49"/>
        <v>0</v>
      </c>
      <c r="AO18" s="25">
        <f t="shared" si="50"/>
        <v>0</v>
      </c>
    </row>
    <row r="19" spans="1:41" x14ac:dyDescent="0.25">
      <c r="A19" s="3" t="s">
        <v>61</v>
      </c>
      <c r="B19" s="3"/>
      <c r="C19" s="4"/>
      <c r="D19" t="s">
        <v>13</v>
      </c>
      <c r="E19" s="50">
        <v>29</v>
      </c>
      <c r="P19" s="26">
        <f t="shared" si="33"/>
        <v>0</v>
      </c>
      <c r="Q19" s="25">
        <f t="shared" si="34"/>
        <v>0</v>
      </c>
      <c r="R19" s="28">
        <f t="shared" si="35"/>
        <v>0</v>
      </c>
      <c r="S19" s="25">
        <f t="shared" si="36"/>
        <v>0</v>
      </c>
      <c r="T19" s="35">
        <f t="shared" si="37"/>
        <v>0</v>
      </c>
      <c r="U19" s="25"/>
      <c r="V19" s="25"/>
      <c r="W19" s="52">
        <f t="shared" si="38"/>
        <v>0</v>
      </c>
      <c r="X19" s="25"/>
      <c r="Y19" s="25">
        <f t="shared" si="39"/>
        <v>0</v>
      </c>
      <c r="Z19" s="25">
        <f t="shared" si="40"/>
        <v>0</v>
      </c>
      <c r="AA19" s="25"/>
      <c r="AB19" s="25">
        <f>1.85*O19</f>
        <v>0</v>
      </c>
      <c r="AC19" s="25">
        <f t="shared" si="41"/>
        <v>0</v>
      </c>
      <c r="AD19" s="25"/>
      <c r="AE19" s="25"/>
      <c r="AF19" s="25"/>
      <c r="AG19" s="25">
        <f t="shared" si="42"/>
        <v>0</v>
      </c>
      <c r="AH19" s="25">
        <f t="shared" si="43"/>
        <v>0</v>
      </c>
      <c r="AI19" s="25">
        <f t="shared" si="44"/>
        <v>0</v>
      </c>
      <c r="AJ19" s="25">
        <f t="shared" si="45"/>
        <v>0</v>
      </c>
      <c r="AK19" s="28">
        <f t="shared" si="46"/>
        <v>0</v>
      </c>
      <c r="AL19" s="25">
        <f t="shared" si="47"/>
        <v>0</v>
      </c>
      <c r="AM19" s="25">
        <f t="shared" si="48"/>
        <v>0</v>
      </c>
      <c r="AN19" s="25">
        <f t="shared" si="49"/>
        <v>0</v>
      </c>
      <c r="AO19" s="25">
        <f t="shared" si="50"/>
        <v>0</v>
      </c>
    </row>
    <row r="20" spans="1:41" x14ac:dyDescent="0.25">
      <c r="A20" s="54"/>
      <c r="B20" s="4"/>
      <c r="C20" s="4"/>
      <c r="D20" s="4" t="s">
        <v>32</v>
      </c>
      <c r="E20" s="51"/>
      <c r="F20" s="4"/>
      <c r="G20" s="4"/>
      <c r="H20" s="4"/>
      <c r="I20" s="4"/>
      <c r="J20" s="4"/>
      <c r="K20" s="4"/>
      <c r="L20" s="4"/>
      <c r="M20" s="4"/>
      <c r="N20" s="4"/>
      <c r="O20" s="13">
        <f>SUM(O15:O19)</f>
        <v>0</v>
      </c>
      <c r="P20" s="13">
        <f>SUM(P15:P19)</f>
        <v>0</v>
      </c>
      <c r="Q20" s="13">
        <f>SUM(Q15:Q19)</f>
        <v>0</v>
      </c>
      <c r="R20" s="29">
        <f>SUM(R15:R19)</f>
        <v>0</v>
      </c>
      <c r="S20" s="13">
        <f t="shared" ref="S20:AO20" si="51">SUM(S15:S19)</f>
        <v>0</v>
      </c>
      <c r="T20" s="36">
        <f t="shared" si="51"/>
        <v>0</v>
      </c>
      <c r="U20" s="13">
        <f t="shared" si="51"/>
        <v>0</v>
      </c>
      <c r="V20" s="13">
        <f t="shared" si="51"/>
        <v>0</v>
      </c>
      <c r="W20" s="13">
        <f t="shared" si="51"/>
        <v>0</v>
      </c>
      <c r="X20" s="13">
        <f t="shared" si="51"/>
        <v>0</v>
      </c>
      <c r="Y20" s="13">
        <f t="shared" si="51"/>
        <v>0</v>
      </c>
      <c r="Z20" s="13">
        <f t="shared" si="51"/>
        <v>0</v>
      </c>
      <c r="AA20" s="13">
        <f t="shared" si="51"/>
        <v>0</v>
      </c>
      <c r="AB20" s="13">
        <f t="shared" si="51"/>
        <v>0</v>
      </c>
      <c r="AC20" s="13">
        <f t="shared" si="51"/>
        <v>0</v>
      </c>
      <c r="AD20" s="13">
        <f t="shared" si="51"/>
        <v>0</v>
      </c>
      <c r="AE20" s="13">
        <f t="shared" si="51"/>
        <v>0</v>
      </c>
      <c r="AF20" s="13">
        <f t="shared" si="51"/>
        <v>0</v>
      </c>
      <c r="AG20" s="13">
        <f t="shared" si="51"/>
        <v>0</v>
      </c>
      <c r="AH20" s="13">
        <f t="shared" si="51"/>
        <v>0</v>
      </c>
      <c r="AI20" s="13">
        <f t="shared" si="51"/>
        <v>0</v>
      </c>
      <c r="AJ20" s="13">
        <f t="shared" si="51"/>
        <v>0</v>
      </c>
      <c r="AK20" s="29">
        <f t="shared" si="51"/>
        <v>0</v>
      </c>
      <c r="AL20" s="13">
        <f t="shared" si="51"/>
        <v>0</v>
      </c>
      <c r="AM20" s="13">
        <f t="shared" si="51"/>
        <v>0</v>
      </c>
      <c r="AN20" s="13">
        <f t="shared" si="51"/>
        <v>0</v>
      </c>
      <c r="AO20" s="13">
        <f t="shared" si="51"/>
        <v>0</v>
      </c>
    </row>
    <row r="21" spans="1:41" x14ac:dyDescent="0.25">
      <c r="A21" s="3" t="s">
        <v>147</v>
      </c>
      <c r="E21" s="50"/>
      <c r="P21" s="25"/>
      <c r="Q21" s="25"/>
      <c r="R21" s="28"/>
      <c r="S21" s="25"/>
      <c r="T21" s="35"/>
      <c r="U21" s="25"/>
      <c r="V21" s="25"/>
      <c r="W21" s="52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8"/>
      <c r="AL21" s="25"/>
    </row>
    <row r="22" spans="1:41" x14ac:dyDescent="0.25">
      <c r="D22" t="s">
        <v>14</v>
      </c>
      <c r="E22" s="50"/>
      <c r="O22">
        <v>0</v>
      </c>
      <c r="P22" s="25">
        <f>30.51*O22</f>
        <v>0</v>
      </c>
      <c r="Q22" s="25">
        <f>P22*13%</f>
        <v>0</v>
      </c>
      <c r="R22" s="28">
        <f>P22+Q22</f>
        <v>0</v>
      </c>
      <c r="S22" s="25">
        <f>1.879*O22</f>
        <v>0</v>
      </c>
      <c r="T22" s="35">
        <f>R22+S22</f>
        <v>0</v>
      </c>
      <c r="U22" s="25"/>
      <c r="V22" s="25"/>
      <c r="W22" s="52"/>
      <c r="X22" s="25"/>
      <c r="Y22" s="25">
        <f>R22*0.537%</f>
        <v>0</v>
      </c>
      <c r="Z22" s="25">
        <f>R22*0.75%</f>
        <v>0</v>
      </c>
      <c r="AA22" s="25"/>
      <c r="AB22" s="25">
        <f>1.7*O22</f>
        <v>0</v>
      </c>
      <c r="AC22" s="25">
        <f>R22-Z22-AA22-AB22</f>
        <v>0</v>
      </c>
      <c r="AD22" s="25"/>
      <c r="AE22" s="25">
        <f>T22-AB22</f>
        <v>0</v>
      </c>
      <c r="AF22" s="25"/>
      <c r="AG22" s="25">
        <f>Q22</f>
        <v>0</v>
      </c>
      <c r="AH22" s="25">
        <f>SUM(AD22+AF22+U22+W22+Y22+Z22+AA22+AB22+AG22)</f>
        <v>0</v>
      </c>
      <c r="AI22" s="25">
        <f>R22-AH22</f>
        <v>0</v>
      </c>
      <c r="AJ22" s="25">
        <f>O22*0.6</f>
        <v>0</v>
      </c>
      <c r="AK22" s="28">
        <f>AI22+AJ22</f>
        <v>0</v>
      </c>
      <c r="AL22" s="25">
        <f>R22*0.752%</f>
        <v>0</v>
      </c>
    </row>
    <row r="23" spans="1:41" x14ac:dyDescent="0.25">
      <c r="A23" s="4" t="s">
        <v>2</v>
      </c>
      <c r="B23" s="12"/>
      <c r="D23" t="s">
        <v>14</v>
      </c>
      <c r="E23" s="50">
        <v>5</v>
      </c>
      <c r="P23" s="25">
        <f>32.42*O23</f>
        <v>0</v>
      </c>
      <c r="Q23" s="25">
        <f t="shared" ref="Q23:Q26" si="52">P23*13%</f>
        <v>0</v>
      </c>
      <c r="R23" s="28">
        <f t="shared" ref="R23:R26" si="53">P23+Q23</f>
        <v>0</v>
      </c>
      <c r="S23" s="25">
        <f>2.047*O23</f>
        <v>0</v>
      </c>
      <c r="T23" s="35">
        <f t="shared" ref="T23:T26" si="54">R23+S23</f>
        <v>0</v>
      </c>
      <c r="U23" s="25"/>
      <c r="V23" s="25"/>
      <c r="W23" s="52">
        <f>R23*1.47%</f>
        <v>0</v>
      </c>
      <c r="X23" s="25"/>
      <c r="Y23" s="25">
        <f>R23*0.559%</f>
        <v>0</v>
      </c>
      <c r="Z23" s="25">
        <f t="shared" ref="Z23:Z26" si="55">R23*0.75%</f>
        <v>0</v>
      </c>
      <c r="AA23" s="25"/>
      <c r="AB23" s="25">
        <f>1.85*O23</f>
        <v>0</v>
      </c>
      <c r="AC23" s="25">
        <f t="shared" ref="AC23:AC26" si="56">R23-Z23-AA23-AB23</f>
        <v>0</v>
      </c>
      <c r="AD23" s="25"/>
      <c r="AE23" s="25"/>
      <c r="AF23" s="25"/>
      <c r="AG23" s="25">
        <f t="shared" ref="AG23:AG26" si="57">Q23</f>
        <v>0</v>
      </c>
      <c r="AH23" s="25">
        <f t="shared" ref="AH23:AH26" si="58">SUM(AD23+AF23+U23+W23+Y23+Z23+AA23+AB23+AG23)</f>
        <v>0</v>
      </c>
      <c r="AI23" s="25">
        <f t="shared" ref="AI23:AI26" si="59">R23-AH23</f>
        <v>0</v>
      </c>
      <c r="AJ23" s="25">
        <f>O23*0.5</f>
        <v>0</v>
      </c>
      <c r="AK23" s="28">
        <f t="shared" ref="AK23:AK26" si="60">AI23+AJ23</f>
        <v>0</v>
      </c>
      <c r="AL23" s="25">
        <f>R23*0.782%</f>
        <v>0</v>
      </c>
      <c r="AM23" s="25">
        <f>5.925*O23</f>
        <v>0</v>
      </c>
      <c r="AN23">
        <f>2.12*O23</f>
        <v>0</v>
      </c>
      <c r="AO23">
        <f>0.02*O23</f>
        <v>0</v>
      </c>
    </row>
    <row r="24" spans="1:41" x14ac:dyDescent="0.25">
      <c r="D24" t="s">
        <v>14</v>
      </c>
      <c r="E24" s="50">
        <v>12</v>
      </c>
      <c r="P24" s="25">
        <f t="shared" ref="P24:P26" si="61">32.42*O24</f>
        <v>0</v>
      </c>
      <c r="Q24" s="25">
        <f t="shared" si="52"/>
        <v>0</v>
      </c>
      <c r="R24" s="28">
        <f t="shared" si="53"/>
        <v>0</v>
      </c>
      <c r="S24" s="25">
        <f t="shared" ref="S24:S26" si="62">2.047*O24</f>
        <v>0</v>
      </c>
      <c r="T24" s="35">
        <f t="shared" si="54"/>
        <v>0</v>
      </c>
      <c r="U24" s="25"/>
      <c r="V24" s="25"/>
      <c r="W24" s="52">
        <f>R24*1.47%</f>
        <v>0</v>
      </c>
      <c r="X24" s="25"/>
      <c r="Y24" s="25">
        <f t="shared" ref="Y24:Y25" si="63">R24*0.559%</f>
        <v>0</v>
      </c>
      <c r="Z24" s="25">
        <f t="shared" si="55"/>
        <v>0</v>
      </c>
      <c r="AA24" s="25"/>
      <c r="AB24" s="25">
        <f t="shared" ref="AB24:AB25" si="64">1.85*O24</f>
        <v>0</v>
      </c>
      <c r="AC24" s="25">
        <f t="shared" si="56"/>
        <v>0</v>
      </c>
      <c r="AD24" s="25"/>
      <c r="AE24" s="25"/>
      <c r="AF24" s="25"/>
      <c r="AG24" s="25">
        <f t="shared" si="57"/>
        <v>0</v>
      </c>
      <c r="AH24" s="25">
        <f t="shared" si="58"/>
        <v>0</v>
      </c>
      <c r="AI24" s="25">
        <f t="shared" si="59"/>
        <v>0</v>
      </c>
      <c r="AJ24" s="25">
        <f t="shared" ref="AJ24:AJ25" si="65">O24*0.5</f>
        <v>0</v>
      </c>
      <c r="AK24" s="28">
        <f t="shared" si="60"/>
        <v>0</v>
      </c>
      <c r="AL24" s="25">
        <f t="shared" ref="AL24:AL25" si="66">R24*0.782%</f>
        <v>0</v>
      </c>
      <c r="AM24" s="25">
        <f t="shared" ref="AM24:AM26" si="67">5.925*O24</f>
        <v>0</v>
      </c>
      <c r="AN24">
        <f t="shared" ref="AN24:AN26" si="68">2.12*O24</f>
        <v>0</v>
      </c>
      <c r="AO24">
        <f t="shared" ref="AO24:AO26" si="69">0.02*O24</f>
        <v>0</v>
      </c>
    </row>
    <row r="25" spans="1:41" x14ac:dyDescent="0.25">
      <c r="A25" s="4" t="s">
        <v>138</v>
      </c>
      <c r="D25" t="s">
        <v>14</v>
      </c>
      <c r="E25" s="50">
        <v>19</v>
      </c>
      <c r="O25">
        <v>0</v>
      </c>
      <c r="P25" s="25">
        <f t="shared" si="61"/>
        <v>0</v>
      </c>
      <c r="Q25" s="25">
        <f t="shared" si="52"/>
        <v>0</v>
      </c>
      <c r="R25" s="28">
        <f t="shared" si="53"/>
        <v>0</v>
      </c>
      <c r="S25" s="25">
        <f t="shared" si="62"/>
        <v>0</v>
      </c>
      <c r="T25" s="35">
        <f t="shared" si="54"/>
        <v>0</v>
      </c>
      <c r="U25" s="25"/>
      <c r="V25" s="25"/>
      <c r="W25" s="52"/>
      <c r="X25" s="25"/>
      <c r="Y25" s="25">
        <f t="shared" si="63"/>
        <v>0</v>
      </c>
      <c r="Z25" s="25">
        <f t="shared" si="55"/>
        <v>0</v>
      </c>
      <c r="AA25" s="25"/>
      <c r="AB25" s="25">
        <f t="shared" si="64"/>
        <v>0</v>
      </c>
      <c r="AC25" s="25">
        <f t="shared" si="56"/>
        <v>0</v>
      </c>
      <c r="AD25" s="25"/>
      <c r="AE25" s="25">
        <f t="shared" ref="AE25:AE26" si="70">T25-AB25</f>
        <v>0</v>
      </c>
      <c r="AF25" s="25"/>
      <c r="AG25" s="25">
        <f t="shared" si="57"/>
        <v>0</v>
      </c>
      <c r="AH25" s="25">
        <f t="shared" si="58"/>
        <v>0</v>
      </c>
      <c r="AI25" s="25">
        <f t="shared" si="59"/>
        <v>0</v>
      </c>
      <c r="AJ25" s="25">
        <f t="shared" si="65"/>
        <v>0</v>
      </c>
      <c r="AK25" s="28">
        <f t="shared" si="60"/>
        <v>0</v>
      </c>
      <c r="AL25" s="25">
        <f t="shared" si="66"/>
        <v>0</v>
      </c>
      <c r="AM25" s="25">
        <f t="shared" si="67"/>
        <v>0</v>
      </c>
      <c r="AN25">
        <f t="shared" si="68"/>
        <v>0</v>
      </c>
      <c r="AO25">
        <f t="shared" si="69"/>
        <v>0</v>
      </c>
    </row>
    <row r="26" spans="1:41" x14ac:dyDescent="0.25">
      <c r="A26" s="53" t="s">
        <v>146</v>
      </c>
      <c r="D26" t="s">
        <v>14</v>
      </c>
      <c r="E26" s="50">
        <v>26</v>
      </c>
      <c r="O26">
        <v>0</v>
      </c>
      <c r="P26" s="25">
        <f t="shared" si="61"/>
        <v>0</v>
      </c>
      <c r="Q26" s="25">
        <f t="shared" si="52"/>
        <v>0</v>
      </c>
      <c r="R26" s="28">
        <f t="shared" si="53"/>
        <v>0</v>
      </c>
      <c r="S26" s="25">
        <f t="shared" si="62"/>
        <v>0</v>
      </c>
      <c r="T26" s="35">
        <f t="shared" si="54"/>
        <v>0</v>
      </c>
      <c r="U26" s="25"/>
      <c r="V26" s="25"/>
      <c r="W26" s="52"/>
      <c r="X26" s="25"/>
      <c r="Y26" s="25">
        <f t="shared" ref="Y26" si="71">R26*0.537%</f>
        <v>0</v>
      </c>
      <c r="Z26" s="25">
        <f t="shared" si="55"/>
        <v>0</v>
      </c>
      <c r="AA26" s="25"/>
      <c r="AB26" s="25">
        <f t="shared" ref="AB26" si="72">1.7*O26</f>
        <v>0</v>
      </c>
      <c r="AC26" s="25">
        <f t="shared" si="56"/>
        <v>0</v>
      </c>
      <c r="AD26" s="25"/>
      <c r="AE26" s="25">
        <f t="shared" si="70"/>
        <v>0</v>
      </c>
      <c r="AF26" s="25"/>
      <c r="AG26" s="25">
        <f t="shared" si="57"/>
        <v>0</v>
      </c>
      <c r="AH26" s="25">
        <f t="shared" si="58"/>
        <v>0</v>
      </c>
      <c r="AI26" s="25">
        <f t="shared" si="59"/>
        <v>0</v>
      </c>
      <c r="AJ26" s="25">
        <f t="shared" ref="AJ26" si="73">O26*0.6</f>
        <v>0</v>
      </c>
      <c r="AK26" s="28">
        <f t="shared" si="60"/>
        <v>0</v>
      </c>
      <c r="AL26" s="25">
        <f t="shared" ref="AL26" si="74">R26*0.752%</f>
        <v>0</v>
      </c>
      <c r="AM26" s="25">
        <f t="shared" si="67"/>
        <v>0</v>
      </c>
      <c r="AN26">
        <f t="shared" si="68"/>
        <v>0</v>
      </c>
      <c r="AO26">
        <f t="shared" si="69"/>
        <v>0</v>
      </c>
    </row>
    <row r="27" spans="1:41" x14ac:dyDescent="0.25">
      <c r="A27" s="18" t="s">
        <v>167</v>
      </c>
      <c r="B27" s="4"/>
      <c r="C27" s="4"/>
      <c r="D27" s="4" t="s">
        <v>33</v>
      </c>
      <c r="E27" s="51"/>
      <c r="F27" s="4"/>
      <c r="G27" s="4"/>
      <c r="H27" s="4"/>
      <c r="I27" s="4"/>
      <c r="J27" s="4"/>
      <c r="K27" s="4"/>
      <c r="L27" s="4"/>
      <c r="M27" s="4"/>
      <c r="N27" s="4"/>
      <c r="O27" s="4">
        <f>SUM(O22:O26)</f>
        <v>0</v>
      </c>
      <c r="P27" s="13">
        <f>SUM(P22:P26)</f>
        <v>0</v>
      </c>
      <c r="Q27" s="13">
        <f>SUM(Q22:Q26)</f>
        <v>0</v>
      </c>
      <c r="R27" s="29">
        <f>SUM(R22:R26)</f>
        <v>0</v>
      </c>
      <c r="S27" s="13">
        <f t="shared" ref="S27:AO27" si="75">SUM(S22:S26)</f>
        <v>0</v>
      </c>
      <c r="T27" s="36">
        <f t="shared" si="75"/>
        <v>0</v>
      </c>
      <c r="U27" s="13">
        <f t="shared" si="75"/>
        <v>0</v>
      </c>
      <c r="V27" s="13">
        <f t="shared" si="75"/>
        <v>0</v>
      </c>
      <c r="W27" s="13">
        <f t="shared" si="75"/>
        <v>0</v>
      </c>
      <c r="X27" s="13">
        <f t="shared" si="75"/>
        <v>0</v>
      </c>
      <c r="Y27" s="13">
        <f t="shared" si="75"/>
        <v>0</v>
      </c>
      <c r="Z27" s="13">
        <f t="shared" si="75"/>
        <v>0</v>
      </c>
      <c r="AA27" s="13">
        <f t="shared" si="75"/>
        <v>0</v>
      </c>
      <c r="AB27" s="13">
        <f t="shared" si="75"/>
        <v>0</v>
      </c>
      <c r="AC27" s="13">
        <f t="shared" si="75"/>
        <v>0</v>
      </c>
      <c r="AD27" s="13">
        <f t="shared" si="75"/>
        <v>0</v>
      </c>
      <c r="AE27" s="13">
        <f t="shared" si="75"/>
        <v>0</v>
      </c>
      <c r="AF27" s="13">
        <f t="shared" si="75"/>
        <v>0</v>
      </c>
      <c r="AG27" s="13">
        <f t="shared" si="75"/>
        <v>0</v>
      </c>
      <c r="AH27" s="13">
        <f t="shared" si="75"/>
        <v>0</v>
      </c>
      <c r="AI27" s="13">
        <f>SUM(AI22:AI26)</f>
        <v>0</v>
      </c>
      <c r="AJ27" s="13">
        <f t="shared" si="75"/>
        <v>0</v>
      </c>
      <c r="AK27" s="29">
        <f t="shared" si="75"/>
        <v>0</v>
      </c>
      <c r="AL27" s="13">
        <f t="shared" si="75"/>
        <v>0</v>
      </c>
      <c r="AM27" s="13">
        <f t="shared" si="75"/>
        <v>0</v>
      </c>
      <c r="AN27" s="13">
        <f t="shared" si="75"/>
        <v>0</v>
      </c>
      <c r="AO27" s="13">
        <f t="shared" si="75"/>
        <v>0</v>
      </c>
    </row>
    <row r="28" spans="1:41" x14ac:dyDescent="0.25">
      <c r="A28" t="s">
        <v>159</v>
      </c>
      <c r="E28" s="50"/>
      <c r="P28" s="25"/>
      <c r="Q28" s="25"/>
      <c r="R28" s="28"/>
      <c r="S28" s="25"/>
      <c r="T28" s="35"/>
      <c r="U28" s="25"/>
      <c r="V28" s="25"/>
      <c r="W28" s="52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8"/>
      <c r="AL28" s="25"/>
    </row>
    <row r="29" spans="1:41" x14ac:dyDescent="0.25">
      <c r="D29" t="s">
        <v>15</v>
      </c>
      <c r="E29" s="50">
        <v>3</v>
      </c>
      <c r="O29">
        <v>0</v>
      </c>
      <c r="P29" s="25">
        <f>30.51*O29</f>
        <v>0</v>
      </c>
      <c r="Q29" s="25">
        <f>P29*13%</f>
        <v>0</v>
      </c>
      <c r="R29" s="28">
        <f>P29+Q29</f>
        <v>0</v>
      </c>
      <c r="S29" s="25">
        <f>O29*1.879</f>
        <v>0</v>
      </c>
      <c r="T29" s="35">
        <f>R29+S29</f>
        <v>0</v>
      </c>
      <c r="U29" s="25"/>
      <c r="V29" s="25"/>
      <c r="W29" s="52"/>
      <c r="X29" s="25"/>
      <c r="Y29" s="25">
        <f>R29*0.537%</f>
        <v>0</v>
      </c>
      <c r="Z29" s="25">
        <f>R29*0.75%</f>
        <v>0</v>
      </c>
      <c r="AA29" s="25"/>
      <c r="AB29" s="25">
        <f>1.7*O29</f>
        <v>0</v>
      </c>
      <c r="AC29" s="25">
        <f>R29-Z29-AA29-AB29</f>
        <v>0</v>
      </c>
      <c r="AD29" s="25"/>
      <c r="AE29" s="25">
        <f>T29-AB29</f>
        <v>0</v>
      </c>
      <c r="AF29" s="25"/>
      <c r="AG29" s="25">
        <f>Q29</f>
        <v>0</v>
      </c>
      <c r="AH29" s="25">
        <f>SUM(AD29+AF29+U29+W29+Y29+Z29+AA29+AB29+AG29)</f>
        <v>0</v>
      </c>
      <c r="AI29" s="25">
        <f>R29-AH29</f>
        <v>0</v>
      </c>
      <c r="AJ29" s="25">
        <f>O29*0.6</f>
        <v>0</v>
      </c>
      <c r="AK29" s="28">
        <f>AI29+AJ29</f>
        <v>0</v>
      </c>
      <c r="AL29" s="25">
        <f>R29*0.752%</f>
        <v>0</v>
      </c>
    </row>
    <row r="30" spans="1:41" x14ac:dyDescent="0.25">
      <c r="D30" t="s">
        <v>15</v>
      </c>
      <c r="E30" s="50">
        <v>10</v>
      </c>
      <c r="O30">
        <v>0</v>
      </c>
      <c r="P30" s="25">
        <f t="shared" ref="P30:P33" si="76">30.51*O30</f>
        <v>0</v>
      </c>
      <c r="Q30" s="25">
        <f t="shared" ref="Q30:Q33" si="77">P30*13%</f>
        <v>0</v>
      </c>
      <c r="R30" s="28">
        <f t="shared" ref="R30:R33" si="78">P30+Q30</f>
        <v>0</v>
      </c>
      <c r="S30" s="25">
        <f t="shared" ref="S30:S33" si="79">O30*1.879</f>
        <v>0</v>
      </c>
      <c r="T30" s="35">
        <f t="shared" ref="T30:T33" si="80">R30+S30</f>
        <v>0</v>
      </c>
      <c r="U30" s="25"/>
      <c r="V30" s="25"/>
      <c r="W30" s="52"/>
      <c r="X30" s="25"/>
      <c r="Y30" s="25">
        <f t="shared" ref="Y30:Y33" si="81">R30*0.537%</f>
        <v>0</v>
      </c>
      <c r="Z30" s="25">
        <f t="shared" ref="Z30:Z33" si="82">R30*0.75%</f>
        <v>0</v>
      </c>
      <c r="AA30" s="25"/>
      <c r="AB30" s="25">
        <f t="shared" ref="AB30:AB33" si="83">1.7*O30</f>
        <v>0</v>
      </c>
      <c r="AC30" s="25">
        <f t="shared" ref="AC30:AC33" si="84">R30-Z30-AA30-AB30</f>
        <v>0</v>
      </c>
      <c r="AD30" s="25"/>
      <c r="AE30" s="25">
        <f t="shared" ref="AE30:AE33" si="85">T30-AB30</f>
        <v>0</v>
      </c>
      <c r="AF30" s="25"/>
      <c r="AG30" s="25">
        <f t="shared" ref="AG30:AG33" si="86">Q30</f>
        <v>0</v>
      </c>
      <c r="AH30" s="25">
        <f t="shared" ref="AH30:AH33" si="87">SUM(AD30+AF30+U30+W30+Y30+Z30+AA30+AB30+AG30)</f>
        <v>0</v>
      </c>
      <c r="AI30" s="25">
        <f t="shared" ref="AI30:AI33" si="88">R30-AH30</f>
        <v>0</v>
      </c>
      <c r="AJ30" s="25">
        <f t="shared" ref="AJ30:AJ33" si="89">O30*0.6</f>
        <v>0</v>
      </c>
      <c r="AK30" s="28">
        <f t="shared" ref="AK30:AK33" si="90">AI30+AJ30</f>
        <v>0</v>
      </c>
      <c r="AL30" s="25">
        <f t="shared" ref="AL30:AL33" si="91">R30*0.752%</f>
        <v>0</v>
      </c>
    </row>
    <row r="31" spans="1:41" x14ac:dyDescent="0.25">
      <c r="D31" t="s">
        <v>15</v>
      </c>
      <c r="E31" s="50">
        <v>17</v>
      </c>
      <c r="O31">
        <v>0</v>
      </c>
      <c r="P31" s="25">
        <f t="shared" si="76"/>
        <v>0</v>
      </c>
      <c r="Q31" s="25">
        <f t="shared" si="77"/>
        <v>0</v>
      </c>
      <c r="R31" s="28">
        <f t="shared" si="78"/>
        <v>0</v>
      </c>
      <c r="S31" s="25">
        <f t="shared" si="79"/>
        <v>0</v>
      </c>
      <c r="T31" s="35">
        <f t="shared" si="80"/>
        <v>0</v>
      </c>
      <c r="U31" s="25"/>
      <c r="V31" s="25"/>
      <c r="W31" s="52"/>
      <c r="X31" s="25"/>
      <c r="Y31" s="25">
        <f t="shared" si="81"/>
        <v>0</v>
      </c>
      <c r="Z31" s="25">
        <f t="shared" si="82"/>
        <v>0</v>
      </c>
      <c r="AA31" s="25"/>
      <c r="AB31" s="25">
        <f t="shared" si="83"/>
        <v>0</v>
      </c>
      <c r="AC31" s="25">
        <f t="shared" si="84"/>
        <v>0</v>
      </c>
      <c r="AD31" s="25"/>
      <c r="AE31" s="25">
        <f t="shared" si="85"/>
        <v>0</v>
      </c>
      <c r="AF31" s="25"/>
      <c r="AG31" s="25">
        <f t="shared" si="86"/>
        <v>0</v>
      </c>
      <c r="AH31" s="25">
        <f t="shared" si="87"/>
        <v>0</v>
      </c>
      <c r="AI31" s="25">
        <f t="shared" si="88"/>
        <v>0</v>
      </c>
      <c r="AJ31" s="25">
        <f t="shared" si="89"/>
        <v>0</v>
      </c>
      <c r="AK31" s="28">
        <f t="shared" si="90"/>
        <v>0</v>
      </c>
      <c r="AL31" s="25">
        <f t="shared" si="91"/>
        <v>0</v>
      </c>
    </row>
    <row r="32" spans="1:41" x14ac:dyDescent="0.25">
      <c r="D32" t="s">
        <v>15</v>
      </c>
      <c r="E32" s="50">
        <v>24</v>
      </c>
      <c r="O32">
        <v>0</v>
      </c>
      <c r="P32" s="25">
        <f t="shared" si="76"/>
        <v>0</v>
      </c>
      <c r="Q32" s="25">
        <f t="shared" si="77"/>
        <v>0</v>
      </c>
      <c r="R32" s="28">
        <f t="shared" si="78"/>
        <v>0</v>
      </c>
      <c r="S32" s="25">
        <f>O32*1.879</f>
        <v>0</v>
      </c>
      <c r="T32" s="35">
        <f t="shared" si="80"/>
        <v>0</v>
      </c>
      <c r="U32" s="25"/>
      <c r="V32" s="25"/>
      <c r="W32" s="52"/>
      <c r="X32" s="25"/>
      <c r="Y32" s="25">
        <f t="shared" si="81"/>
        <v>0</v>
      </c>
      <c r="Z32" s="25">
        <f t="shared" si="82"/>
        <v>0</v>
      </c>
      <c r="AA32" s="25"/>
      <c r="AB32" s="25">
        <f t="shared" si="83"/>
        <v>0</v>
      </c>
      <c r="AC32" s="25">
        <f t="shared" si="84"/>
        <v>0</v>
      </c>
      <c r="AD32" s="25"/>
      <c r="AE32" s="25">
        <f t="shared" si="85"/>
        <v>0</v>
      </c>
      <c r="AF32" s="25"/>
      <c r="AG32" s="25">
        <f t="shared" si="86"/>
        <v>0</v>
      </c>
      <c r="AH32" s="25">
        <f t="shared" si="87"/>
        <v>0</v>
      </c>
      <c r="AI32" s="25">
        <f t="shared" si="88"/>
        <v>0</v>
      </c>
      <c r="AJ32" s="25">
        <f t="shared" si="89"/>
        <v>0</v>
      </c>
      <c r="AK32" s="28">
        <f t="shared" si="90"/>
        <v>0</v>
      </c>
      <c r="AL32" s="25">
        <f t="shared" si="91"/>
        <v>0</v>
      </c>
    </row>
    <row r="33" spans="1:38" x14ac:dyDescent="0.25">
      <c r="D33" t="s">
        <v>15</v>
      </c>
      <c r="E33" s="50">
        <v>31</v>
      </c>
      <c r="O33">
        <v>0</v>
      </c>
      <c r="P33" s="25">
        <f t="shared" si="76"/>
        <v>0</v>
      </c>
      <c r="Q33" s="25">
        <f t="shared" si="77"/>
        <v>0</v>
      </c>
      <c r="R33" s="28">
        <f t="shared" si="78"/>
        <v>0</v>
      </c>
      <c r="S33" s="25">
        <f t="shared" si="79"/>
        <v>0</v>
      </c>
      <c r="T33" s="35">
        <f t="shared" si="80"/>
        <v>0</v>
      </c>
      <c r="U33" s="25"/>
      <c r="V33" s="25"/>
      <c r="W33" s="52"/>
      <c r="X33" s="25"/>
      <c r="Y33" s="25">
        <f t="shared" si="81"/>
        <v>0</v>
      </c>
      <c r="Z33" s="25">
        <f t="shared" si="82"/>
        <v>0</v>
      </c>
      <c r="AA33" s="25"/>
      <c r="AB33" s="25">
        <f t="shared" si="83"/>
        <v>0</v>
      </c>
      <c r="AC33" s="25">
        <f t="shared" si="84"/>
        <v>0</v>
      </c>
      <c r="AD33" s="25"/>
      <c r="AE33" s="25">
        <f t="shared" si="85"/>
        <v>0</v>
      </c>
      <c r="AF33" s="25"/>
      <c r="AG33" s="25">
        <f t="shared" si="86"/>
        <v>0</v>
      </c>
      <c r="AH33" s="25">
        <f t="shared" si="87"/>
        <v>0</v>
      </c>
      <c r="AI33" s="25">
        <f t="shared" si="88"/>
        <v>0</v>
      </c>
      <c r="AJ33" s="25">
        <f t="shared" si="89"/>
        <v>0</v>
      </c>
      <c r="AK33" s="28">
        <f t="shared" si="90"/>
        <v>0</v>
      </c>
      <c r="AL33" s="25">
        <f t="shared" si="91"/>
        <v>0</v>
      </c>
    </row>
    <row r="34" spans="1:38" x14ac:dyDescent="0.25">
      <c r="A34" s="4"/>
      <c r="B34" s="4"/>
      <c r="C34" s="4"/>
      <c r="D34" s="4" t="s">
        <v>33</v>
      </c>
      <c r="E34" s="51"/>
      <c r="F34" s="4"/>
      <c r="G34" s="4"/>
      <c r="H34" s="4"/>
      <c r="I34" s="4"/>
      <c r="J34" s="4"/>
      <c r="K34" s="4"/>
      <c r="L34" s="4"/>
      <c r="M34" s="4"/>
      <c r="N34" s="4"/>
      <c r="O34" s="4">
        <f>SUM(O29:O33)</f>
        <v>0</v>
      </c>
      <c r="P34" s="13">
        <f>SUM(P29:P33)</f>
        <v>0</v>
      </c>
      <c r="Q34" s="13">
        <f>SUM(Q29:Q33)</f>
        <v>0</v>
      </c>
      <c r="R34" s="29">
        <f>SUM(R29:R33)</f>
        <v>0</v>
      </c>
      <c r="S34" s="13">
        <f t="shared" ref="S34:AL34" si="92">SUM(S29:S33)</f>
        <v>0</v>
      </c>
      <c r="T34" s="36">
        <f t="shared" si="92"/>
        <v>0</v>
      </c>
      <c r="U34" s="13">
        <f t="shared" si="92"/>
        <v>0</v>
      </c>
      <c r="V34" s="13">
        <f t="shared" si="92"/>
        <v>0</v>
      </c>
      <c r="W34" s="13">
        <f t="shared" si="92"/>
        <v>0</v>
      </c>
      <c r="X34" s="13">
        <f t="shared" si="92"/>
        <v>0</v>
      </c>
      <c r="Y34" s="13">
        <f t="shared" si="92"/>
        <v>0</v>
      </c>
      <c r="Z34" s="13">
        <f t="shared" si="92"/>
        <v>0</v>
      </c>
      <c r="AA34" s="13">
        <f t="shared" si="92"/>
        <v>0</v>
      </c>
      <c r="AB34" s="13">
        <f t="shared" si="92"/>
        <v>0</v>
      </c>
      <c r="AC34" s="13">
        <f t="shared" si="92"/>
        <v>0</v>
      </c>
      <c r="AD34" s="13">
        <f t="shared" si="92"/>
        <v>0</v>
      </c>
      <c r="AE34" s="13">
        <f t="shared" si="92"/>
        <v>0</v>
      </c>
      <c r="AF34" s="13">
        <f t="shared" si="92"/>
        <v>0</v>
      </c>
      <c r="AG34" s="13">
        <f t="shared" si="92"/>
        <v>0</v>
      </c>
      <c r="AH34" s="13">
        <f t="shared" si="92"/>
        <v>0</v>
      </c>
      <c r="AI34" s="13">
        <f>SUM(AI29:AI33)</f>
        <v>0</v>
      </c>
      <c r="AJ34" s="13">
        <f t="shared" si="92"/>
        <v>0</v>
      </c>
      <c r="AK34" s="29">
        <f t="shared" si="92"/>
        <v>0</v>
      </c>
      <c r="AL34" s="13">
        <f t="shared" si="92"/>
        <v>0</v>
      </c>
    </row>
    <row r="35" spans="1:38" x14ac:dyDescent="0.25">
      <c r="E35" s="50"/>
      <c r="P35" s="25"/>
      <c r="Q35" s="25"/>
      <c r="R35" s="28"/>
      <c r="S35" s="25"/>
      <c r="T35" s="35"/>
      <c r="U35" s="25"/>
      <c r="V35" s="25"/>
      <c r="W35" s="52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8"/>
      <c r="AL35" s="25"/>
    </row>
    <row r="36" spans="1:38" x14ac:dyDescent="0.25">
      <c r="D36" t="s">
        <v>16</v>
      </c>
      <c r="E36" s="50">
        <v>7</v>
      </c>
      <c r="O36">
        <v>0</v>
      </c>
      <c r="P36" s="25">
        <f>30.51*O36</f>
        <v>0</v>
      </c>
      <c r="Q36" s="25">
        <f>P36*13%</f>
        <v>0</v>
      </c>
      <c r="R36" s="28">
        <f>P36+Q36</f>
        <v>0</v>
      </c>
      <c r="S36" s="25">
        <f>O36*1.879</f>
        <v>0</v>
      </c>
      <c r="T36" s="35">
        <f>R36+S36</f>
        <v>0</v>
      </c>
      <c r="U36" s="25"/>
      <c r="V36" s="25"/>
      <c r="W36" s="52"/>
      <c r="X36" s="25"/>
      <c r="Y36" s="25">
        <f>R36*0.537%</f>
        <v>0</v>
      </c>
      <c r="Z36" s="25">
        <f>R36*0.75%</f>
        <v>0</v>
      </c>
      <c r="AA36" s="26"/>
      <c r="AB36" s="26">
        <f>1.7*O36</f>
        <v>0</v>
      </c>
      <c r="AC36" s="25">
        <f>R36-Z36-AA36-AB36</f>
        <v>0</v>
      </c>
      <c r="AD36" s="25"/>
      <c r="AE36" s="25">
        <f>T36-AB36</f>
        <v>0</v>
      </c>
      <c r="AF36" s="25"/>
      <c r="AG36" s="25">
        <f>Q36</f>
        <v>0</v>
      </c>
      <c r="AH36" s="25">
        <f>SUM(AD36+AF36+U36+W36+Y36+Z36+AA36+AB36+AG36)</f>
        <v>0</v>
      </c>
      <c r="AI36" s="25">
        <f>R36-AH36</f>
        <v>0</v>
      </c>
      <c r="AJ36" s="25">
        <f>O36*0.6</f>
        <v>0</v>
      </c>
      <c r="AK36" s="28">
        <f>AI36+AJ36</f>
        <v>0</v>
      </c>
      <c r="AL36" s="25">
        <f>R36*0.752%</f>
        <v>0</v>
      </c>
    </row>
    <row r="37" spans="1:38" x14ac:dyDescent="0.25">
      <c r="D37" t="s">
        <v>16</v>
      </c>
      <c r="E37" s="50">
        <v>14</v>
      </c>
      <c r="O37">
        <v>0</v>
      </c>
      <c r="P37" s="25">
        <f t="shared" ref="P37:P40" si="93">30.51*O37</f>
        <v>0</v>
      </c>
      <c r="Q37" s="25">
        <f t="shared" ref="Q37:Q40" si="94">P37*13%</f>
        <v>0</v>
      </c>
      <c r="R37" s="28">
        <f t="shared" ref="R37:R40" si="95">P37+Q37</f>
        <v>0</v>
      </c>
      <c r="S37" s="25">
        <f t="shared" ref="S37:S40" si="96">O37*1.879</f>
        <v>0</v>
      </c>
      <c r="T37" s="35">
        <f t="shared" ref="T37:T40" si="97">R37+S37</f>
        <v>0</v>
      </c>
      <c r="U37" s="25"/>
      <c r="V37" s="25"/>
      <c r="W37" s="52"/>
      <c r="X37" s="27"/>
      <c r="Y37" s="25">
        <f t="shared" ref="Y37:Y40" si="98">R37*0.537%</f>
        <v>0</v>
      </c>
      <c r="Z37" s="25">
        <f t="shared" ref="Z37:Z40" si="99">R37*0.75%</f>
        <v>0</v>
      </c>
      <c r="AA37" s="26"/>
      <c r="AB37" s="26">
        <f t="shared" ref="AB37:AB40" si="100">1.7*O37</f>
        <v>0</v>
      </c>
      <c r="AC37" s="25">
        <f t="shared" ref="AC37:AC40" si="101">R37-Z37-AA37-AB37</f>
        <v>0</v>
      </c>
      <c r="AD37" s="25"/>
      <c r="AE37" s="25">
        <f t="shared" ref="AE37:AE40" si="102">T37-AB37</f>
        <v>0</v>
      </c>
      <c r="AF37" s="25"/>
      <c r="AG37" s="25">
        <f t="shared" ref="AG37:AG40" si="103">Q37</f>
        <v>0</v>
      </c>
      <c r="AH37" s="25">
        <f t="shared" ref="AH37:AH40" si="104">SUM(AD37+AF37+U37+W37+Y37+Z37+AA37+AB37+AG37)</f>
        <v>0</v>
      </c>
      <c r="AI37" s="25">
        <f t="shared" ref="AI37:AI40" si="105">R37-AH37</f>
        <v>0</v>
      </c>
      <c r="AJ37" s="25">
        <f t="shared" ref="AJ37:AJ39" si="106">O37*0.6</f>
        <v>0</v>
      </c>
      <c r="AK37" s="28">
        <f t="shared" ref="AK37:AK40" si="107">AI37+AJ37</f>
        <v>0</v>
      </c>
      <c r="AL37" s="25">
        <f t="shared" ref="AL37:AL40" si="108">R37*0.752%</f>
        <v>0</v>
      </c>
    </row>
    <row r="38" spans="1:38" x14ac:dyDescent="0.25">
      <c r="D38" t="s">
        <v>16</v>
      </c>
      <c r="E38" s="50">
        <v>21</v>
      </c>
      <c r="O38">
        <v>0</v>
      </c>
      <c r="P38" s="25">
        <f t="shared" si="93"/>
        <v>0</v>
      </c>
      <c r="Q38" s="25">
        <f t="shared" si="94"/>
        <v>0</v>
      </c>
      <c r="R38" s="28">
        <f t="shared" si="95"/>
        <v>0</v>
      </c>
      <c r="S38" s="25">
        <f t="shared" si="96"/>
        <v>0</v>
      </c>
      <c r="T38" s="35">
        <f t="shared" si="97"/>
        <v>0</v>
      </c>
      <c r="U38" s="25"/>
      <c r="V38" s="25"/>
      <c r="W38" s="52"/>
      <c r="X38" s="25"/>
      <c r="Y38" s="25">
        <f t="shared" si="98"/>
        <v>0</v>
      </c>
      <c r="Z38" s="25">
        <f t="shared" si="99"/>
        <v>0</v>
      </c>
      <c r="AA38" s="26"/>
      <c r="AB38" s="26">
        <f t="shared" si="100"/>
        <v>0</v>
      </c>
      <c r="AC38" s="25">
        <f t="shared" si="101"/>
        <v>0</v>
      </c>
      <c r="AD38" s="25"/>
      <c r="AE38" s="25">
        <f t="shared" si="102"/>
        <v>0</v>
      </c>
      <c r="AF38" s="25"/>
      <c r="AG38" s="25">
        <f t="shared" si="103"/>
        <v>0</v>
      </c>
      <c r="AH38" s="25">
        <f t="shared" si="104"/>
        <v>0</v>
      </c>
      <c r="AI38" s="25">
        <f t="shared" si="105"/>
        <v>0</v>
      </c>
      <c r="AJ38" s="25">
        <f t="shared" si="106"/>
        <v>0</v>
      </c>
      <c r="AK38" s="28">
        <f t="shared" si="107"/>
        <v>0</v>
      </c>
      <c r="AL38" s="25">
        <f t="shared" si="108"/>
        <v>0</v>
      </c>
    </row>
    <row r="39" spans="1:38" x14ac:dyDescent="0.25">
      <c r="D39" t="s">
        <v>16</v>
      </c>
      <c r="E39" s="50">
        <v>28</v>
      </c>
      <c r="O39">
        <v>0</v>
      </c>
      <c r="P39" s="25">
        <f t="shared" si="93"/>
        <v>0</v>
      </c>
      <c r="Q39" s="25">
        <f t="shared" si="94"/>
        <v>0</v>
      </c>
      <c r="R39" s="28">
        <f t="shared" si="95"/>
        <v>0</v>
      </c>
      <c r="S39" s="25">
        <f t="shared" si="96"/>
        <v>0</v>
      </c>
      <c r="T39" s="35">
        <f t="shared" si="97"/>
        <v>0</v>
      </c>
      <c r="U39" s="25"/>
      <c r="V39" s="25"/>
      <c r="W39" s="52"/>
      <c r="X39" s="25"/>
      <c r="Y39" s="25">
        <f t="shared" si="98"/>
        <v>0</v>
      </c>
      <c r="Z39" s="25">
        <f t="shared" si="99"/>
        <v>0</v>
      </c>
      <c r="AA39" s="26"/>
      <c r="AB39" s="26">
        <f t="shared" si="100"/>
        <v>0</v>
      </c>
      <c r="AC39" s="25">
        <f t="shared" si="101"/>
        <v>0</v>
      </c>
      <c r="AD39" s="25"/>
      <c r="AE39" s="25">
        <f t="shared" si="102"/>
        <v>0</v>
      </c>
      <c r="AF39" s="25"/>
      <c r="AG39" s="25">
        <f t="shared" si="103"/>
        <v>0</v>
      </c>
      <c r="AH39" s="25">
        <f t="shared" si="104"/>
        <v>0</v>
      </c>
      <c r="AI39" s="25">
        <f t="shared" si="105"/>
        <v>0</v>
      </c>
      <c r="AJ39" s="25">
        <f t="shared" si="106"/>
        <v>0</v>
      </c>
      <c r="AK39" s="28">
        <f t="shared" si="107"/>
        <v>0</v>
      </c>
      <c r="AL39" s="25">
        <f t="shared" si="108"/>
        <v>0</v>
      </c>
    </row>
    <row r="40" spans="1:38" x14ac:dyDescent="0.25">
      <c r="D40" t="s">
        <v>16</v>
      </c>
      <c r="E40" s="50"/>
      <c r="O40">
        <v>0</v>
      </c>
      <c r="P40" s="25">
        <f t="shared" si="93"/>
        <v>0</v>
      </c>
      <c r="Q40" s="25">
        <f t="shared" si="94"/>
        <v>0</v>
      </c>
      <c r="R40" s="28">
        <f t="shared" si="95"/>
        <v>0</v>
      </c>
      <c r="S40" s="25">
        <f t="shared" si="96"/>
        <v>0</v>
      </c>
      <c r="T40" s="35">
        <f t="shared" si="97"/>
        <v>0</v>
      </c>
      <c r="U40" s="25"/>
      <c r="V40" s="25"/>
      <c r="W40" s="52"/>
      <c r="X40" s="25"/>
      <c r="Y40" s="25">
        <f t="shared" si="98"/>
        <v>0</v>
      </c>
      <c r="Z40" s="25">
        <f t="shared" si="99"/>
        <v>0</v>
      </c>
      <c r="AA40" s="26"/>
      <c r="AB40" s="26">
        <f t="shared" si="100"/>
        <v>0</v>
      </c>
      <c r="AC40" s="25">
        <f t="shared" si="101"/>
        <v>0</v>
      </c>
      <c r="AD40" s="25"/>
      <c r="AE40" s="25">
        <f t="shared" si="102"/>
        <v>0</v>
      </c>
      <c r="AF40" s="25"/>
      <c r="AG40" s="25">
        <f t="shared" si="103"/>
        <v>0</v>
      </c>
      <c r="AH40" s="25">
        <f t="shared" si="104"/>
        <v>0</v>
      </c>
      <c r="AI40" s="25">
        <f t="shared" si="105"/>
        <v>0</v>
      </c>
      <c r="AJ40" s="25">
        <f>O40*0.6</f>
        <v>0</v>
      </c>
      <c r="AK40" s="28">
        <f t="shared" si="107"/>
        <v>0</v>
      </c>
      <c r="AL40" s="25">
        <f t="shared" si="108"/>
        <v>0</v>
      </c>
    </row>
    <row r="41" spans="1:38" x14ac:dyDescent="0.25">
      <c r="A41" s="4"/>
      <c r="B41" s="4"/>
      <c r="C41" s="4"/>
      <c r="D41" s="4" t="s">
        <v>33</v>
      </c>
      <c r="E41" s="51"/>
      <c r="F41" s="4"/>
      <c r="G41" s="4"/>
      <c r="H41" s="4"/>
      <c r="I41" s="4"/>
      <c r="J41" s="4"/>
      <c r="K41" s="4"/>
      <c r="L41" s="4"/>
      <c r="M41" s="4"/>
      <c r="N41" s="4"/>
      <c r="O41" s="4">
        <f>SUM(O36:O40)</f>
        <v>0</v>
      </c>
      <c r="P41" s="13">
        <f>SUM(P36:P40)</f>
        <v>0</v>
      </c>
      <c r="Q41" s="13">
        <f>SUM(Q36:Q40)</f>
        <v>0</v>
      </c>
      <c r="R41" s="29">
        <f>SUM(R36:R40)</f>
        <v>0</v>
      </c>
      <c r="S41" s="13">
        <f t="shared" ref="S41:AL41" si="109">SUM(S36:S40)</f>
        <v>0</v>
      </c>
      <c r="T41" s="36">
        <f t="shared" si="109"/>
        <v>0</v>
      </c>
      <c r="U41" s="13">
        <f t="shared" si="109"/>
        <v>0</v>
      </c>
      <c r="V41" s="13">
        <f t="shared" si="109"/>
        <v>0</v>
      </c>
      <c r="W41" s="13">
        <f t="shared" si="109"/>
        <v>0</v>
      </c>
      <c r="X41" s="13">
        <f t="shared" si="109"/>
        <v>0</v>
      </c>
      <c r="Y41" s="13">
        <f t="shared" si="109"/>
        <v>0</v>
      </c>
      <c r="Z41" s="13">
        <f t="shared" si="109"/>
        <v>0</v>
      </c>
      <c r="AA41" s="13">
        <f t="shared" si="109"/>
        <v>0</v>
      </c>
      <c r="AB41" s="13">
        <f t="shared" si="109"/>
        <v>0</v>
      </c>
      <c r="AC41" s="13">
        <f t="shared" si="109"/>
        <v>0</v>
      </c>
      <c r="AD41" s="13">
        <f t="shared" si="109"/>
        <v>0</v>
      </c>
      <c r="AE41" s="13">
        <f t="shared" si="109"/>
        <v>0</v>
      </c>
      <c r="AF41" s="13">
        <f t="shared" si="109"/>
        <v>0</v>
      </c>
      <c r="AG41" s="13">
        <f t="shared" si="109"/>
        <v>0</v>
      </c>
      <c r="AH41" s="13">
        <f t="shared" si="109"/>
        <v>0</v>
      </c>
      <c r="AI41" s="13">
        <f>SUM(AI36:AI40)</f>
        <v>0</v>
      </c>
      <c r="AJ41" s="13">
        <f t="shared" si="109"/>
        <v>0</v>
      </c>
      <c r="AK41" s="29">
        <f t="shared" si="109"/>
        <v>0</v>
      </c>
      <c r="AL41" s="13">
        <f t="shared" si="109"/>
        <v>0</v>
      </c>
    </row>
    <row r="42" spans="1:38" x14ac:dyDescent="0.25">
      <c r="E42" s="50"/>
      <c r="P42" s="25"/>
      <c r="Q42" s="25"/>
      <c r="R42" s="28"/>
      <c r="S42" s="25"/>
      <c r="T42" s="35"/>
      <c r="U42" s="25"/>
      <c r="V42" s="25"/>
      <c r="W42" s="52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8"/>
      <c r="AL42" s="25"/>
    </row>
    <row r="43" spans="1:38" x14ac:dyDescent="0.25">
      <c r="D43" t="s">
        <v>17</v>
      </c>
      <c r="E43" s="50"/>
      <c r="O43">
        <v>0</v>
      </c>
      <c r="P43" s="25">
        <f>30.51*O43</f>
        <v>0</v>
      </c>
      <c r="Q43" s="25">
        <f>P43*13%</f>
        <v>0</v>
      </c>
      <c r="R43" s="28">
        <f>P43+Q43</f>
        <v>0</v>
      </c>
      <c r="S43" s="25">
        <f>O43*1.879</f>
        <v>0</v>
      </c>
      <c r="T43" s="35">
        <f>R43+S43</f>
        <v>0</v>
      </c>
      <c r="U43" s="25"/>
      <c r="V43" s="25"/>
      <c r="W43" s="52"/>
      <c r="X43" s="25"/>
      <c r="Y43" s="25">
        <f>R43*0.537%</f>
        <v>0</v>
      </c>
      <c r="Z43" s="25">
        <f>R43*0.75%</f>
        <v>0</v>
      </c>
      <c r="AA43" s="25"/>
      <c r="AB43" s="25">
        <f>1.7*O43</f>
        <v>0</v>
      </c>
      <c r="AC43" s="25">
        <f>R43-Z43-AA43-AB43</f>
        <v>0</v>
      </c>
      <c r="AD43" s="25"/>
      <c r="AE43" s="25">
        <f>T43-AB43</f>
        <v>0</v>
      </c>
      <c r="AF43" s="25"/>
      <c r="AG43" s="25">
        <f>Q43</f>
        <v>0</v>
      </c>
      <c r="AH43" s="25">
        <f>SUM(AD43+AF43+U43+W43+Y43+Z43+AA43+AB43+AG43)</f>
        <v>0</v>
      </c>
      <c r="AI43" s="25">
        <f>R43-AH43</f>
        <v>0</v>
      </c>
      <c r="AJ43" s="25">
        <f>O43*0.6</f>
        <v>0</v>
      </c>
      <c r="AK43" s="28">
        <f>AI43+AJ43</f>
        <v>0</v>
      </c>
      <c r="AL43" s="25">
        <f>R43*0.752%</f>
        <v>0</v>
      </c>
    </row>
    <row r="44" spans="1:38" x14ac:dyDescent="0.25">
      <c r="D44" t="s">
        <v>17</v>
      </c>
      <c r="E44" s="50">
        <v>5</v>
      </c>
      <c r="O44">
        <v>0</v>
      </c>
      <c r="P44" s="25">
        <f t="shared" ref="P44:P47" si="110">30.51*O44</f>
        <v>0</v>
      </c>
      <c r="Q44" s="25">
        <f t="shared" ref="Q44:Q47" si="111">P44*13%</f>
        <v>0</v>
      </c>
      <c r="R44" s="28">
        <f t="shared" ref="R44:R47" si="112">P44+Q44</f>
        <v>0</v>
      </c>
      <c r="S44" s="25">
        <f t="shared" ref="S44:S47" si="113">O44*1.879</f>
        <v>0</v>
      </c>
      <c r="T44" s="35">
        <f t="shared" ref="T44:T47" si="114">R44+S44</f>
        <v>0</v>
      </c>
      <c r="U44" s="25"/>
      <c r="V44" s="25"/>
      <c r="W44" s="52"/>
      <c r="X44" s="25"/>
      <c r="Y44" s="25">
        <f t="shared" ref="Y44:Y47" si="115">R44*0.537%</f>
        <v>0</v>
      </c>
      <c r="Z44" s="25">
        <f t="shared" ref="Z44:Z47" si="116">R44*0.75%</f>
        <v>0</v>
      </c>
      <c r="AA44" s="25"/>
      <c r="AB44" s="25">
        <f t="shared" ref="AB44:AB47" si="117">1.7*O44</f>
        <v>0</v>
      </c>
      <c r="AC44" s="25">
        <f t="shared" ref="AC44:AC47" si="118">R44-Z44-AA44-AB44</f>
        <v>0</v>
      </c>
      <c r="AD44" s="25"/>
      <c r="AE44" s="25">
        <f t="shared" ref="AE44:AE47" si="119">T44-AB44</f>
        <v>0</v>
      </c>
      <c r="AF44" s="25"/>
      <c r="AG44" s="25">
        <f t="shared" ref="AG44:AG47" si="120">Q44</f>
        <v>0</v>
      </c>
      <c r="AH44" s="25">
        <f t="shared" ref="AH44:AH47" si="121">SUM(AD44+AF44+U44+W44+Y44+Z44+AA44+AB44+AG44)</f>
        <v>0</v>
      </c>
      <c r="AI44" s="25">
        <f t="shared" ref="AI44:AI47" si="122">R44-AH44</f>
        <v>0</v>
      </c>
      <c r="AJ44" s="25">
        <f t="shared" ref="AJ44:AJ47" si="123">O44*0.6</f>
        <v>0</v>
      </c>
      <c r="AK44" s="28">
        <f t="shared" ref="AK44:AK47" si="124">AI44+AJ44</f>
        <v>0</v>
      </c>
      <c r="AL44" s="25">
        <f t="shared" ref="AL44:AL47" si="125">R44*0.752%</f>
        <v>0</v>
      </c>
    </row>
    <row r="45" spans="1:38" x14ac:dyDescent="0.25">
      <c r="D45" t="s">
        <v>17</v>
      </c>
      <c r="E45" s="50">
        <v>12</v>
      </c>
      <c r="P45" s="25">
        <f t="shared" si="110"/>
        <v>0</v>
      </c>
      <c r="Q45" s="25">
        <f t="shared" si="111"/>
        <v>0</v>
      </c>
      <c r="R45" s="28">
        <f t="shared" si="112"/>
        <v>0</v>
      </c>
      <c r="S45" s="25">
        <f t="shared" si="113"/>
        <v>0</v>
      </c>
      <c r="T45" s="35">
        <f t="shared" si="114"/>
        <v>0</v>
      </c>
      <c r="U45" s="25"/>
      <c r="V45" s="25"/>
      <c r="W45" s="52"/>
      <c r="X45" s="25"/>
      <c r="Y45" s="25">
        <f t="shared" si="115"/>
        <v>0</v>
      </c>
      <c r="Z45" s="25">
        <f t="shared" si="116"/>
        <v>0</v>
      </c>
      <c r="AA45" s="25"/>
      <c r="AB45" s="25">
        <f t="shared" si="117"/>
        <v>0</v>
      </c>
      <c r="AC45" s="25">
        <f t="shared" si="118"/>
        <v>0</v>
      </c>
      <c r="AD45" s="25"/>
      <c r="AE45" s="25">
        <f t="shared" si="119"/>
        <v>0</v>
      </c>
      <c r="AF45" s="25"/>
      <c r="AG45" s="25">
        <f t="shared" si="120"/>
        <v>0</v>
      </c>
      <c r="AH45" s="25">
        <f t="shared" si="121"/>
        <v>0</v>
      </c>
      <c r="AI45" s="25">
        <f>R45-AH45</f>
        <v>0</v>
      </c>
      <c r="AJ45" s="25">
        <f t="shared" si="123"/>
        <v>0</v>
      </c>
      <c r="AK45" s="28">
        <f t="shared" si="124"/>
        <v>0</v>
      </c>
      <c r="AL45" s="25">
        <f t="shared" si="125"/>
        <v>0</v>
      </c>
    </row>
    <row r="46" spans="1:38" x14ac:dyDescent="0.25">
      <c r="D46" t="s">
        <v>17</v>
      </c>
      <c r="E46" s="50">
        <v>19</v>
      </c>
      <c r="P46" s="25">
        <f t="shared" si="110"/>
        <v>0</v>
      </c>
      <c r="Q46" s="25">
        <f t="shared" si="111"/>
        <v>0</v>
      </c>
      <c r="R46" s="28">
        <f t="shared" si="112"/>
        <v>0</v>
      </c>
      <c r="S46" s="25">
        <f t="shared" si="113"/>
        <v>0</v>
      </c>
      <c r="T46" s="35">
        <f t="shared" si="114"/>
        <v>0</v>
      </c>
      <c r="U46" s="25"/>
      <c r="V46" s="25"/>
      <c r="W46" s="52"/>
      <c r="X46" s="25"/>
      <c r="Y46" s="25">
        <f t="shared" si="115"/>
        <v>0</v>
      </c>
      <c r="Z46" s="25">
        <f t="shared" si="116"/>
        <v>0</v>
      </c>
      <c r="AA46" s="25"/>
      <c r="AB46" s="25">
        <f t="shared" si="117"/>
        <v>0</v>
      </c>
      <c r="AC46" s="25">
        <f t="shared" si="118"/>
        <v>0</v>
      </c>
      <c r="AD46" s="25"/>
      <c r="AE46" s="25">
        <f t="shared" si="119"/>
        <v>0</v>
      </c>
      <c r="AF46" s="25"/>
      <c r="AG46" s="25">
        <f t="shared" si="120"/>
        <v>0</v>
      </c>
      <c r="AH46" s="25">
        <f t="shared" si="121"/>
        <v>0</v>
      </c>
      <c r="AI46" s="25">
        <f t="shared" si="122"/>
        <v>0</v>
      </c>
      <c r="AJ46" s="25">
        <f t="shared" si="123"/>
        <v>0</v>
      </c>
      <c r="AK46" s="28">
        <f t="shared" si="124"/>
        <v>0</v>
      </c>
      <c r="AL46" s="25">
        <f t="shared" si="125"/>
        <v>0</v>
      </c>
    </row>
    <row r="47" spans="1:38" x14ac:dyDescent="0.25">
      <c r="D47" t="s">
        <v>52</v>
      </c>
      <c r="E47" s="50">
        <v>26</v>
      </c>
      <c r="O47">
        <v>0</v>
      </c>
      <c r="P47" s="25">
        <f t="shared" si="110"/>
        <v>0</v>
      </c>
      <c r="Q47" s="25">
        <f t="shared" si="111"/>
        <v>0</v>
      </c>
      <c r="R47" s="28">
        <f t="shared" si="112"/>
        <v>0</v>
      </c>
      <c r="S47" s="25">
        <f t="shared" si="113"/>
        <v>0</v>
      </c>
      <c r="T47" s="35">
        <f t="shared" si="114"/>
        <v>0</v>
      </c>
      <c r="U47" s="25"/>
      <c r="V47" s="25"/>
      <c r="W47" s="52"/>
      <c r="X47" s="25"/>
      <c r="Y47" s="25">
        <f t="shared" si="115"/>
        <v>0</v>
      </c>
      <c r="Z47" s="25">
        <f t="shared" si="116"/>
        <v>0</v>
      </c>
      <c r="AA47" s="25"/>
      <c r="AB47" s="25">
        <f t="shared" si="117"/>
        <v>0</v>
      </c>
      <c r="AC47" s="25">
        <f t="shared" si="118"/>
        <v>0</v>
      </c>
      <c r="AD47" s="25"/>
      <c r="AE47" s="25">
        <f t="shared" si="119"/>
        <v>0</v>
      </c>
      <c r="AF47" s="25"/>
      <c r="AG47" s="25">
        <f t="shared" si="120"/>
        <v>0</v>
      </c>
      <c r="AH47" s="25">
        <f t="shared" si="121"/>
        <v>0</v>
      </c>
      <c r="AI47" s="25">
        <f t="shared" si="122"/>
        <v>0</v>
      </c>
      <c r="AJ47" s="25">
        <f t="shared" si="123"/>
        <v>0</v>
      </c>
      <c r="AK47" s="28">
        <f t="shared" si="124"/>
        <v>0</v>
      </c>
      <c r="AL47" s="25">
        <f t="shared" si="125"/>
        <v>0</v>
      </c>
    </row>
    <row r="48" spans="1:38" x14ac:dyDescent="0.25">
      <c r="A48" s="4"/>
      <c r="B48" s="4"/>
      <c r="C48" s="4"/>
      <c r="D48" s="4" t="s">
        <v>33</v>
      </c>
      <c r="E48" s="51"/>
      <c r="F48" s="4"/>
      <c r="G48" s="4"/>
      <c r="H48" s="4"/>
      <c r="I48" s="4"/>
      <c r="J48" s="4"/>
      <c r="K48" s="4"/>
      <c r="L48" s="4"/>
      <c r="M48" s="4"/>
      <c r="N48" s="4"/>
      <c r="O48" s="4">
        <f>SUM(O43:O47)</f>
        <v>0</v>
      </c>
      <c r="P48" s="13">
        <f>SUM(P43:P47)</f>
        <v>0</v>
      </c>
      <c r="Q48" s="13">
        <f>SUM(Q43:Q47)</f>
        <v>0</v>
      </c>
      <c r="R48" s="29">
        <f>SUM(R43:R47)</f>
        <v>0</v>
      </c>
      <c r="S48" s="13">
        <f t="shared" ref="S48:AK48" si="126">SUM(S43:S47)</f>
        <v>0</v>
      </c>
      <c r="T48" s="36">
        <f t="shared" si="126"/>
        <v>0</v>
      </c>
      <c r="U48" s="13">
        <f t="shared" si="126"/>
        <v>0</v>
      </c>
      <c r="V48" s="13">
        <f t="shared" si="126"/>
        <v>0</v>
      </c>
      <c r="W48" s="13">
        <f t="shared" si="126"/>
        <v>0</v>
      </c>
      <c r="X48" s="13">
        <f t="shared" si="126"/>
        <v>0</v>
      </c>
      <c r="Y48" s="13">
        <f t="shared" si="126"/>
        <v>0</v>
      </c>
      <c r="Z48" s="13">
        <f t="shared" si="126"/>
        <v>0</v>
      </c>
      <c r="AA48" s="13">
        <f t="shared" si="126"/>
        <v>0</v>
      </c>
      <c r="AB48" s="13">
        <f t="shared" si="126"/>
        <v>0</v>
      </c>
      <c r="AC48" s="13">
        <f t="shared" si="126"/>
        <v>0</v>
      </c>
      <c r="AD48" s="13">
        <f t="shared" si="126"/>
        <v>0</v>
      </c>
      <c r="AE48" s="13">
        <f t="shared" si="126"/>
        <v>0</v>
      </c>
      <c r="AF48" s="13">
        <f t="shared" si="126"/>
        <v>0</v>
      </c>
      <c r="AG48" s="13">
        <f t="shared" si="126"/>
        <v>0</v>
      </c>
      <c r="AH48" s="13">
        <f t="shared" si="126"/>
        <v>0</v>
      </c>
      <c r="AI48" s="13">
        <f t="shared" si="126"/>
        <v>0</v>
      </c>
      <c r="AJ48" s="13">
        <f t="shared" si="126"/>
        <v>0</v>
      </c>
      <c r="AK48" s="29">
        <f t="shared" si="126"/>
        <v>0</v>
      </c>
      <c r="AL48" s="13">
        <f>SUM(AL43:AL47)</f>
        <v>0</v>
      </c>
    </row>
    <row r="49" spans="1:38" x14ac:dyDescent="0.25">
      <c r="E49" s="50"/>
      <c r="P49" s="25"/>
      <c r="Q49" s="25"/>
      <c r="R49" s="28"/>
      <c r="S49" s="25"/>
      <c r="T49" s="35"/>
      <c r="U49" s="25"/>
      <c r="V49" s="25"/>
      <c r="W49" s="52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13"/>
      <c r="AJ49" s="25"/>
      <c r="AK49" s="28"/>
      <c r="AL49" s="25"/>
    </row>
    <row r="50" spans="1:38" x14ac:dyDescent="0.25">
      <c r="D50" t="s">
        <v>18</v>
      </c>
      <c r="E50" s="50">
        <v>2</v>
      </c>
      <c r="P50" s="25">
        <f>30.51*O50</f>
        <v>0</v>
      </c>
      <c r="Q50" s="25">
        <f>P50*13%</f>
        <v>0</v>
      </c>
      <c r="R50" s="28">
        <f>P50+Q50</f>
        <v>0</v>
      </c>
      <c r="S50" s="25">
        <f>O50*1.879</f>
        <v>0</v>
      </c>
      <c r="T50" s="35">
        <f>R50+S50</f>
        <v>0</v>
      </c>
      <c r="U50" s="25"/>
      <c r="V50" s="25"/>
      <c r="W50" s="52"/>
      <c r="X50" s="25"/>
      <c r="Y50" s="25">
        <f>R50*0.537%</f>
        <v>0</v>
      </c>
      <c r="Z50" s="25">
        <f>R50*0.75%</f>
        <v>0</v>
      </c>
      <c r="AA50" s="25"/>
      <c r="AB50" s="25">
        <f>1.7*O50</f>
        <v>0</v>
      </c>
      <c r="AC50" s="25">
        <f>R50-Z50-AA50-AB50</f>
        <v>0</v>
      </c>
      <c r="AD50" s="25"/>
      <c r="AE50" s="25">
        <f>T50-AB50</f>
        <v>0</v>
      </c>
      <c r="AF50" s="25"/>
      <c r="AG50" s="25">
        <f>Q50</f>
        <v>0</v>
      </c>
      <c r="AH50" s="25">
        <f>SUM(AD50+AF50+U50+W50+Y50+Z50+AA50+AB50+AG50)</f>
        <v>0</v>
      </c>
      <c r="AI50" s="26">
        <f>R50-AH50</f>
        <v>0</v>
      </c>
      <c r="AJ50" s="25">
        <f>O50*0.6</f>
        <v>0</v>
      </c>
      <c r="AK50" s="28">
        <f>AI50+AJ50</f>
        <v>0</v>
      </c>
      <c r="AL50" s="25">
        <f>R50*0.752%</f>
        <v>0</v>
      </c>
    </row>
    <row r="51" spans="1:38" x14ac:dyDescent="0.25">
      <c r="D51" t="s">
        <v>18</v>
      </c>
      <c r="E51" s="50">
        <v>9</v>
      </c>
      <c r="P51" s="25">
        <f t="shared" ref="P51:P54" si="127">30.51*O51</f>
        <v>0</v>
      </c>
      <c r="Q51" s="25">
        <f t="shared" ref="Q51:Q54" si="128">P51*13%</f>
        <v>0</v>
      </c>
      <c r="R51" s="28">
        <f t="shared" ref="R51:R54" si="129">P51+Q51</f>
        <v>0</v>
      </c>
      <c r="S51" s="25">
        <f t="shared" ref="S51:S54" si="130">O51*1.879</f>
        <v>0</v>
      </c>
      <c r="T51" s="35">
        <f t="shared" ref="T51:T54" si="131">R51+S51</f>
        <v>0</v>
      </c>
      <c r="U51" s="25"/>
      <c r="V51" s="25"/>
      <c r="W51" s="52"/>
      <c r="X51" s="25"/>
      <c r="Y51" s="25">
        <f t="shared" ref="Y51:Y54" si="132">R51*0.537%</f>
        <v>0</v>
      </c>
      <c r="Z51" s="25">
        <f t="shared" ref="Z51:Z54" si="133">R51*0.75%</f>
        <v>0</v>
      </c>
      <c r="AA51" s="25"/>
      <c r="AB51" s="25">
        <f t="shared" ref="AB51:AB54" si="134">1.7*O51</f>
        <v>0</v>
      </c>
      <c r="AC51" s="25">
        <f t="shared" ref="AC51:AC54" si="135">R51-Z51-AA51-AB51</f>
        <v>0</v>
      </c>
      <c r="AD51" s="25"/>
      <c r="AE51" s="25">
        <f t="shared" ref="AE51:AE54" si="136">T51-AB51</f>
        <v>0</v>
      </c>
      <c r="AF51" s="25"/>
      <c r="AG51" s="25">
        <f t="shared" ref="AG51:AG54" si="137">Q51</f>
        <v>0</v>
      </c>
      <c r="AH51" s="25">
        <f t="shared" ref="AH51:AH54" si="138">SUM(AD51+AF51+U51+W51+Y51+Z51+AA51+AB51+AG51)</f>
        <v>0</v>
      </c>
      <c r="AI51" s="26">
        <f t="shared" ref="AI51:AI54" si="139">R51-AH51</f>
        <v>0</v>
      </c>
      <c r="AJ51" s="25">
        <f t="shared" ref="AJ51:AJ54" si="140">O51*0.6</f>
        <v>0</v>
      </c>
      <c r="AK51" s="28">
        <f t="shared" ref="AK51:AK54" si="141">AI51+AJ51</f>
        <v>0</v>
      </c>
      <c r="AL51" s="25">
        <f t="shared" ref="AL51:AL54" si="142">R51*0.752%</f>
        <v>0</v>
      </c>
    </row>
    <row r="52" spans="1:38" x14ac:dyDescent="0.25">
      <c r="D52" t="s">
        <v>18</v>
      </c>
      <c r="E52" s="50">
        <v>16</v>
      </c>
      <c r="P52" s="25">
        <f t="shared" si="127"/>
        <v>0</v>
      </c>
      <c r="Q52" s="25">
        <f t="shared" si="128"/>
        <v>0</v>
      </c>
      <c r="R52" s="28">
        <f t="shared" si="129"/>
        <v>0</v>
      </c>
      <c r="S52" s="25">
        <f t="shared" si="130"/>
        <v>0</v>
      </c>
      <c r="T52" s="35">
        <f t="shared" si="131"/>
        <v>0</v>
      </c>
      <c r="U52" s="25"/>
      <c r="V52" s="25"/>
      <c r="W52" s="52"/>
      <c r="X52" s="25"/>
      <c r="Y52" s="25">
        <f t="shared" si="132"/>
        <v>0</v>
      </c>
      <c r="Z52" s="25">
        <f t="shared" si="133"/>
        <v>0</v>
      </c>
      <c r="AA52" s="25"/>
      <c r="AB52" s="25">
        <f t="shared" si="134"/>
        <v>0</v>
      </c>
      <c r="AC52" s="25">
        <f t="shared" si="135"/>
        <v>0</v>
      </c>
      <c r="AD52" s="25"/>
      <c r="AE52" s="25">
        <f t="shared" si="136"/>
        <v>0</v>
      </c>
      <c r="AF52" s="25"/>
      <c r="AG52" s="25">
        <f t="shared" si="137"/>
        <v>0</v>
      </c>
      <c r="AH52" s="25">
        <f t="shared" si="138"/>
        <v>0</v>
      </c>
      <c r="AI52" s="26">
        <f t="shared" si="139"/>
        <v>0</v>
      </c>
      <c r="AJ52" s="25">
        <f t="shared" si="140"/>
        <v>0</v>
      </c>
      <c r="AK52" s="28">
        <f t="shared" si="141"/>
        <v>0</v>
      </c>
      <c r="AL52" s="25">
        <f t="shared" si="142"/>
        <v>0</v>
      </c>
    </row>
    <row r="53" spans="1:38" x14ac:dyDescent="0.25">
      <c r="D53" t="s">
        <v>18</v>
      </c>
      <c r="E53" s="50">
        <v>23</v>
      </c>
      <c r="P53" s="25">
        <f t="shared" si="127"/>
        <v>0</v>
      </c>
      <c r="Q53" s="25">
        <f t="shared" si="128"/>
        <v>0</v>
      </c>
      <c r="R53" s="28">
        <f t="shared" si="129"/>
        <v>0</v>
      </c>
      <c r="S53" s="25">
        <f t="shared" si="130"/>
        <v>0</v>
      </c>
      <c r="T53" s="35">
        <f t="shared" si="131"/>
        <v>0</v>
      </c>
      <c r="U53" s="25"/>
      <c r="V53" s="25"/>
      <c r="W53" s="52"/>
      <c r="X53" s="25"/>
      <c r="Y53" s="25">
        <f t="shared" si="132"/>
        <v>0</v>
      </c>
      <c r="Z53" s="25">
        <f t="shared" si="133"/>
        <v>0</v>
      </c>
      <c r="AA53" s="25"/>
      <c r="AB53" s="25">
        <f t="shared" si="134"/>
        <v>0</v>
      </c>
      <c r="AC53" s="25">
        <f t="shared" si="135"/>
        <v>0</v>
      </c>
      <c r="AD53" s="25"/>
      <c r="AE53" s="25">
        <f t="shared" si="136"/>
        <v>0</v>
      </c>
      <c r="AF53" s="25"/>
      <c r="AG53" s="25">
        <f t="shared" si="137"/>
        <v>0</v>
      </c>
      <c r="AH53" s="25">
        <f t="shared" si="138"/>
        <v>0</v>
      </c>
      <c r="AI53" s="26">
        <f t="shared" si="139"/>
        <v>0</v>
      </c>
      <c r="AJ53" s="25">
        <f t="shared" si="140"/>
        <v>0</v>
      </c>
      <c r="AK53" s="28">
        <f t="shared" si="141"/>
        <v>0</v>
      </c>
      <c r="AL53" s="25">
        <f t="shared" si="142"/>
        <v>0</v>
      </c>
    </row>
    <row r="54" spans="1:38" x14ac:dyDescent="0.25">
      <c r="D54" t="s">
        <v>18</v>
      </c>
      <c r="E54" s="50">
        <v>30</v>
      </c>
      <c r="O54">
        <v>0</v>
      </c>
      <c r="P54" s="25">
        <f t="shared" si="127"/>
        <v>0</v>
      </c>
      <c r="Q54" s="25">
        <f t="shared" si="128"/>
        <v>0</v>
      </c>
      <c r="R54" s="28">
        <f t="shared" si="129"/>
        <v>0</v>
      </c>
      <c r="S54" s="25">
        <f t="shared" si="130"/>
        <v>0</v>
      </c>
      <c r="T54" s="35">
        <f t="shared" si="131"/>
        <v>0</v>
      </c>
      <c r="U54" s="25"/>
      <c r="V54" s="25"/>
      <c r="W54" s="52"/>
      <c r="X54" s="25"/>
      <c r="Y54" s="25">
        <f t="shared" si="132"/>
        <v>0</v>
      </c>
      <c r="Z54" s="25">
        <f t="shared" si="133"/>
        <v>0</v>
      </c>
      <c r="AA54" s="25"/>
      <c r="AB54" s="25">
        <f t="shared" si="134"/>
        <v>0</v>
      </c>
      <c r="AC54" s="25">
        <f t="shared" si="135"/>
        <v>0</v>
      </c>
      <c r="AD54" s="25"/>
      <c r="AE54" s="25">
        <f t="shared" si="136"/>
        <v>0</v>
      </c>
      <c r="AF54" s="25"/>
      <c r="AG54" s="25">
        <f t="shared" si="137"/>
        <v>0</v>
      </c>
      <c r="AH54" s="25">
        <f t="shared" si="138"/>
        <v>0</v>
      </c>
      <c r="AI54" s="26">
        <f t="shared" si="139"/>
        <v>0</v>
      </c>
      <c r="AJ54" s="25">
        <f t="shared" si="140"/>
        <v>0</v>
      </c>
      <c r="AK54" s="28">
        <f t="shared" si="141"/>
        <v>0</v>
      </c>
      <c r="AL54" s="25">
        <f t="shared" si="142"/>
        <v>0</v>
      </c>
    </row>
    <row r="55" spans="1:38" x14ac:dyDescent="0.25">
      <c r="A55" s="4"/>
      <c r="B55" s="4"/>
      <c r="C55" s="4"/>
      <c r="D55" s="4" t="s">
        <v>33</v>
      </c>
      <c r="E55" s="51"/>
      <c r="F55" s="4"/>
      <c r="G55" s="4"/>
      <c r="H55" s="4"/>
      <c r="I55" s="4"/>
      <c r="J55" s="4"/>
      <c r="K55" s="4"/>
      <c r="L55" s="4"/>
      <c r="M55" s="4"/>
      <c r="N55" s="4"/>
      <c r="O55" s="4">
        <f>SUM(O50:O54)</f>
        <v>0</v>
      </c>
      <c r="P55" s="13">
        <f>SUM(P50:P54)</f>
        <v>0</v>
      </c>
      <c r="Q55" s="13">
        <f>SUM(Q50:Q54)</f>
        <v>0</v>
      </c>
      <c r="R55" s="29">
        <f>SUM(R50:R54)</f>
        <v>0</v>
      </c>
      <c r="S55" s="13">
        <f t="shared" ref="S55:AL55" si="143">SUM(S50:S54)</f>
        <v>0</v>
      </c>
      <c r="T55" s="36">
        <f t="shared" si="143"/>
        <v>0</v>
      </c>
      <c r="U55" s="13">
        <f t="shared" si="143"/>
        <v>0</v>
      </c>
      <c r="V55" s="13">
        <f t="shared" si="143"/>
        <v>0</v>
      </c>
      <c r="W55" s="13">
        <f t="shared" si="143"/>
        <v>0</v>
      </c>
      <c r="X55" s="13">
        <f t="shared" si="143"/>
        <v>0</v>
      </c>
      <c r="Y55" s="13">
        <f t="shared" si="143"/>
        <v>0</v>
      </c>
      <c r="Z55" s="13">
        <f t="shared" si="143"/>
        <v>0</v>
      </c>
      <c r="AA55" s="13">
        <f t="shared" si="143"/>
        <v>0</v>
      </c>
      <c r="AB55" s="13">
        <f t="shared" si="143"/>
        <v>0</v>
      </c>
      <c r="AC55" s="13">
        <f t="shared" si="143"/>
        <v>0</v>
      </c>
      <c r="AD55" s="13">
        <f t="shared" si="143"/>
        <v>0</v>
      </c>
      <c r="AE55" s="13">
        <f t="shared" si="143"/>
        <v>0</v>
      </c>
      <c r="AF55" s="13">
        <f t="shared" si="143"/>
        <v>0</v>
      </c>
      <c r="AG55" s="13">
        <f t="shared" si="143"/>
        <v>0</v>
      </c>
      <c r="AH55" s="13">
        <f t="shared" si="143"/>
        <v>0</v>
      </c>
      <c r="AI55" s="13">
        <f t="shared" si="143"/>
        <v>0</v>
      </c>
      <c r="AJ55" s="13">
        <f t="shared" si="143"/>
        <v>0</v>
      </c>
      <c r="AK55" s="29">
        <f t="shared" si="143"/>
        <v>0</v>
      </c>
      <c r="AL55" s="13">
        <f t="shared" si="143"/>
        <v>0</v>
      </c>
    </row>
    <row r="56" spans="1:38" x14ac:dyDescent="0.25">
      <c r="E56" s="50"/>
      <c r="P56" s="25"/>
      <c r="Q56" s="25"/>
      <c r="R56" s="28"/>
      <c r="S56" s="25"/>
      <c r="T56" s="35"/>
      <c r="U56" s="25"/>
      <c r="V56" s="25"/>
      <c r="W56" s="52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8"/>
      <c r="AL56" s="25"/>
    </row>
    <row r="57" spans="1:38" x14ac:dyDescent="0.25">
      <c r="D57" t="s">
        <v>19</v>
      </c>
      <c r="E57" s="50">
        <v>1</v>
      </c>
      <c r="P57" s="25">
        <f>30.51*O57</f>
        <v>0</v>
      </c>
      <c r="Q57" s="25">
        <f>P57*13%</f>
        <v>0</v>
      </c>
      <c r="R57" s="28">
        <f>P57+Q57</f>
        <v>0</v>
      </c>
      <c r="S57" s="25">
        <f>O57*1.879</f>
        <v>0</v>
      </c>
      <c r="T57" s="35">
        <f>R57+S57</f>
        <v>0</v>
      </c>
      <c r="U57" s="25"/>
      <c r="V57" s="25"/>
      <c r="W57" s="52"/>
      <c r="X57" s="25"/>
      <c r="Y57" s="25"/>
      <c r="Z57" s="25"/>
      <c r="AA57" s="25"/>
      <c r="AB57" s="25"/>
      <c r="AC57" s="25"/>
      <c r="AD57" s="25"/>
      <c r="AE57" s="25"/>
      <c r="AF57" s="25"/>
      <c r="AG57" s="25">
        <f>Q57</f>
        <v>0</v>
      </c>
      <c r="AH57" s="25">
        <f>SUM(AD57+AF57+U57+W57+Y57+Z57+AA57+AB57+AG57)</f>
        <v>0</v>
      </c>
      <c r="AI57" s="25">
        <f>R57-AH57</f>
        <v>0</v>
      </c>
      <c r="AJ57" s="25">
        <f>O57*0.6</f>
        <v>0</v>
      </c>
      <c r="AK57" s="28">
        <f>AI57+AJ57</f>
        <v>0</v>
      </c>
      <c r="AL57" s="25">
        <f>R57*0.752%</f>
        <v>0</v>
      </c>
    </row>
    <row r="58" spans="1:38" x14ac:dyDescent="0.25">
      <c r="D58" t="s">
        <v>19</v>
      </c>
      <c r="E58" s="50">
        <v>6</v>
      </c>
      <c r="P58" s="25">
        <f t="shared" ref="P58:P61" si="144">30.51*O58</f>
        <v>0</v>
      </c>
      <c r="Q58" s="25">
        <f t="shared" ref="Q58:Q61" si="145">P58*13%</f>
        <v>0</v>
      </c>
      <c r="R58" s="28">
        <f t="shared" ref="R58:R61" si="146">P58+Q58</f>
        <v>0</v>
      </c>
      <c r="S58" s="25">
        <f t="shared" ref="S58:S61" si="147">O58*1.879</f>
        <v>0</v>
      </c>
      <c r="T58" s="35">
        <f t="shared" ref="T58:T61" si="148">R58+S58</f>
        <v>0</v>
      </c>
      <c r="U58" s="25"/>
      <c r="V58" s="25"/>
      <c r="W58" s="52"/>
      <c r="X58" s="25"/>
      <c r="Y58" s="25"/>
      <c r="Z58" s="25"/>
      <c r="AA58" s="25"/>
      <c r="AB58" s="25"/>
      <c r="AC58" s="25"/>
      <c r="AD58" s="25"/>
      <c r="AE58" s="25"/>
      <c r="AF58" s="25"/>
      <c r="AG58" s="25">
        <f t="shared" ref="AG58:AG61" si="149">Q58</f>
        <v>0</v>
      </c>
      <c r="AH58" s="25">
        <f t="shared" ref="AH58:AH61" si="150">SUM(AD58+AF58+U58+W58+Y58+Z58+AA58+AB58+AG58)</f>
        <v>0</v>
      </c>
      <c r="AI58" s="25">
        <f t="shared" ref="AI58:AI61" si="151">R58-AH58</f>
        <v>0</v>
      </c>
      <c r="AJ58" s="25">
        <f t="shared" ref="AJ58:AJ61" si="152">O58*0.6</f>
        <v>0</v>
      </c>
      <c r="AK58" s="28">
        <f t="shared" ref="AK58:AK61" si="153">AI58+AJ58</f>
        <v>0</v>
      </c>
      <c r="AL58" s="25">
        <f t="shared" ref="AL58:AL61" si="154">R58*0.752%</f>
        <v>0</v>
      </c>
    </row>
    <row r="59" spans="1:38" x14ac:dyDescent="0.25">
      <c r="D59" t="s">
        <v>19</v>
      </c>
      <c r="E59" s="50">
        <v>13</v>
      </c>
      <c r="P59" s="25">
        <f t="shared" si="144"/>
        <v>0</v>
      </c>
      <c r="Q59" s="25">
        <f t="shared" si="145"/>
        <v>0</v>
      </c>
      <c r="R59" s="28">
        <f t="shared" si="146"/>
        <v>0</v>
      </c>
      <c r="S59" s="25">
        <f t="shared" si="147"/>
        <v>0</v>
      </c>
      <c r="T59" s="35">
        <f t="shared" si="148"/>
        <v>0</v>
      </c>
      <c r="U59" s="25"/>
      <c r="V59" s="25"/>
      <c r="W59" s="52"/>
      <c r="X59" s="25"/>
      <c r="Y59" s="25"/>
      <c r="Z59" s="25"/>
      <c r="AA59" s="25"/>
      <c r="AB59" s="25"/>
      <c r="AC59" s="25"/>
      <c r="AD59" s="25"/>
      <c r="AE59" s="25"/>
      <c r="AF59" s="25"/>
      <c r="AG59" s="25">
        <f t="shared" si="149"/>
        <v>0</v>
      </c>
      <c r="AH59" s="25">
        <f t="shared" si="150"/>
        <v>0</v>
      </c>
      <c r="AI59" s="25">
        <f t="shared" si="151"/>
        <v>0</v>
      </c>
      <c r="AJ59" s="25">
        <f t="shared" si="152"/>
        <v>0</v>
      </c>
      <c r="AK59" s="28">
        <f t="shared" si="153"/>
        <v>0</v>
      </c>
      <c r="AL59" s="25">
        <f t="shared" si="154"/>
        <v>0</v>
      </c>
    </row>
    <row r="60" spans="1:38" x14ac:dyDescent="0.25">
      <c r="D60" t="s">
        <v>19</v>
      </c>
      <c r="E60" s="50">
        <v>20</v>
      </c>
      <c r="P60" s="25">
        <f t="shared" si="144"/>
        <v>0</v>
      </c>
      <c r="Q60" s="25">
        <f t="shared" si="145"/>
        <v>0</v>
      </c>
      <c r="R60" s="28">
        <f t="shared" si="146"/>
        <v>0</v>
      </c>
      <c r="S60" s="25">
        <f t="shared" si="147"/>
        <v>0</v>
      </c>
      <c r="T60" s="35">
        <f t="shared" si="148"/>
        <v>0</v>
      </c>
      <c r="U60" s="25"/>
      <c r="V60" s="25"/>
      <c r="W60" s="52"/>
      <c r="X60" s="25"/>
      <c r="Y60" s="25"/>
      <c r="Z60" s="25"/>
      <c r="AA60" s="25"/>
      <c r="AB60" s="25"/>
      <c r="AC60" s="25"/>
      <c r="AD60" s="25"/>
      <c r="AE60" s="25"/>
      <c r="AF60" s="25"/>
      <c r="AG60" s="25">
        <f t="shared" si="149"/>
        <v>0</v>
      </c>
      <c r="AH60" s="25">
        <f t="shared" si="150"/>
        <v>0</v>
      </c>
      <c r="AI60" s="25">
        <f t="shared" si="151"/>
        <v>0</v>
      </c>
      <c r="AJ60" s="25">
        <f t="shared" si="152"/>
        <v>0</v>
      </c>
      <c r="AK60" s="28">
        <f t="shared" si="153"/>
        <v>0</v>
      </c>
      <c r="AL60" s="25">
        <f t="shared" si="154"/>
        <v>0</v>
      </c>
    </row>
    <row r="61" spans="1:38" x14ac:dyDescent="0.25">
      <c r="D61" t="s">
        <v>19</v>
      </c>
      <c r="E61" s="50">
        <v>27</v>
      </c>
      <c r="O61">
        <v>0</v>
      </c>
      <c r="P61" s="25">
        <f t="shared" si="144"/>
        <v>0</v>
      </c>
      <c r="Q61" s="25">
        <f t="shared" si="145"/>
        <v>0</v>
      </c>
      <c r="R61" s="28">
        <f t="shared" si="146"/>
        <v>0</v>
      </c>
      <c r="S61" s="25">
        <f t="shared" si="147"/>
        <v>0</v>
      </c>
      <c r="T61" s="35">
        <f t="shared" si="148"/>
        <v>0</v>
      </c>
      <c r="U61" s="25"/>
      <c r="V61" s="25"/>
      <c r="W61" s="52"/>
      <c r="X61" s="25"/>
      <c r="Y61" s="25">
        <f t="shared" ref="Y61" si="155">R61*0.537%</f>
        <v>0</v>
      </c>
      <c r="Z61" s="25">
        <f t="shared" ref="Z61" si="156">R61*0.75%</f>
        <v>0</v>
      </c>
      <c r="AA61" s="25"/>
      <c r="AB61" s="25">
        <f t="shared" ref="AB61" si="157">1.7*O61</f>
        <v>0</v>
      </c>
      <c r="AC61" s="25">
        <f t="shared" ref="AC61" si="158">R61-Z61-AA61-AB61</f>
        <v>0</v>
      </c>
      <c r="AD61" s="25"/>
      <c r="AE61" s="25">
        <f t="shared" ref="AE61" si="159">T61-AB61</f>
        <v>0</v>
      </c>
      <c r="AF61" s="25"/>
      <c r="AG61" s="25">
        <f t="shared" si="149"/>
        <v>0</v>
      </c>
      <c r="AH61" s="25">
        <f t="shared" si="150"/>
        <v>0</v>
      </c>
      <c r="AI61" s="25">
        <f t="shared" si="151"/>
        <v>0</v>
      </c>
      <c r="AJ61" s="25">
        <f t="shared" si="152"/>
        <v>0</v>
      </c>
      <c r="AK61" s="28">
        <f t="shared" si="153"/>
        <v>0</v>
      </c>
      <c r="AL61" s="25">
        <f t="shared" si="154"/>
        <v>0</v>
      </c>
    </row>
    <row r="62" spans="1:38" x14ac:dyDescent="0.25">
      <c r="A62" s="4"/>
      <c r="B62" s="4"/>
      <c r="C62" s="4"/>
      <c r="D62" s="4" t="s">
        <v>33</v>
      </c>
      <c r="E62" s="51"/>
      <c r="F62" s="4"/>
      <c r="G62" s="4"/>
      <c r="H62" s="4"/>
      <c r="I62" s="4"/>
      <c r="J62" s="4"/>
      <c r="K62" s="4"/>
      <c r="L62" s="4"/>
      <c r="M62" s="4"/>
      <c r="N62" s="4"/>
      <c r="O62" s="4">
        <f>SUM(O57:O61)</f>
        <v>0</v>
      </c>
      <c r="P62" s="13">
        <f>SUM(P57:P61)</f>
        <v>0</v>
      </c>
      <c r="Q62" s="13">
        <f>SUM(Q57:Q61)</f>
        <v>0</v>
      </c>
      <c r="R62" s="29">
        <f>SUM(R57:R61)</f>
        <v>0</v>
      </c>
      <c r="S62" s="13">
        <f t="shared" ref="S62:AL62" si="160">SUM(S57:S61)</f>
        <v>0</v>
      </c>
      <c r="T62" s="36">
        <f t="shared" si="160"/>
        <v>0</v>
      </c>
      <c r="U62" s="13">
        <f t="shared" si="160"/>
        <v>0</v>
      </c>
      <c r="V62" s="13">
        <f t="shared" si="160"/>
        <v>0</v>
      </c>
      <c r="W62" s="13">
        <f t="shared" si="160"/>
        <v>0</v>
      </c>
      <c r="X62" s="13">
        <f t="shared" si="160"/>
        <v>0</v>
      </c>
      <c r="Y62" s="13">
        <f t="shared" si="160"/>
        <v>0</v>
      </c>
      <c r="Z62" s="13">
        <f t="shared" si="160"/>
        <v>0</v>
      </c>
      <c r="AA62" s="13">
        <f t="shared" si="160"/>
        <v>0</v>
      </c>
      <c r="AB62" s="13">
        <f t="shared" si="160"/>
        <v>0</v>
      </c>
      <c r="AC62" s="13">
        <f t="shared" si="160"/>
        <v>0</v>
      </c>
      <c r="AD62" s="13">
        <f t="shared" si="160"/>
        <v>0</v>
      </c>
      <c r="AE62" s="13">
        <f t="shared" si="160"/>
        <v>0</v>
      </c>
      <c r="AF62" s="13">
        <f t="shared" si="160"/>
        <v>0</v>
      </c>
      <c r="AG62" s="13">
        <f t="shared" si="160"/>
        <v>0</v>
      </c>
      <c r="AH62" s="13">
        <f t="shared" si="160"/>
        <v>0</v>
      </c>
      <c r="AI62" s="13">
        <f t="shared" si="160"/>
        <v>0</v>
      </c>
      <c r="AJ62" s="13">
        <f t="shared" si="160"/>
        <v>0</v>
      </c>
      <c r="AK62" s="29">
        <f t="shared" si="160"/>
        <v>0</v>
      </c>
      <c r="AL62" s="13">
        <f t="shared" si="160"/>
        <v>0</v>
      </c>
    </row>
    <row r="63" spans="1:38" x14ac:dyDescent="0.25">
      <c r="E63" s="50"/>
      <c r="P63" s="25"/>
      <c r="Q63" s="25"/>
      <c r="R63" s="28"/>
      <c r="S63" s="25"/>
      <c r="T63" s="35"/>
      <c r="U63" s="25"/>
      <c r="V63" s="25"/>
      <c r="W63" s="52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8"/>
      <c r="AL63" s="25"/>
    </row>
    <row r="64" spans="1:38" x14ac:dyDescent="0.25">
      <c r="D64" t="s">
        <v>20</v>
      </c>
      <c r="E64" s="50"/>
      <c r="P64" s="25">
        <f>30.51*O64</f>
        <v>0</v>
      </c>
      <c r="Q64" s="25">
        <f>P64*13%</f>
        <v>0</v>
      </c>
      <c r="R64" s="28">
        <f>P64+Q64</f>
        <v>0</v>
      </c>
      <c r="S64" s="25">
        <f>O64*1.879</f>
        <v>0</v>
      </c>
      <c r="T64" s="35">
        <f>R64+S64</f>
        <v>0</v>
      </c>
      <c r="U64" s="25"/>
      <c r="V64" s="25"/>
      <c r="W64" s="52"/>
      <c r="X64" s="25"/>
      <c r="Y64" s="25"/>
      <c r="Z64" s="25"/>
      <c r="AA64" s="25"/>
      <c r="AB64" s="25"/>
      <c r="AC64" s="25"/>
      <c r="AD64" s="25"/>
      <c r="AE64" s="25"/>
      <c r="AF64" s="25"/>
      <c r="AG64" s="25">
        <f>Q64</f>
        <v>0</v>
      </c>
      <c r="AH64" s="25">
        <f>SUM(U64+W64+Y64+Z64+AA64+AB64+AD64+AF64+AG64)</f>
        <v>0</v>
      </c>
      <c r="AI64" s="25">
        <f>R64-AH64</f>
        <v>0</v>
      </c>
      <c r="AJ64" s="25">
        <f>O64*0.6</f>
        <v>0</v>
      </c>
      <c r="AK64" s="28">
        <f>AI64+AJ64</f>
        <v>0</v>
      </c>
      <c r="AL64" s="25">
        <f>R64*0.752%</f>
        <v>0</v>
      </c>
    </row>
    <row r="65" spans="1:38" x14ac:dyDescent="0.25">
      <c r="D65" t="s">
        <v>20</v>
      </c>
      <c r="E65" s="50">
        <v>4</v>
      </c>
      <c r="P65" s="25">
        <f t="shared" ref="P65:P68" si="161">30.51*O65</f>
        <v>0</v>
      </c>
      <c r="Q65" s="25">
        <f t="shared" ref="Q65:Q68" si="162">P65*13%</f>
        <v>0</v>
      </c>
      <c r="R65" s="28">
        <f t="shared" ref="R65:R68" si="163">P65+Q65</f>
        <v>0</v>
      </c>
      <c r="S65" s="25">
        <f t="shared" ref="S65:S68" si="164">O65*1.879</f>
        <v>0</v>
      </c>
      <c r="T65" s="35">
        <f t="shared" ref="T65:T68" si="165">R65+S65</f>
        <v>0</v>
      </c>
      <c r="U65" s="25"/>
      <c r="V65" s="25"/>
      <c r="W65" s="52"/>
      <c r="X65" s="25"/>
      <c r="Y65" s="25"/>
      <c r="Z65" s="25"/>
      <c r="AA65" s="25"/>
      <c r="AB65" s="25"/>
      <c r="AC65" s="25"/>
      <c r="AD65" s="25"/>
      <c r="AE65" s="25"/>
      <c r="AF65" s="25"/>
      <c r="AG65" s="25">
        <f t="shared" ref="AG65:AG68" si="166">Q65</f>
        <v>0</v>
      </c>
      <c r="AH65" s="25">
        <f t="shared" ref="AH65:AH68" si="167">SUM(U65+W65+Y65+Z65+AA65+AB65+AD65+AF65+AG65)</f>
        <v>0</v>
      </c>
      <c r="AI65" s="25">
        <f t="shared" ref="AI65:AI68" si="168">R65-AH65</f>
        <v>0</v>
      </c>
      <c r="AJ65" s="25">
        <f t="shared" ref="AJ65:AJ68" si="169">O65*0.6</f>
        <v>0</v>
      </c>
      <c r="AK65" s="28">
        <f t="shared" ref="AK65:AK68" si="170">AI65+AJ65</f>
        <v>0</v>
      </c>
      <c r="AL65" s="25">
        <f t="shared" ref="AL65:AL68" si="171">R65*0.752%</f>
        <v>0</v>
      </c>
    </row>
    <row r="66" spans="1:38" x14ac:dyDescent="0.25">
      <c r="D66" t="s">
        <v>20</v>
      </c>
      <c r="E66" s="50">
        <v>11</v>
      </c>
      <c r="P66" s="25">
        <f t="shared" si="161"/>
        <v>0</v>
      </c>
      <c r="Q66" s="25">
        <f t="shared" si="162"/>
        <v>0</v>
      </c>
      <c r="R66" s="28">
        <f t="shared" si="163"/>
        <v>0</v>
      </c>
      <c r="S66" s="25">
        <f t="shared" si="164"/>
        <v>0</v>
      </c>
      <c r="T66" s="35">
        <f t="shared" si="165"/>
        <v>0</v>
      </c>
      <c r="U66" s="25"/>
      <c r="V66" s="25"/>
      <c r="W66" s="52"/>
      <c r="X66" s="25"/>
      <c r="Y66" s="25"/>
      <c r="Z66" s="25"/>
      <c r="AA66" s="25"/>
      <c r="AB66" s="25"/>
      <c r="AC66" s="25"/>
      <c r="AD66" s="25"/>
      <c r="AE66" s="25"/>
      <c r="AF66" s="25"/>
      <c r="AG66" s="25">
        <f t="shared" si="166"/>
        <v>0</v>
      </c>
      <c r="AH66" s="25">
        <f t="shared" si="167"/>
        <v>0</v>
      </c>
      <c r="AI66" s="25">
        <f t="shared" si="168"/>
        <v>0</v>
      </c>
      <c r="AJ66" s="25">
        <f t="shared" si="169"/>
        <v>0</v>
      </c>
      <c r="AK66" s="28">
        <f t="shared" si="170"/>
        <v>0</v>
      </c>
      <c r="AL66" s="25">
        <f t="shared" si="171"/>
        <v>0</v>
      </c>
    </row>
    <row r="67" spans="1:38" x14ac:dyDescent="0.25">
      <c r="D67" t="s">
        <v>20</v>
      </c>
      <c r="E67" s="50">
        <v>18</v>
      </c>
      <c r="P67" s="25">
        <f t="shared" si="161"/>
        <v>0</v>
      </c>
      <c r="Q67" s="25">
        <f t="shared" si="162"/>
        <v>0</v>
      </c>
      <c r="R67" s="28">
        <f t="shared" si="163"/>
        <v>0</v>
      </c>
      <c r="S67" s="25">
        <f t="shared" si="164"/>
        <v>0</v>
      </c>
      <c r="T67" s="35">
        <f t="shared" si="165"/>
        <v>0</v>
      </c>
      <c r="U67" s="25"/>
      <c r="V67" s="25"/>
      <c r="W67" s="52"/>
      <c r="X67" s="25"/>
      <c r="Y67" s="25"/>
      <c r="Z67" s="25"/>
      <c r="AA67" s="25"/>
      <c r="AB67" s="25"/>
      <c r="AC67" s="25"/>
      <c r="AD67" s="25"/>
      <c r="AE67" s="25"/>
      <c r="AF67" s="25"/>
      <c r="AG67" s="25">
        <f t="shared" si="166"/>
        <v>0</v>
      </c>
      <c r="AH67" s="25">
        <f t="shared" si="167"/>
        <v>0</v>
      </c>
      <c r="AI67" s="25">
        <f>R67-AH67</f>
        <v>0</v>
      </c>
      <c r="AJ67" s="25">
        <f t="shared" si="169"/>
        <v>0</v>
      </c>
      <c r="AK67" s="28">
        <f t="shared" si="170"/>
        <v>0</v>
      </c>
      <c r="AL67" s="25">
        <f t="shared" si="171"/>
        <v>0</v>
      </c>
    </row>
    <row r="68" spans="1:38" x14ac:dyDescent="0.25">
      <c r="D68" t="s">
        <v>20</v>
      </c>
      <c r="E68" s="50">
        <v>25</v>
      </c>
      <c r="P68" s="25">
        <f t="shared" si="161"/>
        <v>0</v>
      </c>
      <c r="Q68" s="25">
        <f t="shared" si="162"/>
        <v>0</v>
      </c>
      <c r="R68" s="28">
        <f t="shared" si="163"/>
        <v>0</v>
      </c>
      <c r="S68" s="25">
        <f t="shared" si="164"/>
        <v>0</v>
      </c>
      <c r="T68" s="35">
        <f t="shared" si="165"/>
        <v>0</v>
      </c>
      <c r="U68" s="25"/>
      <c r="V68" s="25"/>
      <c r="W68" s="52"/>
      <c r="X68" s="25"/>
      <c r="Y68" s="25"/>
      <c r="Z68" s="25"/>
      <c r="AA68" s="25"/>
      <c r="AB68" s="25"/>
      <c r="AC68" s="25"/>
      <c r="AD68" s="25"/>
      <c r="AE68" s="25"/>
      <c r="AF68" s="25"/>
      <c r="AG68" s="25">
        <f t="shared" si="166"/>
        <v>0</v>
      </c>
      <c r="AH68" s="25">
        <f t="shared" si="167"/>
        <v>0</v>
      </c>
      <c r="AI68" s="25">
        <f t="shared" si="168"/>
        <v>0</v>
      </c>
      <c r="AJ68" s="25">
        <f t="shared" si="169"/>
        <v>0</v>
      </c>
      <c r="AK68" s="28">
        <f t="shared" si="170"/>
        <v>0</v>
      </c>
      <c r="AL68" s="25">
        <f t="shared" si="171"/>
        <v>0</v>
      </c>
    </row>
    <row r="69" spans="1:38" x14ac:dyDescent="0.25">
      <c r="A69" s="4"/>
      <c r="B69" s="4"/>
      <c r="C69" s="4"/>
      <c r="D69" s="4" t="s">
        <v>33</v>
      </c>
      <c r="E69" s="51"/>
      <c r="F69" s="4"/>
      <c r="G69" s="4"/>
      <c r="H69" s="4"/>
      <c r="I69" s="4"/>
      <c r="J69" s="4"/>
      <c r="K69" s="4"/>
      <c r="L69" s="4"/>
      <c r="M69" s="4"/>
      <c r="N69" s="4"/>
      <c r="O69" s="4">
        <f>SUM(O64:O68)</f>
        <v>0</v>
      </c>
      <c r="P69" s="13">
        <f>SUM(P64:P68)</f>
        <v>0</v>
      </c>
      <c r="Q69" s="13">
        <f>SUM(Q64:Q68)</f>
        <v>0</v>
      </c>
      <c r="R69" s="29">
        <f>SUM(R64:R68)</f>
        <v>0</v>
      </c>
      <c r="S69" s="13">
        <f t="shared" ref="S69:AL69" si="172">SUM(S64:S68)</f>
        <v>0</v>
      </c>
      <c r="T69" s="36">
        <f t="shared" si="172"/>
        <v>0</v>
      </c>
      <c r="U69" s="13">
        <f t="shared" si="172"/>
        <v>0</v>
      </c>
      <c r="V69" s="13">
        <f t="shared" si="172"/>
        <v>0</v>
      </c>
      <c r="W69" s="13">
        <f t="shared" si="172"/>
        <v>0</v>
      </c>
      <c r="X69" s="13">
        <f t="shared" si="172"/>
        <v>0</v>
      </c>
      <c r="Y69" s="13">
        <f t="shared" si="172"/>
        <v>0</v>
      </c>
      <c r="Z69" s="13">
        <f t="shared" si="172"/>
        <v>0</v>
      </c>
      <c r="AA69" s="13">
        <f t="shared" si="172"/>
        <v>0</v>
      </c>
      <c r="AB69" s="13">
        <f t="shared" si="172"/>
        <v>0</v>
      </c>
      <c r="AC69" s="13">
        <f t="shared" si="172"/>
        <v>0</v>
      </c>
      <c r="AD69" s="13">
        <f t="shared" si="172"/>
        <v>0</v>
      </c>
      <c r="AE69" s="13">
        <f t="shared" si="172"/>
        <v>0</v>
      </c>
      <c r="AF69" s="13">
        <f t="shared" si="172"/>
        <v>0</v>
      </c>
      <c r="AG69" s="13">
        <f t="shared" si="172"/>
        <v>0</v>
      </c>
      <c r="AH69" s="13">
        <f>SUM(AH64:AH68)</f>
        <v>0</v>
      </c>
      <c r="AI69" s="13">
        <f>SUM(AI64:AI68)</f>
        <v>0</v>
      </c>
      <c r="AJ69" s="13">
        <f t="shared" si="172"/>
        <v>0</v>
      </c>
      <c r="AK69" s="29">
        <f t="shared" si="172"/>
        <v>0</v>
      </c>
      <c r="AL69" s="13">
        <f t="shared" si="172"/>
        <v>0</v>
      </c>
    </row>
    <row r="70" spans="1:38" x14ac:dyDescent="0.25">
      <c r="E70" s="50"/>
      <c r="P70" s="25"/>
      <c r="Q70" s="25"/>
      <c r="R70" s="28"/>
      <c r="S70" s="25"/>
      <c r="T70" s="35"/>
      <c r="U70" s="25"/>
      <c r="V70" s="25"/>
      <c r="W70" s="52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8"/>
      <c r="AL70" s="25"/>
    </row>
    <row r="71" spans="1:38" x14ac:dyDescent="0.25">
      <c r="D71" t="s">
        <v>21</v>
      </c>
      <c r="E71" s="50">
        <v>1</v>
      </c>
      <c r="F71" s="11"/>
      <c r="G71" s="11"/>
      <c r="H71" s="11"/>
      <c r="I71" s="11"/>
      <c r="J71" s="11"/>
      <c r="K71" s="11"/>
      <c r="L71" s="11"/>
      <c r="O71">
        <v>0</v>
      </c>
      <c r="P71" s="25">
        <f>30.51*O71</f>
        <v>0</v>
      </c>
      <c r="Q71" s="25">
        <f>P71*13%</f>
        <v>0</v>
      </c>
      <c r="R71" s="28">
        <f>P71+Q71</f>
        <v>0</v>
      </c>
      <c r="S71" s="25">
        <f>O71*1.879</f>
        <v>0</v>
      </c>
      <c r="T71" s="35">
        <f>R71+S71</f>
        <v>0</v>
      </c>
      <c r="U71" s="25"/>
      <c r="V71" s="25"/>
      <c r="W71" s="52"/>
      <c r="X71" s="25"/>
      <c r="Y71" s="25">
        <f>R71*0.537%</f>
        <v>0</v>
      </c>
      <c r="Z71" s="25">
        <f>R71*0.75%</f>
        <v>0</v>
      </c>
      <c r="AA71" s="25"/>
      <c r="AB71" s="25">
        <f>1.7*O71</f>
        <v>0</v>
      </c>
      <c r="AC71" s="25">
        <f>R71-Z71-AA71-AB71</f>
        <v>0</v>
      </c>
      <c r="AD71" s="25"/>
      <c r="AE71" s="25">
        <f>T71-AB71</f>
        <v>0</v>
      </c>
      <c r="AF71" s="25"/>
      <c r="AG71" s="25">
        <f>Q71</f>
        <v>0</v>
      </c>
      <c r="AH71" s="25">
        <f>SUM(U71+W71+Y71+Z71+AA71+AB71+AD71+AF71+AG71)</f>
        <v>0</v>
      </c>
      <c r="AI71" s="25">
        <f>R71-AH71</f>
        <v>0</v>
      </c>
      <c r="AJ71" s="25">
        <f>O71*0.6</f>
        <v>0</v>
      </c>
      <c r="AK71" s="28">
        <f>AI71+AJ71</f>
        <v>0</v>
      </c>
      <c r="AL71" s="25">
        <f>R71*0.752%</f>
        <v>0</v>
      </c>
    </row>
    <row r="72" spans="1:38" x14ac:dyDescent="0.25">
      <c r="D72" t="s">
        <v>21</v>
      </c>
      <c r="E72" s="50">
        <v>8</v>
      </c>
      <c r="P72" s="25">
        <f t="shared" ref="P72:P75" si="173">30.51*O72</f>
        <v>0</v>
      </c>
      <c r="Q72" s="25">
        <f t="shared" ref="Q72:Q75" si="174">P72*13%</f>
        <v>0</v>
      </c>
      <c r="R72" s="28">
        <f t="shared" ref="R72:R75" si="175">P72+Q72</f>
        <v>0</v>
      </c>
      <c r="S72" s="25">
        <f t="shared" ref="S72:S75" si="176">O72*1.879</f>
        <v>0</v>
      </c>
      <c r="T72" s="35">
        <f t="shared" ref="T72:T75" si="177">R72+S72</f>
        <v>0</v>
      </c>
      <c r="U72" s="25"/>
      <c r="V72" s="25"/>
      <c r="W72" s="52"/>
      <c r="X72" s="25"/>
      <c r="Y72" s="25"/>
      <c r="Z72" s="25"/>
      <c r="AA72" s="25"/>
      <c r="AB72" s="25"/>
      <c r="AC72" s="25"/>
      <c r="AD72" s="25"/>
      <c r="AE72" s="25"/>
      <c r="AF72" s="25"/>
      <c r="AG72" s="25">
        <f t="shared" ref="AG72:AG75" si="178">Q72</f>
        <v>0</v>
      </c>
      <c r="AH72" s="25">
        <f>SUM(U72+W72+Y72+Z72+AA72+AB72+AD72+AF72+AG72)</f>
        <v>0</v>
      </c>
      <c r="AI72" s="25">
        <f>R72-AH72</f>
        <v>0</v>
      </c>
      <c r="AJ72" s="25">
        <f t="shared" ref="AJ72:AJ75" si="179">O72*0.6</f>
        <v>0</v>
      </c>
      <c r="AK72" s="28">
        <f t="shared" ref="AK72:AK75" si="180">AI72+AJ72</f>
        <v>0</v>
      </c>
      <c r="AL72" s="25">
        <f t="shared" ref="AL72:AL75" si="181">R72*0.752%</f>
        <v>0</v>
      </c>
    </row>
    <row r="73" spans="1:38" x14ac:dyDescent="0.25">
      <c r="D73" t="s">
        <v>21</v>
      </c>
      <c r="E73" s="50">
        <v>15</v>
      </c>
      <c r="P73" s="25">
        <f t="shared" si="173"/>
        <v>0</v>
      </c>
      <c r="Q73" s="25">
        <f t="shared" si="174"/>
        <v>0</v>
      </c>
      <c r="R73" s="28">
        <f t="shared" si="175"/>
        <v>0</v>
      </c>
      <c r="S73" s="25">
        <f t="shared" si="176"/>
        <v>0</v>
      </c>
      <c r="T73" s="35">
        <f t="shared" si="177"/>
        <v>0</v>
      </c>
      <c r="U73" s="25"/>
      <c r="V73" s="25"/>
      <c r="W73" s="52"/>
      <c r="X73" s="25"/>
      <c r="Y73" s="25"/>
      <c r="Z73" s="25"/>
      <c r="AA73" s="25"/>
      <c r="AB73" s="25"/>
      <c r="AC73" s="25"/>
      <c r="AD73" s="25"/>
      <c r="AE73" s="25"/>
      <c r="AF73" s="25"/>
      <c r="AG73" s="25">
        <f t="shared" si="178"/>
        <v>0</v>
      </c>
      <c r="AH73" s="25">
        <f t="shared" ref="AH73:AH75" si="182">SUM(U73+W73+Y73+Z73+AA73+AB73+AD73+AF73+AG73)</f>
        <v>0</v>
      </c>
      <c r="AI73" s="25">
        <f t="shared" ref="AI73:AI75" si="183">R73-AH73</f>
        <v>0</v>
      </c>
      <c r="AJ73" s="25">
        <f t="shared" si="179"/>
        <v>0</v>
      </c>
      <c r="AK73" s="28">
        <f t="shared" si="180"/>
        <v>0</v>
      </c>
      <c r="AL73" s="25">
        <f t="shared" si="181"/>
        <v>0</v>
      </c>
    </row>
    <row r="74" spans="1:38" x14ac:dyDescent="0.25">
      <c r="D74" t="s">
        <v>21</v>
      </c>
      <c r="E74" s="50">
        <v>22</v>
      </c>
      <c r="P74" s="25">
        <f t="shared" si="173"/>
        <v>0</v>
      </c>
      <c r="Q74" s="25">
        <f t="shared" si="174"/>
        <v>0</v>
      </c>
      <c r="R74" s="28">
        <f t="shared" si="175"/>
        <v>0</v>
      </c>
      <c r="S74" s="25">
        <f t="shared" si="176"/>
        <v>0</v>
      </c>
      <c r="T74" s="35">
        <f t="shared" si="177"/>
        <v>0</v>
      </c>
      <c r="U74" s="25"/>
      <c r="V74" s="25"/>
      <c r="W74" s="52"/>
      <c r="X74" s="25"/>
      <c r="Y74" s="25"/>
      <c r="Z74" s="25"/>
      <c r="AA74" s="25"/>
      <c r="AB74" s="25"/>
      <c r="AC74" s="25"/>
      <c r="AD74" s="25"/>
      <c r="AE74" s="25"/>
      <c r="AF74" s="25"/>
      <c r="AG74" s="25">
        <f t="shared" si="178"/>
        <v>0</v>
      </c>
      <c r="AH74" s="25">
        <f t="shared" si="182"/>
        <v>0</v>
      </c>
      <c r="AI74" s="25">
        <f t="shared" si="183"/>
        <v>0</v>
      </c>
      <c r="AJ74" s="25">
        <f t="shared" si="179"/>
        <v>0</v>
      </c>
      <c r="AK74" s="28">
        <f t="shared" si="180"/>
        <v>0</v>
      </c>
      <c r="AL74" s="25">
        <f t="shared" si="181"/>
        <v>0</v>
      </c>
    </row>
    <row r="75" spans="1:38" x14ac:dyDescent="0.25">
      <c r="D75" t="s">
        <v>21</v>
      </c>
      <c r="E75" s="50">
        <v>29</v>
      </c>
      <c r="P75" s="25">
        <f t="shared" si="173"/>
        <v>0</v>
      </c>
      <c r="Q75" s="25">
        <f t="shared" si="174"/>
        <v>0</v>
      </c>
      <c r="R75" s="28">
        <f t="shared" si="175"/>
        <v>0</v>
      </c>
      <c r="S75" s="25">
        <f t="shared" si="176"/>
        <v>0</v>
      </c>
      <c r="T75" s="35">
        <f t="shared" si="177"/>
        <v>0</v>
      </c>
      <c r="U75" s="25"/>
      <c r="V75" s="25"/>
      <c r="W75" s="52"/>
      <c r="X75" s="25"/>
      <c r="Y75" s="25">
        <f t="shared" ref="Y75" si="184">R75*0.537%</f>
        <v>0</v>
      </c>
      <c r="Z75" s="25">
        <f t="shared" ref="Z75" si="185">R75*0.75%</f>
        <v>0</v>
      </c>
      <c r="AA75" s="25"/>
      <c r="AB75" s="25">
        <f t="shared" ref="AB75" si="186">1.7*O75</f>
        <v>0</v>
      </c>
      <c r="AC75" s="25">
        <f t="shared" ref="AC75" si="187">R75-Z75-AA75-AB75</f>
        <v>0</v>
      </c>
      <c r="AD75" s="25"/>
      <c r="AE75" s="25">
        <f t="shared" ref="AE75" si="188">T75-AB75</f>
        <v>0</v>
      </c>
      <c r="AF75" s="25"/>
      <c r="AG75" s="25">
        <f t="shared" si="178"/>
        <v>0</v>
      </c>
      <c r="AH75" s="25">
        <f t="shared" si="182"/>
        <v>0</v>
      </c>
      <c r="AI75" s="25">
        <f t="shared" si="183"/>
        <v>0</v>
      </c>
      <c r="AJ75" s="25">
        <f t="shared" si="179"/>
        <v>0</v>
      </c>
      <c r="AK75" s="28">
        <f t="shared" si="180"/>
        <v>0</v>
      </c>
      <c r="AL75" s="25">
        <f t="shared" si="181"/>
        <v>0</v>
      </c>
    </row>
    <row r="76" spans="1:38" x14ac:dyDescent="0.25">
      <c r="A76" s="4"/>
      <c r="B76" s="4"/>
      <c r="C76" s="4"/>
      <c r="D76" s="4" t="s">
        <v>33</v>
      </c>
      <c r="E76" s="51"/>
      <c r="F76" s="4"/>
      <c r="G76" s="4"/>
      <c r="H76" s="4"/>
      <c r="I76" s="4"/>
      <c r="J76" s="4"/>
      <c r="K76" s="4"/>
      <c r="L76" s="4"/>
      <c r="M76" s="4"/>
      <c r="N76" s="4"/>
      <c r="O76" s="4">
        <f>SUM(O71:O75)</f>
        <v>0</v>
      </c>
      <c r="P76" s="13">
        <f>SUM(P71:P75)</f>
        <v>0</v>
      </c>
      <c r="Q76" s="13">
        <f>SUM(Q71:Q75)</f>
        <v>0</v>
      </c>
      <c r="R76" s="29">
        <f>SUM(R71:R75)</f>
        <v>0</v>
      </c>
      <c r="S76" s="13">
        <f t="shared" ref="S76:AL76" si="189">SUM(S71:S75)</f>
        <v>0</v>
      </c>
      <c r="T76" s="36">
        <f t="shared" si="189"/>
        <v>0</v>
      </c>
      <c r="U76" s="13">
        <f t="shared" si="189"/>
        <v>0</v>
      </c>
      <c r="V76" s="13">
        <f t="shared" si="189"/>
        <v>0</v>
      </c>
      <c r="W76" s="13">
        <f t="shared" si="189"/>
        <v>0</v>
      </c>
      <c r="X76" s="13">
        <f t="shared" si="189"/>
        <v>0</v>
      </c>
      <c r="Y76" s="13">
        <f t="shared" si="189"/>
        <v>0</v>
      </c>
      <c r="Z76" s="13">
        <f t="shared" si="189"/>
        <v>0</v>
      </c>
      <c r="AA76" s="13">
        <f t="shared" si="189"/>
        <v>0</v>
      </c>
      <c r="AB76" s="13">
        <f t="shared" si="189"/>
        <v>0</v>
      </c>
      <c r="AC76" s="13">
        <f t="shared" si="189"/>
        <v>0</v>
      </c>
      <c r="AD76" s="13">
        <f t="shared" si="189"/>
        <v>0</v>
      </c>
      <c r="AE76" s="13">
        <f t="shared" si="189"/>
        <v>0</v>
      </c>
      <c r="AF76" s="13">
        <f t="shared" si="189"/>
        <v>0</v>
      </c>
      <c r="AG76" s="13">
        <f t="shared" si="189"/>
        <v>0</v>
      </c>
      <c r="AH76" s="13">
        <f t="shared" si="189"/>
        <v>0</v>
      </c>
      <c r="AI76" s="13">
        <f t="shared" si="189"/>
        <v>0</v>
      </c>
      <c r="AJ76" s="13">
        <f t="shared" si="189"/>
        <v>0</v>
      </c>
      <c r="AK76" s="29">
        <f t="shared" si="189"/>
        <v>0</v>
      </c>
      <c r="AL76" s="13">
        <f t="shared" si="189"/>
        <v>0</v>
      </c>
    </row>
    <row r="77" spans="1:38" x14ac:dyDescent="0.25">
      <c r="E77" s="50"/>
      <c r="O77" s="1"/>
      <c r="P77" s="25"/>
      <c r="Q77" s="25"/>
      <c r="R77" s="28"/>
      <c r="S77" s="25"/>
      <c r="T77" s="35"/>
      <c r="U77" s="25"/>
      <c r="V77" s="25"/>
      <c r="W77" s="52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8"/>
      <c r="AL77" s="25"/>
    </row>
    <row r="78" spans="1:38" x14ac:dyDescent="0.25">
      <c r="D78" t="s">
        <v>22</v>
      </c>
      <c r="E78" s="50">
        <v>1</v>
      </c>
      <c r="O78" s="8">
        <v>0</v>
      </c>
      <c r="P78" s="25">
        <f>30.51*O78</f>
        <v>0</v>
      </c>
      <c r="Q78" s="25">
        <f>P78*13%</f>
        <v>0</v>
      </c>
      <c r="R78" s="28">
        <f>P78+Q78</f>
        <v>0</v>
      </c>
      <c r="S78" s="25">
        <f>O78*1.879</f>
        <v>0</v>
      </c>
      <c r="T78" s="35">
        <f>R78+S78</f>
        <v>0</v>
      </c>
      <c r="U78" s="25"/>
      <c r="V78" s="25"/>
      <c r="W78" s="52"/>
      <c r="X78" s="25"/>
      <c r="Y78" s="25">
        <f>R78*0.537%</f>
        <v>0</v>
      </c>
      <c r="Z78" s="25">
        <f>R78*0.75%</f>
        <v>0</v>
      </c>
      <c r="AA78" s="25"/>
      <c r="AB78" s="25">
        <f>1.7*O78</f>
        <v>0</v>
      </c>
      <c r="AC78" s="25">
        <f>R78-Z78-AA78-AB78</f>
        <v>0</v>
      </c>
      <c r="AD78" s="25"/>
      <c r="AE78" s="25">
        <f>T78-AB78</f>
        <v>0</v>
      </c>
      <c r="AF78" s="25"/>
      <c r="AG78" s="25">
        <f>Q78</f>
        <v>0</v>
      </c>
      <c r="AH78" s="25">
        <f>SUM(U78+W78+Y78+Z78+AA78+AB78+AD78+AF78+AG78)</f>
        <v>0</v>
      </c>
      <c r="AI78" s="25">
        <f>R78-AH78</f>
        <v>0</v>
      </c>
      <c r="AJ78" s="25">
        <f>O78*0.6</f>
        <v>0</v>
      </c>
      <c r="AK78" s="28">
        <f>AI78+AJ78</f>
        <v>0</v>
      </c>
      <c r="AL78" s="25">
        <f>R78*0.752%</f>
        <v>0</v>
      </c>
    </row>
    <row r="79" spans="1:38" x14ac:dyDescent="0.25">
      <c r="D79" t="s">
        <v>22</v>
      </c>
      <c r="E79" s="50">
        <v>6</v>
      </c>
      <c r="O79" s="8"/>
      <c r="P79" s="25">
        <f t="shared" ref="P79:P82" si="190">30.51*O79</f>
        <v>0</v>
      </c>
      <c r="Q79" s="25">
        <f t="shared" ref="Q79:Q82" si="191">P79*13%</f>
        <v>0</v>
      </c>
      <c r="R79" s="28">
        <f t="shared" ref="R79:R82" si="192">P79+Q79</f>
        <v>0</v>
      </c>
      <c r="S79" s="25">
        <f t="shared" ref="S79:S82" si="193">O79*1.879</f>
        <v>0</v>
      </c>
      <c r="T79" s="35">
        <f t="shared" ref="T79:T82" si="194">R79+S79</f>
        <v>0</v>
      </c>
      <c r="U79" s="25"/>
      <c r="V79" s="25"/>
      <c r="W79" s="52"/>
      <c r="X79" s="25"/>
      <c r="Y79" s="25"/>
      <c r="Z79" s="25"/>
      <c r="AA79" s="25"/>
      <c r="AB79" s="25"/>
      <c r="AC79" s="25"/>
      <c r="AD79" s="25"/>
      <c r="AE79" s="25"/>
      <c r="AF79" s="25"/>
      <c r="AG79" s="25">
        <f t="shared" ref="AG79:AG82" si="195">Q79</f>
        <v>0</v>
      </c>
      <c r="AH79" s="25">
        <f t="shared" ref="AH79:AH82" si="196">SUM(U79+W79+Y79+Z79+AA79+AB79+AD79+AF79+AG79)</f>
        <v>0</v>
      </c>
      <c r="AI79" s="25">
        <f t="shared" ref="AI79:AI82" si="197">R79-AH79</f>
        <v>0</v>
      </c>
      <c r="AJ79" s="25">
        <f t="shared" ref="AJ79:AJ82" si="198">O79*0.6</f>
        <v>0</v>
      </c>
      <c r="AK79" s="28">
        <f t="shared" ref="AK79:AK82" si="199">AI79+AJ79</f>
        <v>0</v>
      </c>
      <c r="AL79" s="25">
        <f t="shared" ref="AL79:AL82" si="200">R79*0.752%</f>
        <v>0</v>
      </c>
    </row>
    <row r="80" spans="1:38" x14ac:dyDescent="0.25">
      <c r="D80" t="s">
        <v>22</v>
      </c>
      <c r="E80" s="50">
        <v>13</v>
      </c>
      <c r="O80" s="8"/>
      <c r="P80" s="25">
        <f t="shared" si="190"/>
        <v>0</v>
      </c>
      <c r="Q80" s="25">
        <f t="shared" si="191"/>
        <v>0</v>
      </c>
      <c r="R80" s="28">
        <f t="shared" si="192"/>
        <v>0</v>
      </c>
      <c r="S80" s="25">
        <f t="shared" si="193"/>
        <v>0</v>
      </c>
      <c r="T80" s="35">
        <f t="shared" si="194"/>
        <v>0</v>
      </c>
      <c r="U80" s="25"/>
      <c r="V80" s="25"/>
      <c r="W80" s="52"/>
      <c r="X80" s="25"/>
      <c r="Y80" s="25"/>
      <c r="Z80" s="25"/>
      <c r="AA80" s="25"/>
      <c r="AB80" s="25"/>
      <c r="AC80" s="25"/>
      <c r="AD80" s="25"/>
      <c r="AE80" s="25"/>
      <c r="AF80" s="25"/>
      <c r="AG80" s="25">
        <f t="shared" si="195"/>
        <v>0</v>
      </c>
      <c r="AH80" s="25">
        <f t="shared" si="196"/>
        <v>0</v>
      </c>
      <c r="AI80" s="25">
        <f t="shared" si="197"/>
        <v>0</v>
      </c>
      <c r="AJ80" s="25">
        <f t="shared" si="198"/>
        <v>0</v>
      </c>
      <c r="AK80" s="28">
        <f t="shared" si="199"/>
        <v>0</v>
      </c>
      <c r="AL80" s="25">
        <f t="shared" si="200"/>
        <v>0</v>
      </c>
    </row>
    <row r="81" spans="1:38" x14ac:dyDescent="0.25">
      <c r="D81" t="s">
        <v>22</v>
      </c>
      <c r="E81" s="50">
        <v>20</v>
      </c>
      <c r="O81" s="8"/>
      <c r="P81" s="25">
        <f t="shared" si="190"/>
        <v>0</v>
      </c>
      <c r="Q81" s="25">
        <f t="shared" si="191"/>
        <v>0</v>
      </c>
      <c r="R81" s="28">
        <f t="shared" si="192"/>
        <v>0</v>
      </c>
      <c r="S81" s="25">
        <f t="shared" si="193"/>
        <v>0</v>
      </c>
      <c r="T81" s="35">
        <f t="shared" si="194"/>
        <v>0</v>
      </c>
      <c r="U81" s="25"/>
      <c r="V81" s="25"/>
      <c r="W81" s="52"/>
      <c r="X81" s="25"/>
      <c r="Y81" s="25"/>
      <c r="Z81" s="25"/>
      <c r="AA81" s="25"/>
      <c r="AB81" s="25"/>
      <c r="AC81" s="25"/>
      <c r="AD81" s="25"/>
      <c r="AE81" s="25"/>
      <c r="AF81" s="25"/>
      <c r="AG81" s="25">
        <f t="shared" si="195"/>
        <v>0</v>
      </c>
      <c r="AH81" s="25">
        <f t="shared" si="196"/>
        <v>0</v>
      </c>
      <c r="AI81" s="25">
        <f t="shared" si="197"/>
        <v>0</v>
      </c>
      <c r="AJ81" s="25">
        <f t="shared" si="198"/>
        <v>0</v>
      </c>
      <c r="AK81" s="28">
        <f t="shared" si="199"/>
        <v>0</v>
      </c>
      <c r="AL81" s="25">
        <f t="shared" si="200"/>
        <v>0</v>
      </c>
    </row>
    <row r="82" spans="1:38" x14ac:dyDescent="0.25">
      <c r="D82" t="s">
        <v>22</v>
      </c>
      <c r="E82" s="50">
        <v>27</v>
      </c>
      <c r="F82" s="16"/>
      <c r="O82" s="8">
        <v>0</v>
      </c>
      <c r="P82" s="25">
        <f t="shared" si="190"/>
        <v>0</v>
      </c>
      <c r="Q82" s="25">
        <f t="shared" si="191"/>
        <v>0</v>
      </c>
      <c r="R82" s="28">
        <f t="shared" si="192"/>
        <v>0</v>
      </c>
      <c r="S82" s="25">
        <f t="shared" si="193"/>
        <v>0</v>
      </c>
      <c r="T82" s="35">
        <f t="shared" si="194"/>
        <v>0</v>
      </c>
      <c r="U82" s="25"/>
      <c r="V82" s="25"/>
      <c r="W82" s="52"/>
      <c r="X82" s="25"/>
      <c r="Y82" s="25">
        <f t="shared" ref="Y82" si="201">R82*0.537%</f>
        <v>0</v>
      </c>
      <c r="Z82" s="25">
        <f t="shared" ref="Z82" si="202">R82*0.75%</f>
        <v>0</v>
      </c>
      <c r="AA82" s="25"/>
      <c r="AB82" s="25">
        <f t="shared" ref="AB82" si="203">1.7*O82</f>
        <v>0</v>
      </c>
      <c r="AC82" s="25">
        <f t="shared" ref="AC82" si="204">R82-Z82-AA82-AB82</f>
        <v>0</v>
      </c>
      <c r="AD82" s="25"/>
      <c r="AE82" s="25">
        <f t="shared" ref="AE82" si="205">T82-AB82</f>
        <v>0</v>
      </c>
      <c r="AF82" s="25"/>
      <c r="AG82" s="25">
        <f t="shared" si="195"/>
        <v>0</v>
      </c>
      <c r="AH82" s="25">
        <f t="shared" si="196"/>
        <v>0</v>
      </c>
      <c r="AI82" s="25">
        <f t="shared" si="197"/>
        <v>0</v>
      </c>
      <c r="AJ82" s="25">
        <f t="shared" si="198"/>
        <v>0</v>
      </c>
      <c r="AK82" s="28">
        <f t="shared" si="199"/>
        <v>0</v>
      </c>
      <c r="AL82" s="25">
        <f t="shared" si="200"/>
        <v>0</v>
      </c>
    </row>
    <row r="83" spans="1:38" x14ac:dyDescent="0.25">
      <c r="A83" s="4"/>
      <c r="B83" s="4"/>
      <c r="C83" s="4"/>
      <c r="D83" s="4" t="s">
        <v>33</v>
      </c>
      <c r="E83" s="51"/>
      <c r="F83" s="4"/>
      <c r="G83" s="4"/>
      <c r="H83" s="4"/>
      <c r="I83" s="4"/>
      <c r="J83" s="4"/>
      <c r="K83" s="4"/>
      <c r="L83" s="4"/>
      <c r="M83" s="4"/>
      <c r="N83" s="4"/>
      <c r="O83" s="4">
        <f>SUM(O78:O82)</f>
        <v>0</v>
      </c>
      <c r="P83" s="13">
        <f>SUM(P78:P82)</f>
        <v>0</v>
      </c>
      <c r="Q83" s="13">
        <f>SUM(Q78:Q82)</f>
        <v>0</v>
      </c>
      <c r="R83" s="29">
        <f>SUM(R78:R82)</f>
        <v>0</v>
      </c>
      <c r="S83" s="13">
        <f t="shared" ref="S83:AL83" si="206">SUM(S78:S82)</f>
        <v>0</v>
      </c>
      <c r="T83" s="36">
        <f t="shared" si="206"/>
        <v>0</v>
      </c>
      <c r="U83" s="13">
        <f t="shared" si="206"/>
        <v>0</v>
      </c>
      <c r="V83" s="13">
        <f t="shared" si="206"/>
        <v>0</v>
      </c>
      <c r="W83" s="13">
        <f t="shared" si="206"/>
        <v>0</v>
      </c>
      <c r="X83" s="13">
        <f t="shared" si="206"/>
        <v>0</v>
      </c>
      <c r="Y83" s="13">
        <f t="shared" si="206"/>
        <v>0</v>
      </c>
      <c r="Z83" s="13">
        <f t="shared" si="206"/>
        <v>0</v>
      </c>
      <c r="AA83" s="13">
        <f t="shared" si="206"/>
        <v>0</v>
      </c>
      <c r="AB83" s="13">
        <f t="shared" si="206"/>
        <v>0</v>
      </c>
      <c r="AC83" s="13">
        <f t="shared" si="206"/>
        <v>0</v>
      </c>
      <c r="AD83" s="13">
        <f t="shared" si="206"/>
        <v>0</v>
      </c>
      <c r="AE83" s="13">
        <f t="shared" si="206"/>
        <v>0</v>
      </c>
      <c r="AF83" s="13">
        <f t="shared" si="206"/>
        <v>0</v>
      </c>
      <c r="AG83" s="13">
        <f t="shared" si="206"/>
        <v>0</v>
      </c>
      <c r="AH83" s="13">
        <f t="shared" si="206"/>
        <v>0</v>
      </c>
      <c r="AI83" s="13">
        <f t="shared" si="206"/>
        <v>0</v>
      </c>
      <c r="AJ83" s="13">
        <f t="shared" si="206"/>
        <v>0</v>
      </c>
      <c r="AK83" s="29">
        <f t="shared" si="206"/>
        <v>0</v>
      </c>
      <c r="AL83" s="13">
        <f t="shared" si="206"/>
        <v>0</v>
      </c>
    </row>
    <row r="84" spans="1:38" x14ac:dyDescent="0.25">
      <c r="E84" s="50"/>
      <c r="O84" s="1"/>
      <c r="P84" s="25"/>
      <c r="Q84" s="25"/>
      <c r="R84" s="28"/>
      <c r="S84" s="25"/>
      <c r="T84" s="35"/>
      <c r="U84" s="25"/>
      <c r="V84" s="25"/>
      <c r="W84" s="52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8"/>
      <c r="AL84" s="25"/>
    </row>
    <row r="85" spans="1:38" x14ac:dyDescent="0.25">
      <c r="A85" s="4"/>
      <c r="B85" s="4"/>
      <c r="C85" s="4"/>
      <c r="D85" s="4" t="s">
        <v>34</v>
      </c>
      <c r="E85" s="51"/>
      <c r="F85" s="4"/>
      <c r="G85" s="4"/>
      <c r="H85" s="4"/>
      <c r="I85" s="4"/>
      <c r="J85" s="4"/>
      <c r="K85" s="4"/>
      <c r="L85" s="4"/>
      <c r="M85" s="4"/>
      <c r="N85" s="4"/>
      <c r="O85" s="4">
        <f>O7+O13+O20+O27+O34+O41+O48+O55+O62+O69+O76+O83</f>
        <v>0</v>
      </c>
      <c r="P85" s="13">
        <f>P7+P13+P20+P27+P34+P41+P48+P55+P62+P69+P76+P83</f>
        <v>0</v>
      </c>
      <c r="Q85" s="13">
        <f t="shared" ref="Q85:AL85" si="207">Q7+Q13+Q20+Q27+Q34+Q41+Q48+Q55+Q62+Q69+Q76+Q83</f>
        <v>0</v>
      </c>
      <c r="R85" s="29">
        <f t="shared" si="207"/>
        <v>0</v>
      </c>
      <c r="S85" s="13">
        <f t="shared" si="207"/>
        <v>0</v>
      </c>
      <c r="T85" s="36">
        <f t="shared" si="207"/>
        <v>0</v>
      </c>
      <c r="U85" s="13">
        <f t="shared" si="207"/>
        <v>0</v>
      </c>
      <c r="V85" s="13">
        <f t="shared" si="207"/>
        <v>0</v>
      </c>
      <c r="W85" s="13">
        <f t="shared" si="207"/>
        <v>0</v>
      </c>
      <c r="X85" s="13">
        <f t="shared" si="207"/>
        <v>0</v>
      </c>
      <c r="Y85" s="13">
        <f t="shared" si="207"/>
        <v>0</v>
      </c>
      <c r="Z85" s="13">
        <f t="shared" si="207"/>
        <v>0</v>
      </c>
      <c r="AA85" s="13">
        <f t="shared" si="207"/>
        <v>0</v>
      </c>
      <c r="AB85" s="13">
        <f t="shared" si="207"/>
        <v>0</v>
      </c>
      <c r="AC85" s="13">
        <f t="shared" si="207"/>
        <v>0</v>
      </c>
      <c r="AD85" s="13">
        <f t="shared" si="207"/>
        <v>0</v>
      </c>
      <c r="AE85" s="13">
        <f t="shared" si="207"/>
        <v>0</v>
      </c>
      <c r="AF85" s="13">
        <f t="shared" si="207"/>
        <v>0</v>
      </c>
      <c r="AG85" s="13">
        <f t="shared" si="207"/>
        <v>0</v>
      </c>
      <c r="AH85" s="13">
        <f t="shared" si="207"/>
        <v>0</v>
      </c>
      <c r="AI85" s="13">
        <f t="shared" si="207"/>
        <v>0</v>
      </c>
      <c r="AJ85" s="13">
        <f t="shared" si="207"/>
        <v>0</v>
      </c>
      <c r="AK85" s="29">
        <f t="shared" si="207"/>
        <v>0</v>
      </c>
      <c r="AL85" s="13">
        <f t="shared" si="207"/>
        <v>0</v>
      </c>
    </row>
    <row r="86" spans="1:38" x14ac:dyDescent="0.25">
      <c r="P86" s="25"/>
      <c r="Q86" s="25"/>
      <c r="R86" s="28"/>
      <c r="S86" s="25"/>
      <c r="T86" s="35"/>
      <c r="U86" s="25"/>
      <c r="V86" s="25"/>
      <c r="W86" s="31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8"/>
      <c r="AL86" s="25"/>
    </row>
  </sheetData>
  <pageMargins left="0.7" right="0.7" top="0.75" bottom="0.75" header="0.3" footer="0.3"/>
  <pageSetup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AP89"/>
  <sheetViews>
    <sheetView showZeros="0" workbookViewId="0">
      <pane ySplit="1" topLeftCell="A2" activePane="bottomLeft" state="frozen"/>
      <selection activeCell="P17" sqref="P17"/>
      <selection pane="bottomLeft" activeCell="P17" sqref="P17"/>
    </sheetView>
  </sheetViews>
  <sheetFormatPr baseColWidth="10" defaultRowHeight="13.2" x14ac:dyDescent="0.25"/>
  <cols>
    <col min="3" max="3" width="4.88671875" customWidth="1"/>
    <col min="4" max="4" width="9.5546875" customWidth="1"/>
    <col min="5" max="5" width="5.44140625" customWidth="1"/>
    <col min="6" max="6" width="2.44140625" customWidth="1"/>
    <col min="7" max="7" width="2.109375" customWidth="1"/>
    <col min="8" max="8" width="3.44140625" customWidth="1"/>
    <col min="9" max="9" width="3.33203125" customWidth="1"/>
    <col min="10" max="10" width="1.88671875" customWidth="1"/>
    <col min="11" max="11" width="2" customWidth="1"/>
    <col min="12" max="12" width="2.6640625" customWidth="1"/>
    <col min="13" max="13" width="4" customWidth="1"/>
    <col min="14" max="14" width="3.5546875" customWidth="1"/>
    <col min="15" max="15" width="4.88671875" customWidth="1"/>
    <col min="16" max="16" width="8.5546875" customWidth="1"/>
    <col min="17" max="17" width="7.5546875" customWidth="1"/>
    <col min="18" max="18" width="8.6640625" customWidth="1"/>
    <col min="19" max="19" width="7.5546875" customWidth="1"/>
    <col min="20" max="20" width="8.44140625" customWidth="1"/>
    <col min="21" max="21" width="7.33203125" customWidth="1"/>
    <col min="22" max="22" width="5.88671875" customWidth="1"/>
    <col min="23" max="23" width="9.5546875" customWidth="1"/>
    <col min="24" max="24" width="8.44140625" customWidth="1"/>
    <col min="25" max="25" width="6.33203125" customWidth="1"/>
    <col min="26" max="26" width="7.44140625" customWidth="1"/>
    <col min="27" max="27" width="8.33203125" customWidth="1"/>
    <col min="28" max="28" width="8.88671875" customWidth="1"/>
    <col min="29" max="29" width="9.5546875" customWidth="1"/>
    <col min="30" max="30" width="8.5546875" customWidth="1"/>
    <col min="31" max="31" width="10.33203125" customWidth="1"/>
    <col min="32" max="32" width="9.33203125" customWidth="1"/>
    <col min="33" max="33" width="7" customWidth="1"/>
    <col min="34" max="34" width="8.5546875" customWidth="1"/>
    <col min="35" max="35" width="8" customWidth="1"/>
    <col min="36" max="36" width="6.109375" customWidth="1"/>
    <col min="37" max="37" width="8.5546875" customWidth="1"/>
    <col min="38" max="38" width="6.44140625" customWidth="1"/>
    <col min="39" max="39" width="10.109375" customWidth="1"/>
    <col min="40" max="40" width="6.5546875" customWidth="1"/>
    <col min="41" max="41" width="8.5546875" customWidth="1"/>
  </cols>
  <sheetData>
    <row r="1" spans="1:42" x14ac:dyDescent="0.25">
      <c r="A1" t="s">
        <v>180</v>
      </c>
      <c r="B1" s="53"/>
      <c r="D1" t="s">
        <v>3</v>
      </c>
      <c r="E1" t="s">
        <v>155</v>
      </c>
      <c r="F1" t="s">
        <v>63</v>
      </c>
      <c r="G1" t="s">
        <v>64</v>
      </c>
      <c r="H1" t="s">
        <v>65</v>
      </c>
      <c r="I1" t="s">
        <v>66</v>
      </c>
      <c r="J1" t="s">
        <v>67</v>
      </c>
      <c r="K1" t="s">
        <v>68</v>
      </c>
      <c r="L1" t="s">
        <v>69</v>
      </c>
      <c r="M1" t="s">
        <v>24</v>
      </c>
      <c r="N1" t="s">
        <v>156</v>
      </c>
      <c r="O1" t="s">
        <v>50</v>
      </c>
      <c r="P1" t="s">
        <v>55</v>
      </c>
      <c r="Q1" t="s">
        <v>108</v>
      </c>
      <c r="R1" s="60" t="s">
        <v>122</v>
      </c>
      <c r="S1" t="s">
        <v>123</v>
      </c>
      <c r="T1" t="s">
        <v>124</v>
      </c>
      <c r="U1" t="s">
        <v>28</v>
      </c>
      <c r="V1" t="s">
        <v>126</v>
      </c>
      <c r="W1" t="s">
        <v>161</v>
      </c>
      <c r="X1" t="s">
        <v>160</v>
      </c>
      <c r="Y1" t="s">
        <v>31</v>
      </c>
      <c r="Z1" t="s">
        <v>162</v>
      </c>
      <c r="AA1" t="s">
        <v>98</v>
      </c>
      <c r="AB1" t="s">
        <v>141</v>
      </c>
      <c r="AC1" t="s">
        <v>128</v>
      </c>
      <c r="AD1" t="s">
        <v>26</v>
      </c>
      <c r="AE1" t="s">
        <v>129</v>
      </c>
      <c r="AF1" t="s">
        <v>27</v>
      </c>
      <c r="AG1" t="s">
        <v>163</v>
      </c>
      <c r="AH1" t="s">
        <v>58</v>
      </c>
      <c r="AI1" t="s">
        <v>39</v>
      </c>
      <c r="AJ1" t="s">
        <v>100</v>
      </c>
      <c r="AK1" t="s">
        <v>133</v>
      </c>
      <c r="AL1" t="s">
        <v>31</v>
      </c>
      <c r="AM1" t="s">
        <v>157</v>
      </c>
      <c r="AN1" t="s">
        <v>150</v>
      </c>
      <c r="AO1" t="s">
        <v>151</v>
      </c>
    </row>
    <row r="2" spans="1:42" x14ac:dyDescent="0.25">
      <c r="A2" s="53" t="s">
        <v>181</v>
      </c>
      <c r="D2" t="s">
        <v>11</v>
      </c>
      <c r="R2" s="60"/>
    </row>
    <row r="3" spans="1:42" x14ac:dyDescent="0.25">
      <c r="A3" t="s">
        <v>179</v>
      </c>
      <c r="D3" t="s">
        <v>11</v>
      </c>
      <c r="E3">
        <v>4</v>
      </c>
      <c r="R3" s="60"/>
    </row>
    <row r="4" spans="1:42" x14ac:dyDescent="0.25">
      <c r="A4" s="53" t="s">
        <v>57</v>
      </c>
      <c r="D4" t="s">
        <v>11</v>
      </c>
      <c r="E4">
        <v>11</v>
      </c>
      <c r="R4" s="60"/>
    </row>
    <row r="5" spans="1:42" x14ac:dyDescent="0.25">
      <c r="A5" s="53" t="s">
        <v>178</v>
      </c>
      <c r="D5" t="s">
        <v>11</v>
      </c>
      <c r="E5">
        <v>18</v>
      </c>
      <c r="R5" s="60"/>
    </row>
    <row r="6" spans="1:42" x14ac:dyDescent="0.25">
      <c r="D6" t="s">
        <v>11</v>
      </c>
      <c r="E6">
        <v>25</v>
      </c>
      <c r="R6" s="60"/>
    </row>
    <row r="7" spans="1:42" x14ac:dyDescent="0.25">
      <c r="A7" t="s">
        <v>48</v>
      </c>
      <c r="D7" t="s">
        <v>32</v>
      </c>
      <c r="R7" s="60"/>
    </row>
    <row r="8" spans="1:42" x14ac:dyDescent="0.25">
      <c r="A8" s="53"/>
      <c r="P8" s="25"/>
      <c r="Q8" s="25"/>
      <c r="R8" s="64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x14ac:dyDescent="0.25">
      <c r="A9" s="59" t="s">
        <v>49</v>
      </c>
      <c r="B9" s="59"/>
      <c r="D9" t="s">
        <v>12</v>
      </c>
      <c r="E9">
        <v>1</v>
      </c>
      <c r="P9" s="25">
        <f>31.67*O9</f>
        <v>0</v>
      </c>
      <c r="Q9" s="25">
        <f>13%*P9</f>
        <v>0</v>
      </c>
      <c r="R9" s="64">
        <f>P9+Q9</f>
        <v>0</v>
      </c>
      <c r="S9" s="25">
        <f>1.93*O9</f>
        <v>0</v>
      </c>
      <c r="T9" s="25">
        <f>R9+S9</f>
        <v>0</v>
      </c>
      <c r="U9" s="25"/>
      <c r="V9" s="25"/>
      <c r="W9" s="25">
        <f>R9*1.47%</f>
        <v>0</v>
      </c>
      <c r="X9" s="25"/>
      <c r="Y9" s="25">
        <f>R9*0.559%</f>
        <v>0</v>
      </c>
      <c r="Z9" s="25">
        <f>0.75%*R9</f>
        <v>0</v>
      </c>
      <c r="AA9" s="25"/>
      <c r="AB9" s="25">
        <f>1.7*O9</f>
        <v>0</v>
      </c>
      <c r="AC9" s="25">
        <f>R9-Z9-AA9-AB9</f>
        <v>0</v>
      </c>
      <c r="AD9" s="25"/>
      <c r="AE9" s="25">
        <f>T9-AB9</f>
        <v>0</v>
      </c>
      <c r="AF9" s="25"/>
      <c r="AG9" s="25">
        <f>Q9</f>
        <v>0</v>
      </c>
      <c r="AH9" s="25">
        <f>U9+W9+Y9+Z9+AA9+AB9+AD9+AF9+AG9</f>
        <v>0</v>
      </c>
      <c r="AI9" s="25">
        <f>R9-AH9</f>
        <v>0</v>
      </c>
      <c r="AJ9" s="25">
        <f>0.6*O9</f>
        <v>0</v>
      </c>
      <c r="AK9" s="25">
        <f>AI9+AJ9</f>
        <v>0</v>
      </c>
      <c r="AL9" s="25">
        <f>R9*0.782%</f>
        <v>0</v>
      </c>
      <c r="AM9" s="25">
        <f>5.755*O9</f>
        <v>0</v>
      </c>
      <c r="AN9" s="25">
        <f>1.95*O9</f>
        <v>0</v>
      </c>
      <c r="AO9" s="25">
        <f>0.02*O9</f>
        <v>0</v>
      </c>
      <c r="AP9" s="25"/>
    </row>
    <row r="10" spans="1:42" x14ac:dyDescent="0.25">
      <c r="A10" s="66"/>
      <c r="D10" t="s">
        <v>12</v>
      </c>
      <c r="E10">
        <v>8</v>
      </c>
      <c r="P10" s="25">
        <f>31.67*O10</f>
        <v>0</v>
      </c>
      <c r="Q10" s="25">
        <f>13%*P10</f>
        <v>0</v>
      </c>
      <c r="R10" s="64">
        <f>P10+Q10</f>
        <v>0</v>
      </c>
      <c r="S10" s="25">
        <f>1.93*O10</f>
        <v>0</v>
      </c>
      <c r="T10" s="25">
        <f>R10+S10</f>
        <v>0</v>
      </c>
      <c r="U10" s="25"/>
      <c r="V10" s="25"/>
      <c r="W10" s="25">
        <f>R10*1.47%</f>
        <v>0</v>
      </c>
      <c r="X10" s="25"/>
      <c r="Y10" s="25">
        <f>R10*0.559%</f>
        <v>0</v>
      </c>
      <c r="Z10" s="25">
        <f>0.75%*R10</f>
        <v>0</v>
      </c>
      <c r="AA10" s="25"/>
      <c r="AB10" s="25">
        <f>1.7*O10</f>
        <v>0</v>
      </c>
      <c r="AC10" s="25">
        <f>R10-Z10-AA10-AB10</f>
        <v>0</v>
      </c>
      <c r="AD10" s="25"/>
      <c r="AE10" s="25">
        <f>T10-AB10</f>
        <v>0</v>
      </c>
      <c r="AF10" s="25"/>
      <c r="AG10" s="25">
        <f>Q10</f>
        <v>0</v>
      </c>
      <c r="AH10" s="25">
        <f>U10+W10+Y10+Z10+AA10+AB10+AD10+AF10+AG10</f>
        <v>0</v>
      </c>
      <c r="AI10" s="25">
        <f>R10-AH10</f>
        <v>0</v>
      </c>
      <c r="AJ10" s="25">
        <f>0.6*O10</f>
        <v>0</v>
      </c>
      <c r="AK10" s="25">
        <f>AI10+AJ10</f>
        <v>0</v>
      </c>
      <c r="AL10" s="25">
        <f>R10*0.782%</f>
        <v>0</v>
      </c>
      <c r="AM10" s="25">
        <f t="shared" ref="AM10:AM12" si="0">5.755*O10</f>
        <v>0</v>
      </c>
      <c r="AN10" s="25">
        <f t="shared" ref="AN10:AN12" si="1">1.95*O10</f>
        <v>0</v>
      </c>
      <c r="AO10" s="25">
        <f t="shared" ref="AO10:AO12" si="2">0.02*O10</f>
        <v>0</v>
      </c>
      <c r="AP10" s="25"/>
    </row>
    <row r="11" spans="1:42" x14ac:dyDescent="0.25">
      <c r="A11" t="s">
        <v>121</v>
      </c>
      <c r="D11" t="s">
        <v>12</v>
      </c>
      <c r="E11">
        <v>15</v>
      </c>
      <c r="P11" s="25">
        <f>31.67*O11</f>
        <v>0</v>
      </c>
      <c r="Q11" s="25">
        <f>13%*P11</f>
        <v>0</v>
      </c>
      <c r="R11" s="64">
        <f>P11+Q11</f>
        <v>0</v>
      </c>
      <c r="S11" s="25">
        <f>1.93*O11</f>
        <v>0</v>
      </c>
      <c r="T11" s="25">
        <f>R11+S11</f>
        <v>0</v>
      </c>
      <c r="U11" s="25"/>
      <c r="V11" s="25"/>
      <c r="W11" s="25">
        <f>R11*1.47%</f>
        <v>0</v>
      </c>
      <c r="X11" s="25"/>
      <c r="Y11" s="25">
        <f>R11*0.559%</f>
        <v>0</v>
      </c>
      <c r="Z11" s="25">
        <f>0.75%*R11</f>
        <v>0</v>
      </c>
      <c r="AA11" s="25"/>
      <c r="AB11" s="25">
        <f>1.7*O11</f>
        <v>0</v>
      </c>
      <c r="AC11" s="25">
        <f>R11-Z11-AA11-AB11</f>
        <v>0</v>
      </c>
      <c r="AD11" s="25"/>
      <c r="AE11" s="25">
        <f>T11-AB11</f>
        <v>0</v>
      </c>
      <c r="AF11" s="25"/>
      <c r="AG11" s="25">
        <f>Q11</f>
        <v>0</v>
      </c>
      <c r="AH11" s="25">
        <f>U11+W11+Y11+Z11+AA11+AB11+AD11+AF11+AG11</f>
        <v>0</v>
      </c>
      <c r="AI11" s="25">
        <f>R11-AH11</f>
        <v>0</v>
      </c>
      <c r="AJ11" s="25">
        <f>0.6*O11</f>
        <v>0</v>
      </c>
      <c r="AK11" s="25">
        <f>AI11+AJ11</f>
        <v>0</v>
      </c>
      <c r="AL11" s="25">
        <f>R11*0.782%</f>
        <v>0</v>
      </c>
      <c r="AM11" s="25">
        <f t="shared" si="0"/>
        <v>0</v>
      </c>
      <c r="AN11" s="25">
        <f t="shared" si="1"/>
        <v>0</v>
      </c>
      <c r="AO11" s="25">
        <f t="shared" si="2"/>
        <v>0</v>
      </c>
      <c r="AP11" s="25"/>
    </row>
    <row r="12" spans="1:42" x14ac:dyDescent="0.25">
      <c r="A12" t="s">
        <v>168</v>
      </c>
      <c r="D12" t="s">
        <v>12</v>
      </c>
      <c r="E12">
        <v>22</v>
      </c>
      <c r="P12" s="25">
        <f>31.67*O12</f>
        <v>0</v>
      </c>
      <c r="Q12" s="25">
        <f>13%*P12</f>
        <v>0</v>
      </c>
      <c r="R12" s="64">
        <f>P12+Q12</f>
        <v>0</v>
      </c>
      <c r="S12" s="25">
        <f>1.93*O12</f>
        <v>0</v>
      </c>
      <c r="T12" s="25">
        <f>R12+S12</f>
        <v>0</v>
      </c>
      <c r="U12" s="25"/>
      <c r="V12" s="25"/>
      <c r="W12" s="25">
        <f>R12*1.47%</f>
        <v>0</v>
      </c>
      <c r="X12" s="25"/>
      <c r="Y12" s="25">
        <f>R12*0.559%</f>
        <v>0</v>
      </c>
      <c r="Z12" s="25">
        <f>0.75%*R12</f>
        <v>0</v>
      </c>
      <c r="AA12" s="25"/>
      <c r="AB12" s="25">
        <f>1.7*O12</f>
        <v>0</v>
      </c>
      <c r="AC12" s="25">
        <f>R12-Z12-AA12-AB12</f>
        <v>0</v>
      </c>
      <c r="AD12" s="25"/>
      <c r="AE12" s="25">
        <f>T12-AB12</f>
        <v>0</v>
      </c>
      <c r="AF12" s="25"/>
      <c r="AG12" s="25">
        <f>Q12</f>
        <v>0</v>
      </c>
      <c r="AH12" s="25">
        <f>U12+W12+Y12+Z12+AA12+AB12+AD12+AF12+AG12</f>
        <v>0</v>
      </c>
      <c r="AI12" s="25">
        <f>R12-AH12</f>
        <v>0</v>
      </c>
      <c r="AJ12" s="25">
        <f>0.6*O12</f>
        <v>0</v>
      </c>
      <c r="AK12" s="25">
        <f>AI12+AJ12</f>
        <v>0</v>
      </c>
      <c r="AL12" s="25">
        <f>R12*0.782%</f>
        <v>0</v>
      </c>
      <c r="AM12" s="25">
        <f t="shared" si="0"/>
        <v>0</v>
      </c>
      <c r="AN12" s="25">
        <f t="shared" si="1"/>
        <v>0</v>
      </c>
      <c r="AO12" s="25">
        <f t="shared" si="2"/>
        <v>0</v>
      </c>
      <c r="AP12" s="25"/>
    </row>
    <row r="13" spans="1:42" x14ac:dyDescent="0.25">
      <c r="A13" t="s">
        <v>0</v>
      </c>
      <c r="D13" t="s">
        <v>32</v>
      </c>
      <c r="O13">
        <f>SUM(O9:O12)</f>
        <v>0</v>
      </c>
      <c r="P13" s="25">
        <f t="shared" ref="P13:AK13" si="3">SUM(P9:P12)</f>
        <v>0</v>
      </c>
      <c r="Q13" s="25">
        <f t="shared" si="3"/>
        <v>0</v>
      </c>
      <c r="R13" s="64">
        <f t="shared" si="3"/>
        <v>0</v>
      </c>
      <c r="S13" s="25">
        <f t="shared" si="3"/>
        <v>0</v>
      </c>
      <c r="T13" s="25">
        <f t="shared" si="3"/>
        <v>0</v>
      </c>
      <c r="U13" s="25">
        <f t="shared" si="3"/>
        <v>0</v>
      </c>
      <c r="V13" s="25">
        <f t="shared" si="3"/>
        <v>0</v>
      </c>
      <c r="W13" s="25">
        <f t="shared" si="3"/>
        <v>0</v>
      </c>
      <c r="X13" s="25">
        <f t="shared" si="3"/>
        <v>0</v>
      </c>
      <c r="Y13" s="25">
        <f t="shared" si="3"/>
        <v>0</v>
      </c>
      <c r="Z13" s="25">
        <f t="shared" si="3"/>
        <v>0</v>
      </c>
      <c r="AA13" s="25">
        <f t="shared" si="3"/>
        <v>0</v>
      </c>
      <c r="AB13" s="25">
        <f t="shared" si="3"/>
        <v>0</v>
      </c>
      <c r="AC13" s="25">
        <f t="shared" si="3"/>
        <v>0</v>
      </c>
      <c r="AD13" s="25">
        <f t="shared" si="3"/>
        <v>0</v>
      </c>
      <c r="AE13" s="25">
        <f t="shared" si="3"/>
        <v>0</v>
      </c>
      <c r="AF13" s="25">
        <f t="shared" si="3"/>
        <v>0</v>
      </c>
      <c r="AG13" s="25">
        <f t="shared" si="3"/>
        <v>0</v>
      </c>
      <c r="AH13" s="25">
        <f t="shared" si="3"/>
        <v>0</v>
      </c>
      <c r="AI13" s="25">
        <f t="shared" si="3"/>
        <v>0</v>
      </c>
      <c r="AJ13" s="25">
        <f t="shared" si="3"/>
        <v>0</v>
      </c>
      <c r="AK13" s="25">
        <f t="shared" si="3"/>
        <v>0</v>
      </c>
      <c r="AL13" s="25">
        <f>SUM(AL9:AL12)</f>
        <v>0</v>
      </c>
      <c r="AM13" s="25">
        <f t="shared" ref="AM13:AO13" si="4">SUM(AM9:AM12)</f>
        <v>0</v>
      </c>
      <c r="AN13" s="25">
        <f t="shared" si="4"/>
        <v>0</v>
      </c>
      <c r="AO13" s="25">
        <f t="shared" si="4"/>
        <v>0</v>
      </c>
      <c r="AP13" s="25"/>
    </row>
    <row r="14" spans="1:42" x14ac:dyDescent="0.25">
      <c r="A14" t="s">
        <v>1</v>
      </c>
      <c r="P14" s="25"/>
      <c r="Q14" s="25"/>
      <c r="R14" s="64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 x14ac:dyDescent="0.25">
      <c r="D15" t="s">
        <v>13</v>
      </c>
      <c r="E15">
        <v>1</v>
      </c>
      <c r="P15" s="25">
        <f>O15*31.67</f>
        <v>0</v>
      </c>
      <c r="Q15" s="25">
        <f>P15*13%</f>
        <v>0</v>
      </c>
      <c r="R15" s="64">
        <f>P15+Q15</f>
        <v>0</v>
      </c>
      <c r="S15" s="25">
        <f>1.93*O15</f>
        <v>0</v>
      </c>
      <c r="T15" s="25">
        <f>R15+S15</f>
        <v>0</v>
      </c>
      <c r="U15" s="25"/>
      <c r="V15" s="25"/>
      <c r="W15" s="25">
        <f>R15*1.47%</f>
        <v>0</v>
      </c>
      <c r="X15" s="25"/>
      <c r="Y15" s="25">
        <f>R15*0.559%</f>
        <v>0</v>
      </c>
      <c r="Z15" s="25">
        <f>R15*0.75%</f>
        <v>0</v>
      </c>
      <c r="AA15" s="25"/>
      <c r="AB15" s="25">
        <f>1.7*O15</f>
        <v>0</v>
      </c>
      <c r="AC15" s="25">
        <f>R15-Z15-AA15-AB15</f>
        <v>0</v>
      </c>
      <c r="AD15" s="25"/>
      <c r="AE15" s="25">
        <f>T15-AB15</f>
        <v>0</v>
      </c>
      <c r="AF15" s="25"/>
      <c r="AG15" s="25">
        <f>Q15</f>
        <v>0</v>
      </c>
      <c r="AH15" s="25">
        <f>U15+W15+Y15+Z15+AA15+AB15+AD15+AF15+AG15</f>
        <v>0</v>
      </c>
      <c r="AI15" s="25">
        <f>R15-AH15</f>
        <v>0</v>
      </c>
      <c r="AJ15" s="25">
        <f>0.6*O15</f>
        <v>0</v>
      </c>
      <c r="AK15" s="25">
        <f>AI15+AJ15</f>
        <v>0</v>
      </c>
      <c r="AL15" s="25">
        <f>R15*0.782%</f>
        <v>0</v>
      </c>
      <c r="AM15" s="25">
        <f>5.755*O15</f>
        <v>0</v>
      </c>
      <c r="AN15" s="25">
        <f>1.95*O15</f>
        <v>0</v>
      </c>
      <c r="AO15" s="25">
        <f>0.02*O15</f>
        <v>0</v>
      </c>
      <c r="AP15" s="25"/>
    </row>
    <row r="16" spans="1:42" x14ac:dyDescent="0.25">
      <c r="D16" t="s">
        <v>13</v>
      </c>
      <c r="E16">
        <v>8</v>
      </c>
      <c r="P16" s="25">
        <f>O16*31.67</f>
        <v>0</v>
      </c>
      <c r="Q16" s="25">
        <f>P16*13%</f>
        <v>0</v>
      </c>
      <c r="R16" s="64">
        <f>P16+Q16</f>
        <v>0</v>
      </c>
      <c r="S16" s="25">
        <f>1.93*O16</f>
        <v>0</v>
      </c>
      <c r="T16" s="25">
        <f>R16+S16</f>
        <v>0</v>
      </c>
      <c r="U16" s="25"/>
      <c r="V16" s="25"/>
      <c r="W16" s="25">
        <f>R16*1.47%</f>
        <v>0</v>
      </c>
      <c r="X16" s="25"/>
      <c r="Y16" s="25">
        <f>R16*0.559%</f>
        <v>0</v>
      </c>
      <c r="Z16" s="25">
        <f>R16*0.75%</f>
        <v>0</v>
      </c>
      <c r="AA16" s="25"/>
      <c r="AB16" s="25">
        <f>1.7*O16</f>
        <v>0</v>
      </c>
      <c r="AC16" s="25">
        <f>R16-Z16-AA16-AB16</f>
        <v>0</v>
      </c>
      <c r="AD16" s="25"/>
      <c r="AE16" s="25">
        <f>T16-AB16</f>
        <v>0</v>
      </c>
      <c r="AF16" s="25"/>
      <c r="AG16" s="25">
        <f>Q16</f>
        <v>0</v>
      </c>
      <c r="AH16" s="25">
        <f>U16+W16+Y16+Z16+AA16+AB16+AD16+AF16+AG16</f>
        <v>0</v>
      </c>
      <c r="AI16" s="25">
        <f>R16-AH16</f>
        <v>0</v>
      </c>
      <c r="AJ16" s="25">
        <f>0.6*O16</f>
        <v>0</v>
      </c>
      <c r="AK16" s="25">
        <f>AI16+AJ16</f>
        <v>0</v>
      </c>
      <c r="AL16" s="25">
        <f>R16*0.782%</f>
        <v>0</v>
      </c>
      <c r="AM16" s="25">
        <f>5.755*O16</f>
        <v>0</v>
      </c>
      <c r="AN16" s="25">
        <f>1.95*O16</f>
        <v>0</v>
      </c>
      <c r="AO16" s="25">
        <f>0.02*O16</f>
        <v>0</v>
      </c>
      <c r="AP16" s="25"/>
    </row>
    <row r="17" spans="1:42" x14ac:dyDescent="0.25">
      <c r="A17" t="s">
        <v>139</v>
      </c>
      <c r="D17" t="s">
        <v>13</v>
      </c>
      <c r="E17">
        <v>15</v>
      </c>
      <c r="P17" s="25">
        <f>O17*31.67</f>
        <v>0</v>
      </c>
      <c r="Q17" s="25">
        <f>P17*13%</f>
        <v>0</v>
      </c>
      <c r="R17" s="64">
        <f>P17+Q17</f>
        <v>0</v>
      </c>
      <c r="S17" s="25">
        <f>1.93*O17</f>
        <v>0</v>
      </c>
      <c r="T17" s="25">
        <f>R17+S17</f>
        <v>0</v>
      </c>
      <c r="U17" s="25"/>
      <c r="V17" s="25"/>
      <c r="W17" s="25">
        <f>R17*1.47%</f>
        <v>0</v>
      </c>
      <c r="X17" s="25"/>
      <c r="Y17" s="25">
        <f>R17*0.559%</f>
        <v>0</v>
      </c>
      <c r="Z17" s="25">
        <f>R17*0.75%</f>
        <v>0</v>
      </c>
      <c r="AA17" s="25"/>
      <c r="AB17" s="25">
        <f>1.7*O17</f>
        <v>0</v>
      </c>
      <c r="AC17" s="25">
        <f>R17-Z17-AA17-AB17</f>
        <v>0</v>
      </c>
      <c r="AD17" s="25"/>
      <c r="AE17" s="25">
        <f>T17-AB17</f>
        <v>0</v>
      </c>
      <c r="AF17" s="25"/>
      <c r="AG17" s="25">
        <f>Q17</f>
        <v>0</v>
      </c>
      <c r="AH17" s="25">
        <f>U17+W17+Y17+Z17+AA17+AB17+AD17+AF17+AG17</f>
        <v>0</v>
      </c>
      <c r="AI17" s="25">
        <f>R17-AH17</f>
        <v>0</v>
      </c>
      <c r="AJ17" s="25">
        <f>0.6*O17</f>
        <v>0</v>
      </c>
      <c r="AK17" s="25">
        <f>AI17+AJ17</f>
        <v>0</v>
      </c>
      <c r="AL17" s="25">
        <f>R17*0.782%</f>
        <v>0</v>
      </c>
      <c r="AM17" s="25">
        <f>5.755*O17</f>
        <v>0</v>
      </c>
      <c r="AN17" s="25">
        <f>1.95*O17</f>
        <v>0</v>
      </c>
      <c r="AO17" s="25">
        <f>0.02*O17</f>
        <v>0</v>
      </c>
      <c r="AP17" s="25"/>
    </row>
    <row r="18" spans="1:42" x14ac:dyDescent="0.25">
      <c r="A18" s="53" t="s">
        <v>61</v>
      </c>
      <c r="D18" t="s">
        <v>13</v>
      </c>
      <c r="E18">
        <v>22</v>
      </c>
      <c r="P18" s="25">
        <f>O18*31.67</f>
        <v>0</v>
      </c>
      <c r="Q18" s="25">
        <f>P18*13%</f>
        <v>0</v>
      </c>
      <c r="R18" s="64">
        <f>P18+Q18</f>
        <v>0</v>
      </c>
      <c r="S18" s="25">
        <f>1.93*O18</f>
        <v>0</v>
      </c>
      <c r="T18" s="25">
        <f t="shared" ref="T18:T19" si="5">R18+S18</f>
        <v>0</v>
      </c>
      <c r="U18" s="25"/>
      <c r="V18" s="25"/>
      <c r="W18" s="25">
        <f t="shared" ref="W18:W19" si="6">R18*1.47%</f>
        <v>0</v>
      </c>
      <c r="X18" s="25"/>
      <c r="Y18" s="25">
        <f t="shared" ref="Y18:Y19" si="7">R18*0.559%</f>
        <v>0</v>
      </c>
      <c r="Z18" s="25">
        <f t="shared" ref="Z18:Z19" si="8">R18*0.75%</f>
        <v>0</v>
      </c>
      <c r="AA18" s="25"/>
      <c r="AB18" s="25">
        <f t="shared" ref="AB18:AB19" si="9">1.7*O18</f>
        <v>0</v>
      </c>
      <c r="AC18" s="25">
        <f t="shared" ref="AC18:AC19" si="10">R18-Z18-AA18-AB18</f>
        <v>0</v>
      </c>
      <c r="AD18" s="25"/>
      <c r="AE18" s="25">
        <f t="shared" ref="AE18:AE19" si="11">T18-AB18</f>
        <v>0</v>
      </c>
      <c r="AF18" s="25"/>
      <c r="AG18" s="25">
        <f t="shared" ref="AG18:AG19" si="12">Q18</f>
        <v>0</v>
      </c>
      <c r="AH18" s="25">
        <f t="shared" ref="AH18" si="13">U18+W18+Y18+Z18+AA18+AB18+AD18+AF18+AG18</f>
        <v>0</v>
      </c>
      <c r="AI18" s="25">
        <f t="shared" ref="AI18:AI19" si="14">R18-AH18</f>
        <v>0</v>
      </c>
      <c r="AJ18" s="25">
        <f t="shared" ref="AJ18:AJ19" si="15">0.6*O18</f>
        <v>0</v>
      </c>
      <c r="AK18" s="25">
        <f t="shared" ref="AK18:AK19" si="16">AI18+AJ18</f>
        <v>0</v>
      </c>
      <c r="AL18" s="25">
        <f t="shared" ref="AL18:AL19" si="17">R18*0.782%</f>
        <v>0</v>
      </c>
      <c r="AM18" s="25">
        <f t="shared" ref="AM18:AM19" si="18">5.755*O18</f>
        <v>0</v>
      </c>
      <c r="AN18" s="25">
        <f t="shared" ref="AN18:AN19" si="19">1.95*O18</f>
        <v>0</v>
      </c>
      <c r="AO18" s="25">
        <f t="shared" ref="AO18:AO19" si="20">0.02*O18</f>
        <v>0</v>
      </c>
      <c r="AP18" s="25"/>
    </row>
    <row r="19" spans="1:42" x14ac:dyDescent="0.25">
      <c r="A19" s="53" t="s">
        <v>170</v>
      </c>
      <c r="D19" t="s">
        <v>13</v>
      </c>
      <c r="E19">
        <v>29</v>
      </c>
      <c r="P19" s="25">
        <f>O19*31.67</f>
        <v>0</v>
      </c>
      <c r="Q19" s="25">
        <f>P19*13%</f>
        <v>0</v>
      </c>
      <c r="R19" s="64">
        <f>P19+Q19</f>
        <v>0</v>
      </c>
      <c r="S19" s="25">
        <f>1.93*O19</f>
        <v>0</v>
      </c>
      <c r="T19" s="25">
        <f t="shared" si="5"/>
        <v>0</v>
      </c>
      <c r="U19" s="25"/>
      <c r="V19" s="25"/>
      <c r="W19" s="25">
        <f t="shared" si="6"/>
        <v>0</v>
      </c>
      <c r="X19" s="25"/>
      <c r="Y19" s="25">
        <f t="shared" si="7"/>
        <v>0</v>
      </c>
      <c r="Z19" s="25">
        <f t="shared" si="8"/>
        <v>0</v>
      </c>
      <c r="AA19" s="25"/>
      <c r="AB19" s="25">
        <f t="shared" si="9"/>
        <v>0</v>
      </c>
      <c r="AC19" s="25">
        <f t="shared" si="10"/>
        <v>0</v>
      </c>
      <c r="AD19" s="25"/>
      <c r="AE19" s="25">
        <f t="shared" si="11"/>
        <v>0</v>
      </c>
      <c r="AF19" s="25"/>
      <c r="AG19" s="25">
        <f t="shared" si="12"/>
        <v>0</v>
      </c>
      <c r="AH19" s="25">
        <f>U19+W19+Y19+Z19+AA19+AB19+AD19+AF19+AG19</f>
        <v>0</v>
      </c>
      <c r="AI19" s="25">
        <f t="shared" si="14"/>
        <v>0</v>
      </c>
      <c r="AJ19" s="25">
        <f t="shared" si="15"/>
        <v>0</v>
      </c>
      <c r="AK19" s="25">
        <f t="shared" si="16"/>
        <v>0</v>
      </c>
      <c r="AL19" s="25">
        <f t="shared" si="17"/>
        <v>0</v>
      </c>
      <c r="AM19" s="25">
        <f t="shared" si="18"/>
        <v>0</v>
      </c>
      <c r="AN19" s="25">
        <f t="shared" si="19"/>
        <v>0</v>
      </c>
      <c r="AO19" s="25">
        <f t="shared" si="20"/>
        <v>0</v>
      </c>
      <c r="AP19" s="25"/>
    </row>
    <row r="20" spans="1:42" x14ac:dyDescent="0.25">
      <c r="A20" t="s">
        <v>2</v>
      </c>
      <c r="D20" t="s">
        <v>32</v>
      </c>
      <c r="O20">
        <f>SUM(O15:O19)</f>
        <v>0</v>
      </c>
      <c r="P20" s="25">
        <f>SUM(P15:P19)</f>
        <v>0</v>
      </c>
      <c r="Q20" s="25">
        <f t="shared" ref="Q20:AO20" si="21">SUM(Q15:Q19)</f>
        <v>0</v>
      </c>
      <c r="R20" s="64">
        <f t="shared" si="21"/>
        <v>0</v>
      </c>
      <c r="S20" s="25">
        <f t="shared" si="21"/>
        <v>0</v>
      </c>
      <c r="T20" s="25">
        <f t="shared" si="21"/>
        <v>0</v>
      </c>
      <c r="U20" s="25">
        <f t="shared" si="21"/>
        <v>0</v>
      </c>
      <c r="V20" s="25">
        <f t="shared" si="21"/>
        <v>0</v>
      </c>
      <c r="W20" s="25">
        <f t="shared" si="21"/>
        <v>0</v>
      </c>
      <c r="X20" s="25">
        <f t="shared" si="21"/>
        <v>0</v>
      </c>
      <c r="Y20" s="25">
        <f t="shared" si="21"/>
        <v>0</v>
      </c>
      <c r="Z20" s="25">
        <f t="shared" si="21"/>
        <v>0</v>
      </c>
      <c r="AA20" s="25">
        <f t="shared" si="21"/>
        <v>0</v>
      </c>
      <c r="AB20" s="25">
        <f t="shared" si="21"/>
        <v>0</v>
      </c>
      <c r="AC20" s="25">
        <f t="shared" si="21"/>
        <v>0</v>
      </c>
      <c r="AD20" s="25">
        <f t="shared" si="21"/>
        <v>0</v>
      </c>
      <c r="AE20" s="25">
        <f t="shared" si="21"/>
        <v>0</v>
      </c>
      <c r="AF20" s="25">
        <f t="shared" si="21"/>
        <v>0</v>
      </c>
      <c r="AG20" s="25">
        <f t="shared" si="21"/>
        <v>0</v>
      </c>
      <c r="AH20" s="25">
        <f t="shared" si="21"/>
        <v>0</v>
      </c>
      <c r="AI20" s="25">
        <f t="shared" si="21"/>
        <v>0</v>
      </c>
      <c r="AJ20" s="25">
        <f t="shared" si="21"/>
        <v>0</v>
      </c>
      <c r="AK20" s="25">
        <f t="shared" si="21"/>
        <v>0</v>
      </c>
      <c r="AL20" s="25">
        <f t="shared" si="21"/>
        <v>0</v>
      </c>
      <c r="AM20" s="25">
        <f t="shared" si="21"/>
        <v>0</v>
      </c>
      <c r="AN20" s="25">
        <f t="shared" si="21"/>
        <v>0</v>
      </c>
      <c r="AO20" s="25">
        <f t="shared" si="21"/>
        <v>0</v>
      </c>
      <c r="AP20" s="25"/>
    </row>
    <row r="21" spans="1:42" x14ac:dyDescent="0.25">
      <c r="P21" s="25"/>
      <c r="Q21" s="25"/>
      <c r="R21" s="64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2" x14ac:dyDescent="0.25">
      <c r="A22" t="s">
        <v>165</v>
      </c>
      <c r="D22" t="s">
        <v>14</v>
      </c>
      <c r="E22">
        <v>7</v>
      </c>
      <c r="P22" s="25"/>
      <c r="Q22" s="25"/>
      <c r="R22" s="64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x14ac:dyDescent="0.25">
      <c r="A23" s="53" t="s">
        <v>169</v>
      </c>
      <c r="D23" t="s">
        <v>14</v>
      </c>
      <c r="E23">
        <v>5</v>
      </c>
      <c r="P23" s="25">
        <f>O23*31.67</f>
        <v>0</v>
      </c>
      <c r="Q23" s="25">
        <f>P23*13%</f>
        <v>0</v>
      </c>
      <c r="R23" s="64">
        <f>P23+Q23</f>
        <v>0</v>
      </c>
      <c r="S23" s="25">
        <f>1.93*O23</f>
        <v>0</v>
      </c>
      <c r="T23" s="25">
        <f>R23+S23</f>
        <v>0</v>
      </c>
      <c r="U23" s="25"/>
      <c r="V23" s="25"/>
      <c r="W23" s="25">
        <f>R23*1.47%</f>
        <v>0</v>
      </c>
      <c r="X23" s="25"/>
      <c r="Y23" s="25">
        <f>R23*0.559%</f>
        <v>0</v>
      </c>
      <c r="Z23" s="25">
        <f>R23*0.75%</f>
        <v>0</v>
      </c>
      <c r="AA23" s="25"/>
      <c r="AB23" s="25">
        <f>1.7*O23</f>
        <v>0</v>
      </c>
      <c r="AC23" s="25">
        <f>R23-Z23-AA23-AB23</f>
        <v>0</v>
      </c>
      <c r="AD23" s="25"/>
      <c r="AE23" s="25">
        <f>T23-AB23</f>
        <v>0</v>
      </c>
      <c r="AF23" s="25"/>
      <c r="AG23" s="25">
        <f>Q23</f>
        <v>0</v>
      </c>
      <c r="AH23" s="25">
        <f>U23+W23+Y23+Z23+AA23+AB23+AD23+AF23+AG23</f>
        <v>0</v>
      </c>
      <c r="AI23" s="25">
        <f>R23-AH23</f>
        <v>0</v>
      </c>
      <c r="AJ23" s="25">
        <f>0.6*O23</f>
        <v>0</v>
      </c>
      <c r="AK23" s="25">
        <f>AI23+AJ23</f>
        <v>0</v>
      </c>
      <c r="AL23" s="25">
        <f>R23*0.782%</f>
        <v>0</v>
      </c>
      <c r="AM23" s="25">
        <f>5.755*O23</f>
        <v>0</v>
      </c>
      <c r="AN23" s="25">
        <f>1.95*O23</f>
        <v>0</v>
      </c>
      <c r="AO23" s="25">
        <f>0.02*O23</f>
        <v>0</v>
      </c>
      <c r="AP23" s="25"/>
    </row>
    <row r="24" spans="1:42" x14ac:dyDescent="0.25">
      <c r="D24" t="s">
        <v>14</v>
      </c>
      <c r="E24">
        <v>12</v>
      </c>
      <c r="P24" s="25">
        <f t="shared" ref="P24:P25" si="22">O24*31.67</f>
        <v>0</v>
      </c>
      <c r="Q24" s="25">
        <f t="shared" ref="Q24:Q25" si="23">P24*13%</f>
        <v>0</v>
      </c>
      <c r="R24" s="64">
        <f t="shared" ref="R24:R25" si="24">P24+Q24</f>
        <v>0</v>
      </c>
      <c r="S24" s="25">
        <f t="shared" ref="S24:S25" si="25">1.93*O24</f>
        <v>0</v>
      </c>
      <c r="T24" s="25">
        <f t="shared" ref="T24:T25" si="26">R24+S24</f>
        <v>0</v>
      </c>
      <c r="U24" s="25"/>
      <c r="V24" s="25"/>
      <c r="W24" s="25">
        <f t="shared" ref="W24:W25" si="27">R24*1.47%</f>
        <v>0</v>
      </c>
      <c r="X24" s="25"/>
      <c r="Y24" s="25">
        <f>R24*0.559%</f>
        <v>0</v>
      </c>
      <c r="Z24" s="25">
        <f t="shared" ref="Z24:Z25" si="28">R24*0.75%</f>
        <v>0</v>
      </c>
      <c r="AA24" s="25"/>
      <c r="AB24" s="25">
        <f t="shared" ref="AB24:AB25" si="29">1.7*O24</f>
        <v>0</v>
      </c>
      <c r="AC24" s="25">
        <f t="shared" ref="AC24:AC25" si="30">R24-Z24-AA24-AB24</f>
        <v>0</v>
      </c>
      <c r="AD24" s="25"/>
      <c r="AE24" s="25">
        <f t="shared" ref="AE24:AE25" si="31">T24-AB24</f>
        <v>0</v>
      </c>
      <c r="AF24" s="25"/>
      <c r="AG24" s="25">
        <f t="shared" ref="AG24:AG25" si="32">Q24</f>
        <v>0</v>
      </c>
      <c r="AH24" s="25">
        <f t="shared" ref="AH24:AH25" si="33">U24+W24+Y24+Z24+AA24+AB24+AD24+AF24+AG24</f>
        <v>0</v>
      </c>
      <c r="AI24" s="25">
        <f t="shared" ref="AI24:AI25" si="34">R24-AH24</f>
        <v>0</v>
      </c>
      <c r="AJ24" s="25">
        <f t="shared" ref="AJ24:AJ25" si="35">0.6*O24</f>
        <v>0</v>
      </c>
      <c r="AK24" s="25">
        <f t="shared" ref="AK24:AK25" si="36">AI24+AJ24</f>
        <v>0</v>
      </c>
      <c r="AL24" s="25">
        <f t="shared" ref="AL24:AL25" si="37">R24*0.782%</f>
        <v>0</v>
      </c>
      <c r="AM24" s="25">
        <f t="shared" ref="AM24:AM25" si="38">5.755*O24</f>
        <v>0</v>
      </c>
      <c r="AN24" s="25">
        <f t="shared" ref="AN24:AN25" si="39">1.95*O24</f>
        <v>0</v>
      </c>
      <c r="AO24" s="25">
        <f t="shared" ref="AO24:AO25" si="40">0.02*O24</f>
        <v>0</v>
      </c>
      <c r="AP24" s="25"/>
    </row>
    <row r="25" spans="1:42" x14ac:dyDescent="0.25">
      <c r="D25" t="s">
        <v>14</v>
      </c>
      <c r="E25">
        <v>19</v>
      </c>
      <c r="P25" s="25">
        <f t="shared" si="22"/>
        <v>0</v>
      </c>
      <c r="Q25" s="25">
        <f t="shared" si="23"/>
        <v>0</v>
      </c>
      <c r="R25" s="64">
        <f t="shared" si="24"/>
        <v>0</v>
      </c>
      <c r="S25" s="25">
        <f t="shared" si="25"/>
        <v>0</v>
      </c>
      <c r="T25" s="25">
        <f t="shared" si="26"/>
        <v>0</v>
      </c>
      <c r="U25" s="25"/>
      <c r="V25" s="25"/>
      <c r="W25" s="25">
        <f t="shared" si="27"/>
        <v>0</v>
      </c>
      <c r="X25" s="25"/>
      <c r="Y25" s="25">
        <f>R25*0.559%</f>
        <v>0</v>
      </c>
      <c r="Z25" s="25">
        <f t="shared" si="28"/>
        <v>0</v>
      </c>
      <c r="AA25" s="25"/>
      <c r="AB25" s="25">
        <f t="shared" si="29"/>
        <v>0</v>
      </c>
      <c r="AC25" s="25">
        <f t="shared" si="30"/>
        <v>0</v>
      </c>
      <c r="AD25" s="25"/>
      <c r="AE25" s="25">
        <f t="shared" si="31"/>
        <v>0</v>
      </c>
      <c r="AF25" s="25"/>
      <c r="AG25" s="25">
        <f t="shared" si="32"/>
        <v>0</v>
      </c>
      <c r="AH25" s="25">
        <f t="shared" si="33"/>
        <v>0</v>
      </c>
      <c r="AI25" s="25">
        <f t="shared" si="34"/>
        <v>0</v>
      </c>
      <c r="AJ25" s="25">
        <f t="shared" si="35"/>
        <v>0</v>
      </c>
      <c r="AK25" s="25">
        <f t="shared" si="36"/>
        <v>0</v>
      </c>
      <c r="AL25" s="25">
        <f t="shared" si="37"/>
        <v>0</v>
      </c>
      <c r="AM25" s="25">
        <f t="shared" si="38"/>
        <v>0</v>
      </c>
      <c r="AN25" s="25">
        <f t="shared" si="39"/>
        <v>0</v>
      </c>
      <c r="AO25" s="25">
        <f t="shared" si="40"/>
        <v>0</v>
      </c>
      <c r="AP25" s="25"/>
    </row>
    <row r="26" spans="1:42" x14ac:dyDescent="0.25">
      <c r="D26" t="s">
        <v>14</v>
      </c>
      <c r="E26">
        <v>26</v>
      </c>
      <c r="P26" s="25"/>
      <c r="Q26" s="25"/>
      <c r="R26" s="64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</row>
    <row r="27" spans="1:42" x14ac:dyDescent="0.25">
      <c r="D27" t="s">
        <v>33</v>
      </c>
      <c r="O27">
        <f>SUM(O22:O26)</f>
        <v>0</v>
      </c>
      <c r="P27" s="25">
        <f>SUM(P22:P26)</f>
        <v>0</v>
      </c>
      <c r="Q27" s="25">
        <f t="shared" ref="Q27:AO27" si="41">SUM(Q22:Q26)</f>
        <v>0</v>
      </c>
      <c r="R27" s="64">
        <f t="shared" si="41"/>
        <v>0</v>
      </c>
      <c r="S27" s="25">
        <f t="shared" si="41"/>
        <v>0</v>
      </c>
      <c r="T27" s="25">
        <f t="shared" si="41"/>
        <v>0</v>
      </c>
      <c r="U27" s="25">
        <f t="shared" si="41"/>
        <v>0</v>
      </c>
      <c r="V27" s="25">
        <f t="shared" si="41"/>
        <v>0</v>
      </c>
      <c r="W27" s="25">
        <f t="shared" si="41"/>
        <v>0</v>
      </c>
      <c r="X27" s="25">
        <f t="shared" si="41"/>
        <v>0</v>
      </c>
      <c r="Y27" s="25">
        <f t="shared" si="41"/>
        <v>0</v>
      </c>
      <c r="Z27" s="25">
        <f t="shared" si="41"/>
        <v>0</v>
      </c>
      <c r="AA27" s="25">
        <f t="shared" si="41"/>
        <v>0</v>
      </c>
      <c r="AB27" s="25">
        <f t="shared" si="41"/>
        <v>0</v>
      </c>
      <c r="AC27" s="25">
        <f t="shared" si="41"/>
        <v>0</v>
      </c>
      <c r="AD27" s="25">
        <f t="shared" si="41"/>
        <v>0</v>
      </c>
      <c r="AE27" s="25">
        <f t="shared" si="41"/>
        <v>0</v>
      </c>
      <c r="AF27" s="25">
        <f t="shared" si="41"/>
        <v>0</v>
      </c>
      <c r="AG27" s="25">
        <f t="shared" si="41"/>
        <v>0</v>
      </c>
      <c r="AH27" s="25">
        <f t="shared" si="41"/>
        <v>0</v>
      </c>
      <c r="AI27" s="25">
        <f t="shared" si="41"/>
        <v>0</v>
      </c>
      <c r="AJ27" s="25">
        <f t="shared" si="41"/>
        <v>0</v>
      </c>
      <c r="AK27" s="25">
        <f t="shared" si="41"/>
        <v>0</v>
      </c>
      <c r="AL27" s="25">
        <f t="shared" si="41"/>
        <v>0</v>
      </c>
      <c r="AM27" s="25">
        <f t="shared" si="41"/>
        <v>0</v>
      </c>
      <c r="AN27" s="25">
        <f t="shared" si="41"/>
        <v>0</v>
      </c>
      <c r="AO27" s="25">
        <f t="shared" si="41"/>
        <v>0</v>
      </c>
      <c r="AP27" s="25"/>
    </row>
    <row r="28" spans="1:42" x14ac:dyDescent="0.25">
      <c r="P28" s="25"/>
      <c r="Q28" s="25"/>
      <c r="R28" s="64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</row>
    <row r="29" spans="1:42" x14ac:dyDescent="0.25">
      <c r="D29" t="s">
        <v>15</v>
      </c>
      <c r="E29">
        <v>3</v>
      </c>
      <c r="P29" s="25"/>
      <c r="Q29" s="25"/>
      <c r="R29" s="64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</row>
    <row r="30" spans="1:42" x14ac:dyDescent="0.25">
      <c r="D30" t="s">
        <v>15</v>
      </c>
      <c r="E30">
        <v>10</v>
      </c>
      <c r="P30" s="25">
        <f>32.4*O30</f>
        <v>0</v>
      </c>
      <c r="Q30" s="25">
        <f>P30*13%</f>
        <v>0</v>
      </c>
      <c r="R30" s="64">
        <f>P30+Q30</f>
        <v>0</v>
      </c>
      <c r="S30" s="25">
        <f>1.93*O30</f>
        <v>0</v>
      </c>
      <c r="T30" s="25">
        <f>R30+S30</f>
        <v>0</v>
      </c>
      <c r="U30" s="25"/>
      <c r="V30" s="25"/>
      <c r="W30" s="25">
        <f>R30*1.47%</f>
        <v>0</v>
      </c>
      <c r="X30" s="25"/>
      <c r="Y30" s="25">
        <f>R30*0.559%</f>
        <v>0</v>
      </c>
      <c r="Z30" s="25">
        <f>R30*0.75%</f>
        <v>0</v>
      </c>
      <c r="AA30" s="25"/>
      <c r="AB30" s="25">
        <f>1.7*O30</f>
        <v>0</v>
      </c>
      <c r="AC30" s="25">
        <f>R30-Z30-AA30-AB30</f>
        <v>0</v>
      </c>
      <c r="AD30" s="25"/>
      <c r="AE30" s="25">
        <f>T30-AB30</f>
        <v>0</v>
      </c>
      <c r="AF30" s="25"/>
      <c r="AG30" s="25">
        <f>Q30</f>
        <v>0</v>
      </c>
      <c r="AH30" s="25">
        <f>SUM(U30+W30+Y30+Z30+AA30+AB30+AD30+AF30+AG30)</f>
        <v>0</v>
      </c>
      <c r="AI30" s="25">
        <f>R30-AH30</f>
        <v>0</v>
      </c>
      <c r="AJ30" s="25">
        <f>0.65*O30</f>
        <v>0</v>
      </c>
      <c r="AK30" s="25">
        <f>AI30+AJ30</f>
        <v>0</v>
      </c>
      <c r="AL30" s="25">
        <f>R30*0.782%</f>
        <v>0</v>
      </c>
      <c r="AM30" s="25">
        <f>6.075*O30</f>
        <v>0</v>
      </c>
      <c r="AN30" s="25">
        <f>2*O30</f>
        <v>0</v>
      </c>
      <c r="AO30" s="25">
        <f>0.02*O30</f>
        <v>0</v>
      </c>
      <c r="AP30" s="25"/>
    </row>
    <row r="31" spans="1:42" x14ac:dyDescent="0.25">
      <c r="D31" t="s">
        <v>15</v>
      </c>
      <c r="E31">
        <v>17</v>
      </c>
      <c r="P31" s="25">
        <f t="shared" ref="P31:P33" si="42">32.4*O31</f>
        <v>0</v>
      </c>
      <c r="Q31" s="25">
        <f t="shared" ref="Q31:Q33" si="43">P31*13%</f>
        <v>0</v>
      </c>
      <c r="R31" s="64">
        <f t="shared" ref="R31:R33" si="44">P31+Q31</f>
        <v>0</v>
      </c>
      <c r="S31" s="25">
        <f t="shared" ref="S31:S33" si="45">1.93*O31</f>
        <v>0</v>
      </c>
      <c r="T31" s="25">
        <f t="shared" ref="T31:T33" si="46">R31+S31</f>
        <v>0</v>
      </c>
      <c r="U31" s="25"/>
      <c r="V31" s="25"/>
      <c r="W31" s="25">
        <f t="shared" ref="W31:W33" si="47">R31*1.47%</f>
        <v>0</v>
      </c>
      <c r="X31" s="25"/>
      <c r="Y31" s="25">
        <f t="shared" ref="Y31:Y33" si="48">R31*0.559%</f>
        <v>0</v>
      </c>
      <c r="Z31" s="25">
        <f t="shared" ref="Z31:Z33" si="49">R31*0.75%</f>
        <v>0</v>
      </c>
      <c r="AA31" s="25"/>
      <c r="AB31" s="25">
        <f t="shared" ref="AB31:AB33" si="50">1.7*O31</f>
        <v>0</v>
      </c>
      <c r="AC31" s="25">
        <f t="shared" ref="AC31:AC33" si="51">R31-Z31-AA31-AB31</f>
        <v>0</v>
      </c>
      <c r="AD31" s="25"/>
      <c r="AE31" s="25">
        <f t="shared" ref="AE31:AE33" si="52">T31-AB31</f>
        <v>0</v>
      </c>
      <c r="AF31" s="25"/>
      <c r="AG31" s="25">
        <f t="shared" ref="AG31:AG33" si="53">Q31</f>
        <v>0</v>
      </c>
      <c r="AH31" s="25">
        <f t="shared" ref="AH31:AH33" si="54">SUM(U31+W31+Y31+Z31+AA31+AB31+AD31+AF31+AG31)</f>
        <v>0</v>
      </c>
      <c r="AI31" s="25">
        <f t="shared" ref="AI31:AI33" si="55">R31-AH31</f>
        <v>0</v>
      </c>
      <c r="AJ31" s="25">
        <f t="shared" ref="AJ31:AJ33" si="56">0.65*O31</f>
        <v>0</v>
      </c>
      <c r="AK31" s="25">
        <f t="shared" ref="AK31:AK33" si="57">AI31+AJ31</f>
        <v>0</v>
      </c>
      <c r="AL31" s="25">
        <f t="shared" ref="AL31:AL33" si="58">R31*0.782%</f>
        <v>0</v>
      </c>
      <c r="AM31" s="25">
        <f t="shared" ref="AM31:AM33" si="59">6.075*O31</f>
        <v>0</v>
      </c>
      <c r="AN31" s="25">
        <f t="shared" ref="AN31:AN33" si="60">2*O31</f>
        <v>0</v>
      </c>
      <c r="AO31" s="25">
        <f t="shared" ref="AO31:AO33" si="61">0.02*O31</f>
        <v>0</v>
      </c>
      <c r="AP31" s="25"/>
    </row>
    <row r="32" spans="1:42" x14ac:dyDescent="0.25">
      <c r="D32" t="s">
        <v>15</v>
      </c>
      <c r="E32">
        <v>24</v>
      </c>
      <c r="P32" s="25">
        <f t="shared" si="42"/>
        <v>0</v>
      </c>
      <c r="Q32" s="25">
        <f t="shared" si="43"/>
        <v>0</v>
      </c>
      <c r="R32" s="64">
        <f t="shared" si="44"/>
        <v>0</v>
      </c>
      <c r="S32" s="25">
        <f t="shared" si="45"/>
        <v>0</v>
      </c>
      <c r="T32" s="25">
        <f t="shared" si="46"/>
        <v>0</v>
      </c>
      <c r="U32" s="25"/>
      <c r="V32" s="25"/>
      <c r="W32" s="25">
        <f t="shared" si="47"/>
        <v>0</v>
      </c>
      <c r="X32" s="25"/>
      <c r="Y32" s="25">
        <f t="shared" si="48"/>
        <v>0</v>
      </c>
      <c r="Z32" s="25">
        <f t="shared" si="49"/>
        <v>0</v>
      </c>
      <c r="AA32" s="25"/>
      <c r="AB32" s="25">
        <f t="shared" si="50"/>
        <v>0</v>
      </c>
      <c r="AC32" s="25">
        <f t="shared" si="51"/>
        <v>0</v>
      </c>
      <c r="AD32" s="25"/>
      <c r="AE32" s="25">
        <f t="shared" si="52"/>
        <v>0</v>
      </c>
      <c r="AF32" s="25"/>
      <c r="AG32" s="25">
        <f t="shared" si="53"/>
        <v>0</v>
      </c>
      <c r="AH32" s="25">
        <f t="shared" si="54"/>
        <v>0</v>
      </c>
      <c r="AI32" s="25">
        <f t="shared" si="55"/>
        <v>0</v>
      </c>
      <c r="AJ32" s="25">
        <f t="shared" si="56"/>
        <v>0</v>
      </c>
      <c r="AK32" s="25">
        <f t="shared" si="57"/>
        <v>0</v>
      </c>
      <c r="AL32" s="25">
        <f t="shared" si="58"/>
        <v>0</v>
      </c>
      <c r="AM32" s="25">
        <f t="shared" si="59"/>
        <v>0</v>
      </c>
      <c r="AN32" s="25">
        <f t="shared" si="60"/>
        <v>0</v>
      </c>
      <c r="AO32" s="25">
        <f t="shared" si="61"/>
        <v>0</v>
      </c>
      <c r="AP32" s="25"/>
    </row>
    <row r="33" spans="4:42" x14ac:dyDescent="0.25">
      <c r="D33" t="s">
        <v>15</v>
      </c>
      <c r="E33">
        <v>31</v>
      </c>
      <c r="P33" s="25">
        <f t="shared" si="42"/>
        <v>0</v>
      </c>
      <c r="Q33" s="25">
        <f t="shared" si="43"/>
        <v>0</v>
      </c>
      <c r="R33" s="64">
        <f t="shared" si="44"/>
        <v>0</v>
      </c>
      <c r="S33" s="25">
        <f t="shared" si="45"/>
        <v>0</v>
      </c>
      <c r="T33" s="25">
        <f t="shared" si="46"/>
        <v>0</v>
      </c>
      <c r="U33" s="25"/>
      <c r="V33" s="25"/>
      <c r="W33" s="25">
        <f t="shared" si="47"/>
        <v>0</v>
      </c>
      <c r="X33" s="25"/>
      <c r="Y33" s="25">
        <f t="shared" si="48"/>
        <v>0</v>
      </c>
      <c r="Z33" s="25">
        <f t="shared" si="49"/>
        <v>0</v>
      </c>
      <c r="AA33" s="25"/>
      <c r="AB33" s="25">
        <f t="shared" si="50"/>
        <v>0</v>
      </c>
      <c r="AC33" s="25">
        <f t="shared" si="51"/>
        <v>0</v>
      </c>
      <c r="AD33" s="25"/>
      <c r="AE33" s="25">
        <f t="shared" si="52"/>
        <v>0</v>
      </c>
      <c r="AF33" s="25"/>
      <c r="AG33" s="25">
        <f t="shared" si="53"/>
        <v>0</v>
      </c>
      <c r="AH33" s="25">
        <f t="shared" si="54"/>
        <v>0</v>
      </c>
      <c r="AI33" s="25">
        <f t="shared" si="55"/>
        <v>0</v>
      </c>
      <c r="AJ33" s="25">
        <f t="shared" si="56"/>
        <v>0</v>
      </c>
      <c r="AK33" s="25">
        <f t="shared" si="57"/>
        <v>0</v>
      </c>
      <c r="AL33" s="25">
        <f t="shared" si="58"/>
        <v>0</v>
      </c>
      <c r="AM33" s="25">
        <f t="shared" si="59"/>
        <v>0</v>
      </c>
      <c r="AN33" s="25">
        <f t="shared" si="60"/>
        <v>0</v>
      </c>
      <c r="AO33" s="25">
        <f t="shared" si="61"/>
        <v>0</v>
      </c>
      <c r="AP33" s="25"/>
    </row>
    <row r="34" spans="4:42" x14ac:dyDescent="0.25">
      <c r="D34" t="s">
        <v>33</v>
      </c>
      <c r="O34">
        <f>SUM(O29:O33)</f>
        <v>0</v>
      </c>
      <c r="P34" s="25">
        <f t="shared" ref="P34:AO34" si="62">SUM(P29:P33)</f>
        <v>0</v>
      </c>
      <c r="Q34" s="25">
        <f t="shared" si="62"/>
        <v>0</v>
      </c>
      <c r="R34" s="64">
        <f t="shared" si="62"/>
        <v>0</v>
      </c>
      <c r="S34" s="25">
        <f t="shared" si="62"/>
        <v>0</v>
      </c>
      <c r="T34" s="25">
        <f t="shared" si="62"/>
        <v>0</v>
      </c>
      <c r="U34" s="25">
        <f t="shared" si="62"/>
        <v>0</v>
      </c>
      <c r="V34" s="25">
        <f t="shared" si="62"/>
        <v>0</v>
      </c>
      <c r="W34" s="25">
        <f t="shared" si="62"/>
        <v>0</v>
      </c>
      <c r="X34" s="25">
        <f t="shared" si="62"/>
        <v>0</v>
      </c>
      <c r="Y34" s="25">
        <f t="shared" si="62"/>
        <v>0</v>
      </c>
      <c r="Z34" s="25">
        <f t="shared" si="62"/>
        <v>0</v>
      </c>
      <c r="AA34" s="25">
        <f t="shared" si="62"/>
        <v>0</v>
      </c>
      <c r="AB34" s="25">
        <f t="shared" si="62"/>
        <v>0</v>
      </c>
      <c r="AC34" s="25">
        <f t="shared" si="62"/>
        <v>0</v>
      </c>
      <c r="AD34" s="25">
        <f t="shared" si="62"/>
        <v>0</v>
      </c>
      <c r="AE34" s="25">
        <f t="shared" si="62"/>
        <v>0</v>
      </c>
      <c r="AF34" s="25">
        <f t="shared" si="62"/>
        <v>0</v>
      </c>
      <c r="AG34" s="25">
        <f t="shared" si="62"/>
        <v>0</v>
      </c>
      <c r="AH34" s="25">
        <f t="shared" si="62"/>
        <v>0</v>
      </c>
      <c r="AI34" s="25">
        <f t="shared" si="62"/>
        <v>0</v>
      </c>
      <c r="AJ34" s="25">
        <f t="shared" si="62"/>
        <v>0</v>
      </c>
      <c r="AK34" s="25">
        <f t="shared" si="62"/>
        <v>0</v>
      </c>
      <c r="AL34" s="25">
        <f t="shared" si="62"/>
        <v>0</v>
      </c>
      <c r="AM34" s="25">
        <f t="shared" si="62"/>
        <v>0</v>
      </c>
      <c r="AN34" s="25">
        <f t="shared" si="62"/>
        <v>0</v>
      </c>
      <c r="AO34" s="25">
        <f t="shared" si="62"/>
        <v>0</v>
      </c>
      <c r="AP34" s="25"/>
    </row>
    <row r="35" spans="4:42" x14ac:dyDescent="0.25">
      <c r="P35" s="25"/>
      <c r="Q35" s="25"/>
      <c r="R35" s="64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</row>
    <row r="36" spans="4:42" x14ac:dyDescent="0.25">
      <c r="D36" t="s">
        <v>16</v>
      </c>
      <c r="E36">
        <v>7</v>
      </c>
      <c r="P36" s="25"/>
      <c r="Q36" s="25"/>
      <c r="R36" s="64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</row>
    <row r="37" spans="4:42" x14ac:dyDescent="0.25">
      <c r="D37" t="s">
        <v>16</v>
      </c>
      <c r="E37">
        <v>14</v>
      </c>
      <c r="P37" s="25"/>
      <c r="Q37" s="25"/>
      <c r="R37" s="64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4:42" x14ac:dyDescent="0.25">
      <c r="D38" t="s">
        <v>16</v>
      </c>
      <c r="E38">
        <v>21</v>
      </c>
      <c r="P38" s="25"/>
      <c r="Q38" s="25"/>
      <c r="R38" s="64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4:42" x14ac:dyDescent="0.25">
      <c r="D39" t="s">
        <v>16</v>
      </c>
      <c r="E39">
        <v>28</v>
      </c>
      <c r="P39" s="25"/>
      <c r="Q39" s="25"/>
      <c r="R39" s="64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</row>
    <row r="40" spans="4:42" x14ac:dyDescent="0.25">
      <c r="D40" t="s">
        <v>137</v>
      </c>
      <c r="P40" s="25"/>
      <c r="Q40" s="25"/>
      <c r="R40" s="64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</row>
    <row r="41" spans="4:42" x14ac:dyDescent="0.25">
      <c r="D41" t="s">
        <v>33</v>
      </c>
      <c r="P41" s="25"/>
      <c r="Q41" s="25"/>
      <c r="R41" s="64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</row>
    <row r="42" spans="4:42" x14ac:dyDescent="0.25">
      <c r="P42" s="25"/>
      <c r="Q42" s="25"/>
      <c r="R42" s="64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</row>
    <row r="43" spans="4:42" x14ac:dyDescent="0.25">
      <c r="D43" t="s">
        <v>17</v>
      </c>
      <c r="P43" s="25"/>
      <c r="Q43" s="25"/>
      <c r="R43" s="64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</row>
    <row r="44" spans="4:42" x14ac:dyDescent="0.25">
      <c r="D44" t="s">
        <v>17</v>
      </c>
      <c r="E44">
        <v>5</v>
      </c>
      <c r="P44" s="25"/>
      <c r="Q44" s="25"/>
      <c r="R44" s="64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</row>
    <row r="45" spans="4:42" x14ac:dyDescent="0.25">
      <c r="D45" t="s">
        <v>17</v>
      </c>
      <c r="E45">
        <v>12</v>
      </c>
      <c r="P45" s="25"/>
      <c r="Q45" s="25"/>
      <c r="R45" s="64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</row>
    <row r="46" spans="4:42" x14ac:dyDescent="0.25">
      <c r="D46" t="s">
        <v>17</v>
      </c>
      <c r="E46">
        <v>19</v>
      </c>
      <c r="P46" s="25"/>
      <c r="Q46" s="25"/>
      <c r="R46" s="64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</row>
    <row r="47" spans="4:42" x14ac:dyDescent="0.25">
      <c r="D47" t="s">
        <v>52</v>
      </c>
      <c r="E47">
        <v>26</v>
      </c>
      <c r="P47" s="25"/>
      <c r="Q47" s="25"/>
      <c r="R47" s="64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</row>
    <row r="48" spans="4:42" x14ac:dyDescent="0.25">
      <c r="D48" t="s">
        <v>33</v>
      </c>
      <c r="P48" s="25"/>
      <c r="Q48" s="25"/>
      <c r="R48" s="64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</row>
    <row r="49" spans="4:42" x14ac:dyDescent="0.25">
      <c r="P49" s="25"/>
      <c r="Q49" s="25"/>
      <c r="R49" s="64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</row>
    <row r="50" spans="4:42" x14ac:dyDescent="0.25">
      <c r="D50" t="s">
        <v>18</v>
      </c>
      <c r="E50">
        <v>2</v>
      </c>
      <c r="P50" s="25"/>
      <c r="Q50" s="25"/>
      <c r="R50" s="64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</row>
    <row r="51" spans="4:42" x14ac:dyDescent="0.25">
      <c r="D51" t="s">
        <v>18</v>
      </c>
      <c r="E51">
        <v>9</v>
      </c>
      <c r="P51" s="25"/>
      <c r="Q51" s="25"/>
      <c r="R51" s="64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</row>
    <row r="52" spans="4:42" x14ac:dyDescent="0.25">
      <c r="D52" t="s">
        <v>18</v>
      </c>
      <c r="E52">
        <v>16</v>
      </c>
      <c r="P52" s="25"/>
      <c r="Q52" s="25"/>
      <c r="R52" s="64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</row>
    <row r="53" spans="4:42" x14ac:dyDescent="0.25">
      <c r="D53" t="s">
        <v>18</v>
      </c>
      <c r="E53">
        <v>23</v>
      </c>
      <c r="P53" s="25"/>
      <c r="Q53" s="25"/>
      <c r="R53" s="64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</row>
    <row r="54" spans="4:42" x14ac:dyDescent="0.25">
      <c r="D54" t="s">
        <v>18</v>
      </c>
      <c r="E54">
        <v>30</v>
      </c>
      <c r="P54" s="25"/>
      <c r="Q54" s="25"/>
      <c r="R54" s="64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</row>
    <row r="55" spans="4:42" x14ac:dyDescent="0.25">
      <c r="D55" t="s">
        <v>33</v>
      </c>
      <c r="P55" s="25"/>
      <c r="Q55" s="25"/>
      <c r="R55" s="64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</row>
    <row r="56" spans="4:42" x14ac:dyDescent="0.25">
      <c r="P56" s="25"/>
      <c r="Q56" s="25"/>
      <c r="R56" s="64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</row>
    <row r="57" spans="4:42" x14ac:dyDescent="0.25">
      <c r="D57" t="s">
        <v>19</v>
      </c>
      <c r="E57">
        <v>1</v>
      </c>
      <c r="P57" s="25"/>
      <c r="Q57" s="25"/>
      <c r="R57" s="64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</row>
    <row r="58" spans="4:42" x14ac:dyDescent="0.25">
      <c r="D58" t="s">
        <v>19</v>
      </c>
      <c r="E58">
        <v>6</v>
      </c>
      <c r="P58" s="25"/>
      <c r="Q58" s="25"/>
      <c r="R58" s="64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</row>
    <row r="59" spans="4:42" x14ac:dyDescent="0.25">
      <c r="D59" t="s">
        <v>19</v>
      </c>
      <c r="E59">
        <v>13</v>
      </c>
      <c r="P59" s="25">
        <f>O59*32.4</f>
        <v>0</v>
      </c>
      <c r="Q59" s="25">
        <f>P59*13%</f>
        <v>0</v>
      </c>
      <c r="R59" s="64">
        <f>P59+Q59</f>
        <v>0</v>
      </c>
      <c r="S59" s="25">
        <f>O59*1.902</f>
        <v>0</v>
      </c>
      <c r="T59" s="25">
        <f>R59+S59</f>
        <v>0</v>
      </c>
      <c r="U59" s="25"/>
      <c r="V59" s="25"/>
      <c r="W59" s="25"/>
      <c r="X59" s="25"/>
      <c r="Y59" s="25"/>
      <c r="Z59" s="25"/>
      <c r="AA59" s="25"/>
      <c r="AB59" s="25"/>
      <c r="AC59" s="25">
        <f>R59-Z59-AA59-AB59</f>
        <v>0</v>
      </c>
      <c r="AD59" s="25"/>
      <c r="AE59" s="25"/>
      <c r="AF59" s="25"/>
      <c r="AG59" s="25">
        <f>Q59</f>
        <v>0</v>
      </c>
      <c r="AH59" s="25">
        <f>SUM(U59+W59+Y59+Z59+AA59+AB59+AD59+AF59+AG59)</f>
        <v>0</v>
      </c>
      <c r="AI59" s="25">
        <f>R59-AH59</f>
        <v>0</v>
      </c>
      <c r="AJ59" s="25">
        <f>0.65*O59</f>
        <v>0</v>
      </c>
      <c r="AK59" s="25">
        <f>AI59+AJ59</f>
        <v>0</v>
      </c>
      <c r="AL59" s="25">
        <f>R59*0.782%</f>
        <v>0</v>
      </c>
      <c r="AM59" s="25">
        <f>6.075*O59</f>
        <v>0</v>
      </c>
      <c r="AN59" s="25">
        <f>O59*2</f>
        <v>0</v>
      </c>
      <c r="AO59" s="25">
        <f>0.02*O59</f>
        <v>0</v>
      </c>
      <c r="AP59" s="25"/>
    </row>
    <row r="60" spans="4:42" x14ac:dyDescent="0.25">
      <c r="D60" t="s">
        <v>19</v>
      </c>
      <c r="E60">
        <v>20</v>
      </c>
      <c r="P60" s="25">
        <f t="shared" ref="P60:P61" si="63">O60*32.4</f>
        <v>0</v>
      </c>
      <c r="Q60" s="25">
        <f t="shared" ref="Q60:Q61" si="64">P60*13%</f>
        <v>0</v>
      </c>
      <c r="R60" s="64">
        <f t="shared" ref="R60" si="65">P60+Q60</f>
        <v>0</v>
      </c>
      <c r="S60" s="25">
        <f t="shared" ref="S60:S61" si="66">O60*1.902</f>
        <v>0</v>
      </c>
      <c r="T60" s="25">
        <f t="shared" ref="T60:T61" si="67">R60+S60</f>
        <v>0</v>
      </c>
      <c r="U60" s="25"/>
      <c r="V60" s="25"/>
      <c r="W60" s="25"/>
      <c r="X60" s="25"/>
      <c r="Y60" s="25"/>
      <c r="Z60" s="25"/>
      <c r="AA60" s="25"/>
      <c r="AB60" s="25"/>
      <c r="AC60" s="25">
        <f t="shared" ref="AC60:AC61" si="68">R60-Z60-AA60-AB60</f>
        <v>0</v>
      </c>
      <c r="AD60" s="25"/>
      <c r="AE60" s="25"/>
      <c r="AF60" s="25"/>
      <c r="AG60" s="25">
        <f t="shared" ref="AG60:AG61" si="69">Q60</f>
        <v>0</v>
      </c>
      <c r="AH60" s="25">
        <f t="shared" ref="AH60" si="70">SUM(U60+W60+Y60+Z60+AA60+AB60+AD60+AF60+AG60)</f>
        <v>0</v>
      </c>
      <c r="AI60" s="25">
        <f t="shared" ref="AI60:AI61" si="71">R60-AH60</f>
        <v>0</v>
      </c>
      <c r="AJ60" s="25">
        <f t="shared" ref="AJ60:AJ61" si="72">0.65*O60</f>
        <v>0</v>
      </c>
      <c r="AK60" s="25">
        <f t="shared" ref="AK60:AK61" si="73">AI60+AJ60</f>
        <v>0</v>
      </c>
      <c r="AL60" s="25">
        <f t="shared" ref="AL60:AL61" si="74">R60*0.782%</f>
        <v>0</v>
      </c>
      <c r="AM60" s="25">
        <f t="shared" ref="AM60:AM61" si="75">6.075*O60</f>
        <v>0</v>
      </c>
      <c r="AN60" s="25">
        <f t="shared" ref="AN60:AN61" si="76">O60*2</f>
        <v>0</v>
      </c>
      <c r="AO60" s="25">
        <f t="shared" ref="AO60:AO61" si="77">0.02*O60</f>
        <v>0</v>
      </c>
      <c r="AP60" s="25"/>
    </row>
    <row r="61" spans="4:42" x14ac:dyDescent="0.25">
      <c r="D61" t="s">
        <v>19</v>
      </c>
      <c r="E61">
        <v>27</v>
      </c>
      <c r="P61" s="25">
        <f t="shared" si="63"/>
        <v>0</v>
      </c>
      <c r="Q61" s="25">
        <f t="shared" si="64"/>
        <v>0</v>
      </c>
      <c r="R61" s="64">
        <f>P61+Q61</f>
        <v>0</v>
      </c>
      <c r="S61" s="25">
        <f t="shared" si="66"/>
        <v>0</v>
      </c>
      <c r="T61" s="25">
        <f t="shared" si="67"/>
        <v>0</v>
      </c>
      <c r="U61" s="25"/>
      <c r="V61" s="25"/>
      <c r="W61" s="25"/>
      <c r="X61" s="25"/>
      <c r="Y61" s="25">
        <f t="shared" ref="Y61" si="78">R61*0.559%</f>
        <v>0</v>
      </c>
      <c r="Z61" s="25">
        <f t="shared" ref="Z61" si="79">R61*0.75%</f>
        <v>0</v>
      </c>
      <c r="AA61" s="25"/>
      <c r="AB61" s="25">
        <f t="shared" ref="AB61" si="80">O61*1.7</f>
        <v>0</v>
      </c>
      <c r="AC61" s="25">
        <f t="shared" si="68"/>
        <v>0</v>
      </c>
      <c r="AE61" s="25"/>
      <c r="AF61" s="25"/>
      <c r="AG61" s="25">
        <f t="shared" si="69"/>
        <v>0</v>
      </c>
      <c r="AH61" s="25">
        <f>SUM(U61+W61+Y61+Z61+AA61+AB61+AD61+AF61+AG61)</f>
        <v>0</v>
      </c>
      <c r="AI61" s="25">
        <f t="shared" si="71"/>
        <v>0</v>
      </c>
      <c r="AJ61" s="25">
        <f t="shared" si="72"/>
        <v>0</v>
      </c>
      <c r="AK61" s="25">
        <f t="shared" si="73"/>
        <v>0</v>
      </c>
      <c r="AL61" s="25">
        <f t="shared" si="74"/>
        <v>0</v>
      </c>
      <c r="AM61" s="25">
        <f t="shared" si="75"/>
        <v>0</v>
      </c>
      <c r="AN61" s="25">
        <f t="shared" si="76"/>
        <v>0</v>
      </c>
      <c r="AO61" s="25">
        <f t="shared" si="77"/>
        <v>0</v>
      </c>
      <c r="AP61" s="25"/>
    </row>
    <row r="62" spans="4:42" x14ac:dyDescent="0.25">
      <c r="D62" t="s">
        <v>33</v>
      </c>
      <c r="M62" s="4"/>
      <c r="N62" s="4"/>
      <c r="O62" s="4">
        <f>SUM(O57:O61)</f>
        <v>0</v>
      </c>
      <c r="P62" s="13">
        <f t="shared" ref="P62:AO62" si="81">SUM(P57:P61)</f>
        <v>0</v>
      </c>
      <c r="Q62" s="13">
        <f t="shared" si="81"/>
        <v>0</v>
      </c>
      <c r="R62" s="13">
        <f t="shared" si="81"/>
        <v>0</v>
      </c>
      <c r="S62" s="13">
        <f t="shared" si="81"/>
        <v>0</v>
      </c>
      <c r="T62" s="13">
        <f t="shared" si="81"/>
        <v>0</v>
      </c>
      <c r="U62" s="13">
        <f t="shared" si="81"/>
        <v>0</v>
      </c>
      <c r="V62" s="13">
        <f t="shared" si="81"/>
        <v>0</v>
      </c>
      <c r="W62" s="13">
        <f t="shared" si="81"/>
        <v>0</v>
      </c>
      <c r="X62" s="13">
        <f t="shared" si="81"/>
        <v>0</v>
      </c>
      <c r="Y62" s="13">
        <f t="shared" si="81"/>
        <v>0</v>
      </c>
      <c r="Z62" s="13">
        <f t="shared" si="81"/>
        <v>0</v>
      </c>
      <c r="AA62" s="13">
        <f t="shared" si="81"/>
        <v>0</v>
      </c>
      <c r="AB62" s="13">
        <f t="shared" si="81"/>
        <v>0</v>
      </c>
      <c r="AC62" s="13">
        <f t="shared" si="81"/>
        <v>0</v>
      </c>
      <c r="AD62" s="13">
        <f t="shared" si="81"/>
        <v>0</v>
      </c>
      <c r="AE62" s="13">
        <f t="shared" si="81"/>
        <v>0</v>
      </c>
      <c r="AF62" s="13">
        <f t="shared" si="81"/>
        <v>0</v>
      </c>
      <c r="AG62" s="13">
        <f t="shared" si="81"/>
        <v>0</v>
      </c>
      <c r="AH62" s="13">
        <f t="shared" si="81"/>
        <v>0</v>
      </c>
      <c r="AI62" s="13">
        <f t="shared" si="81"/>
        <v>0</v>
      </c>
      <c r="AJ62" s="13">
        <f t="shared" si="81"/>
        <v>0</v>
      </c>
      <c r="AK62" s="13">
        <f t="shared" si="81"/>
        <v>0</v>
      </c>
      <c r="AL62" s="13">
        <f t="shared" si="81"/>
        <v>0</v>
      </c>
      <c r="AM62" s="13">
        <f t="shared" si="81"/>
        <v>0</v>
      </c>
      <c r="AN62" s="13">
        <f t="shared" si="81"/>
        <v>0</v>
      </c>
      <c r="AO62" s="13">
        <f t="shared" si="81"/>
        <v>0</v>
      </c>
      <c r="AP62" s="25"/>
    </row>
    <row r="63" spans="4:42" x14ac:dyDescent="0.25">
      <c r="P63" s="25"/>
      <c r="Q63" s="25"/>
      <c r="R63" s="64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</row>
    <row r="64" spans="4:42" x14ac:dyDescent="0.25">
      <c r="D64" t="s">
        <v>20</v>
      </c>
      <c r="P64" s="25"/>
      <c r="Q64" s="25"/>
      <c r="R64" s="64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</row>
    <row r="65" spans="4:42" x14ac:dyDescent="0.25">
      <c r="D65" t="s">
        <v>20</v>
      </c>
      <c r="E65">
        <v>4</v>
      </c>
      <c r="P65" s="25"/>
      <c r="Q65" s="25"/>
      <c r="R65" s="64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</row>
    <row r="66" spans="4:42" x14ac:dyDescent="0.25">
      <c r="D66" t="s">
        <v>20</v>
      </c>
      <c r="E66">
        <v>11</v>
      </c>
      <c r="P66" s="25"/>
      <c r="Q66" s="25"/>
      <c r="R66" s="64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</row>
    <row r="67" spans="4:42" x14ac:dyDescent="0.25">
      <c r="D67" t="s">
        <v>20</v>
      </c>
      <c r="E67">
        <v>18</v>
      </c>
      <c r="P67" s="25"/>
      <c r="Q67" s="25"/>
      <c r="R67" s="64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</row>
    <row r="68" spans="4:42" x14ac:dyDescent="0.25">
      <c r="D68" t="s">
        <v>20</v>
      </c>
      <c r="E68">
        <v>25</v>
      </c>
      <c r="P68" s="25"/>
      <c r="Q68" s="25"/>
      <c r="R68" s="64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</row>
    <row r="69" spans="4:42" x14ac:dyDescent="0.25">
      <c r="D69" t="s">
        <v>33</v>
      </c>
      <c r="P69" s="25"/>
      <c r="Q69" s="25"/>
      <c r="R69" s="64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</row>
    <row r="70" spans="4:42" x14ac:dyDescent="0.25">
      <c r="P70" s="25"/>
      <c r="Q70" s="25"/>
      <c r="R70" s="64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</row>
    <row r="71" spans="4:42" x14ac:dyDescent="0.25">
      <c r="D71" t="s">
        <v>21</v>
      </c>
      <c r="E71">
        <v>1</v>
      </c>
      <c r="P71" s="25"/>
      <c r="Q71" s="25"/>
      <c r="R71" s="64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</row>
    <row r="72" spans="4:42" x14ac:dyDescent="0.25">
      <c r="D72" t="s">
        <v>21</v>
      </c>
      <c r="E72">
        <v>8</v>
      </c>
      <c r="P72" s="25"/>
      <c r="Q72" s="25"/>
      <c r="R72" s="64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</row>
    <row r="73" spans="4:42" x14ac:dyDescent="0.25">
      <c r="D73" t="s">
        <v>21</v>
      </c>
      <c r="E73">
        <v>15</v>
      </c>
      <c r="P73" s="25"/>
      <c r="Q73" s="25"/>
      <c r="R73" s="64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</row>
    <row r="74" spans="4:42" x14ac:dyDescent="0.25">
      <c r="D74" t="s">
        <v>21</v>
      </c>
      <c r="E74">
        <v>22</v>
      </c>
      <c r="P74" s="25"/>
      <c r="Q74" s="25"/>
      <c r="R74" s="64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</row>
    <row r="75" spans="4:42" x14ac:dyDescent="0.25">
      <c r="D75" t="s">
        <v>21</v>
      </c>
      <c r="E75">
        <v>29</v>
      </c>
      <c r="P75" s="25"/>
      <c r="Q75" s="25"/>
      <c r="R75" s="64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</row>
    <row r="76" spans="4:42" x14ac:dyDescent="0.25">
      <c r="D76" t="s">
        <v>33</v>
      </c>
      <c r="P76" s="25"/>
      <c r="Q76" s="25"/>
      <c r="R76" s="64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</row>
    <row r="77" spans="4:42" x14ac:dyDescent="0.25">
      <c r="P77" s="25"/>
      <c r="Q77" s="25"/>
      <c r="R77" s="64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</row>
    <row r="78" spans="4:42" x14ac:dyDescent="0.25">
      <c r="D78" t="s">
        <v>22</v>
      </c>
      <c r="E78">
        <v>1</v>
      </c>
      <c r="P78" s="25"/>
      <c r="Q78" s="25"/>
      <c r="R78" s="64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</row>
    <row r="79" spans="4:42" x14ac:dyDescent="0.25">
      <c r="D79" t="s">
        <v>22</v>
      </c>
      <c r="E79">
        <v>6</v>
      </c>
      <c r="P79" s="25"/>
      <c r="Q79" s="25"/>
      <c r="R79" s="64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</row>
    <row r="80" spans="4:42" x14ac:dyDescent="0.25">
      <c r="D80" t="s">
        <v>22</v>
      </c>
      <c r="E80">
        <v>13</v>
      </c>
      <c r="P80" s="25"/>
      <c r="Q80" s="25"/>
      <c r="R80" s="64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</row>
    <row r="81" spans="4:42" x14ac:dyDescent="0.25">
      <c r="D81" t="s">
        <v>22</v>
      </c>
      <c r="E81">
        <v>20</v>
      </c>
      <c r="P81" s="25"/>
      <c r="Q81" s="25"/>
      <c r="R81" s="64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</row>
    <row r="82" spans="4:42" x14ac:dyDescent="0.25">
      <c r="D82" t="s">
        <v>22</v>
      </c>
      <c r="E82">
        <v>27</v>
      </c>
      <c r="P82" s="25"/>
      <c r="Q82" s="25"/>
      <c r="R82" s="64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</row>
    <row r="83" spans="4:42" x14ac:dyDescent="0.25">
      <c r="D83" t="s">
        <v>33</v>
      </c>
      <c r="P83" s="25"/>
      <c r="Q83" s="25"/>
      <c r="R83" s="64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</row>
    <row r="84" spans="4:42" x14ac:dyDescent="0.25">
      <c r="P84" s="25"/>
      <c r="Q84" s="25"/>
      <c r="R84" s="64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</row>
    <row r="85" spans="4:42" x14ac:dyDescent="0.25">
      <c r="D85" t="s">
        <v>34</v>
      </c>
      <c r="P85" s="25">
        <f>SUM(P7+P13+P20+P27+P34+P41+P48+P55+P62+P69+P76+P83)</f>
        <v>0</v>
      </c>
      <c r="Q85" s="25">
        <f t="shared" ref="Q85:AO85" si="82">SUM(Q7+Q13+Q20+Q27+Q34+Q41+Q48+Q55+Q62+Q69+Q76+Q83)</f>
        <v>0</v>
      </c>
      <c r="R85" s="64">
        <f t="shared" si="82"/>
        <v>0</v>
      </c>
      <c r="S85" s="25">
        <f t="shared" si="82"/>
        <v>0</v>
      </c>
      <c r="T85" s="25">
        <f t="shared" si="82"/>
        <v>0</v>
      </c>
      <c r="U85" s="25">
        <f t="shared" si="82"/>
        <v>0</v>
      </c>
      <c r="V85" s="25">
        <f t="shared" si="82"/>
        <v>0</v>
      </c>
      <c r="W85" s="25">
        <f t="shared" si="82"/>
        <v>0</v>
      </c>
      <c r="X85" s="25">
        <f t="shared" si="82"/>
        <v>0</v>
      </c>
      <c r="Y85" s="25">
        <f t="shared" si="82"/>
        <v>0</v>
      </c>
      <c r="Z85" s="25">
        <f t="shared" si="82"/>
        <v>0</v>
      </c>
      <c r="AA85" s="25">
        <f t="shared" si="82"/>
        <v>0</v>
      </c>
      <c r="AB85" s="25">
        <f t="shared" si="82"/>
        <v>0</v>
      </c>
      <c r="AC85" s="25">
        <f t="shared" si="82"/>
        <v>0</v>
      </c>
      <c r="AD85" s="25">
        <f t="shared" si="82"/>
        <v>0</v>
      </c>
      <c r="AE85" s="25">
        <f t="shared" si="82"/>
        <v>0</v>
      </c>
      <c r="AF85" s="25">
        <f t="shared" si="82"/>
        <v>0</v>
      </c>
      <c r="AG85" s="25">
        <f t="shared" si="82"/>
        <v>0</v>
      </c>
      <c r="AH85" s="25">
        <f t="shared" si="82"/>
        <v>0</v>
      </c>
      <c r="AI85" s="25">
        <f t="shared" si="82"/>
        <v>0</v>
      </c>
      <c r="AJ85" s="25">
        <f t="shared" si="82"/>
        <v>0</v>
      </c>
      <c r="AK85" s="25">
        <f t="shared" si="82"/>
        <v>0</v>
      </c>
      <c r="AL85" s="25">
        <f t="shared" si="82"/>
        <v>0</v>
      </c>
      <c r="AM85" s="25">
        <f t="shared" si="82"/>
        <v>0</v>
      </c>
      <c r="AN85" s="25">
        <f t="shared" si="82"/>
        <v>0</v>
      </c>
      <c r="AO85" s="25">
        <f t="shared" si="82"/>
        <v>0</v>
      </c>
      <c r="AP85" s="25"/>
    </row>
    <row r="86" spans="4:42" x14ac:dyDescent="0.25">
      <c r="P86" s="25"/>
      <c r="Q86" s="25"/>
      <c r="R86" s="64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</row>
    <row r="87" spans="4:42" x14ac:dyDescent="0.25">
      <c r="P87" s="25"/>
      <c r="Q87" s="25"/>
      <c r="R87" s="64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</row>
    <row r="88" spans="4:42" x14ac:dyDescent="0.25"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</row>
    <row r="89" spans="4:42" x14ac:dyDescent="0.25"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1:AR87"/>
  <sheetViews>
    <sheetView showZeros="0" workbookViewId="0">
      <pane ySplit="1" topLeftCell="A23" activePane="bottomLeft" state="frozen"/>
      <selection activeCell="P17" sqref="P17"/>
      <selection pane="bottomLeft" activeCell="P17" sqref="P17"/>
    </sheetView>
  </sheetViews>
  <sheetFormatPr baseColWidth="10" defaultRowHeight="13.2" x14ac:dyDescent="0.25"/>
  <cols>
    <col min="3" max="3" width="5.109375" customWidth="1"/>
    <col min="4" max="4" width="9.88671875" customWidth="1"/>
    <col min="5" max="5" width="5.44140625" customWidth="1"/>
    <col min="6" max="6" width="2.44140625" bestFit="1" customWidth="1"/>
    <col min="7" max="7" width="1.44140625" customWidth="1"/>
    <col min="8" max="8" width="3" customWidth="1"/>
    <col min="9" max="9" width="3.109375" customWidth="1"/>
    <col min="10" max="11" width="1.88671875" customWidth="1"/>
    <col min="12" max="12" width="2" customWidth="1"/>
    <col min="13" max="13" width="3.88671875" customWidth="1"/>
    <col min="14" max="14" width="3.109375" customWidth="1"/>
    <col min="15" max="15" width="4.109375" customWidth="1"/>
    <col min="16" max="16" width="7.5546875" bestFit="1" customWidth="1"/>
    <col min="17" max="17" width="7.33203125" bestFit="1" customWidth="1"/>
    <col min="18" max="18" width="8.88671875" bestFit="1" customWidth="1"/>
    <col min="19" max="19" width="6.88671875" customWidth="1"/>
    <col min="20" max="20" width="7.5546875" bestFit="1" customWidth="1"/>
    <col min="21" max="21" width="6.6640625" bestFit="1" customWidth="1"/>
    <col min="22" max="22" width="6.5546875" bestFit="1" customWidth="1"/>
    <col min="23" max="23" width="8.5546875" bestFit="1" customWidth="1"/>
    <col min="24" max="24" width="8.44140625" bestFit="1" customWidth="1"/>
    <col min="25" max="25" width="6.5546875" bestFit="1" customWidth="1"/>
    <col min="26" max="26" width="8" bestFit="1" customWidth="1"/>
    <col min="27" max="27" width="8.44140625" bestFit="1" customWidth="1"/>
    <col min="28" max="28" width="8.88671875" bestFit="1" customWidth="1"/>
    <col min="29" max="29" width="10" bestFit="1" customWidth="1"/>
    <col min="30" max="30" width="9.109375" bestFit="1" customWidth="1"/>
    <col min="31" max="31" width="10.88671875" bestFit="1" customWidth="1"/>
    <col min="32" max="32" width="10" bestFit="1" customWidth="1"/>
    <col min="33" max="33" width="6.6640625" bestFit="1" customWidth="1"/>
    <col min="34" max="34" width="9.33203125" bestFit="1" customWidth="1"/>
    <col min="35" max="35" width="7.5546875" customWidth="1"/>
    <col min="36" max="36" width="6" bestFit="1" customWidth="1"/>
    <col min="37" max="37" width="9" bestFit="1" customWidth="1"/>
    <col min="38" max="38" width="6.33203125" bestFit="1" customWidth="1"/>
    <col min="39" max="39" width="10.88671875" bestFit="1" customWidth="1"/>
    <col min="40" max="40" width="6.5546875" bestFit="1" customWidth="1"/>
    <col min="41" max="41" width="9.5546875" bestFit="1" customWidth="1"/>
  </cols>
  <sheetData>
    <row r="1" spans="1:42" x14ac:dyDescent="0.25">
      <c r="A1" s="53" t="s">
        <v>180</v>
      </c>
      <c r="D1" t="s">
        <v>3</v>
      </c>
      <c r="E1" t="s">
        <v>155</v>
      </c>
      <c r="F1" t="s">
        <v>63</v>
      </c>
      <c r="G1" t="s">
        <v>64</v>
      </c>
      <c r="H1" t="s">
        <v>65</v>
      </c>
      <c r="I1" t="s">
        <v>66</v>
      </c>
      <c r="J1" t="s">
        <v>67</v>
      </c>
      <c r="K1" t="s">
        <v>68</v>
      </c>
      <c r="L1" t="s">
        <v>69</v>
      </c>
      <c r="M1" t="s">
        <v>24</v>
      </c>
      <c r="N1" t="s">
        <v>156</v>
      </c>
      <c r="O1" t="s">
        <v>50</v>
      </c>
      <c r="P1" s="25" t="s">
        <v>55</v>
      </c>
      <c r="Q1" s="25" t="s">
        <v>108</v>
      </c>
      <c r="R1" s="64" t="s">
        <v>122</v>
      </c>
      <c r="S1" s="25" t="s">
        <v>123</v>
      </c>
      <c r="T1" s="25" t="s">
        <v>124</v>
      </c>
      <c r="U1" s="25" t="s">
        <v>28</v>
      </c>
      <c r="V1" s="25" t="s">
        <v>126</v>
      </c>
      <c r="W1" s="25" t="s">
        <v>161</v>
      </c>
      <c r="X1" s="25" t="s">
        <v>160</v>
      </c>
      <c r="Y1" s="25" t="s">
        <v>31</v>
      </c>
      <c r="Z1" s="25" t="s">
        <v>162</v>
      </c>
      <c r="AA1" s="25" t="s">
        <v>98</v>
      </c>
      <c r="AB1" s="25" t="s">
        <v>141</v>
      </c>
      <c r="AC1" s="25" t="s">
        <v>128</v>
      </c>
      <c r="AD1" s="25" t="s">
        <v>26</v>
      </c>
      <c r="AE1" s="25" t="s">
        <v>129</v>
      </c>
      <c r="AF1" s="25" t="s">
        <v>27</v>
      </c>
      <c r="AG1" s="25" t="s">
        <v>163</v>
      </c>
      <c r="AH1" s="25" t="s">
        <v>58</v>
      </c>
      <c r="AI1" s="25" t="s">
        <v>39</v>
      </c>
      <c r="AJ1" s="25" t="s">
        <v>100</v>
      </c>
      <c r="AK1" s="25" t="s">
        <v>133</v>
      </c>
      <c r="AL1" s="25" t="s">
        <v>31</v>
      </c>
      <c r="AM1" s="25" t="s">
        <v>157</v>
      </c>
      <c r="AN1" s="25" t="s">
        <v>150</v>
      </c>
      <c r="AO1" s="25" t="s">
        <v>151</v>
      </c>
      <c r="AP1" s="25"/>
    </row>
    <row r="2" spans="1:42" x14ac:dyDescent="0.25">
      <c r="A2" s="53" t="s">
        <v>181</v>
      </c>
      <c r="D2" t="s">
        <v>11</v>
      </c>
      <c r="P2" s="25"/>
      <c r="Q2" s="25"/>
      <c r="R2" s="64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</row>
    <row r="3" spans="1:42" x14ac:dyDescent="0.25">
      <c r="A3" s="53" t="s">
        <v>179</v>
      </c>
      <c r="D3" t="s">
        <v>11</v>
      </c>
      <c r="E3">
        <v>4</v>
      </c>
      <c r="P3" s="25"/>
      <c r="Q3" s="25"/>
      <c r="R3" s="64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x14ac:dyDescent="0.25">
      <c r="A4" s="53" t="s">
        <v>57</v>
      </c>
      <c r="D4" t="s">
        <v>11</v>
      </c>
      <c r="E4">
        <v>11</v>
      </c>
      <c r="P4" s="25"/>
      <c r="Q4" s="25"/>
      <c r="R4" s="64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</row>
    <row r="5" spans="1:42" x14ac:dyDescent="0.25">
      <c r="A5" s="53" t="s">
        <v>178</v>
      </c>
      <c r="D5" t="s">
        <v>11</v>
      </c>
      <c r="E5">
        <v>18</v>
      </c>
      <c r="P5" s="25"/>
      <c r="Q5" s="25"/>
      <c r="R5" s="64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</row>
    <row r="6" spans="1:42" x14ac:dyDescent="0.25">
      <c r="D6" t="s">
        <v>11</v>
      </c>
      <c r="E6">
        <v>25</v>
      </c>
      <c r="P6" s="25"/>
      <c r="Q6" s="25"/>
      <c r="R6" s="64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</row>
    <row r="7" spans="1:42" x14ac:dyDescent="0.25">
      <c r="A7" t="s">
        <v>48</v>
      </c>
      <c r="D7" t="s">
        <v>32</v>
      </c>
      <c r="P7" s="25"/>
      <c r="Q7" s="25"/>
      <c r="R7" s="6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</row>
    <row r="8" spans="1:42" x14ac:dyDescent="0.25">
      <c r="A8" s="53"/>
      <c r="P8" s="25"/>
      <c r="Q8" s="25"/>
      <c r="R8" s="64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x14ac:dyDescent="0.25">
      <c r="A9" t="s">
        <v>49</v>
      </c>
      <c r="D9" t="s">
        <v>12</v>
      </c>
      <c r="E9">
        <v>1</v>
      </c>
      <c r="P9" s="25">
        <f>31.67*O9</f>
        <v>0</v>
      </c>
      <c r="Q9" s="25">
        <f>13%*P9</f>
        <v>0</v>
      </c>
      <c r="R9" s="64">
        <f>P9+Q9</f>
        <v>0</v>
      </c>
      <c r="S9" s="25">
        <f>1.93*O9</f>
        <v>0</v>
      </c>
      <c r="T9" s="25">
        <f>R9+S9</f>
        <v>0</v>
      </c>
      <c r="U9" s="25"/>
      <c r="V9" s="25"/>
      <c r="W9" s="25">
        <f>R9*1.47%</f>
        <v>0</v>
      </c>
      <c r="X9" s="25"/>
      <c r="Y9" s="25">
        <f>R9*0.559%</f>
        <v>0</v>
      </c>
      <c r="Z9" s="25">
        <f>0.75%*R9</f>
        <v>0</v>
      </c>
      <c r="AA9" s="25"/>
      <c r="AB9" s="25">
        <f>1.7*O9</f>
        <v>0</v>
      </c>
      <c r="AC9" s="25">
        <f>R9-Z9-AA9-AB9</f>
        <v>0</v>
      </c>
      <c r="AD9" s="25"/>
      <c r="AE9" s="25">
        <f>T9-AB9</f>
        <v>0</v>
      </c>
      <c r="AF9" s="25"/>
      <c r="AG9" s="25">
        <f>Q9</f>
        <v>0</v>
      </c>
      <c r="AH9" s="25">
        <f>U9+W9+Y9+Z9+AA9+AB9+AD9+AF9+AG9</f>
        <v>0</v>
      </c>
      <c r="AI9" s="25">
        <f>R9-AH9</f>
        <v>0</v>
      </c>
      <c r="AJ9" s="25">
        <f>0.6*O9</f>
        <v>0</v>
      </c>
      <c r="AK9" s="25">
        <f>AI9+AJ9</f>
        <v>0</v>
      </c>
      <c r="AL9" s="25">
        <f>R9*0.782%</f>
        <v>0</v>
      </c>
      <c r="AM9" s="25">
        <f>5.755*O9</f>
        <v>0</v>
      </c>
      <c r="AN9" s="25">
        <f>1.95*O9</f>
        <v>0</v>
      </c>
      <c r="AO9" s="25">
        <f>0.02*O9</f>
        <v>0</v>
      </c>
      <c r="AP9" s="25"/>
    </row>
    <row r="10" spans="1:42" x14ac:dyDescent="0.25">
      <c r="A10" s="53"/>
      <c r="D10" t="s">
        <v>12</v>
      </c>
      <c r="E10">
        <v>8</v>
      </c>
      <c r="P10" s="25">
        <f>31.67*O10</f>
        <v>0</v>
      </c>
      <c r="Q10" s="25">
        <f>13%*P10</f>
        <v>0</v>
      </c>
      <c r="R10" s="64">
        <f>P10+Q10</f>
        <v>0</v>
      </c>
      <c r="S10" s="25">
        <f>1.93*O10</f>
        <v>0</v>
      </c>
      <c r="T10" s="25">
        <f>R10+S10</f>
        <v>0</v>
      </c>
      <c r="U10" s="25"/>
      <c r="V10" s="25"/>
      <c r="W10" s="25">
        <f>R10*1.47%</f>
        <v>0</v>
      </c>
      <c r="X10" s="25"/>
      <c r="Y10" s="25">
        <f>R10*0.559%</f>
        <v>0</v>
      </c>
      <c r="Z10" s="25">
        <f>0.75%*R10</f>
        <v>0</v>
      </c>
      <c r="AA10" s="25"/>
      <c r="AB10" s="25">
        <f>1.7*O10</f>
        <v>0</v>
      </c>
      <c r="AC10" s="25">
        <f>R10-Z10-AA10-AB10</f>
        <v>0</v>
      </c>
      <c r="AD10" s="25"/>
      <c r="AE10" s="25">
        <f>T10-AB10</f>
        <v>0</v>
      </c>
      <c r="AF10" s="25"/>
      <c r="AG10" s="25">
        <f>Q10</f>
        <v>0</v>
      </c>
      <c r="AH10" s="25">
        <f>U10+W10+Y10+Z10+AA10+AB10+AD10+AF10+AG10</f>
        <v>0</v>
      </c>
      <c r="AI10" s="25">
        <f>R10-AH10</f>
        <v>0</v>
      </c>
      <c r="AJ10" s="25">
        <f>0.6*O10</f>
        <v>0</v>
      </c>
      <c r="AK10" s="25">
        <f>AI10+AJ10</f>
        <v>0</v>
      </c>
      <c r="AL10" s="25">
        <f>R10*0.782%</f>
        <v>0</v>
      </c>
      <c r="AM10" s="25">
        <f t="shared" ref="AM10:AM12" si="0">5.755*O10</f>
        <v>0</v>
      </c>
      <c r="AN10" s="25">
        <f t="shared" ref="AN10:AN12" si="1">1.95*O10</f>
        <v>0</v>
      </c>
      <c r="AO10" s="25">
        <f t="shared" ref="AO10:AO12" si="2">0.02*O10</f>
        <v>0</v>
      </c>
      <c r="AP10" s="25"/>
    </row>
    <row r="11" spans="1:42" x14ac:dyDescent="0.25">
      <c r="A11" t="s">
        <v>121</v>
      </c>
      <c r="D11" t="s">
        <v>12</v>
      </c>
      <c r="E11">
        <v>15</v>
      </c>
      <c r="P11" s="25">
        <f>31.67*O11</f>
        <v>0</v>
      </c>
      <c r="Q11" s="25">
        <f>13%*P11</f>
        <v>0</v>
      </c>
      <c r="R11" s="64">
        <f>P11+Q11</f>
        <v>0</v>
      </c>
      <c r="S11" s="25">
        <f>1.93*O11</f>
        <v>0</v>
      </c>
      <c r="T11" s="25">
        <f>R11+S11</f>
        <v>0</v>
      </c>
      <c r="U11" s="25"/>
      <c r="V11" s="25"/>
      <c r="W11" s="25">
        <f>R11*1.47%</f>
        <v>0</v>
      </c>
      <c r="X11" s="25"/>
      <c r="Y11" s="25">
        <f>R11*0.559%</f>
        <v>0</v>
      </c>
      <c r="Z11" s="25">
        <f>0.75%*R11</f>
        <v>0</v>
      </c>
      <c r="AA11" s="25"/>
      <c r="AB11" s="25">
        <f>1.7*O11</f>
        <v>0</v>
      </c>
      <c r="AC11" s="25">
        <f>R11-Z11-AA11-AB11</f>
        <v>0</v>
      </c>
      <c r="AD11" s="25"/>
      <c r="AE11" s="25">
        <f>T11-AB11</f>
        <v>0</v>
      </c>
      <c r="AF11" s="25"/>
      <c r="AG11" s="25">
        <f>Q11</f>
        <v>0</v>
      </c>
      <c r="AH11" s="25">
        <f>U11+W11+Y11+Z11+AA11+AB11+AD11+AF11+AG11</f>
        <v>0</v>
      </c>
      <c r="AI11" s="25">
        <f>R11-AH11</f>
        <v>0</v>
      </c>
      <c r="AJ11" s="25">
        <f>0.6*O11</f>
        <v>0</v>
      </c>
      <c r="AK11" s="25">
        <f>AI11+AJ11</f>
        <v>0</v>
      </c>
      <c r="AL11" s="25">
        <f>R11*0.782%</f>
        <v>0</v>
      </c>
      <c r="AM11" s="25">
        <f t="shared" si="0"/>
        <v>0</v>
      </c>
      <c r="AN11" s="25">
        <f t="shared" si="1"/>
        <v>0</v>
      </c>
      <c r="AO11" s="25">
        <f t="shared" si="2"/>
        <v>0</v>
      </c>
      <c r="AP11" s="25"/>
    </row>
    <row r="12" spans="1:42" x14ac:dyDescent="0.25">
      <c r="A12" t="s">
        <v>168</v>
      </c>
      <c r="D12" t="s">
        <v>12</v>
      </c>
      <c r="E12">
        <v>22</v>
      </c>
      <c r="P12" s="25">
        <f>31.67*O12</f>
        <v>0</v>
      </c>
      <c r="Q12" s="25">
        <f>13%*P12</f>
        <v>0</v>
      </c>
      <c r="R12" s="64">
        <f>P12+Q12</f>
        <v>0</v>
      </c>
      <c r="S12" s="25">
        <f>1.93*O12</f>
        <v>0</v>
      </c>
      <c r="T12" s="25">
        <f>R12+S12</f>
        <v>0</v>
      </c>
      <c r="U12" s="25"/>
      <c r="V12" s="25"/>
      <c r="W12" s="25">
        <f>R12*1.47%</f>
        <v>0</v>
      </c>
      <c r="X12" s="25"/>
      <c r="Y12" s="25">
        <f>R12*0.559%</f>
        <v>0</v>
      </c>
      <c r="Z12" s="25">
        <f>0.75%*R12</f>
        <v>0</v>
      </c>
      <c r="AA12" s="25"/>
      <c r="AB12" s="25">
        <f>1.7*O12</f>
        <v>0</v>
      </c>
      <c r="AC12" s="25">
        <f>R12-Z12-AA12-AB12</f>
        <v>0</v>
      </c>
      <c r="AD12" s="25"/>
      <c r="AE12" s="25">
        <f>T12-AB12</f>
        <v>0</v>
      </c>
      <c r="AF12" s="25"/>
      <c r="AG12" s="25">
        <f>Q12</f>
        <v>0</v>
      </c>
      <c r="AH12" s="25">
        <f>U12+W12+Y12+Z12+AA12+AB12+AD12+AF12+AG12</f>
        <v>0</v>
      </c>
      <c r="AI12" s="25">
        <f>R12-AH12</f>
        <v>0</v>
      </c>
      <c r="AJ12" s="25">
        <f>0.6*O12</f>
        <v>0</v>
      </c>
      <c r="AK12" s="25">
        <f>AI12+AJ12</f>
        <v>0</v>
      </c>
      <c r="AL12" s="25">
        <f>R12*0.782%</f>
        <v>0</v>
      </c>
      <c r="AM12" s="25">
        <f t="shared" si="0"/>
        <v>0</v>
      </c>
      <c r="AN12" s="25">
        <f t="shared" si="1"/>
        <v>0</v>
      </c>
      <c r="AO12" s="25">
        <f t="shared" si="2"/>
        <v>0</v>
      </c>
      <c r="AP12" s="25"/>
    </row>
    <row r="13" spans="1:42" x14ac:dyDescent="0.25">
      <c r="A13" t="s">
        <v>0</v>
      </c>
      <c r="D13" t="s">
        <v>32</v>
      </c>
      <c r="O13">
        <f>SUM(O9:O12)</f>
        <v>0</v>
      </c>
      <c r="P13" s="25">
        <f t="shared" ref="P13:AK13" si="3">SUM(P9:P12)</f>
        <v>0</v>
      </c>
      <c r="Q13" s="25">
        <f t="shared" si="3"/>
        <v>0</v>
      </c>
      <c r="R13" s="64">
        <f t="shared" si="3"/>
        <v>0</v>
      </c>
      <c r="S13" s="25">
        <f t="shared" si="3"/>
        <v>0</v>
      </c>
      <c r="T13" s="25">
        <f t="shared" si="3"/>
        <v>0</v>
      </c>
      <c r="U13" s="25">
        <f t="shared" si="3"/>
        <v>0</v>
      </c>
      <c r="V13" s="25">
        <f t="shared" si="3"/>
        <v>0</v>
      </c>
      <c r="W13" s="25">
        <f t="shared" si="3"/>
        <v>0</v>
      </c>
      <c r="X13" s="25">
        <f t="shared" si="3"/>
        <v>0</v>
      </c>
      <c r="Y13" s="25">
        <f t="shared" si="3"/>
        <v>0</v>
      </c>
      <c r="Z13" s="25">
        <f t="shared" si="3"/>
        <v>0</v>
      </c>
      <c r="AA13" s="25">
        <f t="shared" si="3"/>
        <v>0</v>
      </c>
      <c r="AB13" s="25">
        <f t="shared" si="3"/>
        <v>0</v>
      </c>
      <c r="AC13" s="25">
        <f t="shared" si="3"/>
        <v>0</v>
      </c>
      <c r="AD13" s="25">
        <f t="shared" si="3"/>
        <v>0</v>
      </c>
      <c r="AE13" s="25">
        <f t="shared" si="3"/>
        <v>0</v>
      </c>
      <c r="AF13" s="25">
        <f t="shared" si="3"/>
        <v>0</v>
      </c>
      <c r="AG13" s="25">
        <f t="shared" si="3"/>
        <v>0</v>
      </c>
      <c r="AH13" s="25">
        <f t="shared" si="3"/>
        <v>0</v>
      </c>
      <c r="AI13" s="25">
        <f t="shared" si="3"/>
        <v>0</v>
      </c>
      <c r="AJ13" s="25">
        <f t="shared" si="3"/>
        <v>0</v>
      </c>
      <c r="AK13" s="25">
        <f t="shared" si="3"/>
        <v>0</v>
      </c>
      <c r="AL13" s="25">
        <f>SUM(AL9:AL12)</f>
        <v>0</v>
      </c>
      <c r="AM13" s="25">
        <f t="shared" ref="AM13:AO13" si="4">SUM(AM9:AM12)</f>
        <v>0</v>
      </c>
      <c r="AN13" s="25">
        <f t="shared" si="4"/>
        <v>0</v>
      </c>
      <c r="AO13" s="25">
        <f t="shared" si="4"/>
        <v>0</v>
      </c>
      <c r="AP13" s="25"/>
    </row>
    <row r="14" spans="1:42" x14ac:dyDescent="0.25">
      <c r="A14" t="s">
        <v>1</v>
      </c>
      <c r="P14" s="25"/>
      <c r="Q14" s="25"/>
      <c r="R14" s="64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 x14ac:dyDescent="0.25">
      <c r="D15" t="s">
        <v>13</v>
      </c>
      <c r="E15">
        <v>1</v>
      </c>
      <c r="P15" s="25">
        <f>O15*31.67</f>
        <v>0</v>
      </c>
      <c r="Q15" s="25">
        <f>P15*13%</f>
        <v>0</v>
      </c>
      <c r="R15" s="64">
        <f>P15+Q15</f>
        <v>0</v>
      </c>
      <c r="S15" s="25">
        <f>1.93*O15</f>
        <v>0</v>
      </c>
      <c r="T15" s="25">
        <f>R15+S15</f>
        <v>0</v>
      </c>
      <c r="U15" s="25"/>
      <c r="V15" s="25"/>
      <c r="W15" s="25">
        <f>R15*1.47%</f>
        <v>0</v>
      </c>
      <c r="X15" s="25"/>
      <c r="Y15" s="25">
        <f>R15*0.559%</f>
        <v>0</v>
      </c>
      <c r="Z15" s="25">
        <f>R15*0.75%</f>
        <v>0</v>
      </c>
      <c r="AA15" s="25"/>
      <c r="AB15" s="25">
        <f>1.7*O15</f>
        <v>0</v>
      </c>
      <c r="AC15" s="25">
        <f>R15-Z15-AA15-AB15</f>
        <v>0</v>
      </c>
      <c r="AD15" s="25"/>
      <c r="AE15" s="25">
        <f>T15-AB15</f>
        <v>0</v>
      </c>
      <c r="AF15" s="25"/>
      <c r="AG15" s="25">
        <f>Q15</f>
        <v>0</v>
      </c>
      <c r="AH15" s="25">
        <f>U15+W15+Y15+Z15+AA15+AB15+AD15+AF15+AG15</f>
        <v>0</v>
      </c>
      <c r="AI15" s="25">
        <f>R15-AH15</f>
        <v>0</v>
      </c>
      <c r="AJ15" s="25">
        <f>0.6*O15</f>
        <v>0</v>
      </c>
      <c r="AK15" s="25">
        <f>AI15+AJ15</f>
        <v>0</v>
      </c>
      <c r="AL15" s="25">
        <f>R15*0.782%</f>
        <v>0</v>
      </c>
      <c r="AM15" s="25">
        <f>5.755*O15</f>
        <v>0</v>
      </c>
      <c r="AN15" s="25">
        <f>1.95*O15</f>
        <v>0</v>
      </c>
      <c r="AO15" s="25">
        <f>0.02*O15</f>
        <v>0</v>
      </c>
      <c r="AP15" s="25"/>
    </row>
    <row r="16" spans="1:42" x14ac:dyDescent="0.25">
      <c r="D16" t="s">
        <v>13</v>
      </c>
      <c r="E16">
        <v>8</v>
      </c>
      <c r="P16" s="25">
        <f>O16*31.67</f>
        <v>0</v>
      </c>
      <c r="Q16" s="25">
        <f>P16*13%</f>
        <v>0</v>
      </c>
      <c r="R16" s="64">
        <f>P16+Q16</f>
        <v>0</v>
      </c>
      <c r="S16" s="25">
        <f>1.93*O16</f>
        <v>0</v>
      </c>
      <c r="T16" s="25">
        <f>R16+S16</f>
        <v>0</v>
      </c>
      <c r="U16" s="25"/>
      <c r="V16" s="25"/>
      <c r="W16" s="25">
        <f>R16*1.47%</f>
        <v>0</v>
      </c>
      <c r="X16" s="25"/>
      <c r="Y16" s="25">
        <f>R16*0.559%</f>
        <v>0</v>
      </c>
      <c r="Z16" s="25">
        <f>R16*0.75%</f>
        <v>0</v>
      </c>
      <c r="AA16" s="25"/>
      <c r="AB16" s="25">
        <f>1.7*O16</f>
        <v>0</v>
      </c>
      <c r="AC16" s="25">
        <f>R16-Z16-AA16-AB16</f>
        <v>0</v>
      </c>
      <c r="AD16" s="25"/>
      <c r="AE16" s="25">
        <f>T16-AB16</f>
        <v>0</v>
      </c>
      <c r="AF16" s="25"/>
      <c r="AG16" s="25">
        <f>Q16</f>
        <v>0</v>
      </c>
      <c r="AH16" s="25">
        <f>U16+W16+Y16+Z16+AA16+AB16+AD16+AF16+AG16</f>
        <v>0</v>
      </c>
      <c r="AI16" s="25">
        <f>R16-AH16</f>
        <v>0</v>
      </c>
      <c r="AJ16" s="25">
        <f>0.6*O16</f>
        <v>0</v>
      </c>
      <c r="AK16" s="25">
        <f>AI16+AJ16</f>
        <v>0</v>
      </c>
      <c r="AL16" s="25">
        <f>R16*0.782%</f>
        <v>0</v>
      </c>
      <c r="AM16" s="25">
        <f>5.755*O16</f>
        <v>0</v>
      </c>
      <c r="AN16" s="25">
        <f>1.95*O16</f>
        <v>0</v>
      </c>
      <c r="AO16" s="25">
        <f>0.02*O16</f>
        <v>0</v>
      </c>
      <c r="AP16" s="25"/>
    </row>
    <row r="17" spans="1:42" x14ac:dyDescent="0.25">
      <c r="A17" s="53" t="s">
        <v>171</v>
      </c>
      <c r="D17" t="s">
        <v>13</v>
      </c>
      <c r="E17">
        <v>15</v>
      </c>
      <c r="P17" s="25">
        <f>O17*31.67</f>
        <v>0</v>
      </c>
      <c r="Q17" s="25">
        <f>P17*13%</f>
        <v>0</v>
      </c>
      <c r="R17" s="64">
        <f>P17+Q17</f>
        <v>0</v>
      </c>
      <c r="S17" s="25">
        <f>1.93*O17</f>
        <v>0</v>
      </c>
      <c r="T17" s="25">
        <f>R17+S17</f>
        <v>0</v>
      </c>
      <c r="U17" s="25"/>
      <c r="V17" s="25"/>
      <c r="W17" s="25">
        <f>R17*1.47%</f>
        <v>0</v>
      </c>
      <c r="X17" s="25"/>
      <c r="Y17" s="25">
        <f>R17*0.559%</f>
        <v>0</v>
      </c>
      <c r="Z17" s="25">
        <f>R17*0.75%</f>
        <v>0</v>
      </c>
      <c r="AA17" s="25"/>
      <c r="AB17" s="25">
        <f>1.7*O17</f>
        <v>0</v>
      </c>
      <c r="AC17" s="25">
        <f>R17-Z17-AA17-AB17</f>
        <v>0</v>
      </c>
      <c r="AD17" s="25"/>
      <c r="AE17" s="25">
        <f>T17-AB17</f>
        <v>0</v>
      </c>
      <c r="AF17" s="25"/>
      <c r="AG17" s="25">
        <f>Q17</f>
        <v>0</v>
      </c>
      <c r="AH17" s="25">
        <f>U17+W17+Y17+Z17+AA17+AB17+AD17+AF17+AG17</f>
        <v>0</v>
      </c>
      <c r="AI17" s="25">
        <f>R17-AH17</f>
        <v>0</v>
      </c>
      <c r="AJ17" s="25">
        <f>0.6*O17</f>
        <v>0</v>
      </c>
      <c r="AK17" s="25">
        <f>AI17+AJ17</f>
        <v>0</v>
      </c>
      <c r="AL17" s="25">
        <f>R17*0.782%</f>
        <v>0</v>
      </c>
      <c r="AM17" s="25">
        <f>5.755*O17</f>
        <v>0</v>
      </c>
      <c r="AN17" s="25">
        <f>1.95*O17</f>
        <v>0</v>
      </c>
      <c r="AO17" s="25">
        <f>0.02*O17</f>
        <v>0</v>
      </c>
      <c r="AP17" s="25"/>
    </row>
    <row r="18" spans="1:42" x14ac:dyDescent="0.25">
      <c r="A18" s="53" t="s">
        <v>61</v>
      </c>
      <c r="D18" t="s">
        <v>13</v>
      </c>
      <c r="E18">
        <v>22</v>
      </c>
      <c r="P18" s="25">
        <f>O18*31.67</f>
        <v>0</v>
      </c>
      <c r="Q18" s="25">
        <f>P18*13%</f>
        <v>0</v>
      </c>
      <c r="R18" s="64">
        <f>P18+Q18</f>
        <v>0</v>
      </c>
      <c r="S18" s="25">
        <f>1.93*O18</f>
        <v>0</v>
      </c>
      <c r="T18" s="25">
        <f t="shared" ref="T18:T19" si="5">R18+S18</f>
        <v>0</v>
      </c>
      <c r="U18" s="25"/>
      <c r="V18" s="25"/>
      <c r="W18" s="25">
        <f t="shared" ref="W18:W19" si="6">R18*1.47%</f>
        <v>0</v>
      </c>
      <c r="X18" s="25"/>
      <c r="Y18" s="25">
        <f t="shared" ref="Y18:Y19" si="7">R18*0.559%</f>
        <v>0</v>
      </c>
      <c r="Z18" s="25">
        <f t="shared" ref="Z18:Z19" si="8">R18*0.75%</f>
        <v>0</v>
      </c>
      <c r="AA18" s="25"/>
      <c r="AB18" s="25">
        <f t="shared" ref="AB18:AB19" si="9">1.7*O18</f>
        <v>0</v>
      </c>
      <c r="AC18" s="25">
        <f t="shared" ref="AC18:AC19" si="10">R18-Z18-AA18-AB18</f>
        <v>0</v>
      </c>
      <c r="AD18" s="25"/>
      <c r="AE18" s="25">
        <f t="shared" ref="AE18:AE19" si="11">T18-AB18</f>
        <v>0</v>
      </c>
      <c r="AF18" s="25"/>
      <c r="AG18" s="25">
        <f t="shared" ref="AG18:AG19" si="12">Q18</f>
        <v>0</v>
      </c>
      <c r="AH18" s="25">
        <f t="shared" ref="AH18" si="13">U18+W18+Y18+Z18+AA18+AB18+AD18+AF18+AG18</f>
        <v>0</v>
      </c>
      <c r="AI18" s="25">
        <f t="shared" ref="AI18:AI19" si="14">R18-AH18</f>
        <v>0</v>
      </c>
      <c r="AJ18" s="25">
        <f t="shared" ref="AJ18:AJ19" si="15">0.6*O18</f>
        <v>0</v>
      </c>
      <c r="AK18" s="25">
        <f t="shared" ref="AK18:AK19" si="16">AI18+AJ18</f>
        <v>0</v>
      </c>
      <c r="AL18" s="25">
        <f t="shared" ref="AL18:AL19" si="17">R18*0.782%</f>
        <v>0</v>
      </c>
      <c r="AM18" s="25">
        <f t="shared" ref="AM18:AM19" si="18">5.755*O18</f>
        <v>0</v>
      </c>
      <c r="AN18" s="25">
        <f t="shared" ref="AN18:AN19" si="19">1.95*O18</f>
        <v>0</v>
      </c>
      <c r="AO18" s="25">
        <f t="shared" ref="AO18:AO19" si="20">0.02*O18</f>
        <v>0</v>
      </c>
      <c r="AP18" s="25"/>
    </row>
    <row r="19" spans="1:42" x14ac:dyDescent="0.25">
      <c r="A19" s="53" t="s">
        <v>173</v>
      </c>
      <c r="D19" t="s">
        <v>13</v>
      </c>
      <c r="E19">
        <v>29</v>
      </c>
      <c r="P19" s="25">
        <f>O19*31.67</f>
        <v>0</v>
      </c>
      <c r="Q19" s="25">
        <f>P19*13%</f>
        <v>0</v>
      </c>
      <c r="R19" s="64">
        <f>P19+Q19</f>
        <v>0</v>
      </c>
      <c r="S19" s="25">
        <f>1.93*O19</f>
        <v>0</v>
      </c>
      <c r="T19" s="25">
        <f t="shared" si="5"/>
        <v>0</v>
      </c>
      <c r="U19" s="25"/>
      <c r="V19" s="25"/>
      <c r="W19" s="25">
        <f t="shared" si="6"/>
        <v>0</v>
      </c>
      <c r="X19" s="25"/>
      <c r="Y19" s="25">
        <f t="shared" si="7"/>
        <v>0</v>
      </c>
      <c r="Z19" s="25">
        <f t="shared" si="8"/>
        <v>0</v>
      </c>
      <c r="AA19" s="25"/>
      <c r="AB19" s="25">
        <f t="shared" si="9"/>
        <v>0</v>
      </c>
      <c r="AC19" s="25">
        <f t="shared" si="10"/>
        <v>0</v>
      </c>
      <c r="AD19" s="25"/>
      <c r="AE19" s="25">
        <f t="shared" si="11"/>
        <v>0</v>
      </c>
      <c r="AF19" s="25"/>
      <c r="AG19" s="25">
        <f t="shared" si="12"/>
        <v>0</v>
      </c>
      <c r="AH19" s="25">
        <f>U19+W19+Y19+Z19+AA19+AB19+AD19+AF19+AG19</f>
        <v>0</v>
      </c>
      <c r="AI19" s="25">
        <f t="shared" si="14"/>
        <v>0</v>
      </c>
      <c r="AJ19" s="25">
        <f t="shared" si="15"/>
        <v>0</v>
      </c>
      <c r="AK19" s="25">
        <f t="shared" si="16"/>
        <v>0</v>
      </c>
      <c r="AL19" s="25">
        <f t="shared" si="17"/>
        <v>0</v>
      </c>
      <c r="AM19" s="25">
        <f t="shared" si="18"/>
        <v>0</v>
      </c>
      <c r="AN19" s="25">
        <f t="shared" si="19"/>
        <v>0</v>
      </c>
      <c r="AO19" s="25">
        <f t="shared" si="20"/>
        <v>0</v>
      </c>
      <c r="AP19" s="25"/>
    </row>
    <row r="20" spans="1:42" x14ac:dyDescent="0.25">
      <c r="A20" t="s">
        <v>2</v>
      </c>
      <c r="D20" t="s">
        <v>32</v>
      </c>
      <c r="O20">
        <f>SUM(O15:O19)</f>
        <v>0</v>
      </c>
      <c r="P20" s="25">
        <f>SUM(P15:P19)</f>
        <v>0</v>
      </c>
      <c r="Q20" s="25">
        <f t="shared" ref="Q20:AO20" si="21">SUM(Q15:Q19)</f>
        <v>0</v>
      </c>
      <c r="R20" s="64">
        <f t="shared" si="21"/>
        <v>0</v>
      </c>
      <c r="S20" s="25">
        <f t="shared" si="21"/>
        <v>0</v>
      </c>
      <c r="T20" s="25">
        <f t="shared" si="21"/>
        <v>0</v>
      </c>
      <c r="U20" s="25">
        <f t="shared" si="21"/>
        <v>0</v>
      </c>
      <c r="V20" s="25">
        <f t="shared" si="21"/>
        <v>0</v>
      </c>
      <c r="W20" s="25">
        <f t="shared" si="21"/>
        <v>0</v>
      </c>
      <c r="X20" s="25">
        <f t="shared" si="21"/>
        <v>0</v>
      </c>
      <c r="Y20" s="25">
        <f t="shared" si="21"/>
        <v>0</v>
      </c>
      <c r="Z20" s="25">
        <f t="shared" si="21"/>
        <v>0</v>
      </c>
      <c r="AA20" s="25">
        <f t="shared" si="21"/>
        <v>0</v>
      </c>
      <c r="AB20" s="25">
        <f t="shared" si="21"/>
        <v>0</v>
      </c>
      <c r="AC20" s="25">
        <f t="shared" si="21"/>
        <v>0</v>
      </c>
      <c r="AD20" s="25">
        <f t="shared" si="21"/>
        <v>0</v>
      </c>
      <c r="AE20" s="25">
        <f t="shared" si="21"/>
        <v>0</v>
      </c>
      <c r="AF20" s="25">
        <f t="shared" si="21"/>
        <v>0</v>
      </c>
      <c r="AG20" s="25">
        <f t="shared" si="21"/>
        <v>0</v>
      </c>
      <c r="AH20" s="25">
        <f t="shared" si="21"/>
        <v>0</v>
      </c>
      <c r="AI20" s="25">
        <f t="shared" si="21"/>
        <v>0</v>
      </c>
      <c r="AJ20" s="25">
        <f t="shared" si="21"/>
        <v>0</v>
      </c>
      <c r="AK20" s="25">
        <f t="shared" si="21"/>
        <v>0</v>
      </c>
      <c r="AL20" s="25">
        <f t="shared" si="21"/>
        <v>0</v>
      </c>
      <c r="AM20" s="25">
        <f t="shared" si="21"/>
        <v>0</v>
      </c>
      <c r="AN20" s="25">
        <f t="shared" si="21"/>
        <v>0</v>
      </c>
      <c r="AO20" s="25">
        <f t="shared" si="21"/>
        <v>0</v>
      </c>
      <c r="AP20" s="25"/>
    </row>
    <row r="21" spans="1:42" x14ac:dyDescent="0.25">
      <c r="P21" s="25"/>
      <c r="Q21" s="25"/>
      <c r="R21" s="64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2" x14ac:dyDescent="0.25">
      <c r="A22" s="53" t="s">
        <v>165</v>
      </c>
      <c r="D22" t="s">
        <v>14</v>
      </c>
      <c r="E22">
        <v>7</v>
      </c>
      <c r="P22" s="25"/>
      <c r="Q22" s="25"/>
      <c r="R22" s="64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x14ac:dyDescent="0.25">
      <c r="A23" s="53" t="s">
        <v>172</v>
      </c>
      <c r="D23" t="s">
        <v>14</v>
      </c>
      <c r="E23">
        <v>5</v>
      </c>
      <c r="P23" s="25">
        <f>O23*31.67</f>
        <v>0</v>
      </c>
      <c r="Q23" s="25">
        <f>P23*13%</f>
        <v>0</v>
      </c>
      <c r="R23" s="64">
        <f>P23+Q23</f>
        <v>0</v>
      </c>
      <c r="S23" s="25">
        <f>1.93*O23</f>
        <v>0</v>
      </c>
      <c r="T23" s="25">
        <f>R23+S23</f>
        <v>0</v>
      </c>
      <c r="U23" s="25"/>
      <c r="V23" s="25"/>
      <c r="W23" s="25">
        <f>R23*1.47%</f>
        <v>0</v>
      </c>
      <c r="X23" s="25"/>
      <c r="Y23" s="25">
        <f>R23*0.559%</f>
        <v>0</v>
      </c>
      <c r="Z23" s="25">
        <f>R23*0.75%</f>
        <v>0</v>
      </c>
      <c r="AA23" s="25"/>
      <c r="AB23" s="25">
        <f>1.7*O23</f>
        <v>0</v>
      </c>
      <c r="AC23" s="25">
        <f>R23-Z23-AA23-AB23</f>
        <v>0</v>
      </c>
      <c r="AD23" s="25"/>
      <c r="AE23" s="25">
        <f>T23-AB23</f>
        <v>0</v>
      </c>
      <c r="AF23" s="25"/>
      <c r="AG23" s="25">
        <f>Q23</f>
        <v>0</v>
      </c>
      <c r="AH23" s="25">
        <f>U23+W23+Y23+Z23+AA23+AB23+AD23+AF23+AG23</f>
        <v>0</v>
      </c>
      <c r="AI23" s="25">
        <f>R23-AH23</f>
        <v>0</v>
      </c>
      <c r="AJ23" s="25">
        <f>0.6*O23</f>
        <v>0</v>
      </c>
      <c r="AK23" s="25">
        <f>AI23+AJ23</f>
        <v>0</v>
      </c>
      <c r="AL23" s="25">
        <f>R23*0.782%</f>
        <v>0</v>
      </c>
      <c r="AM23" s="25">
        <f>5.755*O23</f>
        <v>0</v>
      </c>
      <c r="AN23" s="25">
        <f>1.95*O23</f>
        <v>0</v>
      </c>
      <c r="AO23" s="25">
        <f>0.02*O23</f>
        <v>0</v>
      </c>
      <c r="AP23" s="25"/>
    </row>
    <row r="24" spans="1:42" x14ac:dyDescent="0.25">
      <c r="D24" t="s">
        <v>14</v>
      </c>
      <c r="E24">
        <v>12</v>
      </c>
      <c r="P24" s="25">
        <f t="shared" ref="P24:P25" si="22">O24*31.67</f>
        <v>0</v>
      </c>
      <c r="Q24" s="25">
        <f t="shared" ref="Q24:Q25" si="23">P24*13%</f>
        <v>0</v>
      </c>
      <c r="R24" s="64">
        <f t="shared" ref="R24:R25" si="24">P24+Q24</f>
        <v>0</v>
      </c>
      <c r="S24" s="25">
        <f t="shared" ref="S24:S25" si="25">1.93*O24</f>
        <v>0</v>
      </c>
      <c r="T24" s="25">
        <f t="shared" ref="T24:T25" si="26">R24+S24</f>
        <v>0</v>
      </c>
      <c r="U24" s="25"/>
      <c r="V24" s="25"/>
      <c r="W24" s="25">
        <f t="shared" ref="W24:W25" si="27">R24*1.47%</f>
        <v>0</v>
      </c>
      <c r="X24" s="25"/>
      <c r="Y24" s="25">
        <f>R24*0.559%</f>
        <v>0</v>
      </c>
      <c r="Z24" s="25">
        <f t="shared" ref="Z24:Z25" si="28">R24*0.75%</f>
        <v>0</v>
      </c>
      <c r="AA24" s="25"/>
      <c r="AB24" s="25">
        <f t="shared" ref="AB24:AB25" si="29">1.7*O24</f>
        <v>0</v>
      </c>
      <c r="AC24" s="25">
        <f t="shared" ref="AC24:AC25" si="30">R24-Z24-AA24-AB24</f>
        <v>0</v>
      </c>
      <c r="AD24" s="25"/>
      <c r="AE24" s="25">
        <f t="shared" ref="AE24:AE25" si="31">T24-AB24</f>
        <v>0</v>
      </c>
      <c r="AF24" s="25"/>
      <c r="AG24" s="25">
        <f t="shared" ref="AG24:AG25" si="32">Q24</f>
        <v>0</v>
      </c>
      <c r="AH24" s="25">
        <f t="shared" ref="AH24:AH25" si="33">U24+W24+Y24+Z24+AA24+AB24+AD24+AF24+AG24</f>
        <v>0</v>
      </c>
      <c r="AI24" s="25">
        <f t="shared" ref="AI24:AI25" si="34">R24-AH24</f>
        <v>0</v>
      </c>
      <c r="AJ24" s="25">
        <f t="shared" ref="AJ24:AJ25" si="35">0.6*O24</f>
        <v>0</v>
      </c>
      <c r="AK24" s="25">
        <f t="shared" ref="AK24:AK25" si="36">AI24+AJ24</f>
        <v>0</v>
      </c>
      <c r="AL24" s="25">
        <f t="shared" ref="AL24:AL25" si="37">R24*0.782%</f>
        <v>0</v>
      </c>
      <c r="AM24" s="25">
        <f t="shared" ref="AM24:AM25" si="38">5.755*O24</f>
        <v>0</v>
      </c>
      <c r="AN24" s="25">
        <f t="shared" ref="AN24:AN25" si="39">1.95*O24</f>
        <v>0</v>
      </c>
      <c r="AO24" s="25">
        <f t="shared" ref="AO24:AO25" si="40">0.02*O24</f>
        <v>0</v>
      </c>
      <c r="AP24" s="25"/>
    </row>
    <row r="25" spans="1:42" x14ac:dyDescent="0.25">
      <c r="D25" t="s">
        <v>14</v>
      </c>
      <c r="E25">
        <v>19</v>
      </c>
      <c r="P25" s="25">
        <f t="shared" si="22"/>
        <v>0</v>
      </c>
      <c r="Q25" s="25">
        <f t="shared" si="23"/>
        <v>0</v>
      </c>
      <c r="R25" s="64">
        <f t="shared" si="24"/>
        <v>0</v>
      </c>
      <c r="S25" s="25">
        <f t="shared" si="25"/>
        <v>0</v>
      </c>
      <c r="T25" s="25">
        <f t="shared" si="26"/>
        <v>0</v>
      </c>
      <c r="U25" s="25"/>
      <c r="V25" s="25"/>
      <c r="W25" s="25">
        <f t="shared" si="27"/>
        <v>0</v>
      </c>
      <c r="X25" s="25"/>
      <c r="Y25" s="25">
        <f>R25*0.559%</f>
        <v>0</v>
      </c>
      <c r="Z25" s="25">
        <f t="shared" si="28"/>
        <v>0</v>
      </c>
      <c r="AA25" s="25"/>
      <c r="AB25" s="25">
        <f t="shared" si="29"/>
        <v>0</v>
      </c>
      <c r="AC25" s="25">
        <f t="shared" si="30"/>
        <v>0</v>
      </c>
      <c r="AD25" s="25"/>
      <c r="AE25" s="25">
        <f t="shared" si="31"/>
        <v>0</v>
      </c>
      <c r="AF25" s="25"/>
      <c r="AG25" s="25">
        <f t="shared" si="32"/>
        <v>0</v>
      </c>
      <c r="AH25" s="25">
        <f t="shared" si="33"/>
        <v>0</v>
      </c>
      <c r="AI25" s="25">
        <f t="shared" si="34"/>
        <v>0</v>
      </c>
      <c r="AJ25" s="25">
        <f t="shared" si="35"/>
        <v>0</v>
      </c>
      <c r="AK25" s="25">
        <f t="shared" si="36"/>
        <v>0</v>
      </c>
      <c r="AL25" s="25">
        <f t="shared" si="37"/>
        <v>0</v>
      </c>
      <c r="AM25" s="25">
        <f t="shared" si="38"/>
        <v>0</v>
      </c>
      <c r="AN25" s="25">
        <f t="shared" si="39"/>
        <v>0</v>
      </c>
      <c r="AO25" s="25">
        <f t="shared" si="40"/>
        <v>0</v>
      </c>
      <c r="AP25" s="25"/>
    </row>
    <row r="26" spans="1:42" x14ac:dyDescent="0.25">
      <c r="D26" t="s">
        <v>14</v>
      </c>
      <c r="E26">
        <v>26</v>
      </c>
      <c r="P26" s="25"/>
      <c r="Q26" s="25"/>
      <c r="R26" s="64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</row>
    <row r="27" spans="1:42" x14ac:dyDescent="0.25">
      <c r="D27" t="s">
        <v>33</v>
      </c>
      <c r="O27">
        <f>SUM(O22:O26)</f>
        <v>0</v>
      </c>
      <c r="P27" s="25">
        <f>SUM(P22:P26)</f>
        <v>0</v>
      </c>
      <c r="Q27" s="25">
        <f t="shared" ref="Q27:AO27" si="41">SUM(Q22:Q26)</f>
        <v>0</v>
      </c>
      <c r="R27" s="64">
        <f t="shared" si="41"/>
        <v>0</v>
      </c>
      <c r="S27" s="25">
        <f t="shared" si="41"/>
        <v>0</v>
      </c>
      <c r="T27" s="25">
        <f t="shared" si="41"/>
        <v>0</v>
      </c>
      <c r="U27" s="25">
        <f t="shared" si="41"/>
        <v>0</v>
      </c>
      <c r="V27" s="25">
        <f t="shared" si="41"/>
        <v>0</v>
      </c>
      <c r="W27" s="25">
        <f t="shared" si="41"/>
        <v>0</v>
      </c>
      <c r="X27" s="25">
        <f t="shared" si="41"/>
        <v>0</v>
      </c>
      <c r="Y27" s="25">
        <f t="shared" si="41"/>
        <v>0</v>
      </c>
      <c r="Z27" s="25">
        <f t="shared" si="41"/>
        <v>0</v>
      </c>
      <c r="AA27" s="25">
        <f t="shared" si="41"/>
        <v>0</v>
      </c>
      <c r="AB27" s="25">
        <f t="shared" si="41"/>
        <v>0</v>
      </c>
      <c r="AC27" s="25">
        <f t="shared" si="41"/>
        <v>0</v>
      </c>
      <c r="AD27" s="25">
        <f t="shared" si="41"/>
        <v>0</v>
      </c>
      <c r="AE27" s="25">
        <f t="shared" si="41"/>
        <v>0</v>
      </c>
      <c r="AF27" s="25">
        <f t="shared" si="41"/>
        <v>0</v>
      </c>
      <c r="AG27" s="25">
        <f t="shared" si="41"/>
        <v>0</v>
      </c>
      <c r="AH27" s="25">
        <f t="shared" si="41"/>
        <v>0</v>
      </c>
      <c r="AI27" s="25">
        <f t="shared" si="41"/>
        <v>0</v>
      </c>
      <c r="AJ27" s="25">
        <f t="shared" si="41"/>
        <v>0</v>
      </c>
      <c r="AK27" s="25">
        <f t="shared" si="41"/>
        <v>0</v>
      </c>
      <c r="AL27" s="25">
        <f t="shared" si="41"/>
        <v>0</v>
      </c>
      <c r="AM27" s="25">
        <f t="shared" si="41"/>
        <v>0</v>
      </c>
      <c r="AN27" s="25">
        <f t="shared" si="41"/>
        <v>0</v>
      </c>
      <c r="AO27" s="25">
        <f t="shared" si="41"/>
        <v>0</v>
      </c>
      <c r="AP27" s="25"/>
    </row>
    <row r="28" spans="1:42" x14ac:dyDescent="0.25">
      <c r="P28" s="25"/>
      <c r="Q28" s="25"/>
      <c r="R28" s="64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</row>
    <row r="29" spans="1:42" x14ac:dyDescent="0.25">
      <c r="D29" t="s">
        <v>15</v>
      </c>
      <c r="E29">
        <v>3</v>
      </c>
      <c r="P29" s="25"/>
      <c r="Q29" s="25"/>
      <c r="R29" s="64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</row>
    <row r="30" spans="1:42" x14ac:dyDescent="0.25">
      <c r="D30" t="s">
        <v>15</v>
      </c>
      <c r="E30">
        <v>10</v>
      </c>
      <c r="P30" s="25">
        <f>32.4*O30</f>
        <v>0</v>
      </c>
      <c r="Q30" s="25">
        <f>P30*13%</f>
        <v>0</v>
      </c>
      <c r="R30" s="64">
        <f>P30+Q30</f>
        <v>0</v>
      </c>
      <c r="S30" s="25">
        <f>1.93*O30</f>
        <v>0</v>
      </c>
      <c r="T30" s="25">
        <f>R30+S30</f>
        <v>0</v>
      </c>
      <c r="U30" s="25"/>
      <c r="V30" s="25"/>
      <c r="W30" s="25">
        <f>R30*1.47%</f>
        <v>0</v>
      </c>
      <c r="X30" s="25"/>
      <c r="Y30" s="25">
        <f>R30*0.559%</f>
        <v>0</v>
      </c>
      <c r="Z30" s="25">
        <f>R30*0.75%</f>
        <v>0</v>
      </c>
      <c r="AA30" s="25"/>
      <c r="AB30" s="25">
        <f>1.7*O30</f>
        <v>0</v>
      </c>
      <c r="AC30" s="25">
        <f>R30-Z30-AA30-AB30</f>
        <v>0</v>
      </c>
      <c r="AD30" s="25"/>
      <c r="AE30" s="25">
        <f>T30-AB30</f>
        <v>0</v>
      </c>
      <c r="AF30" s="25"/>
      <c r="AG30" s="25">
        <f>Q30</f>
        <v>0</v>
      </c>
      <c r="AH30" s="25">
        <f>SUM(U30+W30+Y30+Z30+AA30+AB30+AD30+AF30+AG30)</f>
        <v>0</v>
      </c>
      <c r="AI30" s="25">
        <f>R30-AH30</f>
        <v>0</v>
      </c>
      <c r="AJ30" s="25">
        <f>0.65*O30</f>
        <v>0</v>
      </c>
      <c r="AK30" s="25">
        <f>AI30+AJ30</f>
        <v>0</v>
      </c>
      <c r="AL30" s="25">
        <f>R30*0.782%</f>
        <v>0</v>
      </c>
      <c r="AM30" s="25">
        <f>6.075*O30</f>
        <v>0</v>
      </c>
      <c r="AN30" s="25">
        <f>2*O30</f>
        <v>0</v>
      </c>
      <c r="AO30" s="25">
        <f>0.02*O30</f>
        <v>0</v>
      </c>
      <c r="AP30" s="25"/>
    </row>
    <row r="31" spans="1:42" x14ac:dyDescent="0.25">
      <c r="D31" t="s">
        <v>15</v>
      </c>
      <c r="E31">
        <v>17</v>
      </c>
      <c r="P31" s="25">
        <f t="shared" ref="P31:P33" si="42">32.4*O31</f>
        <v>0</v>
      </c>
      <c r="Q31" s="25">
        <f t="shared" ref="Q31:Q33" si="43">P31*13%</f>
        <v>0</v>
      </c>
      <c r="R31" s="64">
        <f t="shared" ref="R31:R33" si="44">P31+Q31</f>
        <v>0</v>
      </c>
      <c r="S31" s="25">
        <f t="shared" ref="S31:S33" si="45">1.93*O31</f>
        <v>0</v>
      </c>
      <c r="T31" s="25">
        <f t="shared" ref="T31:T33" si="46">R31+S31</f>
        <v>0</v>
      </c>
      <c r="U31" s="25"/>
      <c r="V31" s="25"/>
      <c r="W31" s="25">
        <f t="shared" ref="W31:W33" si="47">R31*1.47%</f>
        <v>0</v>
      </c>
      <c r="X31" s="25"/>
      <c r="Y31" s="25">
        <f t="shared" ref="Y31:Y33" si="48">R31*0.559%</f>
        <v>0</v>
      </c>
      <c r="Z31" s="25">
        <f t="shared" ref="Z31:Z33" si="49">R31*0.75%</f>
        <v>0</v>
      </c>
      <c r="AA31" s="25"/>
      <c r="AB31" s="25">
        <f t="shared" ref="AB31:AB33" si="50">1.7*O31</f>
        <v>0</v>
      </c>
      <c r="AC31" s="25">
        <f t="shared" ref="AC31:AC33" si="51">R31-Z31-AA31-AB31</f>
        <v>0</v>
      </c>
      <c r="AD31" s="25"/>
      <c r="AE31" s="25">
        <f t="shared" ref="AE31:AE33" si="52">T31-AB31</f>
        <v>0</v>
      </c>
      <c r="AF31" s="25"/>
      <c r="AG31" s="25">
        <f t="shared" ref="AG31:AG33" si="53">Q31</f>
        <v>0</v>
      </c>
      <c r="AH31" s="25">
        <f t="shared" ref="AH31:AH33" si="54">SUM(U31+W31+Y31+Z31+AA31+AB31+AD31+AF31+AG31)</f>
        <v>0</v>
      </c>
      <c r="AI31" s="25">
        <f t="shared" ref="AI31:AI33" si="55">R31-AH31</f>
        <v>0</v>
      </c>
      <c r="AJ31" s="25">
        <f t="shared" ref="AJ31:AJ33" si="56">0.65*O31</f>
        <v>0</v>
      </c>
      <c r="AK31" s="25">
        <f t="shared" ref="AK31:AK33" si="57">AI31+AJ31</f>
        <v>0</v>
      </c>
      <c r="AL31" s="25">
        <f t="shared" ref="AL31:AL33" si="58">R31*0.782%</f>
        <v>0</v>
      </c>
      <c r="AM31" s="25">
        <f t="shared" ref="AM31:AM33" si="59">6.075*O31</f>
        <v>0</v>
      </c>
      <c r="AN31" s="25">
        <f t="shared" ref="AN31:AN33" si="60">2*O31</f>
        <v>0</v>
      </c>
      <c r="AO31" s="25">
        <f t="shared" ref="AO31:AO33" si="61">0.02*O31</f>
        <v>0</v>
      </c>
      <c r="AP31" s="25"/>
    </row>
    <row r="32" spans="1:42" x14ac:dyDescent="0.25">
      <c r="D32" t="s">
        <v>15</v>
      </c>
      <c r="E32">
        <v>24</v>
      </c>
      <c r="P32" s="25">
        <f t="shared" si="42"/>
        <v>0</v>
      </c>
      <c r="Q32" s="25">
        <f t="shared" si="43"/>
        <v>0</v>
      </c>
      <c r="R32" s="64">
        <f t="shared" si="44"/>
        <v>0</v>
      </c>
      <c r="S32" s="25">
        <f t="shared" si="45"/>
        <v>0</v>
      </c>
      <c r="T32" s="25">
        <f t="shared" si="46"/>
        <v>0</v>
      </c>
      <c r="U32" s="25"/>
      <c r="V32" s="25"/>
      <c r="W32" s="25">
        <f t="shared" si="47"/>
        <v>0</v>
      </c>
      <c r="X32" s="25"/>
      <c r="Y32" s="25">
        <f t="shared" si="48"/>
        <v>0</v>
      </c>
      <c r="Z32" s="25">
        <f t="shared" si="49"/>
        <v>0</v>
      </c>
      <c r="AA32" s="25"/>
      <c r="AB32" s="25">
        <f t="shared" si="50"/>
        <v>0</v>
      </c>
      <c r="AC32" s="25">
        <f t="shared" si="51"/>
        <v>0</v>
      </c>
      <c r="AD32" s="25"/>
      <c r="AE32" s="25">
        <f t="shared" si="52"/>
        <v>0</v>
      </c>
      <c r="AF32" s="25"/>
      <c r="AG32" s="25">
        <f t="shared" si="53"/>
        <v>0</v>
      </c>
      <c r="AH32" s="25">
        <f t="shared" si="54"/>
        <v>0</v>
      </c>
      <c r="AI32" s="25">
        <f t="shared" si="55"/>
        <v>0</v>
      </c>
      <c r="AJ32" s="25">
        <f t="shared" si="56"/>
        <v>0</v>
      </c>
      <c r="AK32" s="25">
        <f t="shared" si="57"/>
        <v>0</v>
      </c>
      <c r="AL32" s="25">
        <f t="shared" si="58"/>
        <v>0</v>
      </c>
      <c r="AM32" s="25">
        <f t="shared" si="59"/>
        <v>0</v>
      </c>
      <c r="AN32" s="25">
        <f t="shared" si="60"/>
        <v>0</v>
      </c>
      <c r="AO32" s="25">
        <f t="shared" si="61"/>
        <v>0</v>
      </c>
      <c r="AP32" s="25"/>
    </row>
    <row r="33" spans="4:42" x14ac:dyDescent="0.25">
      <c r="D33" t="s">
        <v>15</v>
      </c>
      <c r="E33">
        <v>31</v>
      </c>
      <c r="P33" s="25">
        <f t="shared" si="42"/>
        <v>0</v>
      </c>
      <c r="Q33" s="25">
        <f t="shared" si="43"/>
        <v>0</v>
      </c>
      <c r="R33" s="64">
        <f t="shared" si="44"/>
        <v>0</v>
      </c>
      <c r="S33" s="25">
        <f t="shared" si="45"/>
        <v>0</v>
      </c>
      <c r="T33" s="25">
        <f t="shared" si="46"/>
        <v>0</v>
      </c>
      <c r="U33" s="25"/>
      <c r="V33" s="25"/>
      <c r="W33" s="25">
        <f t="shared" si="47"/>
        <v>0</v>
      </c>
      <c r="X33" s="25"/>
      <c r="Y33" s="25">
        <f t="shared" si="48"/>
        <v>0</v>
      </c>
      <c r="Z33" s="25">
        <f t="shared" si="49"/>
        <v>0</v>
      </c>
      <c r="AA33" s="25"/>
      <c r="AB33" s="25">
        <f t="shared" si="50"/>
        <v>0</v>
      </c>
      <c r="AC33" s="25">
        <f t="shared" si="51"/>
        <v>0</v>
      </c>
      <c r="AD33" s="25"/>
      <c r="AE33" s="25">
        <f t="shared" si="52"/>
        <v>0</v>
      </c>
      <c r="AF33" s="25"/>
      <c r="AG33" s="25">
        <f t="shared" si="53"/>
        <v>0</v>
      </c>
      <c r="AH33" s="25">
        <f t="shared" si="54"/>
        <v>0</v>
      </c>
      <c r="AI33" s="25">
        <f t="shared" si="55"/>
        <v>0</v>
      </c>
      <c r="AJ33" s="25">
        <f t="shared" si="56"/>
        <v>0</v>
      </c>
      <c r="AK33" s="25">
        <f t="shared" si="57"/>
        <v>0</v>
      </c>
      <c r="AL33" s="25">
        <f t="shared" si="58"/>
        <v>0</v>
      </c>
      <c r="AM33" s="25">
        <f t="shared" si="59"/>
        <v>0</v>
      </c>
      <c r="AN33" s="25">
        <f t="shared" si="60"/>
        <v>0</v>
      </c>
      <c r="AO33" s="25">
        <f t="shared" si="61"/>
        <v>0</v>
      </c>
      <c r="AP33" s="25"/>
    </row>
    <row r="34" spans="4:42" x14ac:dyDescent="0.25">
      <c r="D34" t="s">
        <v>33</v>
      </c>
      <c r="O34">
        <f>SUM(O29:O33)</f>
        <v>0</v>
      </c>
      <c r="P34" s="25">
        <f t="shared" ref="P34:AO34" si="62">SUM(P29:P33)</f>
        <v>0</v>
      </c>
      <c r="Q34" s="25">
        <f t="shared" si="62"/>
        <v>0</v>
      </c>
      <c r="R34" s="64">
        <f t="shared" si="62"/>
        <v>0</v>
      </c>
      <c r="S34" s="25">
        <f t="shared" si="62"/>
        <v>0</v>
      </c>
      <c r="T34" s="25">
        <f t="shared" si="62"/>
        <v>0</v>
      </c>
      <c r="U34" s="25">
        <f t="shared" si="62"/>
        <v>0</v>
      </c>
      <c r="V34" s="25">
        <f t="shared" si="62"/>
        <v>0</v>
      </c>
      <c r="W34" s="25">
        <f t="shared" si="62"/>
        <v>0</v>
      </c>
      <c r="X34" s="25">
        <f t="shared" si="62"/>
        <v>0</v>
      </c>
      <c r="Y34" s="25">
        <f t="shared" si="62"/>
        <v>0</v>
      </c>
      <c r="Z34" s="25">
        <f t="shared" si="62"/>
        <v>0</v>
      </c>
      <c r="AA34" s="25">
        <f t="shared" si="62"/>
        <v>0</v>
      </c>
      <c r="AB34" s="25">
        <f t="shared" si="62"/>
        <v>0</v>
      </c>
      <c r="AC34" s="25">
        <f t="shared" si="62"/>
        <v>0</v>
      </c>
      <c r="AD34" s="25">
        <f t="shared" si="62"/>
        <v>0</v>
      </c>
      <c r="AE34" s="25">
        <f t="shared" si="62"/>
        <v>0</v>
      </c>
      <c r="AF34" s="25">
        <f t="shared" si="62"/>
        <v>0</v>
      </c>
      <c r="AG34" s="25">
        <f t="shared" si="62"/>
        <v>0</v>
      </c>
      <c r="AH34" s="25">
        <f t="shared" si="62"/>
        <v>0</v>
      </c>
      <c r="AI34" s="25">
        <f t="shared" si="62"/>
        <v>0</v>
      </c>
      <c r="AJ34" s="25">
        <f t="shared" si="62"/>
        <v>0</v>
      </c>
      <c r="AK34" s="25">
        <f t="shared" si="62"/>
        <v>0</v>
      </c>
      <c r="AL34" s="25">
        <f t="shared" si="62"/>
        <v>0</v>
      </c>
      <c r="AM34" s="25">
        <f t="shared" si="62"/>
        <v>0</v>
      </c>
      <c r="AN34" s="25">
        <f t="shared" si="62"/>
        <v>0</v>
      </c>
      <c r="AO34" s="25">
        <f t="shared" si="62"/>
        <v>0</v>
      </c>
      <c r="AP34" s="25"/>
    </row>
    <row r="35" spans="4:42" x14ac:dyDescent="0.25">
      <c r="P35" s="25"/>
      <c r="Q35" s="25"/>
      <c r="R35" s="64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</row>
    <row r="36" spans="4:42" x14ac:dyDescent="0.25">
      <c r="D36" t="s">
        <v>16</v>
      </c>
      <c r="E36">
        <v>7</v>
      </c>
      <c r="P36" s="25"/>
      <c r="Q36" s="25"/>
      <c r="R36" s="64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</row>
    <row r="37" spans="4:42" x14ac:dyDescent="0.25">
      <c r="D37" t="s">
        <v>16</v>
      </c>
      <c r="E37">
        <v>14</v>
      </c>
      <c r="P37" s="25"/>
      <c r="Q37" s="25"/>
      <c r="R37" s="64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4:42" x14ac:dyDescent="0.25">
      <c r="D38" t="s">
        <v>16</v>
      </c>
      <c r="E38">
        <v>21</v>
      </c>
      <c r="P38" s="25"/>
      <c r="Q38" s="25"/>
      <c r="R38" s="64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4:42" x14ac:dyDescent="0.25">
      <c r="D39" t="s">
        <v>16</v>
      </c>
      <c r="E39">
        <v>28</v>
      </c>
      <c r="P39" s="25"/>
      <c r="Q39" s="25"/>
      <c r="R39" s="64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</row>
    <row r="40" spans="4:42" x14ac:dyDescent="0.25">
      <c r="D40" t="s">
        <v>137</v>
      </c>
      <c r="P40" s="25"/>
      <c r="Q40" s="25"/>
      <c r="R40" s="64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</row>
    <row r="41" spans="4:42" x14ac:dyDescent="0.25">
      <c r="D41" t="s">
        <v>33</v>
      </c>
      <c r="P41" s="25"/>
      <c r="Q41" s="25"/>
      <c r="R41" s="64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</row>
    <row r="42" spans="4:42" x14ac:dyDescent="0.25">
      <c r="P42" s="25"/>
      <c r="Q42" s="25"/>
      <c r="R42" s="64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</row>
    <row r="43" spans="4:42" x14ac:dyDescent="0.25">
      <c r="D43" t="s">
        <v>17</v>
      </c>
      <c r="P43" s="25"/>
      <c r="Q43" s="25"/>
      <c r="R43" s="64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</row>
    <row r="44" spans="4:42" x14ac:dyDescent="0.25">
      <c r="D44" t="s">
        <v>17</v>
      </c>
      <c r="E44">
        <v>5</v>
      </c>
      <c r="P44" s="25"/>
      <c r="Q44" s="25"/>
      <c r="R44" s="64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</row>
    <row r="45" spans="4:42" x14ac:dyDescent="0.25">
      <c r="D45" t="s">
        <v>17</v>
      </c>
      <c r="E45">
        <v>12</v>
      </c>
      <c r="P45" s="25"/>
      <c r="Q45" s="25"/>
      <c r="R45" s="64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</row>
    <row r="46" spans="4:42" x14ac:dyDescent="0.25">
      <c r="D46" t="s">
        <v>17</v>
      </c>
      <c r="E46">
        <v>19</v>
      </c>
      <c r="P46" s="25"/>
      <c r="Q46" s="25"/>
      <c r="R46" s="64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</row>
    <row r="47" spans="4:42" x14ac:dyDescent="0.25">
      <c r="D47" t="s">
        <v>52</v>
      </c>
      <c r="E47">
        <v>26</v>
      </c>
      <c r="P47" s="25"/>
      <c r="Q47" s="25"/>
      <c r="R47" s="64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</row>
    <row r="48" spans="4:42" x14ac:dyDescent="0.25">
      <c r="D48" t="s">
        <v>33</v>
      </c>
      <c r="P48" s="25"/>
      <c r="Q48" s="25"/>
      <c r="R48" s="64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</row>
    <row r="49" spans="4:42" x14ac:dyDescent="0.25">
      <c r="P49" s="25"/>
      <c r="Q49" s="25"/>
      <c r="R49" s="64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</row>
    <row r="50" spans="4:42" x14ac:dyDescent="0.25">
      <c r="D50" t="s">
        <v>18</v>
      </c>
      <c r="E50">
        <v>2</v>
      </c>
      <c r="P50" s="25"/>
      <c r="Q50" s="25"/>
      <c r="R50" s="64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</row>
    <row r="51" spans="4:42" x14ac:dyDescent="0.25">
      <c r="D51" t="s">
        <v>18</v>
      </c>
      <c r="E51">
        <v>9</v>
      </c>
      <c r="P51" s="25"/>
      <c r="Q51" s="25"/>
      <c r="R51" s="64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</row>
    <row r="52" spans="4:42" x14ac:dyDescent="0.25">
      <c r="D52" t="s">
        <v>18</v>
      </c>
      <c r="E52">
        <v>16</v>
      </c>
      <c r="P52" s="25"/>
      <c r="Q52" s="25"/>
      <c r="R52" s="64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</row>
    <row r="53" spans="4:42" x14ac:dyDescent="0.25">
      <c r="D53" t="s">
        <v>18</v>
      </c>
      <c r="E53">
        <v>23</v>
      </c>
      <c r="P53" s="25"/>
      <c r="Q53" s="25"/>
      <c r="R53" s="64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</row>
    <row r="54" spans="4:42" x14ac:dyDescent="0.25">
      <c r="D54" t="s">
        <v>18</v>
      </c>
      <c r="E54">
        <v>30</v>
      </c>
      <c r="P54" s="25"/>
      <c r="Q54" s="25"/>
      <c r="R54" s="64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</row>
    <row r="55" spans="4:42" x14ac:dyDescent="0.25">
      <c r="D55" t="s">
        <v>33</v>
      </c>
      <c r="P55" s="25"/>
      <c r="Q55" s="25"/>
      <c r="R55" s="64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</row>
    <row r="56" spans="4:42" x14ac:dyDescent="0.25">
      <c r="P56" s="25"/>
      <c r="Q56" s="25"/>
      <c r="R56" s="64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</row>
    <row r="57" spans="4:42" x14ac:dyDescent="0.25">
      <c r="D57" t="s">
        <v>19</v>
      </c>
      <c r="E57">
        <v>1</v>
      </c>
      <c r="P57" s="25"/>
      <c r="Q57" s="25"/>
      <c r="R57" s="64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</row>
    <row r="58" spans="4:42" x14ac:dyDescent="0.25">
      <c r="D58" t="s">
        <v>19</v>
      </c>
      <c r="E58">
        <v>6</v>
      </c>
      <c r="P58" s="25"/>
      <c r="Q58" s="25"/>
      <c r="R58" s="64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</row>
    <row r="59" spans="4:42" x14ac:dyDescent="0.25">
      <c r="D59" t="s">
        <v>19</v>
      </c>
      <c r="E59">
        <v>13</v>
      </c>
      <c r="P59" s="25">
        <f>O59*32.4</f>
        <v>0</v>
      </c>
      <c r="Q59" s="25">
        <f>P59*13%</f>
        <v>0</v>
      </c>
      <c r="R59" s="64">
        <f>P59+Q59</f>
        <v>0</v>
      </c>
      <c r="S59" s="25">
        <f>1.902*O59</f>
        <v>0</v>
      </c>
      <c r="T59" s="25">
        <f>R59+S59</f>
        <v>0</v>
      </c>
      <c r="U59" s="25"/>
      <c r="V59" s="25"/>
      <c r="W59" s="25"/>
      <c r="X59" s="25"/>
      <c r="Y59" s="25">
        <f>R59*0.559%</f>
        <v>0</v>
      </c>
      <c r="Z59" s="25">
        <f>R59*0.75%</f>
        <v>0</v>
      </c>
      <c r="AA59" s="25"/>
      <c r="AB59" s="25">
        <f>O59*1.7</f>
        <v>0</v>
      </c>
      <c r="AC59" s="25">
        <f>R59-Z59-AA59-AB59</f>
        <v>0</v>
      </c>
      <c r="AD59" s="25"/>
      <c r="AE59" s="25">
        <f>T59-AB59</f>
        <v>0</v>
      </c>
      <c r="AF59" s="25"/>
      <c r="AG59" s="25">
        <f>Q59</f>
        <v>0</v>
      </c>
      <c r="AH59" s="25">
        <f>SUM(U59+W59+Y59+Z59+AA59+AB59+AD59+AF59+AG59)</f>
        <v>0</v>
      </c>
      <c r="AI59" s="25">
        <f>R59-AH59</f>
        <v>0</v>
      </c>
      <c r="AJ59" s="25">
        <f>0.65*O59</f>
        <v>0</v>
      </c>
      <c r="AK59" s="25">
        <f>AI59+AJ59</f>
        <v>0</v>
      </c>
      <c r="AL59" s="25">
        <f>R59*0.782%</f>
        <v>0</v>
      </c>
      <c r="AM59" s="25">
        <f>6.075*O59</f>
        <v>0</v>
      </c>
      <c r="AN59" s="25">
        <f>O59*2</f>
        <v>0</v>
      </c>
      <c r="AO59" s="25">
        <f>0.02*O59</f>
        <v>0</v>
      </c>
      <c r="AP59" s="25"/>
    </row>
    <row r="60" spans="4:42" x14ac:dyDescent="0.25">
      <c r="D60" t="s">
        <v>19</v>
      </c>
      <c r="E60">
        <v>20</v>
      </c>
      <c r="P60" s="25">
        <f>O60*19.44</f>
        <v>0</v>
      </c>
      <c r="Q60" s="25">
        <f t="shared" ref="Q60:Q61" si="63">P60*13%</f>
        <v>0</v>
      </c>
      <c r="R60" s="64">
        <f>P60+Q60</f>
        <v>0</v>
      </c>
      <c r="S60" s="25">
        <f>O60*1.902</f>
        <v>0</v>
      </c>
      <c r="T60" s="25">
        <f t="shared" ref="T60:T61" si="64">R60+S60</f>
        <v>0</v>
      </c>
      <c r="U60" s="25"/>
      <c r="V60" s="25"/>
      <c r="W60" s="25">
        <f>R60*1.47%</f>
        <v>0</v>
      </c>
      <c r="X60" s="25"/>
      <c r="Y60" s="25">
        <f t="shared" ref="Y60:Y61" si="65">R60*0.559%</f>
        <v>0</v>
      </c>
      <c r="Z60" s="25">
        <f t="shared" ref="Z60:Z61" si="66">R60*0.75%</f>
        <v>0</v>
      </c>
      <c r="AA60" s="25"/>
      <c r="AB60" s="25">
        <f>O60*1.43</f>
        <v>0</v>
      </c>
      <c r="AC60" s="25">
        <f>R60-Z60-AA60-AB60</f>
        <v>0</v>
      </c>
      <c r="AD60" s="25">
        <v>0</v>
      </c>
      <c r="AE60" s="25">
        <f>T60-AB60</f>
        <v>0</v>
      </c>
      <c r="AF60" s="25">
        <v>0</v>
      </c>
      <c r="AG60" s="25">
        <f t="shared" ref="AG60:AG61" si="67">Q60</f>
        <v>0</v>
      </c>
      <c r="AH60" s="25">
        <f>SUM(U60+W60+Y60+Z60+AA60+AB60+AD60+AF60+AG60)</f>
        <v>0</v>
      </c>
      <c r="AI60" s="25">
        <f t="shared" ref="AI60:AI61" si="68">R60-AH60</f>
        <v>0</v>
      </c>
      <c r="AJ60" s="25">
        <f t="shared" ref="AJ60:AJ61" si="69">0.65*O60</f>
        <v>0</v>
      </c>
      <c r="AK60" s="25">
        <f t="shared" ref="AK60:AK61" si="70">AI60+AJ60</f>
        <v>0</v>
      </c>
      <c r="AL60" s="25">
        <f t="shared" ref="AL60:AL61" si="71">R60*0.782%</f>
        <v>0</v>
      </c>
      <c r="AM60" s="25">
        <f>5.335*O60</f>
        <v>0</v>
      </c>
      <c r="AN60" s="25">
        <f t="shared" ref="AN60:AN61" si="72">O60*2</f>
        <v>0</v>
      </c>
      <c r="AO60" s="25">
        <f t="shared" ref="AO60:AO61" si="73">0.02*O60</f>
        <v>0</v>
      </c>
      <c r="AP60" s="25"/>
    </row>
    <row r="61" spans="4:42" x14ac:dyDescent="0.25">
      <c r="D61" t="s">
        <v>19</v>
      </c>
      <c r="E61">
        <v>27</v>
      </c>
      <c r="P61" s="25">
        <f>O61*19.44</f>
        <v>0</v>
      </c>
      <c r="Q61" s="25">
        <f t="shared" si="63"/>
        <v>0</v>
      </c>
      <c r="R61" s="64">
        <f t="shared" ref="R61" si="74">P61+Q61</f>
        <v>0</v>
      </c>
      <c r="S61" s="25">
        <f t="shared" ref="S61" si="75">O61*1.902</f>
        <v>0</v>
      </c>
      <c r="T61" s="25">
        <f t="shared" si="64"/>
        <v>0</v>
      </c>
      <c r="U61" s="25"/>
      <c r="V61" s="25"/>
      <c r="W61" s="25">
        <f>R61*1.47%</f>
        <v>0</v>
      </c>
      <c r="X61" s="25"/>
      <c r="Y61" s="25">
        <f t="shared" si="65"/>
        <v>0</v>
      </c>
      <c r="Z61" s="25">
        <f t="shared" si="66"/>
        <v>0</v>
      </c>
      <c r="AA61" s="25"/>
      <c r="AB61" s="25">
        <f>O61*1.43</f>
        <v>0</v>
      </c>
      <c r="AC61" s="25">
        <f>R61-Z61-AA61-AB61</f>
        <v>0</v>
      </c>
      <c r="AD61" s="25"/>
      <c r="AE61" s="25">
        <f>T61-AB61</f>
        <v>0</v>
      </c>
      <c r="AF61" s="25"/>
      <c r="AG61" s="25">
        <f t="shared" si="67"/>
        <v>0</v>
      </c>
      <c r="AH61" s="25">
        <f>SUM(U61+W61+Y61+Z61+AA61+AB61+AD61+AF61+AG61)</f>
        <v>0</v>
      </c>
      <c r="AI61" s="25">
        <f t="shared" si="68"/>
        <v>0</v>
      </c>
      <c r="AJ61" s="25">
        <f t="shared" si="69"/>
        <v>0</v>
      </c>
      <c r="AK61" s="25">
        <f t="shared" si="70"/>
        <v>0</v>
      </c>
      <c r="AL61" s="25">
        <f t="shared" si="71"/>
        <v>0</v>
      </c>
      <c r="AM61" s="25">
        <f>5.335*O61</f>
        <v>0</v>
      </c>
      <c r="AN61" s="25">
        <f t="shared" si="72"/>
        <v>0</v>
      </c>
      <c r="AO61" s="25">
        <f t="shared" si="73"/>
        <v>0</v>
      </c>
      <c r="AP61" s="25"/>
    </row>
    <row r="62" spans="4:42" x14ac:dyDescent="0.25">
      <c r="D62" t="s">
        <v>33</v>
      </c>
      <c r="O62" s="58">
        <f t="shared" ref="O62:AL62" si="76">SUM(O57:O61)</f>
        <v>0</v>
      </c>
      <c r="P62" s="13">
        <f>SUM(P57:P61)</f>
        <v>0</v>
      </c>
      <c r="Q62" s="13">
        <f t="shared" si="76"/>
        <v>0</v>
      </c>
      <c r="R62" s="65">
        <f t="shared" si="76"/>
        <v>0</v>
      </c>
      <c r="S62" s="13">
        <f t="shared" si="76"/>
        <v>0</v>
      </c>
      <c r="T62" s="13">
        <f t="shared" si="76"/>
        <v>0</v>
      </c>
      <c r="U62" s="13">
        <f t="shared" si="76"/>
        <v>0</v>
      </c>
      <c r="V62" s="13">
        <f t="shared" si="76"/>
        <v>0</v>
      </c>
      <c r="W62" s="13">
        <f t="shared" si="76"/>
        <v>0</v>
      </c>
      <c r="X62" s="13">
        <f t="shared" si="76"/>
        <v>0</v>
      </c>
      <c r="Y62" s="13">
        <f t="shared" si="76"/>
        <v>0</v>
      </c>
      <c r="Z62" s="13">
        <f t="shared" si="76"/>
        <v>0</v>
      </c>
      <c r="AA62" s="13">
        <f t="shared" si="76"/>
        <v>0</v>
      </c>
      <c r="AB62" s="13">
        <f t="shared" si="76"/>
        <v>0</v>
      </c>
      <c r="AC62" s="13">
        <f t="shared" si="76"/>
        <v>0</v>
      </c>
      <c r="AD62" s="13">
        <f t="shared" si="76"/>
        <v>0</v>
      </c>
      <c r="AE62" s="13">
        <f t="shared" si="76"/>
        <v>0</v>
      </c>
      <c r="AF62" s="13">
        <f t="shared" si="76"/>
        <v>0</v>
      </c>
      <c r="AG62" s="13">
        <f t="shared" si="76"/>
        <v>0</v>
      </c>
      <c r="AH62" s="13">
        <f t="shared" si="76"/>
        <v>0</v>
      </c>
      <c r="AI62" s="13">
        <f t="shared" si="76"/>
        <v>0</v>
      </c>
      <c r="AJ62" s="13">
        <f t="shared" si="76"/>
        <v>0</v>
      </c>
      <c r="AK62" s="13">
        <f t="shared" si="76"/>
        <v>0</v>
      </c>
      <c r="AL62" s="13">
        <f t="shared" si="76"/>
        <v>0</v>
      </c>
      <c r="AM62" s="13">
        <f t="shared" ref="AM62:AO62" si="77">SUM(AM57:AM61)</f>
        <v>0</v>
      </c>
      <c r="AN62" s="13">
        <f t="shared" si="77"/>
        <v>0</v>
      </c>
      <c r="AO62" s="13">
        <f t="shared" si="77"/>
        <v>0</v>
      </c>
      <c r="AP62" s="25"/>
    </row>
    <row r="63" spans="4:42" x14ac:dyDescent="0.25">
      <c r="R63" s="60"/>
    </row>
    <row r="64" spans="4:42" x14ac:dyDescent="0.25">
      <c r="D64" t="s">
        <v>20</v>
      </c>
      <c r="R64" s="60"/>
    </row>
    <row r="65" spans="4:44" x14ac:dyDescent="0.25">
      <c r="D65" t="s">
        <v>20</v>
      </c>
      <c r="E65">
        <v>4</v>
      </c>
      <c r="P65" s="25">
        <f>O65*19.44</f>
        <v>0</v>
      </c>
      <c r="Q65" s="25">
        <f>P65*13%</f>
        <v>0</v>
      </c>
      <c r="R65" s="64">
        <f>P65+Q65</f>
        <v>0</v>
      </c>
      <c r="S65" s="52">
        <f>1.902*O65</f>
        <v>0</v>
      </c>
      <c r="T65" s="25">
        <f>R65+S65</f>
        <v>0</v>
      </c>
      <c r="U65" s="25"/>
      <c r="V65" s="25"/>
      <c r="W65" s="25">
        <f>1.47%*R65</f>
        <v>0</v>
      </c>
      <c r="X65" s="25"/>
      <c r="Y65" s="25">
        <f>R65*0.559%</f>
        <v>0</v>
      </c>
      <c r="Z65" s="25">
        <f>R65*0.75%</f>
        <v>0</v>
      </c>
      <c r="AA65" s="25"/>
      <c r="AB65" s="25">
        <f>1.43*O65</f>
        <v>0</v>
      </c>
      <c r="AC65" s="25">
        <f>R65-Z65-AA65-AB65</f>
        <v>0</v>
      </c>
      <c r="AD65" s="25"/>
      <c r="AE65" s="25">
        <f>T65-AB65</f>
        <v>0</v>
      </c>
      <c r="AF65" s="25"/>
      <c r="AG65" s="25">
        <f>Q65</f>
        <v>0</v>
      </c>
      <c r="AH65" s="25">
        <f>SUM(U65+W65+Y65+Z65+AA65+AB65+AD65+AF65+AG65)</f>
        <v>0</v>
      </c>
      <c r="AI65" s="25">
        <f>R65-AH65</f>
        <v>0</v>
      </c>
      <c r="AJ65" s="25">
        <f>0.65*O65</f>
        <v>0</v>
      </c>
      <c r="AK65" s="25">
        <f>AI65+AJ65</f>
        <v>0</v>
      </c>
      <c r="AL65" s="25">
        <f>R65*0.782%</f>
        <v>0</v>
      </c>
      <c r="AM65" s="25">
        <f>5.335*O65</f>
        <v>0</v>
      </c>
      <c r="AN65" s="25">
        <f>2*O65</f>
        <v>0</v>
      </c>
      <c r="AO65" s="25">
        <f>0.02*O65</f>
        <v>0</v>
      </c>
      <c r="AP65" s="25"/>
      <c r="AQ65" s="25"/>
      <c r="AR65" s="25"/>
    </row>
    <row r="66" spans="4:44" x14ac:dyDescent="0.25">
      <c r="D66" t="s">
        <v>20</v>
      </c>
      <c r="E66">
        <v>11</v>
      </c>
      <c r="P66" s="25"/>
      <c r="Q66" s="25"/>
      <c r="R66" s="64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</row>
    <row r="67" spans="4:44" x14ac:dyDescent="0.25">
      <c r="D67" t="s">
        <v>20</v>
      </c>
      <c r="E67">
        <v>18</v>
      </c>
      <c r="P67" s="25"/>
      <c r="Q67" s="25"/>
      <c r="R67" s="64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</row>
    <row r="68" spans="4:44" x14ac:dyDescent="0.25">
      <c r="D68" t="s">
        <v>20</v>
      </c>
      <c r="E68">
        <v>25</v>
      </c>
      <c r="N68" s="25"/>
      <c r="O68" s="25"/>
      <c r="P68" s="25"/>
      <c r="Q68" s="25"/>
      <c r="R68" s="64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</row>
    <row r="69" spans="4:44" x14ac:dyDescent="0.25">
      <c r="D69" t="s">
        <v>33</v>
      </c>
      <c r="N69" s="25"/>
      <c r="O69" s="58">
        <f>SUM(O64:O68)</f>
        <v>0</v>
      </c>
      <c r="P69" s="13">
        <f t="shared" ref="P69:AO69" si="78">SUM(P64:P68)</f>
        <v>0</v>
      </c>
      <c r="Q69" s="13">
        <f t="shared" si="78"/>
        <v>0</v>
      </c>
      <c r="R69" s="65">
        <f t="shared" si="78"/>
        <v>0</v>
      </c>
      <c r="S69" s="13">
        <f t="shared" si="78"/>
        <v>0</v>
      </c>
      <c r="T69" s="13">
        <f t="shared" si="78"/>
        <v>0</v>
      </c>
      <c r="U69" s="13">
        <f t="shared" si="78"/>
        <v>0</v>
      </c>
      <c r="V69" s="13">
        <f t="shared" si="78"/>
        <v>0</v>
      </c>
      <c r="W69" s="13">
        <f t="shared" si="78"/>
        <v>0</v>
      </c>
      <c r="X69" s="13">
        <f t="shared" si="78"/>
        <v>0</v>
      </c>
      <c r="Y69" s="13">
        <f t="shared" si="78"/>
        <v>0</v>
      </c>
      <c r="Z69" s="13">
        <f t="shared" si="78"/>
        <v>0</v>
      </c>
      <c r="AA69" s="13">
        <f t="shared" si="78"/>
        <v>0</v>
      </c>
      <c r="AB69" s="13">
        <f t="shared" si="78"/>
        <v>0</v>
      </c>
      <c r="AC69" s="13">
        <f t="shared" si="78"/>
        <v>0</v>
      </c>
      <c r="AD69" s="13">
        <f t="shared" si="78"/>
        <v>0</v>
      </c>
      <c r="AE69" s="13">
        <f t="shared" si="78"/>
        <v>0</v>
      </c>
      <c r="AF69" s="13">
        <f t="shared" si="78"/>
        <v>0</v>
      </c>
      <c r="AG69" s="13">
        <f t="shared" si="78"/>
        <v>0</v>
      </c>
      <c r="AH69" s="13">
        <f t="shared" si="78"/>
        <v>0</v>
      </c>
      <c r="AI69" s="13">
        <f t="shared" si="78"/>
        <v>0</v>
      </c>
      <c r="AJ69" s="13">
        <f t="shared" si="78"/>
        <v>0</v>
      </c>
      <c r="AK69" s="13">
        <f t="shared" si="78"/>
        <v>0</v>
      </c>
      <c r="AL69" s="13">
        <f t="shared" si="78"/>
        <v>0</v>
      </c>
      <c r="AM69" s="13">
        <f t="shared" si="78"/>
        <v>0</v>
      </c>
      <c r="AN69" s="13">
        <f t="shared" si="78"/>
        <v>0</v>
      </c>
      <c r="AO69" s="13">
        <f t="shared" si="78"/>
        <v>0</v>
      </c>
      <c r="AP69" s="25"/>
      <c r="AQ69" s="25"/>
      <c r="AR69" s="25"/>
    </row>
    <row r="70" spans="4:44" x14ac:dyDescent="0.25">
      <c r="P70" s="25"/>
      <c r="Q70" s="25"/>
      <c r="R70" s="64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</row>
    <row r="71" spans="4:44" x14ac:dyDescent="0.25">
      <c r="D71" t="s">
        <v>21</v>
      </c>
      <c r="E71">
        <v>1</v>
      </c>
      <c r="P71" s="25"/>
      <c r="Q71" s="25"/>
      <c r="R71" s="64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</row>
    <row r="72" spans="4:44" x14ac:dyDescent="0.25">
      <c r="D72" t="s">
        <v>21</v>
      </c>
      <c r="E72">
        <v>8</v>
      </c>
      <c r="P72" s="25"/>
      <c r="Q72" s="25"/>
      <c r="R72" s="64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</row>
    <row r="73" spans="4:44" x14ac:dyDescent="0.25">
      <c r="D73" t="s">
        <v>21</v>
      </c>
      <c r="E73">
        <v>15</v>
      </c>
      <c r="R73" s="60"/>
    </row>
    <row r="74" spans="4:44" x14ac:dyDescent="0.25">
      <c r="D74" t="s">
        <v>21</v>
      </c>
      <c r="E74">
        <v>22</v>
      </c>
      <c r="R74" s="60"/>
    </row>
    <row r="75" spans="4:44" x14ac:dyDescent="0.25">
      <c r="D75" t="s">
        <v>21</v>
      </c>
      <c r="E75">
        <v>29</v>
      </c>
      <c r="R75" s="60"/>
    </row>
    <row r="76" spans="4:44" x14ac:dyDescent="0.25">
      <c r="D76" t="s">
        <v>33</v>
      </c>
      <c r="R76" s="60"/>
    </row>
    <row r="77" spans="4:44" x14ac:dyDescent="0.25">
      <c r="R77" s="60"/>
    </row>
    <row r="78" spans="4:44" x14ac:dyDescent="0.25">
      <c r="D78" t="s">
        <v>22</v>
      </c>
      <c r="E78">
        <v>1</v>
      </c>
      <c r="R78" s="60"/>
    </row>
    <row r="79" spans="4:44" x14ac:dyDescent="0.25">
      <c r="D79" t="s">
        <v>22</v>
      </c>
      <c r="E79">
        <v>6</v>
      </c>
      <c r="R79" s="60"/>
    </row>
    <row r="80" spans="4:44" x14ac:dyDescent="0.25">
      <c r="D80" t="s">
        <v>22</v>
      </c>
      <c r="E80">
        <v>13</v>
      </c>
      <c r="R80" s="60"/>
    </row>
    <row r="81" spans="4:42" x14ac:dyDescent="0.25">
      <c r="D81" t="s">
        <v>22</v>
      </c>
      <c r="E81">
        <v>20</v>
      </c>
      <c r="R81" s="60"/>
    </row>
    <row r="82" spans="4:42" x14ac:dyDescent="0.25">
      <c r="D82" t="s">
        <v>22</v>
      </c>
      <c r="E82">
        <v>27</v>
      </c>
      <c r="R82" s="60"/>
    </row>
    <row r="83" spans="4:42" x14ac:dyDescent="0.25">
      <c r="D83" t="s">
        <v>33</v>
      </c>
      <c r="R83" s="60"/>
    </row>
    <row r="84" spans="4:42" x14ac:dyDescent="0.25">
      <c r="R84" s="60"/>
    </row>
    <row r="85" spans="4:42" x14ac:dyDescent="0.25">
      <c r="D85" t="s">
        <v>34</v>
      </c>
      <c r="P85" s="25">
        <f>SUM(P7+P13+P20+P27+P34+P41+P48+P55+P62+P69+P76+P83)</f>
        <v>0</v>
      </c>
      <c r="Q85" s="25">
        <f t="shared" ref="Q85:AO85" si="79">SUM(Q7+Q13+Q20+Q27+Q34+Q41+Q48+Q55+Q62+Q69+Q76+Q83)</f>
        <v>0</v>
      </c>
      <c r="R85" s="64">
        <f t="shared" si="79"/>
        <v>0</v>
      </c>
      <c r="S85" s="25">
        <f t="shared" si="79"/>
        <v>0</v>
      </c>
      <c r="T85" s="25">
        <f t="shared" si="79"/>
        <v>0</v>
      </c>
      <c r="U85" s="25">
        <f t="shared" si="79"/>
        <v>0</v>
      </c>
      <c r="V85" s="25">
        <f t="shared" si="79"/>
        <v>0</v>
      </c>
      <c r="W85" s="25">
        <f t="shared" si="79"/>
        <v>0</v>
      </c>
      <c r="X85" s="25">
        <f t="shared" si="79"/>
        <v>0</v>
      </c>
      <c r="Y85" s="25">
        <f t="shared" si="79"/>
        <v>0</v>
      </c>
      <c r="Z85" s="25">
        <f t="shared" si="79"/>
        <v>0</v>
      </c>
      <c r="AA85" s="25">
        <f t="shared" si="79"/>
        <v>0</v>
      </c>
      <c r="AB85" s="25">
        <f t="shared" si="79"/>
        <v>0</v>
      </c>
      <c r="AC85" s="25">
        <f t="shared" si="79"/>
        <v>0</v>
      </c>
      <c r="AD85" s="25">
        <f t="shared" si="79"/>
        <v>0</v>
      </c>
      <c r="AE85" s="25">
        <f t="shared" si="79"/>
        <v>0</v>
      </c>
      <c r="AF85" s="25">
        <f t="shared" si="79"/>
        <v>0</v>
      </c>
      <c r="AG85" s="25">
        <f t="shared" si="79"/>
        <v>0</v>
      </c>
      <c r="AH85" s="25">
        <f t="shared" si="79"/>
        <v>0</v>
      </c>
      <c r="AI85" s="25">
        <f t="shared" si="79"/>
        <v>0</v>
      </c>
      <c r="AJ85" s="25">
        <f t="shared" si="79"/>
        <v>0</v>
      </c>
      <c r="AK85" s="25">
        <f t="shared" si="79"/>
        <v>0</v>
      </c>
      <c r="AL85" s="25">
        <f t="shared" si="79"/>
        <v>0</v>
      </c>
      <c r="AM85" s="25">
        <f t="shared" si="79"/>
        <v>0</v>
      </c>
      <c r="AN85" s="25">
        <f t="shared" si="79"/>
        <v>0</v>
      </c>
      <c r="AO85" s="25">
        <f t="shared" si="79"/>
        <v>0</v>
      </c>
      <c r="AP85" s="25"/>
    </row>
    <row r="86" spans="4:42" x14ac:dyDescent="0.25">
      <c r="R86" s="60"/>
    </row>
    <row r="87" spans="4:42" x14ac:dyDescent="0.25">
      <c r="R87" s="60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1:AT95"/>
  <sheetViews>
    <sheetView showZeros="0" workbookViewId="0">
      <pane ySplit="1" topLeftCell="A2" activePane="bottomLeft" state="frozen"/>
      <selection activeCell="P17" sqref="P17"/>
      <selection pane="bottomLeft" activeCell="P17" sqref="P17"/>
    </sheetView>
  </sheetViews>
  <sheetFormatPr baseColWidth="10" defaultRowHeight="13.2" x14ac:dyDescent="0.25"/>
  <cols>
    <col min="2" max="2" width="7.44140625" customWidth="1"/>
    <col min="3" max="3" width="8.44140625" customWidth="1"/>
    <col min="4" max="4" width="9.6640625" customWidth="1"/>
    <col min="5" max="5" width="6" bestFit="1" customWidth="1"/>
    <col min="6" max="7" width="2.44140625" bestFit="1" customWidth="1"/>
    <col min="8" max="9" width="3.5546875" bestFit="1" customWidth="1"/>
    <col min="10" max="10" width="2.44140625" bestFit="1" customWidth="1"/>
    <col min="11" max="11" width="2.6640625" bestFit="1" customWidth="1"/>
    <col min="12" max="12" width="3" bestFit="1" customWidth="1"/>
    <col min="13" max="13" width="4.88671875" bestFit="1" customWidth="1"/>
    <col min="14" max="14" width="4" bestFit="1" customWidth="1"/>
    <col min="15" max="15" width="5" customWidth="1"/>
    <col min="16" max="16" width="9.44140625" customWidth="1"/>
    <col min="17" max="17" width="7.88671875" customWidth="1"/>
    <col min="18" max="18" width="8" style="59" customWidth="1"/>
    <col min="19" max="19" width="6.44140625" customWidth="1"/>
    <col min="20" max="20" width="7.88671875" customWidth="1"/>
    <col min="21" max="21" width="6.88671875" customWidth="1"/>
    <col min="22" max="22" width="5.6640625" customWidth="1"/>
    <col min="23" max="24" width="8.109375" customWidth="1"/>
    <col min="25" max="25" width="6.5546875" customWidth="1"/>
    <col min="26" max="26" width="7.44140625" customWidth="1"/>
    <col min="27" max="27" width="8" customWidth="1"/>
    <col min="28" max="28" width="8.44140625" customWidth="1"/>
    <col min="29" max="29" width="9.33203125" customWidth="1"/>
    <col min="30" max="30" width="8.44140625" customWidth="1"/>
    <col min="31" max="31" width="10.44140625" customWidth="1"/>
    <col min="32" max="32" width="9" customWidth="1"/>
    <col min="33" max="33" width="6.44140625" customWidth="1"/>
    <col min="34" max="34" width="8.6640625" customWidth="1"/>
    <col min="35" max="35" width="7.44140625" customWidth="1"/>
    <col min="36" max="36" width="6.6640625" customWidth="1"/>
    <col min="37" max="37" width="8.88671875" customWidth="1"/>
    <col min="38" max="38" width="6" customWidth="1"/>
    <col min="39" max="39" width="10.5546875" customWidth="1"/>
    <col min="40" max="40" width="6.44140625" customWidth="1"/>
    <col min="41" max="41" width="8.5546875" customWidth="1"/>
  </cols>
  <sheetData>
    <row r="1" spans="1:41" x14ac:dyDescent="0.25">
      <c r="A1" s="53" t="s">
        <v>180</v>
      </c>
      <c r="D1" t="s">
        <v>3</v>
      </c>
      <c r="E1" t="s">
        <v>155</v>
      </c>
      <c r="F1" t="s">
        <v>63</v>
      </c>
      <c r="G1" t="s">
        <v>64</v>
      </c>
      <c r="H1" t="s">
        <v>65</v>
      </c>
      <c r="I1" t="s">
        <v>66</v>
      </c>
      <c r="J1" t="s">
        <v>67</v>
      </c>
      <c r="K1" t="s">
        <v>68</v>
      </c>
      <c r="L1" t="s">
        <v>69</v>
      </c>
      <c r="M1" t="s">
        <v>24</v>
      </c>
      <c r="N1" t="s">
        <v>156</v>
      </c>
      <c r="O1" t="s">
        <v>50</v>
      </c>
      <c r="P1" s="25" t="s">
        <v>55</v>
      </c>
      <c r="Q1" s="25" t="s">
        <v>108</v>
      </c>
      <c r="R1" s="61" t="s">
        <v>122</v>
      </c>
      <c r="S1" s="25" t="s">
        <v>123</v>
      </c>
      <c r="T1" s="25" t="s">
        <v>124</v>
      </c>
      <c r="U1" s="25" t="s">
        <v>28</v>
      </c>
      <c r="V1" s="25" t="s">
        <v>126</v>
      </c>
      <c r="W1" s="25" t="s">
        <v>161</v>
      </c>
      <c r="X1" s="25" t="s">
        <v>160</v>
      </c>
      <c r="Y1" s="25" t="s">
        <v>31</v>
      </c>
      <c r="Z1" s="25" t="s">
        <v>162</v>
      </c>
      <c r="AA1" s="25" t="s">
        <v>98</v>
      </c>
      <c r="AB1" s="25" t="s">
        <v>141</v>
      </c>
      <c r="AC1" s="25" t="s">
        <v>128</v>
      </c>
      <c r="AD1" s="25" t="s">
        <v>26</v>
      </c>
      <c r="AE1" s="25" t="s">
        <v>129</v>
      </c>
      <c r="AF1" s="25" t="s">
        <v>27</v>
      </c>
      <c r="AG1" s="25" t="s">
        <v>163</v>
      </c>
      <c r="AH1" s="25" t="s">
        <v>58</v>
      </c>
      <c r="AI1" s="25" t="s">
        <v>39</v>
      </c>
      <c r="AJ1" s="25" t="s">
        <v>100</v>
      </c>
      <c r="AK1" s="25" t="s">
        <v>133</v>
      </c>
      <c r="AL1" s="25" t="s">
        <v>31</v>
      </c>
      <c r="AM1" s="25" t="s">
        <v>157</v>
      </c>
      <c r="AN1" s="25" t="s">
        <v>150</v>
      </c>
      <c r="AO1" s="25" t="s">
        <v>151</v>
      </c>
    </row>
    <row r="2" spans="1:41" x14ac:dyDescent="0.25">
      <c r="A2" s="53" t="s">
        <v>181</v>
      </c>
      <c r="D2" t="s">
        <v>11</v>
      </c>
      <c r="P2" s="25"/>
      <c r="Q2" s="25"/>
      <c r="R2" s="61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</row>
    <row r="3" spans="1:41" x14ac:dyDescent="0.25">
      <c r="A3" s="53" t="s">
        <v>179</v>
      </c>
      <c r="D3" t="s">
        <v>11</v>
      </c>
      <c r="E3">
        <v>4</v>
      </c>
      <c r="P3" s="25"/>
      <c r="Q3" s="25"/>
      <c r="R3" s="61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1" x14ac:dyDescent="0.25">
      <c r="A4" s="53" t="s">
        <v>57</v>
      </c>
      <c r="D4" t="s">
        <v>11</v>
      </c>
      <c r="E4">
        <v>11</v>
      </c>
      <c r="P4" s="25"/>
      <c r="Q4" s="25"/>
      <c r="R4" s="61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1" x14ac:dyDescent="0.25">
      <c r="A5" s="53" t="s">
        <v>174</v>
      </c>
      <c r="D5" t="s">
        <v>11</v>
      </c>
      <c r="E5">
        <v>18</v>
      </c>
      <c r="P5" s="25"/>
      <c r="Q5" s="25"/>
      <c r="R5" s="61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x14ac:dyDescent="0.25">
      <c r="D6" t="s">
        <v>11</v>
      </c>
      <c r="E6">
        <v>25</v>
      </c>
      <c r="P6" s="25"/>
      <c r="Q6" s="25"/>
      <c r="R6" s="61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</row>
    <row r="7" spans="1:41" x14ac:dyDescent="0.25">
      <c r="A7" t="s">
        <v>48</v>
      </c>
      <c r="D7" t="s">
        <v>32</v>
      </c>
      <c r="P7" s="25"/>
      <c r="Q7" s="25"/>
      <c r="R7" s="61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x14ac:dyDescent="0.25">
      <c r="A8" s="53"/>
      <c r="P8" s="25"/>
      <c r="Q8" s="25"/>
      <c r="R8" s="61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</row>
    <row r="9" spans="1:41" x14ac:dyDescent="0.25">
      <c r="A9" t="s">
        <v>49</v>
      </c>
      <c r="D9" t="s">
        <v>12</v>
      </c>
      <c r="E9">
        <v>1</v>
      </c>
      <c r="P9" s="25">
        <f>31.67*O9</f>
        <v>0</v>
      </c>
      <c r="Q9" s="25">
        <f>13%*P9</f>
        <v>0</v>
      </c>
      <c r="R9" s="61">
        <f>P9+Q9</f>
        <v>0</v>
      </c>
      <c r="S9" s="25">
        <f>1.93*O9</f>
        <v>0</v>
      </c>
      <c r="T9" s="25">
        <f>R9+S9</f>
        <v>0</v>
      </c>
      <c r="U9" s="25"/>
      <c r="V9" s="25"/>
      <c r="W9" s="25">
        <f>R9*1.47%</f>
        <v>0</v>
      </c>
      <c r="X9" s="25"/>
      <c r="Y9" s="25">
        <f>R9*0.559%</f>
        <v>0</v>
      </c>
      <c r="Z9" s="25">
        <f>0.75%*R9</f>
        <v>0</v>
      </c>
      <c r="AA9" s="25"/>
      <c r="AB9" s="25">
        <f>1.7*O9</f>
        <v>0</v>
      </c>
      <c r="AC9" s="25">
        <f>R9-Z9-AA9-AB9</f>
        <v>0</v>
      </c>
      <c r="AD9" s="25"/>
      <c r="AE9" s="25">
        <f>T9-AB9</f>
        <v>0</v>
      </c>
      <c r="AF9" s="25"/>
      <c r="AG9" s="25">
        <f>Q9</f>
        <v>0</v>
      </c>
      <c r="AH9" s="25">
        <f>U9+W9+Y9+Z9+AA9+AB9+AD9+AF9+AG9</f>
        <v>0</v>
      </c>
      <c r="AI9" s="25">
        <f>R9-AH9</f>
        <v>0</v>
      </c>
      <c r="AJ9" s="25">
        <f>0.6*O9</f>
        <v>0</v>
      </c>
      <c r="AK9" s="25">
        <f>AI9+AJ9</f>
        <v>0</v>
      </c>
      <c r="AL9" s="25">
        <f>R9*0.782%</f>
        <v>0</v>
      </c>
      <c r="AM9" s="25">
        <f>5.755*O9</f>
        <v>0</v>
      </c>
      <c r="AN9" s="25">
        <f>1.95*O9</f>
        <v>0</v>
      </c>
      <c r="AO9" s="25">
        <f>0.02*O9</f>
        <v>0</v>
      </c>
    </row>
    <row r="10" spans="1:41" x14ac:dyDescent="0.25">
      <c r="A10" s="53"/>
      <c r="D10" t="s">
        <v>12</v>
      </c>
      <c r="E10">
        <v>8</v>
      </c>
      <c r="P10" s="25">
        <f>31.67*O10</f>
        <v>0</v>
      </c>
      <c r="Q10" s="25">
        <f>13%*P10</f>
        <v>0</v>
      </c>
      <c r="R10" s="61">
        <f>P10+Q10</f>
        <v>0</v>
      </c>
      <c r="S10" s="25">
        <f>1.93*O10</f>
        <v>0</v>
      </c>
      <c r="T10" s="25">
        <f>R10+S10</f>
        <v>0</v>
      </c>
      <c r="U10" s="25"/>
      <c r="V10" s="25"/>
      <c r="W10" s="25">
        <f>R10*1.47%</f>
        <v>0</v>
      </c>
      <c r="X10" s="25"/>
      <c r="Y10" s="25">
        <f>R10*0.559%</f>
        <v>0</v>
      </c>
      <c r="Z10" s="25">
        <f>0.75%*R10</f>
        <v>0</v>
      </c>
      <c r="AA10" s="25"/>
      <c r="AB10" s="25">
        <f>1.7*O10</f>
        <v>0</v>
      </c>
      <c r="AC10" s="25">
        <f>R10-Z10-AA10-AB10</f>
        <v>0</v>
      </c>
      <c r="AD10" s="25"/>
      <c r="AE10" s="25">
        <f>T10-AB10</f>
        <v>0</v>
      </c>
      <c r="AF10" s="25"/>
      <c r="AG10" s="25">
        <f>Q10</f>
        <v>0</v>
      </c>
      <c r="AH10" s="25">
        <f>U10+W10+Y10+Z10+AA10+AB10+AD10+AF10+AG10</f>
        <v>0</v>
      </c>
      <c r="AI10" s="25">
        <f>R10-AH10</f>
        <v>0</v>
      </c>
      <c r="AJ10" s="25">
        <f>0.6*O10</f>
        <v>0</v>
      </c>
      <c r="AK10" s="25">
        <f>AI10+AJ10</f>
        <v>0</v>
      </c>
      <c r="AL10" s="25">
        <f>R10*0.782%</f>
        <v>0</v>
      </c>
      <c r="AM10" s="25">
        <f t="shared" ref="AM10:AM12" si="0">5.755*O10</f>
        <v>0</v>
      </c>
      <c r="AN10" s="25">
        <f t="shared" ref="AN10:AN12" si="1">1.95*O10</f>
        <v>0</v>
      </c>
      <c r="AO10" s="25">
        <f t="shared" ref="AO10:AO12" si="2">0.02*O10</f>
        <v>0</v>
      </c>
    </row>
    <row r="11" spans="1:41" x14ac:dyDescent="0.25">
      <c r="A11" t="s">
        <v>121</v>
      </c>
      <c r="D11" t="s">
        <v>12</v>
      </c>
      <c r="E11">
        <v>15</v>
      </c>
      <c r="P11" s="25">
        <f>31.67*O11</f>
        <v>0</v>
      </c>
      <c r="Q11" s="25">
        <f>13%*P11</f>
        <v>0</v>
      </c>
      <c r="R11" s="61">
        <f>P11+Q11</f>
        <v>0</v>
      </c>
      <c r="S11" s="25">
        <f>1.93*O11</f>
        <v>0</v>
      </c>
      <c r="T11" s="25">
        <f>R11+S11</f>
        <v>0</v>
      </c>
      <c r="U11" s="25"/>
      <c r="V11" s="25"/>
      <c r="W11" s="25">
        <f>R11*1.47%</f>
        <v>0</v>
      </c>
      <c r="X11" s="25"/>
      <c r="Y11" s="25">
        <f>R11*0.559%</f>
        <v>0</v>
      </c>
      <c r="Z11" s="25">
        <f>0.75%*R11</f>
        <v>0</v>
      </c>
      <c r="AA11" s="25"/>
      <c r="AB11" s="25">
        <f>1.7*O11</f>
        <v>0</v>
      </c>
      <c r="AC11" s="25">
        <f>R11-Z11-AA11-AB11</f>
        <v>0</v>
      </c>
      <c r="AD11" s="25"/>
      <c r="AE11" s="25">
        <f>T11-AB11</f>
        <v>0</v>
      </c>
      <c r="AF11" s="25"/>
      <c r="AG11" s="25">
        <f>Q11</f>
        <v>0</v>
      </c>
      <c r="AH11" s="25">
        <f>U11+W11+Y11+Z11+AA11+AB11+AD11+AF11+AG11</f>
        <v>0</v>
      </c>
      <c r="AI11" s="25">
        <f>R11-AH11</f>
        <v>0</v>
      </c>
      <c r="AJ11" s="25">
        <f>0.6*O11</f>
        <v>0</v>
      </c>
      <c r="AK11" s="25">
        <f>AI11+AJ11</f>
        <v>0</v>
      </c>
      <c r="AL11" s="25">
        <f>R11*0.782%</f>
        <v>0</v>
      </c>
      <c r="AM11" s="25">
        <f t="shared" si="0"/>
        <v>0</v>
      </c>
      <c r="AN11" s="25">
        <f t="shared" si="1"/>
        <v>0</v>
      </c>
      <c r="AO11" s="25">
        <f t="shared" si="2"/>
        <v>0</v>
      </c>
    </row>
    <row r="12" spans="1:41" x14ac:dyDescent="0.25">
      <c r="A12" t="s">
        <v>168</v>
      </c>
      <c r="D12" t="s">
        <v>12</v>
      </c>
      <c r="E12">
        <v>22</v>
      </c>
      <c r="P12" s="25">
        <f>31.67*O12</f>
        <v>0</v>
      </c>
      <c r="Q12" s="25">
        <f>13%*P12</f>
        <v>0</v>
      </c>
      <c r="R12" s="61">
        <f>P12+Q12</f>
        <v>0</v>
      </c>
      <c r="S12" s="25">
        <f>1.93*O12</f>
        <v>0</v>
      </c>
      <c r="T12" s="25">
        <f>R12+S12</f>
        <v>0</v>
      </c>
      <c r="U12" s="25"/>
      <c r="V12" s="25"/>
      <c r="W12" s="25">
        <f>R12*1.47%</f>
        <v>0</v>
      </c>
      <c r="X12" s="25"/>
      <c r="Y12" s="25">
        <f>R12*0.559%</f>
        <v>0</v>
      </c>
      <c r="Z12" s="25">
        <f>0.75%*R12</f>
        <v>0</v>
      </c>
      <c r="AA12" s="25"/>
      <c r="AB12" s="25">
        <f>1.7*O12</f>
        <v>0</v>
      </c>
      <c r="AC12" s="25">
        <f>R12-Z12-AA12-AB12</f>
        <v>0</v>
      </c>
      <c r="AD12" s="25"/>
      <c r="AE12" s="25">
        <f>T12-AB12</f>
        <v>0</v>
      </c>
      <c r="AF12" s="25"/>
      <c r="AG12" s="25">
        <f>Q12</f>
        <v>0</v>
      </c>
      <c r="AH12" s="25">
        <f>U12+W12+Y12+Z12+AA12+AB12+AD12+AF12+AG12</f>
        <v>0</v>
      </c>
      <c r="AI12" s="25">
        <f>R12-AH12</f>
        <v>0</v>
      </c>
      <c r="AJ12" s="25">
        <f>0.6*O12</f>
        <v>0</v>
      </c>
      <c r="AK12" s="25">
        <f>AI12+AJ12</f>
        <v>0</v>
      </c>
      <c r="AL12" s="25">
        <f>R12*0.782%</f>
        <v>0</v>
      </c>
      <c r="AM12" s="25">
        <f t="shared" si="0"/>
        <v>0</v>
      </c>
      <c r="AN12" s="25">
        <f t="shared" si="1"/>
        <v>0</v>
      </c>
      <c r="AO12" s="25">
        <f t="shared" si="2"/>
        <v>0</v>
      </c>
    </row>
    <row r="13" spans="1:41" x14ac:dyDescent="0.25">
      <c r="A13" t="s">
        <v>0</v>
      </c>
      <c r="D13" t="s">
        <v>32</v>
      </c>
      <c r="O13">
        <f>SUM(O9:O12)</f>
        <v>0</v>
      </c>
      <c r="P13" s="25">
        <f t="shared" ref="P13:AK13" si="3">SUM(P9:P12)</f>
        <v>0</v>
      </c>
      <c r="Q13" s="25">
        <f t="shared" si="3"/>
        <v>0</v>
      </c>
      <c r="R13" s="61">
        <f t="shared" si="3"/>
        <v>0</v>
      </c>
      <c r="S13" s="25">
        <f t="shared" si="3"/>
        <v>0</v>
      </c>
      <c r="T13" s="25">
        <f t="shared" si="3"/>
        <v>0</v>
      </c>
      <c r="U13" s="25">
        <f t="shared" si="3"/>
        <v>0</v>
      </c>
      <c r="V13" s="25">
        <f t="shared" si="3"/>
        <v>0</v>
      </c>
      <c r="W13" s="25">
        <f t="shared" si="3"/>
        <v>0</v>
      </c>
      <c r="X13" s="25">
        <f t="shared" si="3"/>
        <v>0</v>
      </c>
      <c r="Y13" s="25">
        <f t="shared" si="3"/>
        <v>0</v>
      </c>
      <c r="Z13" s="25">
        <f t="shared" si="3"/>
        <v>0</v>
      </c>
      <c r="AA13" s="25">
        <f t="shared" si="3"/>
        <v>0</v>
      </c>
      <c r="AB13" s="25">
        <f t="shared" si="3"/>
        <v>0</v>
      </c>
      <c r="AC13" s="25">
        <f t="shared" si="3"/>
        <v>0</v>
      </c>
      <c r="AD13" s="25">
        <f t="shared" si="3"/>
        <v>0</v>
      </c>
      <c r="AE13" s="25">
        <f t="shared" si="3"/>
        <v>0</v>
      </c>
      <c r="AF13" s="25">
        <f t="shared" si="3"/>
        <v>0</v>
      </c>
      <c r="AG13" s="25">
        <f t="shared" si="3"/>
        <v>0</v>
      </c>
      <c r="AH13" s="25">
        <f t="shared" si="3"/>
        <v>0</v>
      </c>
      <c r="AI13" s="25">
        <f t="shared" si="3"/>
        <v>0</v>
      </c>
      <c r="AJ13" s="25">
        <f t="shared" si="3"/>
        <v>0</v>
      </c>
      <c r="AK13" s="25">
        <f t="shared" si="3"/>
        <v>0</v>
      </c>
      <c r="AL13" s="25">
        <f>SUM(AL9:AL12)</f>
        <v>0</v>
      </c>
      <c r="AM13" s="25">
        <f t="shared" ref="AM13:AO13" si="4">SUM(AM9:AM12)</f>
        <v>0</v>
      </c>
      <c r="AN13" s="25">
        <f t="shared" si="4"/>
        <v>0</v>
      </c>
      <c r="AO13" s="25">
        <f t="shared" si="4"/>
        <v>0</v>
      </c>
    </row>
    <row r="14" spans="1:41" x14ac:dyDescent="0.25">
      <c r="A14" t="s">
        <v>1</v>
      </c>
      <c r="P14" s="25"/>
      <c r="Q14" s="25"/>
      <c r="R14" s="61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</row>
    <row r="15" spans="1:41" x14ac:dyDescent="0.25">
      <c r="D15" t="s">
        <v>13</v>
      </c>
      <c r="E15">
        <v>1</v>
      </c>
      <c r="P15" s="25">
        <f>O15*31.67</f>
        <v>0</v>
      </c>
      <c r="Q15" s="25">
        <f>P15*13%</f>
        <v>0</v>
      </c>
      <c r="R15" s="61">
        <f>P15+Q15</f>
        <v>0</v>
      </c>
      <c r="S15" s="25">
        <f>1.93*O15</f>
        <v>0</v>
      </c>
      <c r="T15" s="25">
        <f>R15+S15</f>
        <v>0</v>
      </c>
      <c r="U15" s="25"/>
      <c r="V15" s="25"/>
      <c r="W15" s="25">
        <f>R15*1.47%</f>
        <v>0</v>
      </c>
      <c r="X15" s="25"/>
      <c r="Y15" s="25">
        <f>R15*0.559%</f>
        <v>0</v>
      </c>
      <c r="Z15" s="25">
        <f>R15*0.75%</f>
        <v>0</v>
      </c>
      <c r="AA15" s="25"/>
      <c r="AB15" s="25">
        <f>1.7*O15</f>
        <v>0</v>
      </c>
      <c r="AC15" s="25">
        <f>R15-Z15-AA15-AB15</f>
        <v>0</v>
      </c>
      <c r="AD15" s="25"/>
      <c r="AE15" s="25">
        <f>T15-AB15</f>
        <v>0</v>
      </c>
      <c r="AF15" s="25"/>
      <c r="AG15" s="25">
        <f>Q15</f>
        <v>0</v>
      </c>
      <c r="AH15" s="25">
        <f>U15+W15+Y15+Z15+AA15+AB15+AD15+AF15+AG15</f>
        <v>0</v>
      </c>
      <c r="AI15" s="25">
        <f>R15-AH15</f>
        <v>0</v>
      </c>
      <c r="AJ15" s="25">
        <f>0.6*O15</f>
        <v>0</v>
      </c>
      <c r="AK15" s="25">
        <f>AI15+AJ15</f>
        <v>0</v>
      </c>
      <c r="AL15" s="25">
        <f>R15*0.782%</f>
        <v>0</v>
      </c>
      <c r="AM15" s="25">
        <f>5.755*O15</f>
        <v>0</v>
      </c>
      <c r="AN15" s="25">
        <f>1.95*O15</f>
        <v>0</v>
      </c>
      <c r="AO15" s="25">
        <f>0.02*O15</f>
        <v>0</v>
      </c>
    </row>
    <row r="16" spans="1:41" x14ac:dyDescent="0.25">
      <c r="D16" t="s">
        <v>13</v>
      </c>
      <c r="E16">
        <v>8</v>
      </c>
      <c r="P16" s="25">
        <f>O16*31.67</f>
        <v>0</v>
      </c>
      <c r="Q16" s="25">
        <f>P16*13%</f>
        <v>0</v>
      </c>
      <c r="R16" s="61">
        <f>P16+Q16</f>
        <v>0</v>
      </c>
      <c r="S16" s="25">
        <f>1.93*O16</f>
        <v>0</v>
      </c>
      <c r="T16" s="25">
        <f>R16+S16</f>
        <v>0</v>
      </c>
      <c r="U16" s="25"/>
      <c r="V16" s="25"/>
      <c r="W16" s="25">
        <f>R16*1.47%</f>
        <v>0</v>
      </c>
      <c r="X16" s="25"/>
      <c r="Y16" s="25">
        <f>R16*0.559%</f>
        <v>0</v>
      </c>
      <c r="Z16" s="25">
        <f>R16*0.75%</f>
        <v>0</v>
      </c>
      <c r="AA16" s="25"/>
      <c r="AB16" s="25">
        <f>1.7*O16</f>
        <v>0</v>
      </c>
      <c r="AC16" s="25">
        <f>R16-Z16-AA16-AB16</f>
        <v>0</v>
      </c>
      <c r="AD16" s="25"/>
      <c r="AE16" s="25">
        <f>T16-AB16</f>
        <v>0</v>
      </c>
      <c r="AF16" s="25"/>
      <c r="AG16" s="25">
        <f>Q16</f>
        <v>0</v>
      </c>
      <c r="AH16" s="25">
        <f>U16+W16+Y16+Z16+AA16+AB16+AD16+AF16+AG16</f>
        <v>0</v>
      </c>
      <c r="AI16" s="25">
        <f>R16-AH16</f>
        <v>0</v>
      </c>
      <c r="AJ16" s="25">
        <f>0.6*O16</f>
        <v>0</v>
      </c>
      <c r="AK16" s="25">
        <f>AI16+AJ16</f>
        <v>0</v>
      </c>
      <c r="AL16" s="25">
        <f>R16*0.782%</f>
        <v>0</v>
      </c>
      <c r="AM16" s="25">
        <f>5.755*O16</f>
        <v>0</v>
      </c>
      <c r="AN16" s="25">
        <f>1.95*O16</f>
        <v>0</v>
      </c>
      <c r="AO16" s="25">
        <f>0.02*O16</f>
        <v>0</v>
      </c>
    </row>
    <row r="17" spans="1:41" x14ac:dyDescent="0.25">
      <c r="A17" s="53" t="s">
        <v>175</v>
      </c>
      <c r="D17" t="s">
        <v>13</v>
      </c>
      <c r="E17">
        <v>15</v>
      </c>
      <c r="P17" s="25">
        <f>O17*31.67</f>
        <v>0</v>
      </c>
      <c r="Q17" s="25">
        <f>P17*13%</f>
        <v>0</v>
      </c>
      <c r="R17" s="61">
        <f>P17+Q17</f>
        <v>0</v>
      </c>
      <c r="S17" s="25">
        <f>1.93*O17</f>
        <v>0</v>
      </c>
      <c r="T17" s="25">
        <f>R17+S17</f>
        <v>0</v>
      </c>
      <c r="U17" s="25"/>
      <c r="V17" s="25"/>
      <c r="W17" s="25">
        <f>R17*1.47%</f>
        <v>0</v>
      </c>
      <c r="X17" s="25"/>
      <c r="Y17" s="25">
        <f>R17*0.559%</f>
        <v>0</v>
      </c>
      <c r="Z17" s="25">
        <f>R17*0.75%</f>
        <v>0</v>
      </c>
      <c r="AA17" s="25"/>
      <c r="AB17" s="25">
        <f>1.7*O17</f>
        <v>0</v>
      </c>
      <c r="AC17" s="25">
        <f>R17-Z17-AA17-AB17</f>
        <v>0</v>
      </c>
      <c r="AD17" s="25"/>
      <c r="AE17" s="25">
        <f>T17-AB17</f>
        <v>0</v>
      </c>
      <c r="AF17" s="25"/>
      <c r="AG17" s="25">
        <f>Q17</f>
        <v>0</v>
      </c>
      <c r="AH17" s="25">
        <f>U17+W17+Y17+Z17+AA17+AB17+AD17+AF17+AG17</f>
        <v>0</v>
      </c>
      <c r="AI17" s="25">
        <f>R17-AH17</f>
        <v>0</v>
      </c>
      <c r="AJ17" s="25">
        <f>0.6*O17</f>
        <v>0</v>
      </c>
      <c r="AK17" s="25">
        <f>AI17+AJ17</f>
        <v>0</v>
      </c>
      <c r="AL17" s="25">
        <f>R17*0.782%</f>
        <v>0</v>
      </c>
      <c r="AM17" s="25">
        <f>5.755*O17</f>
        <v>0</v>
      </c>
      <c r="AN17" s="25">
        <f>1.95*O17</f>
        <v>0</v>
      </c>
      <c r="AO17" s="25">
        <f>0.02*O17</f>
        <v>0</v>
      </c>
    </row>
    <row r="18" spans="1:41" x14ac:dyDescent="0.25">
      <c r="A18" s="53" t="s">
        <v>61</v>
      </c>
      <c r="D18" t="s">
        <v>13</v>
      </c>
      <c r="E18">
        <v>22</v>
      </c>
      <c r="P18" s="25">
        <f>O18*31.67</f>
        <v>0</v>
      </c>
      <c r="Q18" s="25">
        <f>P18*13%</f>
        <v>0</v>
      </c>
      <c r="R18" s="61">
        <f>P18+Q18</f>
        <v>0</v>
      </c>
      <c r="S18" s="25">
        <f>1.93*O18</f>
        <v>0</v>
      </c>
      <c r="T18" s="25">
        <f t="shared" ref="T18:T19" si="5">R18+S18</f>
        <v>0</v>
      </c>
      <c r="U18" s="25"/>
      <c r="V18" s="25"/>
      <c r="W18" s="25">
        <f t="shared" ref="W18:W19" si="6">R18*1.47%</f>
        <v>0</v>
      </c>
      <c r="X18" s="25"/>
      <c r="Y18" s="25">
        <f t="shared" ref="Y18:Y19" si="7">R18*0.559%</f>
        <v>0</v>
      </c>
      <c r="Z18" s="25">
        <f t="shared" ref="Z18:Z19" si="8">R18*0.75%</f>
        <v>0</v>
      </c>
      <c r="AA18" s="25"/>
      <c r="AB18" s="25">
        <f t="shared" ref="AB18:AB19" si="9">1.7*O18</f>
        <v>0</v>
      </c>
      <c r="AC18" s="25">
        <f t="shared" ref="AC18:AC19" si="10">R18-Z18-AA18-AB18</f>
        <v>0</v>
      </c>
      <c r="AD18" s="25"/>
      <c r="AE18" s="25">
        <f t="shared" ref="AE18:AE19" si="11">T18-AB18</f>
        <v>0</v>
      </c>
      <c r="AF18" s="25"/>
      <c r="AG18" s="25">
        <f t="shared" ref="AG18:AG19" si="12">Q18</f>
        <v>0</v>
      </c>
      <c r="AH18" s="25">
        <f t="shared" ref="AH18" si="13">U18+W18+Y18+Z18+AA18+AB18+AD18+AF18+AG18</f>
        <v>0</v>
      </c>
      <c r="AI18" s="25">
        <f t="shared" ref="AI18:AI19" si="14">R18-AH18</f>
        <v>0</v>
      </c>
      <c r="AJ18" s="25">
        <f t="shared" ref="AJ18:AJ19" si="15">0.6*O18</f>
        <v>0</v>
      </c>
      <c r="AK18" s="25">
        <f t="shared" ref="AK18:AK19" si="16">AI18+AJ18</f>
        <v>0</v>
      </c>
      <c r="AL18" s="25">
        <f t="shared" ref="AL18:AL19" si="17">R18*0.782%</f>
        <v>0</v>
      </c>
      <c r="AM18" s="25">
        <f t="shared" ref="AM18:AM19" si="18">5.755*O18</f>
        <v>0</v>
      </c>
      <c r="AN18" s="25">
        <f t="shared" ref="AN18:AN19" si="19">1.95*O18</f>
        <v>0</v>
      </c>
      <c r="AO18" s="25">
        <f t="shared" ref="AO18:AO19" si="20">0.02*O18</f>
        <v>0</v>
      </c>
    </row>
    <row r="19" spans="1:41" x14ac:dyDescent="0.25">
      <c r="A19" s="53" t="s">
        <v>176</v>
      </c>
      <c r="D19" t="s">
        <v>13</v>
      </c>
      <c r="E19">
        <v>29</v>
      </c>
      <c r="P19" s="25">
        <f>O19*31.67</f>
        <v>0</v>
      </c>
      <c r="Q19" s="25">
        <f>P19*13%</f>
        <v>0</v>
      </c>
      <c r="R19" s="61">
        <f>P19+Q19</f>
        <v>0</v>
      </c>
      <c r="S19" s="25">
        <f>1.93*O19</f>
        <v>0</v>
      </c>
      <c r="T19" s="25">
        <f t="shared" si="5"/>
        <v>0</v>
      </c>
      <c r="U19" s="25"/>
      <c r="V19" s="25"/>
      <c r="W19" s="25">
        <f t="shared" si="6"/>
        <v>0</v>
      </c>
      <c r="X19" s="25"/>
      <c r="Y19" s="25">
        <f t="shared" si="7"/>
        <v>0</v>
      </c>
      <c r="Z19" s="25">
        <f t="shared" si="8"/>
        <v>0</v>
      </c>
      <c r="AA19" s="25"/>
      <c r="AB19" s="25">
        <f t="shared" si="9"/>
        <v>0</v>
      </c>
      <c r="AC19" s="25">
        <f t="shared" si="10"/>
        <v>0</v>
      </c>
      <c r="AD19" s="25"/>
      <c r="AE19" s="25">
        <f t="shared" si="11"/>
        <v>0</v>
      </c>
      <c r="AF19" s="25"/>
      <c r="AG19" s="25">
        <f t="shared" si="12"/>
        <v>0</v>
      </c>
      <c r="AH19" s="25">
        <f>U19+W19+Y19+Z19+AA19+AB19+AD19+AF19+AG19</f>
        <v>0</v>
      </c>
      <c r="AI19" s="25">
        <f t="shared" si="14"/>
        <v>0</v>
      </c>
      <c r="AJ19" s="25">
        <f t="shared" si="15"/>
        <v>0</v>
      </c>
      <c r="AK19" s="25">
        <f t="shared" si="16"/>
        <v>0</v>
      </c>
      <c r="AL19" s="25">
        <f t="shared" si="17"/>
        <v>0</v>
      </c>
      <c r="AM19" s="25">
        <f t="shared" si="18"/>
        <v>0</v>
      </c>
      <c r="AN19" s="25">
        <f t="shared" si="19"/>
        <v>0</v>
      </c>
      <c r="AO19" s="25">
        <f t="shared" si="20"/>
        <v>0</v>
      </c>
    </row>
    <row r="20" spans="1:41" x14ac:dyDescent="0.25">
      <c r="A20" t="s">
        <v>2</v>
      </c>
      <c r="D20" t="s">
        <v>32</v>
      </c>
      <c r="O20">
        <f>SUM(O15:O19)</f>
        <v>0</v>
      </c>
      <c r="P20" s="25">
        <f>SUM(P15:P19)</f>
        <v>0</v>
      </c>
      <c r="Q20" s="25">
        <f t="shared" ref="Q20:AO20" si="21">SUM(Q15:Q19)</f>
        <v>0</v>
      </c>
      <c r="R20" s="61">
        <f t="shared" si="21"/>
        <v>0</v>
      </c>
      <c r="S20" s="25">
        <f t="shared" si="21"/>
        <v>0</v>
      </c>
      <c r="T20" s="25">
        <f t="shared" si="21"/>
        <v>0</v>
      </c>
      <c r="U20" s="25">
        <f t="shared" si="21"/>
        <v>0</v>
      </c>
      <c r="V20" s="25">
        <f t="shared" si="21"/>
        <v>0</v>
      </c>
      <c r="W20" s="25">
        <f t="shared" si="21"/>
        <v>0</v>
      </c>
      <c r="X20" s="25">
        <f t="shared" si="21"/>
        <v>0</v>
      </c>
      <c r="Y20" s="25">
        <f t="shared" si="21"/>
        <v>0</v>
      </c>
      <c r="Z20" s="25">
        <f t="shared" si="21"/>
        <v>0</v>
      </c>
      <c r="AA20" s="25">
        <f t="shared" si="21"/>
        <v>0</v>
      </c>
      <c r="AB20" s="25">
        <f t="shared" si="21"/>
        <v>0</v>
      </c>
      <c r="AC20" s="25">
        <f t="shared" si="21"/>
        <v>0</v>
      </c>
      <c r="AD20" s="25">
        <f t="shared" si="21"/>
        <v>0</v>
      </c>
      <c r="AE20" s="25">
        <f t="shared" si="21"/>
        <v>0</v>
      </c>
      <c r="AF20" s="25">
        <f t="shared" si="21"/>
        <v>0</v>
      </c>
      <c r="AG20" s="25">
        <f t="shared" si="21"/>
        <v>0</v>
      </c>
      <c r="AH20" s="25">
        <f t="shared" si="21"/>
        <v>0</v>
      </c>
      <c r="AI20" s="25">
        <f t="shared" si="21"/>
        <v>0</v>
      </c>
      <c r="AJ20" s="25">
        <f t="shared" si="21"/>
        <v>0</v>
      </c>
      <c r="AK20" s="25">
        <f t="shared" si="21"/>
        <v>0</v>
      </c>
      <c r="AL20" s="25">
        <f t="shared" si="21"/>
        <v>0</v>
      </c>
      <c r="AM20" s="25">
        <f t="shared" si="21"/>
        <v>0</v>
      </c>
      <c r="AN20" s="25">
        <f t="shared" si="21"/>
        <v>0</v>
      </c>
      <c r="AO20" s="25">
        <f t="shared" si="21"/>
        <v>0</v>
      </c>
    </row>
    <row r="21" spans="1:41" x14ac:dyDescent="0.25">
      <c r="P21" s="25"/>
      <c r="Q21" s="25"/>
      <c r="R21" s="61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</row>
    <row r="22" spans="1:41" x14ac:dyDescent="0.25">
      <c r="A22" t="s">
        <v>165</v>
      </c>
      <c r="D22" t="s">
        <v>14</v>
      </c>
      <c r="E22">
        <v>7</v>
      </c>
      <c r="P22" s="25"/>
      <c r="Q22" s="25"/>
      <c r="R22" s="61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</row>
    <row r="23" spans="1:41" x14ac:dyDescent="0.25">
      <c r="A23" s="53" t="s">
        <v>169</v>
      </c>
      <c r="D23" t="s">
        <v>14</v>
      </c>
      <c r="E23">
        <v>5</v>
      </c>
      <c r="P23" s="25">
        <f>O23*31.67</f>
        <v>0</v>
      </c>
      <c r="Q23" s="25">
        <f>P23*13%</f>
        <v>0</v>
      </c>
      <c r="R23" s="61">
        <f>P23+Q23</f>
        <v>0</v>
      </c>
      <c r="S23" s="25">
        <f>1.93*O23</f>
        <v>0</v>
      </c>
      <c r="T23" s="25">
        <f>R23+S23</f>
        <v>0</v>
      </c>
      <c r="U23" s="25"/>
      <c r="V23" s="25"/>
      <c r="W23" s="25">
        <f>R23*1.47%</f>
        <v>0</v>
      </c>
      <c r="X23" s="25"/>
      <c r="Y23" s="25">
        <f>R23*0.559%</f>
        <v>0</v>
      </c>
      <c r="Z23" s="25">
        <f>R23*0.75%</f>
        <v>0</v>
      </c>
      <c r="AA23" s="25"/>
      <c r="AB23" s="25">
        <f>1.7*O23</f>
        <v>0</v>
      </c>
      <c r="AC23" s="25">
        <f>R23-Z23-AA23-AB23</f>
        <v>0</v>
      </c>
      <c r="AD23" s="25"/>
      <c r="AE23" s="25">
        <f>T23-AB23</f>
        <v>0</v>
      </c>
      <c r="AF23" s="25"/>
      <c r="AG23" s="25">
        <f>Q23</f>
        <v>0</v>
      </c>
      <c r="AH23" s="25">
        <f>U23+W23+Y23+Z23+AA23+AB23+AD23+AF23+AG23</f>
        <v>0</v>
      </c>
      <c r="AI23" s="25">
        <f>R23-AH23</f>
        <v>0</v>
      </c>
      <c r="AJ23" s="25">
        <f>0.6*O23</f>
        <v>0</v>
      </c>
      <c r="AK23" s="25">
        <f>AI23+AJ23</f>
        <v>0</v>
      </c>
      <c r="AL23" s="25">
        <f>R23*0.782%</f>
        <v>0</v>
      </c>
      <c r="AM23" s="25">
        <f>5.755*O23</f>
        <v>0</v>
      </c>
      <c r="AN23" s="25">
        <f>1.95*O23</f>
        <v>0</v>
      </c>
      <c r="AO23" s="25">
        <f>0.02*O23</f>
        <v>0</v>
      </c>
    </row>
    <row r="24" spans="1:41" x14ac:dyDescent="0.25">
      <c r="D24" t="s">
        <v>14</v>
      </c>
      <c r="E24">
        <v>12</v>
      </c>
      <c r="P24" s="25">
        <f t="shared" ref="P24:P25" si="22">O24*31.67</f>
        <v>0</v>
      </c>
      <c r="Q24" s="25">
        <f t="shared" ref="Q24:Q25" si="23">P24*13%</f>
        <v>0</v>
      </c>
      <c r="R24" s="61">
        <f t="shared" ref="R24:R25" si="24">P24+Q24</f>
        <v>0</v>
      </c>
      <c r="S24" s="25">
        <f t="shared" ref="S24:S25" si="25">1.93*O24</f>
        <v>0</v>
      </c>
      <c r="T24" s="25">
        <f t="shared" ref="T24:T25" si="26">R24+S24</f>
        <v>0</v>
      </c>
      <c r="U24" s="25"/>
      <c r="V24" s="25"/>
      <c r="W24" s="25">
        <f t="shared" ref="W24:W25" si="27">R24*1.47%</f>
        <v>0</v>
      </c>
      <c r="X24" s="25"/>
      <c r="Y24" s="25">
        <f>R24*0.559%</f>
        <v>0</v>
      </c>
      <c r="Z24" s="25">
        <f t="shared" ref="Z24:Z25" si="28">R24*0.75%</f>
        <v>0</v>
      </c>
      <c r="AA24" s="25"/>
      <c r="AB24" s="25">
        <f t="shared" ref="AB24:AB25" si="29">1.7*O24</f>
        <v>0</v>
      </c>
      <c r="AC24" s="25">
        <f t="shared" ref="AC24:AC25" si="30">R24-Z24-AA24-AB24</f>
        <v>0</v>
      </c>
      <c r="AD24" s="25"/>
      <c r="AE24" s="25">
        <f t="shared" ref="AE24:AE25" si="31">T24-AB24</f>
        <v>0</v>
      </c>
      <c r="AF24" s="25"/>
      <c r="AG24" s="25">
        <f t="shared" ref="AG24:AG25" si="32">Q24</f>
        <v>0</v>
      </c>
      <c r="AH24" s="25">
        <f t="shared" ref="AH24:AH25" si="33">U24+W24+Y24+Z24+AA24+AB24+AD24+AF24+AG24</f>
        <v>0</v>
      </c>
      <c r="AI24" s="25">
        <f t="shared" ref="AI24:AI25" si="34">R24-AH24</f>
        <v>0</v>
      </c>
      <c r="AJ24" s="25">
        <f t="shared" ref="AJ24:AJ25" si="35">0.6*O24</f>
        <v>0</v>
      </c>
      <c r="AK24" s="25">
        <f t="shared" ref="AK24:AK25" si="36">AI24+AJ24</f>
        <v>0</v>
      </c>
      <c r="AL24" s="25">
        <f t="shared" ref="AL24:AL25" si="37">R24*0.782%</f>
        <v>0</v>
      </c>
      <c r="AM24" s="25">
        <f t="shared" ref="AM24:AM25" si="38">5.755*O24</f>
        <v>0</v>
      </c>
      <c r="AN24" s="25">
        <f t="shared" ref="AN24:AN25" si="39">1.95*O24</f>
        <v>0</v>
      </c>
      <c r="AO24" s="25">
        <f t="shared" ref="AO24:AO25" si="40">0.02*O24</f>
        <v>0</v>
      </c>
    </row>
    <row r="25" spans="1:41" x14ac:dyDescent="0.25">
      <c r="D25" t="s">
        <v>14</v>
      </c>
      <c r="E25">
        <v>19</v>
      </c>
      <c r="P25" s="25">
        <f t="shared" si="22"/>
        <v>0</v>
      </c>
      <c r="Q25" s="25">
        <f t="shared" si="23"/>
        <v>0</v>
      </c>
      <c r="R25" s="61">
        <f t="shared" si="24"/>
        <v>0</v>
      </c>
      <c r="S25" s="25">
        <f t="shared" si="25"/>
        <v>0</v>
      </c>
      <c r="T25" s="25">
        <f t="shared" si="26"/>
        <v>0</v>
      </c>
      <c r="U25" s="25"/>
      <c r="V25" s="25"/>
      <c r="W25" s="25">
        <f t="shared" si="27"/>
        <v>0</v>
      </c>
      <c r="X25" s="25"/>
      <c r="Y25" s="25">
        <f>R25*0.559%</f>
        <v>0</v>
      </c>
      <c r="Z25" s="25">
        <f t="shared" si="28"/>
        <v>0</v>
      </c>
      <c r="AA25" s="25"/>
      <c r="AB25" s="25">
        <f t="shared" si="29"/>
        <v>0</v>
      </c>
      <c r="AC25" s="25">
        <f t="shared" si="30"/>
        <v>0</v>
      </c>
      <c r="AD25" s="25"/>
      <c r="AE25" s="25">
        <f t="shared" si="31"/>
        <v>0</v>
      </c>
      <c r="AF25" s="25"/>
      <c r="AG25" s="25">
        <f t="shared" si="32"/>
        <v>0</v>
      </c>
      <c r="AH25" s="25">
        <f t="shared" si="33"/>
        <v>0</v>
      </c>
      <c r="AI25" s="25">
        <f t="shared" si="34"/>
        <v>0</v>
      </c>
      <c r="AJ25" s="25">
        <f t="shared" si="35"/>
        <v>0</v>
      </c>
      <c r="AK25" s="25">
        <f t="shared" si="36"/>
        <v>0</v>
      </c>
      <c r="AL25" s="25">
        <f t="shared" si="37"/>
        <v>0</v>
      </c>
      <c r="AM25" s="25">
        <f t="shared" si="38"/>
        <v>0</v>
      </c>
      <c r="AN25" s="25">
        <f t="shared" si="39"/>
        <v>0</v>
      </c>
      <c r="AO25" s="25">
        <f t="shared" si="40"/>
        <v>0</v>
      </c>
    </row>
    <row r="26" spans="1:41" x14ac:dyDescent="0.25">
      <c r="D26" t="s">
        <v>14</v>
      </c>
      <c r="E26">
        <v>26</v>
      </c>
      <c r="P26" s="25"/>
      <c r="Q26" s="25"/>
      <c r="R26" s="61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</row>
    <row r="27" spans="1:41" x14ac:dyDescent="0.25">
      <c r="D27" t="s">
        <v>33</v>
      </c>
      <c r="O27">
        <f>SUM(O22:O26)</f>
        <v>0</v>
      </c>
      <c r="P27" s="25">
        <f>SUM(P22:P26)</f>
        <v>0</v>
      </c>
      <c r="Q27" s="25">
        <f t="shared" ref="Q27:AO27" si="41">SUM(Q22:Q26)</f>
        <v>0</v>
      </c>
      <c r="R27" s="61">
        <f t="shared" si="41"/>
        <v>0</v>
      </c>
      <c r="S27" s="25">
        <f t="shared" si="41"/>
        <v>0</v>
      </c>
      <c r="T27" s="25">
        <f t="shared" si="41"/>
        <v>0</v>
      </c>
      <c r="U27" s="25">
        <f t="shared" si="41"/>
        <v>0</v>
      </c>
      <c r="V27" s="25">
        <f t="shared" si="41"/>
        <v>0</v>
      </c>
      <c r="W27" s="25">
        <f t="shared" si="41"/>
        <v>0</v>
      </c>
      <c r="X27" s="25">
        <f t="shared" si="41"/>
        <v>0</v>
      </c>
      <c r="Y27" s="25">
        <f t="shared" si="41"/>
        <v>0</v>
      </c>
      <c r="Z27" s="25">
        <f t="shared" si="41"/>
        <v>0</v>
      </c>
      <c r="AA27" s="25">
        <f t="shared" si="41"/>
        <v>0</v>
      </c>
      <c r="AB27" s="25">
        <f t="shared" si="41"/>
        <v>0</v>
      </c>
      <c r="AC27" s="25">
        <f t="shared" si="41"/>
        <v>0</v>
      </c>
      <c r="AD27" s="25">
        <f t="shared" si="41"/>
        <v>0</v>
      </c>
      <c r="AE27" s="25">
        <f t="shared" si="41"/>
        <v>0</v>
      </c>
      <c r="AF27" s="25">
        <f t="shared" si="41"/>
        <v>0</v>
      </c>
      <c r="AG27" s="25">
        <f t="shared" si="41"/>
        <v>0</v>
      </c>
      <c r="AH27" s="25">
        <f t="shared" si="41"/>
        <v>0</v>
      </c>
      <c r="AI27" s="25">
        <f t="shared" si="41"/>
        <v>0</v>
      </c>
      <c r="AJ27" s="25">
        <f t="shared" si="41"/>
        <v>0</v>
      </c>
      <c r="AK27" s="25">
        <f t="shared" si="41"/>
        <v>0</v>
      </c>
      <c r="AL27" s="25">
        <f t="shared" si="41"/>
        <v>0</v>
      </c>
      <c r="AM27" s="25">
        <f t="shared" si="41"/>
        <v>0</v>
      </c>
      <c r="AN27" s="25">
        <f t="shared" si="41"/>
        <v>0</v>
      </c>
      <c r="AO27" s="25">
        <f t="shared" si="41"/>
        <v>0</v>
      </c>
    </row>
    <row r="28" spans="1:41" x14ac:dyDescent="0.25">
      <c r="P28" s="25"/>
      <c r="Q28" s="25"/>
      <c r="R28" s="61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</row>
    <row r="29" spans="1:41" x14ac:dyDescent="0.25">
      <c r="D29" t="s">
        <v>15</v>
      </c>
      <c r="E29">
        <v>3</v>
      </c>
      <c r="P29" s="25"/>
      <c r="Q29" s="25"/>
      <c r="R29" s="61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</row>
    <row r="30" spans="1:41" x14ac:dyDescent="0.25">
      <c r="D30" t="s">
        <v>15</v>
      </c>
      <c r="E30">
        <v>10</v>
      </c>
      <c r="P30" s="25">
        <f>32.4*O30</f>
        <v>0</v>
      </c>
      <c r="Q30" s="25">
        <f>P30*13%</f>
        <v>0</v>
      </c>
      <c r="R30" s="61">
        <f>P30+Q30</f>
        <v>0</v>
      </c>
      <c r="S30" s="25">
        <f>1.93*O30</f>
        <v>0</v>
      </c>
      <c r="T30" s="25">
        <f>R30+S30</f>
        <v>0</v>
      </c>
      <c r="U30" s="25"/>
      <c r="V30" s="25"/>
      <c r="W30" s="25">
        <f>R30*1.47%</f>
        <v>0</v>
      </c>
      <c r="X30" s="25"/>
      <c r="Y30" s="25">
        <f>R30*0.559%</f>
        <v>0</v>
      </c>
      <c r="Z30" s="25">
        <f>R30*0.75%</f>
        <v>0</v>
      </c>
      <c r="AA30" s="25"/>
      <c r="AB30" s="25">
        <f>1.7*O30</f>
        <v>0</v>
      </c>
      <c r="AC30" s="25">
        <f>R30-Z30-AA30-AB30</f>
        <v>0</v>
      </c>
      <c r="AD30" s="25"/>
      <c r="AE30" s="25">
        <f>T30-AB30</f>
        <v>0</v>
      </c>
      <c r="AF30" s="25"/>
      <c r="AG30" s="25">
        <f>Q30</f>
        <v>0</v>
      </c>
      <c r="AH30" s="25">
        <f>SUM(U30+W30+Y30+Z30+AA30+AB30+AD30+AF30+AG30)</f>
        <v>0</v>
      </c>
      <c r="AI30" s="25">
        <f>R30-AH30</f>
        <v>0</v>
      </c>
      <c r="AJ30" s="25">
        <f>0.65*O30</f>
        <v>0</v>
      </c>
      <c r="AK30" s="25">
        <f>AI30+AJ30</f>
        <v>0</v>
      </c>
      <c r="AL30" s="25">
        <f>R30*0.782%</f>
        <v>0</v>
      </c>
      <c r="AM30" s="25">
        <f>6.075*O30</f>
        <v>0</v>
      </c>
      <c r="AN30" s="25">
        <f>2*O30</f>
        <v>0</v>
      </c>
      <c r="AO30" s="25">
        <f>0.02*O30</f>
        <v>0</v>
      </c>
    </row>
    <row r="31" spans="1:41" x14ac:dyDescent="0.25">
      <c r="D31" t="s">
        <v>15</v>
      </c>
      <c r="E31">
        <v>17</v>
      </c>
      <c r="P31" s="25">
        <f t="shared" ref="P31:P33" si="42">32.4*O31</f>
        <v>0</v>
      </c>
      <c r="Q31" s="25">
        <f t="shared" ref="Q31:Q33" si="43">P31*13%</f>
        <v>0</v>
      </c>
      <c r="R31" s="61">
        <f t="shared" ref="R31:R33" si="44">P31+Q31</f>
        <v>0</v>
      </c>
      <c r="S31" s="25">
        <f t="shared" ref="S31:S33" si="45">1.93*O31</f>
        <v>0</v>
      </c>
      <c r="T31" s="25">
        <f t="shared" ref="T31:T33" si="46">R31+S31</f>
        <v>0</v>
      </c>
      <c r="U31" s="25"/>
      <c r="V31" s="25"/>
      <c r="W31" s="25">
        <f t="shared" ref="W31:W33" si="47">R31*1.47%</f>
        <v>0</v>
      </c>
      <c r="X31" s="25"/>
      <c r="Y31" s="25">
        <f t="shared" ref="Y31:Y33" si="48">R31*0.559%</f>
        <v>0</v>
      </c>
      <c r="Z31" s="25">
        <f t="shared" ref="Z31:Z33" si="49">R31*0.75%</f>
        <v>0</v>
      </c>
      <c r="AA31" s="25"/>
      <c r="AB31" s="25">
        <f t="shared" ref="AB31:AB33" si="50">1.7*O31</f>
        <v>0</v>
      </c>
      <c r="AC31" s="25">
        <f t="shared" ref="AC31:AC33" si="51">R31-Z31-AA31-AB31</f>
        <v>0</v>
      </c>
      <c r="AD31" s="25"/>
      <c r="AE31" s="25">
        <f t="shared" ref="AE31:AE33" si="52">T31-AB31</f>
        <v>0</v>
      </c>
      <c r="AF31" s="25"/>
      <c r="AG31" s="25">
        <f t="shared" ref="AG31:AG33" si="53">Q31</f>
        <v>0</v>
      </c>
      <c r="AH31" s="25">
        <f t="shared" ref="AH31:AH33" si="54">SUM(U31+W31+Y31+Z31+AA31+AB31+AD31+AF31+AG31)</f>
        <v>0</v>
      </c>
      <c r="AI31" s="25">
        <f t="shared" ref="AI31:AI33" si="55">R31-AH31</f>
        <v>0</v>
      </c>
      <c r="AJ31" s="25">
        <f t="shared" ref="AJ31:AJ33" si="56">0.65*O31</f>
        <v>0</v>
      </c>
      <c r="AK31" s="25">
        <f t="shared" ref="AK31:AK33" si="57">AI31+AJ31</f>
        <v>0</v>
      </c>
      <c r="AL31" s="25">
        <f t="shared" ref="AL31:AL33" si="58">R31*0.782%</f>
        <v>0</v>
      </c>
      <c r="AM31" s="25">
        <f t="shared" ref="AM31:AM33" si="59">6.075*O31</f>
        <v>0</v>
      </c>
      <c r="AN31" s="25">
        <f t="shared" ref="AN31:AN33" si="60">2*O31</f>
        <v>0</v>
      </c>
      <c r="AO31" s="25">
        <f t="shared" ref="AO31:AO33" si="61">0.02*O31</f>
        <v>0</v>
      </c>
    </row>
    <row r="32" spans="1:41" x14ac:dyDescent="0.25">
      <c r="D32" t="s">
        <v>15</v>
      </c>
      <c r="E32">
        <v>24</v>
      </c>
      <c r="P32" s="25">
        <f t="shared" si="42"/>
        <v>0</v>
      </c>
      <c r="Q32" s="25">
        <f t="shared" si="43"/>
        <v>0</v>
      </c>
      <c r="R32" s="61">
        <f t="shared" si="44"/>
        <v>0</v>
      </c>
      <c r="S32" s="25">
        <f t="shared" si="45"/>
        <v>0</v>
      </c>
      <c r="T32" s="25">
        <f t="shared" si="46"/>
        <v>0</v>
      </c>
      <c r="U32" s="25"/>
      <c r="V32" s="25"/>
      <c r="W32" s="25">
        <f t="shared" si="47"/>
        <v>0</v>
      </c>
      <c r="X32" s="25"/>
      <c r="Y32" s="25">
        <f t="shared" si="48"/>
        <v>0</v>
      </c>
      <c r="Z32" s="25">
        <f t="shared" si="49"/>
        <v>0</v>
      </c>
      <c r="AA32" s="25"/>
      <c r="AB32" s="25">
        <f t="shared" si="50"/>
        <v>0</v>
      </c>
      <c r="AC32" s="25">
        <f t="shared" si="51"/>
        <v>0</v>
      </c>
      <c r="AD32" s="25"/>
      <c r="AE32" s="25">
        <f t="shared" si="52"/>
        <v>0</v>
      </c>
      <c r="AF32" s="25"/>
      <c r="AG32" s="25">
        <f t="shared" si="53"/>
        <v>0</v>
      </c>
      <c r="AH32" s="25">
        <f t="shared" si="54"/>
        <v>0</v>
      </c>
      <c r="AI32" s="25">
        <f t="shared" si="55"/>
        <v>0</v>
      </c>
      <c r="AJ32" s="25">
        <f t="shared" si="56"/>
        <v>0</v>
      </c>
      <c r="AK32" s="25">
        <f t="shared" si="57"/>
        <v>0</v>
      </c>
      <c r="AL32" s="25">
        <f t="shared" si="58"/>
        <v>0</v>
      </c>
      <c r="AM32" s="25">
        <f t="shared" si="59"/>
        <v>0</v>
      </c>
      <c r="AN32" s="25">
        <f t="shared" si="60"/>
        <v>0</v>
      </c>
      <c r="AO32" s="25">
        <f t="shared" si="61"/>
        <v>0</v>
      </c>
    </row>
    <row r="33" spans="4:41" x14ac:dyDescent="0.25">
      <c r="D33" t="s">
        <v>15</v>
      </c>
      <c r="E33">
        <v>31</v>
      </c>
      <c r="P33" s="25">
        <f t="shared" si="42"/>
        <v>0</v>
      </c>
      <c r="Q33" s="25">
        <f t="shared" si="43"/>
        <v>0</v>
      </c>
      <c r="R33" s="61">
        <f t="shared" si="44"/>
        <v>0</v>
      </c>
      <c r="S33" s="25">
        <f t="shared" si="45"/>
        <v>0</v>
      </c>
      <c r="T33" s="25">
        <f t="shared" si="46"/>
        <v>0</v>
      </c>
      <c r="U33" s="25"/>
      <c r="V33" s="25"/>
      <c r="W33" s="25">
        <f t="shared" si="47"/>
        <v>0</v>
      </c>
      <c r="X33" s="25"/>
      <c r="Y33" s="25">
        <f t="shared" si="48"/>
        <v>0</v>
      </c>
      <c r="Z33" s="25">
        <f t="shared" si="49"/>
        <v>0</v>
      </c>
      <c r="AA33" s="25"/>
      <c r="AB33" s="25">
        <f t="shared" si="50"/>
        <v>0</v>
      </c>
      <c r="AC33" s="25">
        <f t="shared" si="51"/>
        <v>0</v>
      </c>
      <c r="AD33" s="25"/>
      <c r="AE33" s="25">
        <f t="shared" si="52"/>
        <v>0</v>
      </c>
      <c r="AF33" s="25"/>
      <c r="AG33" s="25">
        <f t="shared" si="53"/>
        <v>0</v>
      </c>
      <c r="AH33" s="25">
        <f t="shared" si="54"/>
        <v>0</v>
      </c>
      <c r="AI33" s="25">
        <f t="shared" si="55"/>
        <v>0</v>
      </c>
      <c r="AJ33" s="25">
        <f t="shared" si="56"/>
        <v>0</v>
      </c>
      <c r="AK33" s="25">
        <f t="shared" si="57"/>
        <v>0</v>
      </c>
      <c r="AL33" s="25">
        <f t="shared" si="58"/>
        <v>0</v>
      </c>
      <c r="AM33" s="25">
        <f t="shared" si="59"/>
        <v>0</v>
      </c>
      <c r="AN33" s="25">
        <f t="shared" si="60"/>
        <v>0</v>
      </c>
      <c r="AO33" s="25">
        <f t="shared" si="61"/>
        <v>0</v>
      </c>
    </row>
    <row r="34" spans="4:41" x14ac:dyDescent="0.25">
      <c r="D34" t="s">
        <v>33</v>
      </c>
      <c r="O34">
        <f>SUM(O29:O33)</f>
        <v>0</v>
      </c>
      <c r="P34" s="25">
        <f t="shared" ref="P34:AO34" si="62">SUM(P29:P33)</f>
        <v>0</v>
      </c>
      <c r="Q34" s="25">
        <f t="shared" si="62"/>
        <v>0</v>
      </c>
      <c r="R34" s="61">
        <f t="shared" si="62"/>
        <v>0</v>
      </c>
      <c r="S34" s="25">
        <f t="shared" si="62"/>
        <v>0</v>
      </c>
      <c r="T34" s="25">
        <f t="shared" si="62"/>
        <v>0</v>
      </c>
      <c r="U34" s="25">
        <f t="shared" si="62"/>
        <v>0</v>
      </c>
      <c r="V34" s="25">
        <f t="shared" si="62"/>
        <v>0</v>
      </c>
      <c r="W34" s="25">
        <f t="shared" si="62"/>
        <v>0</v>
      </c>
      <c r="X34" s="25">
        <f t="shared" si="62"/>
        <v>0</v>
      </c>
      <c r="Y34" s="25">
        <f t="shared" si="62"/>
        <v>0</v>
      </c>
      <c r="Z34" s="25">
        <f t="shared" si="62"/>
        <v>0</v>
      </c>
      <c r="AA34" s="25">
        <f t="shared" si="62"/>
        <v>0</v>
      </c>
      <c r="AB34" s="25">
        <f t="shared" si="62"/>
        <v>0</v>
      </c>
      <c r="AC34" s="25">
        <f t="shared" si="62"/>
        <v>0</v>
      </c>
      <c r="AD34" s="25">
        <f t="shared" si="62"/>
        <v>0</v>
      </c>
      <c r="AE34" s="25">
        <f t="shared" si="62"/>
        <v>0</v>
      </c>
      <c r="AF34" s="25">
        <f t="shared" si="62"/>
        <v>0</v>
      </c>
      <c r="AG34" s="25">
        <f t="shared" si="62"/>
        <v>0</v>
      </c>
      <c r="AH34" s="25">
        <f t="shared" si="62"/>
        <v>0</v>
      </c>
      <c r="AI34" s="25">
        <f t="shared" si="62"/>
        <v>0</v>
      </c>
      <c r="AJ34" s="25">
        <f t="shared" si="62"/>
        <v>0</v>
      </c>
      <c r="AK34" s="25">
        <f t="shared" si="62"/>
        <v>0</v>
      </c>
      <c r="AL34" s="25">
        <f t="shared" si="62"/>
        <v>0</v>
      </c>
      <c r="AM34" s="25">
        <f t="shared" si="62"/>
        <v>0</v>
      </c>
      <c r="AN34" s="25">
        <f t="shared" si="62"/>
        <v>0</v>
      </c>
      <c r="AO34" s="25">
        <f t="shared" si="62"/>
        <v>0</v>
      </c>
    </row>
    <row r="35" spans="4:41" x14ac:dyDescent="0.25">
      <c r="P35" s="25"/>
      <c r="Q35" s="25"/>
      <c r="R35" s="61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</row>
    <row r="36" spans="4:41" x14ac:dyDescent="0.25">
      <c r="D36" t="s">
        <v>16</v>
      </c>
      <c r="E36">
        <v>7</v>
      </c>
      <c r="P36" s="25"/>
      <c r="Q36" s="25"/>
      <c r="R36" s="61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</row>
    <row r="37" spans="4:41" x14ac:dyDescent="0.25">
      <c r="D37" t="s">
        <v>16</v>
      </c>
      <c r="E37">
        <v>14</v>
      </c>
      <c r="P37" s="25"/>
      <c r="Q37" s="25"/>
      <c r="R37" s="61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</row>
    <row r="38" spans="4:41" x14ac:dyDescent="0.25">
      <c r="D38" t="s">
        <v>16</v>
      </c>
      <c r="E38">
        <v>21</v>
      </c>
      <c r="P38" s="25"/>
      <c r="Q38" s="25"/>
      <c r="R38" s="61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</row>
    <row r="39" spans="4:41" x14ac:dyDescent="0.25">
      <c r="D39" t="s">
        <v>16</v>
      </c>
      <c r="E39">
        <v>28</v>
      </c>
      <c r="P39" s="25"/>
      <c r="Q39" s="25"/>
      <c r="R39" s="61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</row>
    <row r="40" spans="4:41" x14ac:dyDescent="0.25">
      <c r="D40" t="s">
        <v>137</v>
      </c>
      <c r="P40" s="25"/>
      <c r="Q40" s="25"/>
      <c r="R40" s="61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</row>
    <row r="41" spans="4:41" x14ac:dyDescent="0.25">
      <c r="D41" t="s">
        <v>33</v>
      </c>
      <c r="P41" s="25"/>
      <c r="Q41" s="25"/>
      <c r="R41" s="61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</row>
    <row r="42" spans="4:41" x14ac:dyDescent="0.25">
      <c r="P42" s="25"/>
      <c r="Q42" s="25"/>
      <c r="R42" s="61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</row>
    <row r="43" spans="4:41" x14ac:dyDescent="0.25">
      <c r="D43" t="s">
        <v>17</v>
      </c>
      <c r="P43" s="25"/>
      <c r="Q43" s="25"/>
      <c r="R43" s="61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</row>
    <row r="44" spans="4:41" x14ac:dyDescent="0.25">
      <c r="D44" t="s">
        <v>17</v>
      </c>
      <c r="E44">
        <v>5</v>
      </c>
      <c r="P44" s="25"/>
      <c r="Q44" s="25"/>
      <c r="R44" s="61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</row>
    <row r="45" spans="4:41" x14ac:dyDescent="0.25">
      <c r="D45" t="s">
        <v>17</v>
      </c>
      <c r="E45">
        <v>12</v>
      </c>
      <c r="P45" s="25"/>
      <c r="Q45" s="25"/>
      <c r="R45" s="61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</row>
    <row r="46" spans="4:41" x14ac:dyDescent="0.25">
      <c r="D46" t="s">
        <v>17</v>
      </c>
      <c r="E46">
        <v>19</v>
      </c>
      <c r="P46" s="25"/>
      <c r="Q46" s="25"/>
      <c r="R46" s="61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</row>
    <row r="47" spans="4:41" x14ac:dyDescent="0.25">
      <c r="D47" t="s">
        <v>52</v>
      </c>
      <c r="E47">
        <v>26</v>
      </c>
      <c r="P47" s="25"/>
      <c r="Q47" s="25"/>
      <c r="R47" s="61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</row>
    <row r="48" spans="4:41" x14ac:dyDescent="0.25">
      <c r="D48" t="s">
        <v>33</v>
      </c>
      <c r="P48" s="25"/>
      <c r="Q48" s="25"/>
      <c r="R48" s="61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</row>
    <row r="49" spans="4:41" x14ac:dyDescent="0.25">
      <c r="P49" s="25"/>
      <c r="Q49" s="25"/>
      <c r="R49" s="61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</row>
    <row r="50" spans="4:41" x14ac:dyDescent="0.25">
      <c r="D50" t="s">
        <v>18</v>
      </c>
      <c r="E50">
        <v>2</v>
      </c>
      <c r="P50" s="25"/>
      <c r="Q50" s="25"/>
      <c r="R50" s="61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</row>
    <row r="51" spans="4:41" x14ac:dyDescent="0.25">
      <c r="D51" t="s">
        <v>18</v>
      </c>
      <c r="E51">
        <v>9</v>
      </c>
      <c r="P51" s="25"/>
      <c r="Q51" s="25"/>
      <c r="R51" s="61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</row>
    <row r="52" spans="4:41" x14ac:dyDescent="0.25">
      <c r="D52" t="s">
        <v>18</v>
      </c>
      <c r="E52">
        <v>16</v>
      </c>
      <c r="P52" s="25"/>
      <c r="Q52" s="25"/>
      <c r="R52" s="61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</row>
    <row r="53" spans="4:41" x14ac:dyDescent="0.25">
      <c r="D53" t="s">
        <v>18</v>
      </c>
      <c r="E53">
        <v>23</v>
      </c>
      <c r="P53" s="25"/>
      <c r="Q53" s="25"/>
      <c r="R53" s="61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</row>
    <row r="54" spans="4:41" x14ac:dyDescent="0.25">
      <c r="D54" t="s">
        <v>18</v>
      </c>
      <c r="E54">
        <v>30</v>
      </c>
      <c r="P54" s="25"/>
      <c r="Q54" s="25"/>
      <c r="R54" s="61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</row>
    <row r="55" spans="4:41" x14ac:dyDescent="0.25">
      <c r="D55" t="s">
        <v>33</v>
      </c>
      <c r="P55" s="25"/>
      <c r="Q55" s="25"/>
      <c r="R55" s="61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</row>
    <row r="56" spans="4:41" x14ac:dyDescent="0.25">
      <c r="P56" s="25"/>
      <c r="Q56" s="25"/>
      <c r="R56" s="61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</row>
    <row r="57" spans="4:41" x14ac:dyDescent="0.25">
      <c r="D57" t="s">
        <v>19</v>
      </c>
      <c r="E57">
        <v>1</v>
      </c>
      <c r="P57" s="25"/>
      <c r="Q57" s="25"/>
      <c r="R57" s="61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</row>
    <row r="58" spans="4:41" x14ac:dyDescent="0.25">
      <c r="D58" t="s">
        <v>19</v>
      </c>
      <c r="E58">
        <v>6</v>
      </c>
      <c r="P58" s="25"/>
      <c r="Q58" s="25"/>
      <c r="R58" s="61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</row>
    <row r="59" spans="4:41" x14ac:dyDescent="0.25">
      <c r="D59" t="s">
        <v>19</v>
      </c>
      <c r="E59">
        <v>13</v>
      </c>
      <c r="P59" s="25">
        <f>O59*32.4</f>
        <v>0</v>
      </c>
      <c r="Q59" s="25">
        <f>P59*13%</f>
        <v>0</v>
      </c>
      <c r="R59" s="61">
        <f>P59+Q59</f>
        <v>0</v>
      </c>
      <c r="S59" s="25">
        <f>O59*1.902</f>
        <v>0</v>
      </c>
      <c r="T59" s="25">
        <f>R59+S59</f>
        <v>0</v>
      </c>
      <c r="U59" s="25"/>
      <c r="V59" s="25"/>
      <c r="W59" s="25"/>
      <c r="X59" s="25"/>
      <c r="Y59" s="25">
        <f>R59*0.559%</f>
        <v>0</v>
      </c>
      <c r="Z59" s="25">
        <f>R59*0.75%</f>
        <v>0</v>
      </c>
      <c r="AA59" s="25"/>
      <c r="AB59" s="25">
        <f>O59*1.7</f>
        <v>0</v>
      </c>
      <c r="AC59" s="25">
        <f>R59-Z59-AA59-AB59</f>
        <v>0</v>
      </c>
      <c r="AD59" s="25"/>
      <c r="AE59" s="25">
        <f>T59-AB59</f>
        <v>0</v>
      </c>
      <c r="AF59" s="25"/>
      <c r="AG59" s="25">
        <f>Q59</f>
        <v>0</v>
      </c>
      <c r="AH59" s="25">
        <f>SUM(U59+W59+Y59+Z59+AA59+AB59+AD59+AF59+AG59)</f>
        <v>0</v>
      </c>
      <c r="AI59" s="25">
        <f>R59-AH59</f>
        <v>0</v>
      </c>
      <c r="AJ59" s="25">
        <f>0.65*O59</f>
        <v>0</v>
      </c>
      <c r="AK59" s="25">
        <f>AI59+AJ59</f>
        <v>0</v>
      </c>
      <c r="AL59" s="25">
        <f>R59*0.782%</f>
        <v>0</v>
      </c>
      <c r="AM59" s="25">
        <f>6.075*O59</f>
        <v>0</v>
      </c>
      <c r="AN59" s="25">
        <f>O59*2</f>
        <v>0</v>
      </c>
      <c r="AO59" s="25">
        <f>0.02*O59</f>
        <v>0</v>
      </c>
    </row>
    <row r="60" spans="4:41" x14ac:dyDescent="0.25">
      <c r="D60" t="s">
        <v>19</v>
      </c>
      <c r="E60">
        <v>20</v>
      </c>
      <c r="P60" s="25">
        <f>O60*32.4</f>
        <v>0</v>
      </c>
      <c r="Q60" s="25">
        <f t="shared" ref="Q60:Q61" si="63">P60*13%</f>
        <v>0</v>
      </c>
      <c r="R60" s="61">
        <f>P60+Q60</f>
        <v>0</v>
      </c>
      <c r="S60" s="25">
        <f t="shared" ref="S60:S61" si="64">O60*1.902</f>
        <v>0</v>
      </c>
      <c r="T60" s="25">
        <f t="shared" ref="T60:T61" si="65">R60+S60</f>
        <v>0</v>
      </c>
      <c r="U60" s="25"/>
      <c r="V60" s="25"/>
      <c r="W60" s="25">
        <f>R60*1.47%</f>
        <v>0</v>
      </c>
      <c r="X60" s="25"/>
      <c r="Y60" s="25">
        <f t="shared" ref="Y60:Y61" si="66">R60*0.559%</f>
        <v>0</v>
      </c>
      <c r="Z60" s="25">
        <f t="shared" ref="Z60:Z61" si="67">R60*0.75%</f>
        <v>0</v>
      </c>
      <c r="AA60" s="25"/>
      <c r="AB60" s="25">
        <f>O60*1.43</f>
        <v>0</v>
      </c>
      <c r="AC60" s="25">
        <f>R60-Z60-AA60-AB60</f>
        <v>0</v>
      </c>
      <c r="AD60" s="25">
        <v>0</v>
      </c>
      <c r="AE60" s="25">
        <f>T60-AB60</f>
        <v>0</v>
      </c>
      <c r="AF60" s="25">
        <v>0</v>
      </c>
      <c r="AG60" s="25">
        <f t="shared" ref="AG60:AG61" si="68">Q60</f>
        <v>0</v>
      </c>
      <c r="AH60" s="25">
        <f>SUM(U60+W60+Y60+Z60+AA60+AB60+AD60+AF60+AG60)</f>
        <v>0</v>
      </c>
      <c r="AI60" s="25">
        <f t="shared" ref="AI60" si="69">R60-AH60</f>
        <v>0</v>
      </c>
      <c r="AJ60" s="25">
        <f t="shared" ref="AJ60:AJ61" si="70">0.65*O60</f>
        <v>0</v>
      </c>
      <c r="AK60" s="25">
        <f t="shared" ref="AK60:AK61" si="71">AI60+AJ60</f>
        <v>0</v>
      </c>
      <c r="AL60" s="25">
        <f t="shared" ref="AL60:AL61" si="72">R60*0.782%</f>
        <v>0</v>
      </c>
      <c r="AM60" s="25">
        <f>5.335*O60</f>
        <v>0</v>
      </c>
      <c r="AN60" s="25">
        <f t="shared" ref="AN60:AN61" si="73">O60*2</f>
        <v>0</v>
      </c>
      <c r="AO60" s="25">
        <f t="shared" ref="AO60:AO61" si="74">0.02*O60</f>
        <v>0</v>
      </c>
    </row>
    <row r="61" spans="4:41" x14ac:dyDescent="0.25">
      <c r="D61" t="s">
        <v>19</v>
      </c>
      <c r="E61">
        <v>27</v>
      </c>
      <c r="P61" s="25">
        <f t="shared" ref="P61" si="75">O61*32.4</f>
        <v>0</v>
      </c>
      <c r="Q61" s="25">
        <f t="shared" si="63"/>
        <v>0</v>
      </c>
      <c r="R61" s="61">
        <f t="shared" ref="R61" si="76">P61+Q61</f>
        <v>0</v>
      </c>
      <c r="S61" s="25">
        <f t="shared" si="64"/>
        <v>0</v>
      </c>
      <c r="T61" s="25">
        <f t="shared" si="65"/>
        <v>0</v>
      </c>
      <c r="U61" s="25"/>
      <c r="V61" s="25"/>
      <c r="W61" s="25">
        <f>R61*1.47%</f>
        <v>0</v>
      </c>
      <c r="X61" s="25"/>
      <c r="Y61" s="25">
        <f t="shared" si="66"/>
        <v>0</v>
      </c>
      <c r="Z61" s="25">
        <f t="shared" si="67"/>
        <v>0</v>
      </c>
      <c r="AA61" s="25"/>
      <c r="AB61" s="25">
        <f t="shared" ref="AB61" si="77">O61*1.7</f>
        <v>0</v>
      </c>
      <c r="AC61" s="25">
        <f>R61-Z61-AA61-AB61</f>
        <v>0</v>
      </c>
      <c r="AD61" s="25"/>
      <c r="AE61" s="25">
        <f>T61-AB61</f>
        <v>0</v>
      </c>
      <c r="AF61" s="25"/>
      <c r="AG61" s="25">
        <f t="shared" si="68"/>
        <v>0</v>
      </c>
      <c r="AH61" s="25">
        <f>SUM(U61+W61+Y61+Z61+AA61+AB61+AD61+AF61+AG61)</f>
        <v>0</v>
      </c>
      <c r="AI61" s="25">
        <f>R61-AH61</f>
        <v>0</v>
      </c>
      <c r="AJ61" s="25">
        <f t="shared" si="70"/>
        <v>0</v>
      </c>
      <c r="AK61" s="25">
        <f t="shared" si="71"/>
        <v>0</v>
      </c>
      <c r="AL61" s="25">
        <f t="shared" si="72"/>
        <v>0</v>
      </c>
      <c r="AM61" s="25">
        <f>6.075*O61</f>
        <v>0</v>
      </c>
      <c r="AN61" s="25">
        <f t="shared" si="73"/>
        <v>0</v>
      </c>
      <c r="AO61" s="25">
        <f t="shared" si="74"/>
        <v>0</v>
      </c>
    </row>
    <row r="62" spans="4:41" x14ac:dyDescent="0.25">
      <c r="D62" t="s">
        <v>33</v>
      </c>
      <c r="O62" s="4">
        <f>SUM(O57:O61)</f>
        <v>0</v>
      </c>
      <c r="P62" s="13">
        <f>SUM(P57:P61)</f>
        <v>0</v>
      </c>
      <c r="Q62" s="13">
        <f t="shared" ref="Q62:AO62" si="78">SUM(Q57:Q61)</f>
        <v>0</v>
      </c>
      <c r="R62" s="62">
        <f t="shared" si="78"/>
        <v>0</v>
      </c>
      <c r="S62" s="13">
        <f t="shared" si="78"/>
        <v>0</v>
      </c>
      <c r="T62" s="13">
        <f t="shared" si="78"/>
        <v>0</v>
      </c>
      <c r="U62" s="13">
        <f t="shared" si="78"/>
        <v>0</v>
      </c>
      <c r="V62" s="13">
        <f t="shared" si="78"/>
        <v>0</v>
      </c>
      <c r="W62" s="13">
        <f t="shared" si="78"/>
        <v>0</v>
      </c>
      <c r="X62" s="13">
        <f t="shared" si="78"/>
        <v>0</v>
      </c>
      <c r="Y62" s="13">
        <f t="shared" si="78"/>
        <v>0</v>
      </c>
      <c r="Z62" s="13">
        <f t="shared" si="78"/>
        <v>0</v>
      </c>
      <c r="AA62" s="13">
        <f t="shared" si="78"/>
        <v>0</v>
      </c>
      <c r="AB62" s="13">
        <f t="shared" si="78"/>
        <v>0</v>
      </c>
      <c r="AC62" s="13">
        <f t="shared" si="78"/>
        <v>0</v>
      </c>
      <c r="AD62" s="13">
        <f t="shared" si="78"/>
        <v>0</v>
      </c>
      <c r="AE62" s="13">
        <f t="shared" si="78"/>
        <v>0</v>
      </c>
      <c r="AF62" s="13">
        <f t="shared" si="78"/>
        <v>0</v>
      </c>
      <c r="AG62" s="13">
        <f t="shared" si="78"/>
        <v>0</v>
      </c>
      <c r="AH62" s="13">
        <f t="shared" si="78"/>
        <v>0</v>
      </c>
      <c r="AI62" s="13">
        <f t="shared" si="78"/>
        <v>0</v>
      </c>
      <c r="AJ62" s="13">
        <f t="shared" si="78"/>
        <v>0</v>
      </c>
      <c r="AK62" s="13">
        <f t="shared" si="78"/>
        <v>0</v>
      </c>
      <c r="AL62" s="13">
        <f t="shared" si="78"/>
        <v>0</v>
      </c>
      <c r="AM62" s="13">
        <f t="shared" si="78"/>
        <v>0</v>
      </c>
      <c r="AN62" s="13">
        <f t="shared" si="78"/>
        <v>0</v>
      </c>
      <c r="AO62" s="13">
        <f t="shared" si="78"/>
        <v>0</v>
      </c>
    </row>
    <row r="63" spans="4:41" x14ac:dyDescent="0.25">
      <c r="P63" s="25"/>
      <c r="Q63" s="25"/>
      <c r="R63" s="61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</row>
    <row r="64" spans="4:41" x14ac:dyDescent="0.25">
      <c r="D64" t="s">
        <v>20</v>
      </c>
      <c r="P64" s="25"/>
      <c r="Q64" s="25"/>
      <c r="R64" s="61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</row>
    <row r="65" spans="4:46" x14ac:dyDescent="0.25">
      <c r="D65" t="s">
        <v>20</v>
      </c>
      <c r="E65">
        <v>4</v>
      </c>
      <c r="P65" s="25">
        <f>32.4*O65</f>
        <v>0</v>
      </c>
      <c r="Q65" s="25">
        <f>P65*13%</f>
        <v>0</v>
      </c>
      <c r="R65" s="61">
        <f>P65+Q65</f>
        <v>0</v>
      </c>
      <c r="S65" s="25">
        <f>1.902*O65</f>
        <v>0</v>
      </c>
      <c r="T65" s="25">
        <f>R65+S65</f>
        <v>0</v>
      </c>
      <c r="U65" s="25"/>
      <c r="V65" s="25"/>
      <c r="W65" s="25">
        <f>R65*1.47%</f>
        <v>0</v>
      </c>
      <c r="X65" s="25"/>
      <c r="Y65" s="25">
        <f>R65*0.559%</f>
        <v>0</v>
      </c>
      <c r="Z65" s="25">
        <f>R65*0.75%</f>
        <v>0</v>
      </c>
      <c r="AA65" s="25"/>
      <c r="AB65" s="25">
        <f>1.7*O65</f>
        <v>0</v>
      </c>
      <c r="AC65" s="25">
        <f>R65-Z65-AA65-AB65</f>
        <v>0</v>
      </c>
      <c r="AD65" s="25"/>
      <c r="AE65" s="25">
        <f>T65-AB65</f>
        <v>0</v>
      </c>
      <c r="AF65" s="25"/>
      <c r="AG65" s="25">
        <f>Q65</f>
        <v>0</v>
      </c>
      <c r="AH65" s="25">
        <f>SUM(U65+W65+Y65+Z65+AA65+AB65+AD65+AF65+AG65)</f>
        <v>0</v>
      </c>
      <c r="AI65" s="25">
        <f>R65-AH65</f>
        <v>0</v>
      </c>
      <c r="AJ65" s="25">
        <f>0.65*O65</f>
        <v>0</v>
      </c>
      <c r="AK65" s="25">
        <f>AI65+AJ65</f>
        <v>0</v>
      </c>
      <c r="AL65" s="25">
        <f>R65*0.782%</f>
        <v>0</v>
      </c>
      <c r="AM65" s="25">
        <f>6.075*O65</f>
        <v>0</v>
      </c>
      <c r="AN65" s="25">
        <f>O65*2</f>
        <v>0</v>
      </c>
      <c r="AO65" s="25">
        <f>0.02*O65</f>
        <v>0</v>
      </c>
    </row>
    <row r="66" spans="4:46" x14ac:dyDescent="0.25">
      <c r="D66" t="s">
        <v>20</v>
      </c>
      <c r="E66">
        <v>11</v>
      </c>
      <c r="P66" s="25"/>
      <c r="Q66" s="25"/>
      <c r="R66" s="61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</row>
    <row r="67" spans="4:46" x14ac:dyDescent="0.25">
      <c r="D67" t="s">
        <v>20</v>
      </c>
      <c r="E67">
        <v>18</v>
      </c>
      <c r="P67" s="25"/>
      <c r="Q67" s="25"/>
      <c r="R67" s="61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</row>
    <row r="68" spans="4:46" x14ac:dyDescent="0.25">
      <c r="D68" t="s">
        <v>20</v>
      </c>
      <c r="E68">
        <v>25</v>
      </c>
      <c r="P68" s="25"/>
      <c r="Q68" s="25"/>
      <c r="R68" s="61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</row>
    <row r="69" spans="4:46" x14ac:dyDescent="0.25">
      <c r="D69" t="s">
        <v>33</v>
      </c>
      <c r="O69" s="58">
        <f>SUM(O64:O68)</f>
        <v>0</v>
      </c>
      <c r="P69" s="13">
        <f t="shared" ref="P69:AO69" si="79">SUM(P64:P68)</f>
        <v>0</v>
      </c>
      <c r="Q69" s="13">
        <f t="shared" si="79"/>
        <v>0</v>
      </c>
      <c r="R69" s="62">
        <f t="shared" si="79"/>
        <v>0</v>
      </c>
      <c r="S69" s="13">
        <f t="shared" si="79"/>
        <v>0</v>
      </c>
      <c r="T69" s="13">
        <f t="shared" si="79"/>
        <v>0</v>
      </c>
      <c r="U69" s="13">
        <f t="shared" si="79"/>
        <v>0</v>
      </c>
      <c r="V69" s="13">
        <f t="shared" si="79"/>
        <v>0</v>
      </c>
      <c r="W69" s="13">
        <f t="shared" si="79"/>
        <v>0</v>
      </c>
      <c r="X69" s="13">
        <f t="shared" si="79"/>
        <v>0</v>
      </c>
      <c r="Y69" s="13">
        <f t="shared" si="79"/>
        <v>0</v>
      </c>
      <c r="Z69" s="13">
        <f t="shared" si="79"/>
        <v>0</v>
      </c>
      <c r="AA69" s="13">
        <f t="shared" si="79"/>
        <v>0</v>
      </c>
      <c r="AB69" s="13">
        <f t="shared" si="79"/>
        <v>0</v>
      </c>
      <c r="AC69" s="13">
        <f t="shared" si="79"/>
        <v>0</v>
      </c>
      <c r="AD69" s="13">
        <f t="shared" si="79"/>
        <v>0</v>
      </c>
      <c r="AE69" s="13">
        <f t="shared" si="79"/>
        <v>0</v>
      </c>
      <c r="AF69" s="13">
        <f t="shared" si="79"/>
        <v>0</v>
      </c>
      <c r="AG69" s="13">
        <f t="shared" si="79"/>
        <v>0</v>
      </c>
      <c r="AH69" s="13">
        <f t="shared" si="79"/>
        <v>0</v>
      </c>
      <c r="AI69" s="13">
        <f t="shared" si="79"/>
        <v>0</v>
      </c>
      <c r="AJ69" s="13">
        <f t="shared" si="79"/>
        <v>0</v>
      </c>
      <c r="AK69" s="13">
        <f t="shared" si="79"/>
        <v>0</v>
      </c>
      <c r="AL69" s="13">
        <f t="shared" si="79"/>
        <v>0</v>
      </c>
      <c r="AM69" s="13">
        <f t="shared" si="79"/>
        <v>0</v>
      </c>
      <c r="AN69" s="13">
        <f t="shared" si="79"/>
        <v>0</v>
      </c>
      <c r="AO69" s="13">
        <f t="shared" si="79"/>
        <v>0</v>
      </c>
      <c r="AP69" s="25"/>
      <c r="AQ69" s="8"/>
      <c r="AR69" s="8"/>
      <c r="AS69" s="8"/>
      <c r="AT69" s="8"/>
    </row>
    <row r="70" spans="4:46" x14ac:dyDescent="0.25">
      <c r="O70" s="8"/>
      <c r="P70" s="25"/>
      <c r="Q70" s="25"/>
      <c r="R70" s="61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8"/>
      <c r="AR70" s="8"/>
      <c r="AS70" s="8"/>
      <c r="AT70" s="8"/>
    </row>
    <row r="71" spans="4:46" x14ac:dyDescent="0.25">
      <c r="D71" t="s">
        <v>21</v>
      </c>
      <c r="E71">
        <v>1</v>
      </c>
      <c r="P71" s="25"/>
      <c r="Q71" s="25"/>
      <c r="R71" s="61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</row>
    <row r="72" spans="4:46" x14ac:dyDescent="0.25">
      <c r="D72" t="s">
        <v>21</v>
      </c>
      <c r="E72">
        <v>8</v>
      </c>
      <c r="P72" s="25"/>
      <c r="Q72" s="25"/>
      <c r="R72" s="61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</row>
    <row r="73" spans="4:46" x14ac:dyDescent="0.25">
      <c r="D73" t="s">
        <v>21</v>
      </c>
      <c r="E73">
        <v>15</v>
      </c>
      <c r="P73" s="25"/>
      <c r="Q73" s="25"/>
      <c r="R73" s="61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</row>
    <row r="74" spans="4:46" x14ac:dyDescent="0.25">
      <c r="D74" t="s">
        <v>21</v>
      </c>
      <c r="E74">
        <v>22</v>
      </c>
      <c r="P74" s="25"/>
      <c r="Q74" s="25"/>
      <c r="R74" s="61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</row>
    <row r="75" spans="4:46" x14ac:dyDescent="0.25">
      <c r="D75" t="s">
        <v>21</v>
      </c>
      <c r="E75">
        <v>29</v>
      </c>
      <c r="P75" s="25"/>
      <c r="Q75" s="25"/>
      <c r="R75" s="61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</row>
    <row r="76" spans="4:46" x14ac:dyDescent="0.25">
      <c r="D76" t="s">
        <v>33</v>
      </c>
      <c r="P76" s="25"/>
      <c r="Q76" s="25"/>
      <c r="R76" s="61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</row>
    <row r="77" spans="4:46" x14ac:dyDescent="0.25">
      <c r="P77" s="25"/>
      <c r="Q77" s="25"/>
      <c r="R77" s="61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</row>
    <row r="78" spans="4:46" x14ac:dyDescent="0.25">
      <c r="D78" t="s">
        <v>22</v>
      </c>
      <c r="E78">
        <v>1</v>
      </c>
      <c r="P78" s="25"/>
      <c r="Q78" s="25"/>
      <c r="R78" s="61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</row>
    <row r="79" spans="4:46" x14ac:dyDescent="0.25">
      <c r="D79" t="s">
        <v>22</v>
      </c>
      <c r="E79">
        <v>6</v>
      </c>
      <c r="P79" s="25"/>
      <c r="Q79" s="25"/>
      <c r="R79" s="61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</row>
    <row r="80" spans="4:46" x14ac:dyDescent="0.25">
      <c r="D80" t="s">
        <v>22</v>
      </c>
      <c r="E80">
        <v>13</v>
      </c>
      <c r="P80" s="25"/>
      <c r="Q80" s="25"/>
      <c r="R80" s="61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</row>
    <row r="81" spans="4:41" x14ac:dyDescent="0.25">
      <c r="D81" t="s">
        <v>22</v>
      </c>
      <c r="E81">
        <v>20</v>
      </c>
      <c r="P81" s="25"/>
      <c r="Q81" s="25"/>
      <c r="R81" s="61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</row>
    <row r="82" spans="4:41" x14ac:dyDescent="0.25">
      <c r="D82" t="s">
        <v>22</v>
      </c>
      <c r="E82">
        <v>27</v>
      </c>
      <c r="P82" s="25"/>
      <c r="Q82" s="25"/>
      <c r="R82" s="61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</row>
    <row r="83" spans="4:41" x14ac:dyDescent="0.25">
      <c r="D83" t="s">
        <v>33</v>
      </c>
      <c r="P83" s="25"/>
      <c r="Q83" s="25"/>
      <c r="R83" s="61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</row>
    <row r="84" spans="4:41" x14ac:dyDescent="0.25">
      <c r="P84" s="25"/>
      <c r="Q84" s="25"/>
      <c r="R84" s="61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</row>
    <row r="85" spans="4:41" x14ac:dyDescent="0.25">
      <c r="D85" t="s">
        <v>34</v>
      </c>
      <c r="P85" s="25">
        <f>SUM(P7+P13+P20+P27+P34+P41+P48+P55+P62+P69+P76+P83)</f>
        <v>0</v>
      </c>
      <c r="Q85" s="25">
        <f t="shared" ref="Q85:AO85" si="80">SUM(Q7+Q13+Q20+Q27+Q34+Q41+Q48+Q55+Q62+Q69+Q76+Q83)</f>
        <v>0</v>
      </c>
      <c r="R85" s="61">
        <f t="shared" si="80"/>
        <v>0</v>
      </c>
      <c r="S85" s="25">
        <f t="shared" si="80"/>
        <v>0</v>
      </c>
      <c r="T85" s="25">
        <f t="shared" si="80"/>
        <v>0</v>
      </c>
      <c r="U85" s="25">
        <f t="shared" si="80"/>
        <v>0</v>
      </c>
      <c r="V85" s="25">
        <f t="shared" si="80"/>
        <v>0</v>
      </c>
      <c r="W85" s="25">
        <f t="shared" si="80"/>
        <v>0</v>
      </c>
      <c r="X85" s="25">
        <f t="shared" si="80"/>
        <v>0</v>
      </c>
      <c r="Y85" s="25">
        <f t="shared" si="80"/>
        <v>0</v>
      </c>
      <c r="Z85" s="25">
        <f t="shared" si="80"/>
        <v>0</v>
      </c>
      <c r="AA85" s="25">
        <f t="shared" si="80"/>
        <v>0</v>
      </c>
      <c r="AB85" s="25">
        <f t="shared" si="80"/>
        <v>0</v>
      </c>
      <c r="AC85" s="25">
        <f t="shared" si="80"/>
        <v>0</v>
      </c>
      <c r="AD85" s="25">
        <f t="shared" si="80"/>
        <v>0</v>
      </c>
      <c r="AE85" s="25">
        <f t="shared" si="80"/>
        <v>0</v>
      </c>
      <c r="AF85" s="25">
        <f t="shared" si="80"/>
        <v>0</v>
      </c>
      <c r="AG85" s="25">
        <f t="shared" si="80"/>
        <v>0</v>
      </c>
      <c r="AH85" s="25">
        <f t="shared" si="80"/>
        <v>0</v>
      </c>
      <c r="AI85" s="25">
        <f t="shared" si="80"/>
        <v>0</v>
      </c>
      <c r="AJ85" s="25">
        <f t="shared" si="80"/>
        <v>0</v>
      </c>
      <c r="AK85" s="25">
        <f t="shared" si="80"/>
        <v>0</v>
      </c>
      <c r="AL85" s="25">
        <f t="shared" si="80"/>
        <v>0</v>
      </c>
      <c r="AM85" s="25">
        <f t="shared" si="80"/>
        <v>0</v>
      </c>
      <c r="AN85" s="25">
        <f t="shared" si="80"/>
        <v>0</v>
      </c>
      <c r="AO85" s="25">
        <f t="shared" si="80"/>
        <v>0</v>
      </c>
    </row>
    <row r="86" spans="4:41" x14ac:dyDescent="0.25">
      <c r="R86" s="63"/>
    </row>
    <row r="95" spans="4:41" x14ac:dyDescent="0.25">
      <c r="Q95" s="60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>
    <pageSetUpPr fitToPage="1"/>
  </sheetPr>
  <dimension ref="A1:AG88"/>
  <sheetViews>
    <sheetView showZeros="0" workbookViewId="0">
      <pane ySplit="1" topLeftCell="A2" activePane="bottomLeft" state="frozen"/>
      <selection activeCell="Y18" sqref="Y18"/>
      <selection pane="bottomLeft" activeCell="M13" sqref="M13"/>
    </sheetView>
  </sheetViews>
  <sheetFormatPr baseColWidth="10" defaultRowHeight="13.2" x14ac:dyDescent="0.25"/>
  <cols>
    <col min="1" max="1" width="9.88671875" customWidth="1"/>
    <col min="2" max="2" width="7.109375" customWidth="1"/>
    <col min="3" max="3" width="3.6640625" hidden="1" customWidth="1"/>
    <col min="4" max="4" width="5.44140625" hidden="1" customWidth="1"/>
    <col min="5" max="5" width="7.5546875" hidden="1" customWidth="1"/>
    <col min="6" max="6" width="9.5546875" customWidth="1"/>
    <col min="7" max="7" width="8.44140625" hidden="1" customWidth="1"/>
    <col min="8" max="8" width="10.44140625" style="32" customWidth="1"/>
    <col min="9" max="9" width="8.88671875" hidden="1" customWidth="1"/>
    <col min="10" max="10" width="9.33203125" customWidth="1"/>
    <col min="11" max="11" width="7.88671875" customWidth="1"/>
    <col min="12" max="12" width="6.6640625" hidden="1" customWidth="1"/>
    <col min="13" max="13" width="9.6640625" customWidth="1"/>
    <col min="14" max="14" width="8.44140625" hidden="1" customWidth="1"/>
    <col min="15" max="15" width="6.44140625" customWidth="1"/>
    <col min="16" max="16" width="8.5546875" hidden="1" customWidth="1"/>
    <col min="17" max="17" width="8.109375" hidden="1" customWidth="1"/>
    <col min="18" max="18" width="9" hidden="1" customWidth="1"/>
    <col min="19" max="19" width="10" customWidth="1"/>
    <col min="20" max="20" width="9.44140625" customWidth="1"/>
    <col min="21" max="21" width="9.88671875" customWidth="1"/>
    <col min="22" max="22" width="9.6640625" customWidth="1"/>
    <col min="23" max="23" width="8.6640625" hidden="1" customWidth="1"/>
    <col min="24" max="24" width="9.5546875" customWidth="1"/>
    <col min="25" max="25" width="9.44140625" customWidth="1"/>
    <col min="26" max="26" width="7.44140625" hidden="1" customWidth="1"/>
    <col min="27" max="28" width="9.88671875" customWidth="1"/>
    <col min="29" max="29" width="11.88671875" hidden="1" customWidth="1"/>
    <col min="30" max="30" width="8.5546875" hidden="1" customWidth="1"/>
    <col min="31" max="31" width="10" hidden="1" customWidth="1"/>
    <col min="32" max="32" width="8" hidden="1" customWidth="1"/>
  </cols>
  <sheetData>
    <row r="1" spans="1:33" x14ac:dyDescent="0.25">
      <c r="A1" s="4" t="s">
        <v>3</v>
      </c>
      <c r="B1" s="5" t="s">
        <v>155</v>
      </c>
      <c r="C1" s="4" t="s">
        <v>24</v>
      </c>
      <c r="D1" s="4" t="s">
        <v>104</v>
      </c>
      <c r="E1" s="4" t="s">
        <v>50</v>
      </c>
      <c r="F1" s="6" t="s">
        <v>116</v>
      </c>
      <c r="G1" s="6" t="s">
        <v>108</v>
      </c>
      <c r="H1" s="42" t="s">
        <v>115</v>
      </c>
      <c r="I1" s="6" t="s">
        <v>136</v>
      </c>
      <c r="J1" s="6" t="s">
        <v>97</v>
      </c>
      <c r="K1" s="6" t="s">
        <v>28</v>
      </c>
      <c r="L1" s="6" t="s">
        <v>134</v>
      </c>
      <c r="M1" s="6" t="s">
        <v>54</v>
      </c>
      <c r="N1" s="6" t="s">
        <v>135</v>
      </c>
      <c r="O1" s="6" t="s">
        <v>31</v>
      </c>
      <c r="P1" s="6" t="s">
        <v>110</v>
      </c>
      <c r="Q1" s="6" t="s">
        <v>98</v>
      </c>
      <c r="R1" s="6" t="s">
        <v>99</v>
      </c>
      <c r="S1" s="6" t="s">
        <v>132</v>
      </c>
      <c r="T1" s="6" t="s">
        <v>26</v>
      </c>
      <c r="U1" s="6" t="s">
        <v>129</v>
      </c>
      <c r="V1" s="6" t="s">
        <v>114</v>
      </c>
      <c r="W1" s="6" t="s">
        <v>108</v>
      </c>
      <c r="X1" s="6" t="s">
        <v>58</v>
      </c>
      <c r="Y1" s="6" t="s">
        <v>39</v>
      </c>
      <c r="Z1" s="6" t="s">
        <v>100</v>
      </c>
      <c r="AA1" s="6" t="s">
        <v>113</v>
      </c>
      <c r="AB1" s="6" t="s">
        <v>56</v>
      </c>
      <c r="AC1" s="6" t="s">
        <v>157</v>
      </c>
      <c r="AD1" s="6" t="s">
        <v>154</v>
      </c>
      <c r="AE1" s="6" t="s">
        <v>153</v>
      </c>
      <c r="AF1" s="6" t="s">
        <v>57</v>
      </c>
      <c r="AG1" s="6" t="s">
        <v>190</v>
      </c>
    </row>
    <row r="2" spans="1:33" x14ac:dyDescent="0.25">
      <c r="A2" t="s">
        <v>11</v>
      </c>
      <c r="B2" s="7"/>
      <c r="F2" s="91"/>
      <c r="G2" s="128"/>
      <c r="H2" s="135"/>
      <c r="I2" s="128"/>
      <c r="J2" s="136"/>
      <c r="K2" s="103"/>
      <c r="L2" s="128"/>
      <c r="M2" s="137"/>
      <c r="N2" s="128"/>
      <c r="O2" s="103"/>
      <c r="P2" s="128"/>
      <c r="Q2" s="128"/>
      <c r="R2" s="128"/>
      <c r="S2" s="128"/>
      <c r="T2" s="166"/>
      <c r="U2" s="128"/>
      <c r="V2" s="138"/>
      <c r="W2" s="128"/>
      <c r="X2" s="128"/>
      <c r="Y2" s="128"/>
      <c r="Z2" s="128"/>
      <c r="AA2" s="139"/>
      <c r="AB2" s="252"/>
      <c r="AC2" s="102"/>
      <c r="AD2" s="102"/>
      <c r="AE2" s="102"/>
      <c r="AF2" s="102"/>
      <c r="AG2" s="255"/>
    </row>
    <row r="3" spans="1:33" x14ac:dyDescent="0.25">
      <c r="A3" t="s">
        <v>11</v>
      </c>
      <c r="B3" s="7">
        <v>4</v>
      </c>
      <c r="F3" s="91"/>
      <c r="G3" s="125"/>
      <c r="H3" s="142"/>
      <c r="I3" s="125"/>
      <c r="J3" s="143"/>
      <c r="K3" s="144"/>
      <c r="L3" s="125"/>
      <c r="M3" s="145"/>
      <c r="N3" s="125"/>
      <c r="O3" s="125"/>
      <c r="P3" s="125"/>
      <c r="Q3" s="125"/>
      <c r="R3" s="125"/>
      <c r="S3" s="125"/>
      <c r="T3" s="167"/>
      <c r="U3" s="125"/>
      <c r="V3" s="146"/>
      <c r="W3" s="125"/>
      <c r="X3" s="125"/>
      <c r="Y3" s="125"/>
      <c r="Z3" s="125"/>
      <c r="AA3" s="147"/>
      <c r="AB3" s="259"/>
      <c r="AC3" s="30"/>
      <c r="AD3" s="30"/>
      <c r="AE3" s="30"/>
      <c r="AF3" s="30"/>
      <c r="AG3" s="238"/>
    </row>
    <row r="4" spans="1:33" x14ac:dyDescent="0.25">
      <c r="A4" t="s">
        <v>11</v>
      </c>
      <c r="B4" s="7">
        <v>11</v>
      </c>
      <c r="F4" s="91"/>
      <c r="G4" s="125"/>
      <c r="H4" s="142"/>
      <c r="I4" s="125"/>
      <c r="J4" s="143"/>
      <c r="K4" s="144"/>
      <c r="L4" s="125"/>
      <c r="M4" s="145"/>
      <c r="N4" s="125"/>
      <c r="O4" s="125"/>
      <c r="P4" s="125"/>
      <c r="Q4" s="125"/>
      <c r="R4" s="125"/>
      <c r="S4" s="125"/>
      <c r="T4" s="167"/>
      <c r="U4" s="125"/>
      <c r="V4" s="146"/>
      <c r="W4" s="125"/>
      <c r="X4" s="125"/>
      <c r="Y4" s="125"/>
      <c r="Z4" s="125"/>
      <c r="AA4" s="147"/>
      <c r="AB4" s="259"/>
      <c r="AC4" s="30"/>
      <c r="AD4" s="30"/>
      <c r="AE4" s="30"/>
      <c r="AF4" s="30"/>
      <c r="AG4" s="238"/>
    </row>
    <row r="5" spans="1:33" x14ac:dyDescent="0.25">
      <c r="A5" t="s">
        <v>11</v>
      </c>
      <c r="B5" s="7">
        <v>18</v>
      </c>
      <c r="F5" s="91"/>
      <c r="G5" s="125"/>
      <c r="H5" s="142"/>
      <c r="I5" s="125"/>
      <c r="J5" s="143"/>
      <c r="K5" s="144"/>
      <c r="L5" s="125"/>
      <c r="M5" s="145"/>
      <c r="N5" s="125"/>
      <c r="O5" s="125"/>
      <c r="P5" s="125"/>
      <c r="Q5" s="125"/>
      <c r="R5" s="125"/>
      <c r="S5" s="125"/>
      <c r="T5" s="167"/>
      <c r="U5" s="125"/>
      <c r="V5" s="146"/>
      <c r="W5" s="125"/>
      <c r="X5" s="125"/>
      <c r="Y5" s="125"/>
      <c r="Z5" s="125"/>
      <c r="AA5" s="147"/>
      <c r="AB5" s="259"/>
      <c r="AC5" s="30"/>
      <c r="AD5" s="30"/>
      <c r="AE5" s="30"/>
      <c r="AF5" s="30"/>
      <c r="AG5" s="238"/>
    </row>
    <row r="6" spans="1:33" x14ac:dyDescent="0.25">
      <c r="A6" t="s">
        <v>11</v>
      </c>
      <c r="B6" s="7">
        <v>25</v>
      </c>
      <c r="F6" s="91"/>
      <c r="G6" s="204"/>
      <c r="H6" s="205"/>
      <c r="I6" s="206"/>
      <c r="J6" s="207"/>
      <c r="K6" s="208"/>
      <c r="L6" s="206"/>
      <c r="M6" s="209"/>
      <c r="N6" s="206"/>
      <c r="O6" s="206"/>
      <c r="P6" s="206"/>
      <c r="Q6" s="206"/>
      <c r="R6" s="206"/>
      <c r="S6" s="206"/>
      <c r="T6" s="210"/>
      <c r="U6" s="206"/>
      <c r="V6" s="211"/>
      <c r="W6" s="206"/>
      <c r="X6" s="206"/>
      <c r="Y6" s="206"/>
      <c r="Z6" s="206"/>
      <c r="AA6" s="212"/>
      <c r="AB6" s="259"/>
      <c r="AC6" s="30"/>
      <c r="AD6" s="30"/>
      <c r="AE6" s="30"/>
      <c r="AF6" s="30"/>
      <c r="AG6" s="238"/>
    </row>
    <row r="7" spans="1:33" x14ac:dyDescent="0.25">
      <c r="A7" s="4" t="s">
        <v>32</v>
      </c>
      <c r="B7" s="5"/>
      <c r="C7" s="4"/>
      <c r="D7" s="4"/>
      <c r="E7" s="4">
        <f>Emp.1!O7+Empl.2!O9</f>
        <v>0</v>
      </c>
      <c r="F7" s="149">
        <f>SUM(Emp.1!P7+Empl.2!T9+Empl.3!T9)</f>
        <v>0</v>
      </c>
      <c r="G7" s="149">
        <f>SUM(Emp.1!Q7+Empl.2!U9+Empl.3!U9)</f>
        <v>0</v>
      </c>
      <c r="H7" s="150">
        <f>SUM(Emp.1!R7+Empl.2!V9+Empl.3!V9)</f>
        <v>0</v>
      </c>
      <c r="I7" s="149">
        <f>SUM(Emp.1!S7+Empl.2!W9+Empl.3!W9)</f>
        <v>0</v>
      </c>
      <c r="J7" s="149">
        <f>SUM(Emp.1!T7+Empl.2!X9+Empl.3!X9)</f>
        <v>0</v>
      </c>
      <c r="K7" s="149">
        <f>SUM(Emp.1!U7+Empl.2!Y9+Empl.3!Y9)</f>
        <v>0</v>
      </c>
      <c r="L7" s="149">
        <f>SUM(Emp.1!V7+Empl.2!Z9+Empl.3!Z9)</f>
        <v>0</v>
      </c>
      <c r="M7" s="149">
        <f>SUM(Emp.1!W7+Empl.2!AA9+Empl.3!AA9)</f>
        <v>0</v>
      </c>
      <c r="N7" s="149">
        <f>SUM(Emp.1!X7+Empl.2!AB9+Empl.3!AB9)</f>
        <v>0</v>
      </c>
      <c r="O7" s="149">
        <f>SUM(Emp.1!Y7+Empl.2!AC9+Empl.3!AC9)</f>
        <v>0</v>
      </c>
      <c r="P7" s="149">
        <f>SUM(Emp.1!Z7+Empl.2!AD9+Empl.3!AD9)</f>
        <v>0</v>
      </c>
      <c r="Q7" s="149">
        <f>SUM(Emp.1!AA7+Empl.2!AE9+Empl.3!AE9)</f>
        <v>0</v>
      </c>
      <c r="R7" s="149">
        <f>SUM(Emp.1!AB7+Empl.2!AF9+Empl.3!AF9)</f>
        <v>0</v>
      </c>
      <c r="S7" s="149">
        <f>SUM(Emp.1!AC7+Empl.2!AG9+Empl.3!AG9)</f>
        <v>0</v>
      </c>
      <c r="T7" s="168">
        <f>SUM(Emp.1!AD7+Empl.2!AH9+Empl.3!AH9)</f>
        <v>0</v>
      </c>
      <c r="U7" s="149">
        <f>SUM(Emp.1!AE7+Empl.2!AI9+Empl.3!AI9)</f>
        <v>0</v>
      </c>
      <c r="V7" s="151">
        <f>SUM(Emp.1!AF7+Empl.2!AJ9+Empl.3!AJ9)</f>
        <v>0</v>
      </c>
      <c r="W7" s="149">
        <f>SUM(Emp.1!AG7+Empl.2!AK9+Empl.3!AK9)</f>
        <v>0</v>
      </c>
      <c r="X7" s="149">
        <f>SUM(Emp.1!AH7+Empl.2!AL9+Empl.3!AL9)</f>
        <v>0</v>
      </c>
      <c r="Y7" s="149">
        <f>SUM(Emp.1!AI7+Empl.2!AM9+Empl.3!AM9)</f>
        <v>0</v>
      </c>
      <c r="Z7" s="149">
        <f>SUM(Emp.1!AJ7+Empl.2!AN9+Empl.3!AN9)</f>
        <v>0</v>
      </c>
      <c r="AA7" s="152">
        <f>SUM(Emp.1!AK7+Empl.2!AP9+Empl.3!AP9)</f>
        <v>0</v>
      </c>
      <c r="AB7" s="260">
        <f>SUM(Emp.1!AL7+Empl.2!AQ9+Empl.3!AQ9)</f>
        <v>0</v>
      </c>
      <c r="AC7" s="203">
        <f>SUM(Emp.1!AM7+Empl.2!AR9+Empl.3!AR9)</f>
        <v>0</v>
      </c>
      <c r="AD7" s="203">
        <f>SUM(Emp.1!AN7+Empl.2!AS9+Empl.3!AS9)</f>
        <v>0</v>
      </c>
      <c r="AE7" s="203">
        <f>SUM(Emp.1!AO7+Empl.2!AT9+Empl.3!AT9)</f>
        <v>0</v>
      </c>
      <c r="AF7" s="200">
        <f>SUM(Emp.1!AP7+Empl.2!AU9+Empl.3!AU9)</f>
        <v>0</v>
      </c>
      <c r="AG7" s="203">
        <f>SUM(Emp.1!AR7+Empl.2!AW9+Empl.3!AW9)</f>
        <v>0</v>
      </c>
    </row>
    <row r="8" spans="1:33" x14ac:dyDescent="0.25">
      <c r="B8" s="7"/>
      <c r="C8" s="4"/>
      <c r="E8" s="4">
        <f>SUM(Emp.1!O8+Empl.2!O10+Empl.3!O10)</f>
        <v>0</v>
      </c>
      <c r="F8" s="25"/>
      <c r="G8" s="25"/>
      <c r="H8" s="74"/>
      <c r="I8" s="25"/>
      <c r="J8" s="35"/>
      <c r="K8" s="52"/>
      <c r="L8" s="25"/>
      <c r="M8" s="31"/>
      <c r="N8" s="25"/>
      <c r="O8" s="25"/>
      <c r="P8" s="25"/>
      <c r="Q8" s="25"/>
      <c r="R8" s="25"/>
      <c r="S8" s="25"/>
      <c r="T8" s="94"/>
      <c r="U8" s="95"/>
      <c r="V8" s="94"/>
      <c r="W8" s="25"/>
      <c r="X8" s="25"/>
      <c r="Y8" s="25"/>
      <c r="Z8" s="25">
        <f>SUM(Emp.1!AJ8+Empl.2!AN10+Empl.3!AN10+employé3!AJ8+employé4!AJ8)</f>
        <v>0</v>
      </c>
      <c r="AA8" s="96"/>
      <c r="AB8" s="26">
        <f>Emp.1!AL8+Empl.2!AQ10+Empl.3!AQ10+employé3!AL8+employé4!AL8</f>
        <v>0</v>
      </c>
    </row>
    <row r="9" spans="1:33" x14ac:dyDescent="0.25">
      <c r="A9" t="s">
        <v>12</v>
      </c>
      <c r="B9" s="7">
        <v>1</v>
      </c>
      <c r="C9" s="4"/>
      <c r="E9" s="4">
        <f>SUM(Emp.1!O9+Empl.2!O11+Empl.3!O11)</f>
        <v>0</v>
      </c>
      <c r="F9" s="91"/>
      <c r="G9" s="128"/>
      <c r="H9" s="135"/>
      <c r="I9" s="128"/>
      <c r="J9" s="136"/>
      <c r="K9" s="103"/>
      <c r="L9" s="128"/>
      <c r="M9" s="137"/>
      <c r="N9" s="128"/>
      <c r="O9" s="103"/>
      <c r="P9" s="128"/>
      <c r="Q9" s="128"/>
      <c r="R9" s="128"/>
      <c r="S9" s="128"/>
      <c r="T9" s="166"/>
      <c r="U9" s="128"/>
      <c r="V9" s="138"/>
      <c r="W9" s="128"/>
      <c r="X9" s="128"/>
      <c r="Y9" s="128"/>
      <c r="Z9" s="128"/>
      <c r="AA9" s="139"/>
      <c r="AB9" s="261"/>
      <c r="AC9" s="102"/>
      <c r="AD9" s="102"/>
      <c r="AE9" s="102"/>
      <c r="AF9" s="102"/>
      <c r="AG9" s="255"/>
    </row>
    <row r="10" spans="1:33" x14ac:dyDescent="0.25">
      <c r="A10" t="s">
        <v>12</v>
      </c>
      <c r="B10" s="7">
        <v>8</v>
      </c>
      <c r="C10" s="4"/>
      <c r="E10" s="4">
        <f>SUM(Emp.1!O10+Empl.2!O12+Empl.3!O12)</f>
        <v>0</v>
      </c>
      <c r="F10" s="91"/>
      <c r="G10" s="125"/>
      <c r="H10" s="142"/>
      <c r="I10" s="125"/>
      <c r="J10" s="143"/>
      <c r="K10" s="144"/>
      <c r="L10" s="125"/>
      <c r="M10" s="145"/>
      <c r="N10" s="125"/>
      <c r="O10" s="125"/>
      <c r="P10" s="125"/>
      <c r="Q10" s="125"/>
      <c r="R10" s="125"/>
      <c r="S10" s="125"/>
      <c r="T10" s="167"/>
      <c r="U10" s="125"/>
      <c r="V10" s="146"/>
      <c r="W10" s="125"/>
      <c r="X10" s="125"/>
      <c r="Y10" s="125"/>
      <c r="Z10" s="125"/>
      <c r="AA10" s="147"/>
      <c r="AB10" s="259"/>
      <c r="AC10" s="30"/>
      <c r="AD10" s="30"/>
      <c r="AE10" s="30"/>
      <c r="AF10" s="30"/>
      <c r="AG10" s="238"/>
    </row>
    <row r="11" spans="1:33" x14ac:dyDescent="0.25">
      <c r="A11" t="s">
        <v>12</v>
      </c>
      <c r="B11" s="7">
        <v>15</v>
      </c>
      <c r="C11" s="4"/>
      <c r="E11" s="4">
        <f>SUM(Emp.1!O11+Empl.2!O13+Empl.3!O13)</f>
        <v>0</v>
      </c>
      <c r="F11" s="91"/>
      <c r="G11" s="125"/>
      <c r="H11" s="142"/>
      <c r="I11" s="125"/>
      <c r="J11" s="143"/>
      <c r="K11" s="144"/>
      <c r="L11" s="125"/>
      <c r="M11" s="145"/>
      <c r="N11" s="125"/>
      <c r="O11" s="125"/>
      <c r="P11" s="125"/>
      <c r="Q11" s="125"/>
      <c r="R11" s="125"/>
      <c r="S11" s="125"/>
      <c r="T11" s="167"/>
      <c r="U11" s="125"/>
      <c r="V11" s="146"/>
      <c r="W11" s="125"/>
      <c r="X11" s="125"/>
      <c r="Y11" s="125"/>
      <c r="Z11" s="125"/>
      <c r="AA11" s="147"/>
      <c r="AB11" s="259"/>
      <c r="AC11" s="30"/>
      <c r="AD11" s="30"/>
      <c r="AE11" s="30"/>
      <c r="AF11" s="30"/>
      <c r="AG11" s="238"/>
    </row>
    <row r="12" spans="1:33" x14ac:dyDescent="0.25">
      <c r="A12" t="s">
        <v>12</v>
      </c>
      <c r="B12" s="7">
        <v>22</v>
      </c>
      <c r="C12" s="4"/>
      <c r="E12" s="4">
        <f>SUM(Emp.1!O12+Empl.2!O14+Empl.3!O14)</f>
        <v>0</v>
      </c>
      <c r="F12" s="91"/>
      <c r="G12" s="204"/>
      <c r="H12" s="205"/>
      <c r="I12" s="206"/>
      <c r="J12" s="207"/>
      <c r="K12" s="208"/>
      <c r="L12" s="206"/>
      <c r="M12" s="209"/>
      <c r="N12" s="206"/>
      <c r="O12" s="206"/>
      <c r="P12" s="206"/>
      <c r="Q12" s="206"/>
      <c r="R12" s="206"/>
      <c r="S12" s="206"/>
      <c r="T12" s="210"/>
      <c r="U12" s="206"/>
      <c r="V12" s="211"/>
      <c r="W12" s="206"/>
      <c r="X12" s="206"/>
      <c r="Y12" s="206"/>
      <c r="Z12" s="206"/>
      <c r="AA12" s="212"/>
      <c r="AB12" s="259"/>
      <c r="AC12" s="30"/>
      <c r="AD12" s="30"/>
      <c r="AE12" s="30"/>
      <c r="AF12" s="30"/>
      <c r="AG12" s="238"/>
    </row>
    <row r="13" spans="1:33" x14ac:dyDescent="0.25">
      <c r="A13" s="4" t="s">
        <v>32</v>
      </c>
      <c r="B13" s="5"/>
      <c r="C13" s="4"/>
      <c r="D13" s="4"/>
      <c r="E13" s="4">
        <f>SUM(Emp.1!O14+Empl.2!O16+Empl.3!O16+employé3!O13+employé4!O13)</f>
        <v>0</v>
      </c>
      <c r="F13" s="149">
        <f>SUM(Emp.1!P14+Empl.2!T16+Empl.3!T16+employé3!P13+employé4!P13)</f>
        <v>2523.5</v>
      </c>
      <c r="G13" s="149">
        <f>SUM(Emp.1!Q14+Empl.2!U16+Empl.3!U16+employé3!Q13+employé4!Q13)</f>
        <v>1750</v>
      </c>
      <c r="H13" s="150">
        <f>SUM(Emp.1!R14+Empl.2!V16+Empl.3!V16+employé3!R13+employé4!R13)</f>
        <v>2523.5</v>
      </c>
      <c r="I13" s="149">
        <f>SUM(Emp.1!S14+Empl.2!W16+Empl.3!W16+employé3!S13+employé4!S13)</f>
        <v>1750</v>
      </c>
      <c r="J13" s="149">
        <f>SUM(Emp.1!T14+Empl.2!X16+Empl.3!X16+employé3!T13+employé4!T13)</f>
        <v>2607.9033199999999</v>
      </c>
      <c r="K13" s="149">
        <f>SUM(Emp.1!U14+Empl.2!Y16+Empl.3!Y16+employé3!U13+employé4!U13)</f>
        <v>120.81948</v>
      </c>
      <c r="L13" s="149">
        <f>SUM(Emp.1!V14+Empl.2!Z16+Empl.3!Z16+employé3!V13+employé4!V13)</f>
        <v>21</v>
      </c>
      <c r="M13" s="149">
        <f>SUM(Emp.1!W14+Empl.2!AA16+Empl.3!AA16+employé3!W13+employé4!W13)</f>
        <v>30.282</v>
      </c>
      <c r="N13" s="149">
        <f>SUM(Emp.1!X14+Empl.2!AB16+Empl.3!AB16+employé3!X13+employé4!X13)</f>
        <v>8.6449999999999996</v>
      </c>
      <c r="O13" s="149">
        <f>SUM(Emp.1!Y14+Empl.2!AC16+Empl.3!AC16+employé3!Y13+employé4!Y13)</f>
        <v>12.466089999999999</v>
      </c>
      <c r="P13" s="149">
        <f>SUM(Emp.1!Z14+Empl.2!AD16+Empl.3!AD16+employé3!Z13+employé4!Z13)</f>
        <v>0</v>
      </c>
      <c r="Q13" s="149">
        <f>SUM(Emp.1!AA14+Empl.2!AE16+Empl.3!AE16+employé3!AA13+employé4!AA13)</f>
        <v>0</v>
      </c>
      <c r="R13" s="149">
        <f>SUM(Emp.1!AB14+Empl.2!AF16+Empl.3!AF16+employé3!AB13+employé4!AB13)</f>
        <v>1750</v>
      </c>
      <c r="S13" s="149">
        <f>SUM(Emp.1!AC14+Empl.2!AG16+Empl.3!AG16+employé3!AC13+employé4!AC13)</f>
        <v>2597.6999999999998</v>
      </c>
      <c r="T13" s="168">
        <f>SUM(Emp.1!AD14+Empl.2!AH16+Empl.3!AH16+employé3!AD13+employé4!AD13)</f>
        <v>1849.8</v>
      </c>
      <c r="U13" s="149">
        <f>SUM(Emp.1!AE14+Empl.2!AI16+Empl.3!AI16+employé3!AE13+employé4!AE13)</f>
        <v>2523.5</v>
      </c>
      <c r="V13" s="151">
        <f>SUM(Emp.1!AF14+Empl.2!AJ16+Empl.3!AJ16+employé3!AF13+employé4!AF13)</f>
        <v>91.66</v>
      </c>
      <c r="W13" s="149">
        <f>SUM(Emp.1!AG14+Empl.2!AK16+Empl.3!AK16+employé3!AG13+employé4!AG13)</f>
        <v>0</v>
      </c>
      <c r="X13" s="149">
        <f>SUM(Emp.1!AH14+Empl.2!AL16+Empl.3!AL16+employé3!AH13+employé4!AH13)</f>
        <v>1844.8992499999999</v>
      </c>
      <c r="Y13" s="149">
        <f>SUM(Emp.1!AI14+Empl.2!AM16+Empl.3!AM16+employé3!AI13+employé4!AI13)</f>
        <v>2168.4724299999998</v>
      </c>
      <c r="Z13" s="149">
        <f>SUM(Emp.1!AJ14+Empl.2!AN16+Empl.3!AN16+employé3!AJ13+employé4!AJ13)</f>
        <v>1597.87168</v>
      </c>
      <c r="AA13" s="152">
        <f>SUM(Emp.1!AK14+Empl.2!AP16+Empl.3!AP16+employé3!AK13+employé4!AK13)</f>
        <v>2276.4724299999998</v>
      </c>
      <c r="AB13" s="260">
        <f>SUM(Emp.1!AL14+Empl.2!AQ16+Empl.3!AQ16)</f>
        <v>17.462619999999998</v>
      </c>
      <c r="AC13" s="203">
        <f>SUM(Emp.1!AM14+Empl.2!AR16+Empl.3!AR16)</f>
        <v>0</v>
      </c>
      <c r="AD13" s="203">
        <f>SUM(Emp.1!AN14+Empl.2!AS16+Empl.3!AS16)</f>
        <v>0</v>
      </c>
      <c r="AE13" s="203">
        <f>SUM(Emp.1!AO14+Empl.2!AT16+Empl.3!AT16)</f>
        <v>0</v>
      </c>
      <c r="AF13" s="200">
        <f>SUM(Emp.1!AP14+Empl.2!AU16+Empl.3!AU16)</f>
        <v>69.056640000000016</v>
      </c>
      <c r="AG13" s="203">
        <f>SUM(Emp.1!AR14+Empl.2!AW16+Empl.3!AW16)</f>
        <v>100.94</v>
      </c>
    </row>
    <row r="14" spans="1:33" x14ac:dyDescent="0.25">
      <c r="B14" s="7"/>
      <c r="C14" s="4"/>
      <c r="E14" s="4"/>
      <c r="F14" s="25">
        <f>SUM(Emp.1!P15+Empl.2!T17+Empl.3!T17+employé3!P14+employé4!P14)</f>
        <v>0</v>
      </c>
      <c r="G14" s="25"/>
      <c r="H14" s="74"/>
      <c r="I14" s="25"/>
      <c r="J14" s="35"/>
      <c r="K14" s="52"/>
      <c r="L14" s="25"/>
      <c r="M14" s="31"/>
      <c r="N14" s="25"/>
      <c r="O14" s="25"/>
      <c r="P14" s="25"/>
      <c r="Q14" s="25"/>
      <c r="R14" s="25"/>
      <c r="S14" s="25"/>
      <c r="T14" s="94"/>
      <c r="U14" s="95"/>
      <c r="V14" s="94"/>
      <c r="W14" s="25"/>
      <c r="X14" s="25"/>
      <c r="Y14" s="25"/>
      <c r="Z14" s="25"/>
      <c r="AA14" s="96"/>
      <c r="AB14" s="26"/>
    </row>
    <row r="15" spans="1:33" x14ac:dyDescent="0.25">
      <c r="A15" t="s">
        <v>13</v>
      </c>
      <c r="B15" s="7">
        <v>1</v>
      </c>
      <c r="C15" s="4"/>
      <c r="E15" s="4">
        <f>Emp.1!O16</f>
        <v>0</v>
      </c>
      <c r="F15" s="91"/>
      <c r="G15" s="128"/>
      <c r="H15" s="135"/>
      <c r="I15" s="128"/>
      <c r="J15" s="136"/>
      <c r="K15" s="103"/>
      <c r="L15" s="128"/>
      <c r="M15" s="137"/>
      <c r="N15" s="128"/>
      <c r="O15" s="103"/>
      <c r="P15" s="128"/>
      <c r="Q15" s="128"/>
      <c r="R15" s="128"/>
      <c r="S15" s="128"/>
      <c r="T15" s="166"/>
      <c r="U15" s="128"/>
      <c r="V15" s="138"/>
      <c r="W15" s="128"/>
      <c r="X15" s="128"/>
      <c r="Y15" s="128"/>
      <c r="Z15" s="128"/>
      <c r="AA15" s="139"/>
      <c r="AB15" s="252"/>
      <c r="AC15" s="102"/>
      <c r="AD15" s="102"/>
      <c r="AE15" s="102"/>
      <c r="AF15" s="102"/>
      <c r="AG15" s="255"/>
    </row>
    <row r="16" spans="1:33" x14ac:dyDescent="0.25">
      <c r="A16" t="s">
        <v>13</v>
      </c>
      <c r="B16" s="7">
        <v>8</v>
      </c>
      <c r="C16" s="4"/>
      <c r="E16" s="4">
        <f>Emp.1!O17</f>
        <v>0</v>
      </c>
      <c r="F16" s="91"/>
      <c r="G16" s="125"/>
      <c r="H16" s="142"/>
      <c r="I16" s="125"/>
      <c r="J16" s="143"/>
      <c r="K16" s="144"/>
      <c r="L16" s="125"/>
      <c r="M16" s="145"/>
      <c r="N16" s="125"/>
      <c r="O16" s="125"/>
      <c r="P16" s="125"/>
      <c r="Q16" s="125"/>
      <c r="R16" s="125"/>
      <c r="S16" s="125"/>
      <c r="T16" s="167"/>
      <c r="U16" s="125"/>
      <c r="V16" s="146"/>
      <c r="W16" s="125"/>
      <c r="X16" s="125"/>
      <c r="Y16" s="125"/>
      <c r="Z16" s="125"/>
      <c r="AA16" s="147"/>
      <c r="AB16" s="259"/>
      <c r="AC16" s="30"/>
      <c r="AD16" s="30"/>
      <c r="AE16" s="30"/>
      <c r="AF16" s="30"/>
      <c r="AG16" s="238"/>
    </row>
    <row r="17" spans="1:33" x14ac:dyDescent="0.25">
      <c r="A17" t="s">
        <v>13</v>
      </c>
      <c r="B17" s="7">
        <v>15</v>
      </c>
      <c r="C17" s="4"/>
      <c r="E17" s="4">
        <f>Emp.1!O18</f>
        <v>0</v>
      </c>
      <c r="F17" s="91"/>
      <c r="G17" s="125"/>
      <c r="H17" s="142"/>
      <c r="I17" s="125"/>
      <c r="J17" s="143"/>
      <c r="K17" s="144"/>
      <c r="L17" s="125"/>
      <c r="M17" s="145"/>
      <c r="N17" s="125"/>
      <c r="O17" s="125"/>
      <c r="P17" s="125"/>
      <c r="Q17" s="125"/>
      <c r="R17" s="125"/>
      <c r="S17" s="125"/>
      <c r="T17" s="167"/>
      <c r="U17" s="125"/>
      <c r="V17" s="146"/>
      <c r="W17" s="125"/>
      <c r="X17" s="125"/>
      <c r="Y17" s="125"/>
      <c r="Z17" s="125"/>
      <c r="AA17" s="147"/>
      <c r="AB17" s="259"/>
      <c r="AC17" s="30"/>
      <c r="AD17" s="30"/>
      <c r="AE17" s="30"/>
      <c r="AF17" s="30"/>
      <c r="AG17" s="238"/>
    </row>
    <row r="18" spans="1:33" x14ac:dyDescent="0.25">
      <c r="A18" t="s">
        <v>13</v>
      </c>
      <c r="B18" s="7">
        <v>22</v>
      </c>
      <c r="C18" s="4"/>
      <c r="E18" s="4">
        <f>Emp.1!O19</f>
        <v>0</v>
      </c>
      <c r="F18" s="91"/>
      <c r="G18" s="214"/>
      <c r="H18" s="142"/>
      <c r="I18" s="125"/>
      <c r="J18" s="143"/>
      <c r="K18" s="144"/>
      <c r="L18" s="125"/>
      <c r="M18" s="145"/>
      <c r="N18" s="125"/>
      <c r="O18" s="125"/>
      <c r="P18" s="125"/>
      <c r="Q18" s="125"/>
      <c r="R18" s="125"/>
      <c r="S18" s="125"/>
      <c r="T18" s="167"/>
      <c r="U18" s="125"/>
      <c r="V18" s="146"/>
      <c r="W18" s="125"/>
      <c r="X18" s="125"/>
      <c r="Y18" s="125"/>
      <c r="Z18" s="125"/>
      <c r="AA18" s="147"/>
      <c r="AB18" s="259"/>
      <c r="AC18" s="30"/>
      <c r="AD18" s="30"/>
      <c r="AE18" s="30"/>
      <c r="AF18" s="30"/>
      <c r="AG18" s="238"/>
    </row>
    <row r="19" spans="1:33" x14ac:dyDescent="0.25">
      <c r="A19" t="s">
        <v>13</v>
      </c>
      <c r="B19" s="7">
        <v>29</v>
      </c>
      <c r="C19" s="4"/>
      <c r="E19" s="4">
        <f>Emp.1!O20</f>
        <v>0</v>
      </c>
      <c r="F19" s="91"/>
      <c r="G19" s="204"/>
      <c r="H19" s="205"/>
      <c r="I19" s="206"/>
      <c r="J19" s="207"/>
      <c r="K19" s="208"/>
      <c r="L19" s="206"/>
      <c r="M19" s="209"/>
      <c r="N19" s="206"/>
      <c r="O19" s="206"/>
      <c r="P19" s="206"/>
      <c r="Q19" s="206"/>
      <c r="R19" s="206"/>
      <c r="S19" s="206"/>
      <c r="T19" s="210"/>
      <c r="U19" s="206"/>
      <c r="V19" s="211"/>
      <c r="W19" s="206"/>
      <c r="X19" s="206"/>
      <c r="Y19" s="206"/>
      <c r="Z19" s="206"/>
      <c r="AA19" s="212"/>
      <c r="AB19" s="259"/>
      <c r="AC19" s="30"/>
      <c r="AD19" s="30"/>
      <c r="AE19" s="30"/>
      <c r="AF19" s="30"/>
      <c r="AG19" s="238"/>
    </row>
    <row r="20" spans="1:33" x14ac:dyDescent="0.25">
      <c r="A20" s="4" t="s">
        <v>32</v>
      </c>
      <c r="B20" s="5"/>
      <c r="C20" s="4"/>
      <c r="D20" s="4"/>
      <c r="E20" s="13">
        <f>Emp.1!O21+Empl.2!O23+Empl.3!O23+employé3!O20+employé4!O20+employé5!O20</f>
        <v>0</v>
      </c>
      <c r="F20" s="149">
        <f>SUM(Emp.1!P21+Empl.2!T23+Empl.3!T23+employé3!P20+employé4!P20+employé5!P20)</f>
        <v>0</v>
      </c>
      <c r="G20" s="149">
        <f>SUM(Emp.1!Q21+Empl.2!U23+Empl.3!U23+employé3!Q20+employé4!Q20+employé5!Q20)</f>
        <v>0</v>
      </c>
      <c r="H20" s="150">
        <f>SUM(Emp.1!R21+Empl.2!V23+Empl.3!V23+employé3!R20+employé4!R20+employé5!R20)</f>
        <v>0</v>
      </c>
      <c r="I20" s="149">
        <f>SUM(Emp.1!S21+Empl.2!W23+Empl.3!W23+employé3!S20+employé4!S20+employé5!S20)</f>
        <v>0</v>
      </c>
      <c r="J20" s="149">
        <f>SUM(Emp.1!T21+Empl.2!X23+Empl.3!X23+employé3!T20+employé4!T20+employé5!T20)</f>
        <v>0</v>
      </c>
      <c r="K20" s="149">
        <f>SUM(Emp.1!U21+Empl.2!Y23+Empl.3!Y23+employé3!U20+employé4!U20+employé5!U20)</f>
        <v>0</v>
      </c>
      <c r="L20" s="149">
        <f>SUM(Emp.1!V21+Empl.2!Z23+Empl.3!Z23+employé3!V20+employé4!V20+employé5!V20)</f>
        <v>0</v>
      </c>
      <c r="M20" s="149">
        <f>SUM(Emp.1!W21+Empl.2!AA23+Empl.3!AA23+employé3!W20+employé4!W20+employé5!W20)</f>
        <v>0</v>
      </c>
      <c r="N20" s="149">
        <f>SUM(Emp.1!X21+Empl.2!AB23+Empl.3!AB23+employé3!X20+employé4!X20+employé5!X20)</f>
        <v>0</v>
      </c>
      <c r="O20" s="149">
        <f>SUM(Emp.1!Y21+Empl.2!AC23+Empl.3!AC23+employé3!Y20+employé4!Y20+employé5!Y20)</f>
        <v>0</v>
      </c>
      <c r="P20" s="149">
        <f>SUM(Emp.1!Z21+Empl.2!AD23+Empl.3!AD23+employé3!Z20+employé4!Z20+employé5!Z20)</f>
        <v>0</v>
      </c>
      <c r="Q20" s="149">
        <f>SUM(Emp.1!AA21+Empl.2!AE23+Empl.3!AE23+employé3!AA20+employé4!AA20+employé5!AA20)</f>
        <v>0</v>
      </c>
      <c r="R20" s="149">
        <f>SUM(Emp.1!AB21+Empl.2!AF23+Empl.3!AF23+employé3!AB20+employé4!AB20+employé5!AB20)</f>
        <v>0</v>
      </c>
      <c r="S20" s="149">
        <f>SUM(Emp.1!AC21+Empl.2!AG23+Empl.3!AG23+employé3!AC20+employé4!AC20+employé5!AC20)</f>
        <v>0</v>
      </c>
      <c r="T20" s="168">
        <f>SUM(Emp.1!AD21+Empl.2!AH23+Empl.3!AH23+employé3!AD20+employé4!AD20+employé5!AD20)</f>
        <v>0</v>
      </c>
      <c r="U20" s="149">
        <f>SUM(Emp.1!AE21+Empl.2!AI23+Empl.3!AI23+employé3!AE20+employé4!AE20+employé5!AE20)</f>
        <v>0</v>
      </c>
      <c r="V20" s="151">
        <f>SUM(Emp.1!AF21+Empl.2!AJ23+Empl.3!AJ23+employé3!AF20+employé4!AF20+employé5!AF20)</f>
        <v>0</v>
      </c>
      <c r="W20" s="149">
        <f>SUM(Emp.1!AG21+Empl.2!AK23+Empl.3!AK23+employé3!AG20+employé4!AG20+employé5!AG20)</f>
        <v>0</v>
      </c>
      <c r="X20" s="149">
        <f>SUM(Emp.1!AH21+Empl.2!AL23+Empl.3!AL23+employé3!AH20+employé4!AH20+employé5!AH20)</f>
        <v>0</v>
      </c>
      <c r="Y20" s="149">
        <f>SUM(Emp.1!AI21+Empl.2!AM23+Empl.3!AM23+employé3!AI20+employé4!AI20+employé5!AI20)</f>
        <v>0</v>
      </c>
      <c r="Z20" s="149">
        <f>SUM(Emp.1!AJ21+Empl.2!AN23+Empl.3!AN23+employé3!AJ20+employé4!AJ20+employé5!AJ20)</f>
        <v>0</v>
      </c>
      <c r="AA20" s="152">
        <f>SUM(Emp.1!AK21+Empl.2!AP23+Empl.3!AP23+employé3!AK20+employé4!AK20+employé5!AK20)</f>
        <v>0</v>
      </c>
      <c r="AB20" s="260">
        <f>SUM(Emp.1!AL21+Empl.2!AQ23+Empl.3!AQ23)</f>
        <v>0</v>
      </c>
      <c r="AC20" s="203">
        <f>SUM(Emp.1!AM21+Empl.2!AR23+Empl.3!AR23)</f>
        <v>0</v>
      </c>
      <c r="AD20" s="203">
        <f>SUM(Emp.1!AN21+Empl.2!AS23+Empl.3!AS23)</f>
        <v>0</v>
      </c>
      <c r="AE20" s="203">
        <f>SUM(Emp.1!AO21+Empl.2!AT23+Empl.3!AT23)</f>
        <v>0</v>
      </c>
      <c r="AF20" s="200">
        <f>SUM(Emp.1!AP21+Empl.2!AU23+Empl.3!AU23)</f>
        <v>0</v>
      </c>
      <c r="AG20" s="203">
        <f>SUM(Emp.1!AR21+Empl.2!AW23+Empl.3!AW23)</f>
        <v>0</v>
      </c>
    </row>
    <row r="21" spans="1:33" x14ac:dyDescent="0.25">
      <c r="B21" s="7"/>
      <c r="C21" s="4"/>
      <c r="E21" s="13">
        <f>Emp.1!O22+Empl.2!O24+Empl.3!O24+employé3!O21+employé4!O21+employé5!O21</f>
        <v>0</v>
      </c>
      <c r="F21" s="25">
        <f>SUM(Emp.1!P22+Empl.2!T24+Empl.3!T24+employé3!P21+employé4!P21+employé5!P21)</f>
        <v>0</v>
      </c>
      <c r="G21" s="25">
        <f>SUM(Emp.1!Q22+Empl.2!U24+Empl.3!U24+employé3!Q21+employé4!Q21+employé5!Q21)</f>
        <v>0</v>
      </c>
      <c r="H21" s="74">
        <f>SUM(Emp.1!R22+Empl.2!V24+Empl.3!V24+employé3!R21+employé4!R21+employé5!R21)</f>
        <v>0</v>
      </c>
      <c r="I21" s="25">
        <f>SUM(Emp.1!S22+Empl.2!W24+Empl.3!W24+employé3!S21+employé4!S21+employé5!S21)</f>
        <v>0</v>
      </c>
      <c r="J21" s="35">
        <f>SUM(Emp.1!T22+Empl.2!X24+Empl.3!X24+employé3!T21+employé4!T21+employé5!T21)</f>
        <v>0</v>
      </c>
      <c r="K21" s="52">
        <f>SUM(Emp.1!U22+Empl.2!Y24+Empl.3!Y24+employé3!U21+employé4!U21+employé5!U21)</f>
        <v>0</v>
      </c>
      <c r="L21" s="25"/>
      <c r="M21" s="31">
        <f>SUM(Emp.1!W22+Empl.2!AA24+Empl.3!AA24+employé3!W21+employé4!W21+employé5!W21)</f>
        <v>0</v>
      </c>
      <c r="N21" s="25"/>
      <c r="O21" s="25">
        <f>SUM(Emp.1!Y22+Empl.2!AC24+Empl.3!AC24+employé3!Y21+employé4!Y21+employé5!Y21)</f>
        <v>0</v>
      </c>
      <c r="P21" s="25">
        <f>SUM(Emp.1!Z22+Empl.2!AD24+Empl.3!AD24+employé3!Z21+employé4!Z21+employé5!Z21)</f>
        <v>0</v>
      </c>
      <c r="Q21" s="25">
        <f>SUM(Emp.1!AA22+Empl.2!AE24+Empl.3!AE24+employé3!AA21+employé4!AA21+employé5!AA21)</f>
        <v>0</v>
      </c>
      <c r="R21" s="25">
        <f>SUM(Emp.1!AB22+Empl.2!AF24+Empl.3!AF24+employé3!AB21+employé4!AB21+employé5!AB21)</f>
        <v>0</v>
      </c>
      <c r="S21" s="25"/>
      <c r="T21" s="94">
        <f>SUM(Emp.1!AD22+Empl.2!AH24+Empl.3!AH24+employé3!AD21+employé4!AD21+employé5!AD21)</f>
        <v>0</v>
      </c>
      <c r="U21" s="95"/>
      <c r="V21" s="94">
        <f>SUM(Emp.1!AF22+Empl.2!AJ24+Empl.3!AJ24+employé3!AF21+employé4!AF21+employé5!AF21)</f>
        <v>0</v>
      </c>
      <c r="W21" s="25">
        <f>SUM(Emp.1!AG22+Empl.2!AK24+Empl.3!AK24+employé3!AG21+employé4!AG21+employé5!AG21)</f>
        <v>0</v>
      </c>
      <c r="X21" s="25">
        <f>SUM(Emp.1!AH22+Empl.2!AL24+Empl.3!AL24+employé3!AH21+employé4!AH21+employé5!AH21)</f>
        <v>0</v>
      </c>
      <c r="Y21" s="25">
        <f>SUM(Emp.1!AI22+Empl.2!AM24+Empl.3!AM24+employé3!AI21+employé4!AI21+employé5!AI21)</f>
        <v>0</v>
      </c>
      <c r="Z21" s="25">
        <f>SUM(Emp.1!AJ22+Empl.2!AN24+Empl.3!AN24+employé3!AJ21+employé4!AJ21+employé5!AJ21)</f>
        <v>0</v>
      </c>
      <c r="AA21" s="96">
        <f>SUM(Emp.1!AK22+Empl.2!AP24+Empl.3!AP24+employé3!AK21+employé4!AK21+employé5!AK21)</f>
        <v>0</v>
      </c>
      <c r="AB21" s="26">
        <f>SUM(Emp.1!AL22+Empl.2!AQ24+Empl.3!AQ24+employé3!AL21+employé4!AL21+employé5!AL21)</f>
        <v>0</v>
      </c>
      <c r="AC21" s="13">
        <f>SUM(Emp.1!AM22+Empl.2!AR24+Empl.3!AR24+employé3!AM21+employé4!AM21+employé5!AM21)</f>
        <v>0</v>
      </c>
      <c r="AD21" s="13">
        <f>SUM(Emp.1!AN22+Empl.2!AS24+Empl.3!AS24+employé3!AN21+employé4!AN21+employé5!AN21)</f>
        <v>0</v>
      </c>
      <c r="AE21" s="13">
        <f>SUM(Emp.1!AO22+Empl.2!AT24+Empl.3!AT24+employé3!AO21+employé4!AO21+employé5!AO21)</f>
        <v>0</v>
      </c>
    </row>
    <row r="22" spans="1:33" x14ac:dyDescent="0.25">
      <c r="A22" t="s">
        <v>14</v>
      </c>
      <c r="B22" s="7">
        <v>5</v>
      </c>
      <c r="C22" s="4"/>
      <c r="E22" s="13">
        <f>Emp.1!O23+Empl.2!O25+Empl.3!O25+employé3!O22+employé4!O22+employé5!O22</f>
        <v>0</v>
      </c>
      <c r="F22" s="91"/>
      <c r="G22" s="128"/>
      <c r="H22" s="135"/>
      <c r="I22" s="128"/>
      <c r="J22" s="136"/>
      <c r="K22" s="103"/>
      <c r="L22" s="128"/>
      <c r="M22" s="137"/>
      <c r="N22" s="128"/>
      <c r="O22" s="103"/>
      <c r="P22" s="128"/>
      <c r="Q22" s="128"/>
      <c r="R22" s="128"/>
      <c r="S22" s="128"/>
      <c r="T22" s="166"/>
      <c r="U22" s="128"/>
      <c r="V22" s="138"/>
      <c r="W22" s="128"/>
      <c r="X22" s="128"/>
      <c r="Y22" s="128"/>
      <c r="Z22" s="128"/>
      <c r="AA22" s="139"/>
      <c r="AB22" s="252"/>
      <c r="AC22" s="102"/>
      <c r="AD22" s="102"/>
      <c r="AE22" s="102"/>
      <c r="AF22" s="102"/>
      <c r="AG22" s="255"/>
    </row>
    <row r="23" spans="1:33" x14ac:dyDescent="0.25">
      <c r="A23" t="s">
        <v>14</v>
      </c>
      <c r="B23" s="7">
        <v>12</v>
      </c>
      <c r="C23" s="4"/>
      <c r="E23" s="52"/>
      <c r="F23" s="91"/>
      <c r="G23" s="125"/>
      <c r="H23" s="142"/>
      <c r="I23" s="125"/>
      <c r="J23" s="143"/>
      <c r="K23" s="144"/>
      <c r="L23" s="125"/>
      <c r="M23" s="145"/>
      <c r="N23" s="125"/>
      <c r="O23" s="125"/>
      <c r="P23" s="125"/>
      <c r="Q23" s="125"/>
      <c r="R23" s="125"/>
      <c r="S23" s="125"/>
      <c r="T23" s="167"/>
      <c r="U23" s="125"/>
      <c r="V23" s="146"/>
      <c r="W23" s="125"/>
      <c r="X23" s="125"/>
      <c r="Y23" s="125"/>
      <c r="Z23" s="125"/>
      <c r="AA23" s="147"/>
      <c r="AB23" s="259"/>
      <c r="AC23" s="30"/>
      <c r="AD23" s="30"/>
      <c r="AE23" s="30"/>
      <c r="AF23" s="30"/>
      <c r="AG23" s="238"/>
    </row>
    <row r="24" spans="1:33" x14ac:dyDescent="0.25">
      <c r="A24" t="s">
        <v>14</v>
      </c>
      <c r="B24" s="7">
        <v>19</v>
      </c>
      <c r="C24" s="4"/>
      <c r="E24" s="52"/>
      <c r="F24" s="91"/>
      <c r="G24" s="125"/>
      <c r="H24" s="142"/>
      <c r="I24" s="125"/>
      <c r="J24" s="143"/>
      <c r="K24" s="144"/>
      <c r="L24" s="125"/>
      <c r="M24" s="145"/>
      <c r="N24" s="125"/>
      <c r="O24" s="125"/>
      <c r="P24" s="125"/>
      <c r="Q24" s="125"/>
      <c r="R24" s="125"/>
      <c r="S24" s="125"/>
      <c r="T24" s="167"/>
      <c r="U24" s="125"/>
      <c r="V24" s="146"/>
      <c r="W24" s="125"/>
      <c r="X24" s="125"/>
      <c r="Y24" s="125"/>
      <c r="Z24" s="125"/>
      <c r="AA24" s="147"/>
      <c r="AB24" s="259"/>
      <c r="AC24" s="30"/>
      <c r="AD24" s="30"/>
      <c r="AE24" s="30"/>
      <c r="AF24" s="30"/>
      <c r="AG24" s="238"/>
    </row>
    <row r="25" spans="1:33" x14ac:dyDescent="0.25">
      <c r="A25" t="s">
        <v>14</v>
      </c>
      <c r="B25" s="7">
        <v>26</v>
      </c>
      <c r="C25" s="4"/>
      <c r="E25" s="52"/>
      <c r="F25" s="91"/>
      <c r="G25" s="214"/>
      <c r="H25" s="142"/>
      <c r="I25" s="125"/>
      <c r="J25" s="143"/>
      <c r="K25" s="144"/>
      <c r="L25" s="125"/>
      <c r="M25" s="145"/>
      <c r="N25" s="125"/>
      <c r="O25" s="125"/>
      <c r="P25" s="125"/>
      <c r="Q25" s="125"/>
      <c r="R25" s="125"/>
      <c r="S25" s="125"/>
      <c r="T25" s="167"/>
      <c r="U25" s="125"/>
      <c r="V25" s="146"/>
      <c r="W25" s="125"/>
      <c r="X25" s="125"/>
      <c r="Y25" s="125"/>
      <c r="Z25" s="125"/>
      <c r="AA25" s="147"/>
      <c r="AB25" s="259"/>
      <c r="AC25" s="30"/>
      <c r="AD25" s="30"/>
      <c r="AE25" s="30"/>
      <c r="AF25" s="30"/>
      <c r="AG25" s="238"/>
    </row>
    <row r="26" spans="1:33" x14ac:dyDescent="0.25">
      <c r="A26" s="16" t="s">
        <v>14</v>
      </c>
      <c r="B26" s="39"/>
      <c r="C26" s="4"/>
      <c r="E26" s="52"/>
      <c r="F26" s="91"/>
      <c r="G26" s="204"/>
      <c r="H26" s="205"/>
      <c r="I26" s="206"/>
      <c r="J26" s="207"/>
      <c r="K26" s="208"/>
      <c r="L26" s="206"/>
      <c r="M26" s="209"/>
      <c r="N26" s="206"/>
      <c r="O26" s="206"/>
      <c r="P26" s="206"/>
      <c r="Q26" s="206"/>
      <c r="R26" s="206"/>
      <c r="S26" s="206"/>
      <c r="T26" s="210"/>
      <c r="U26" s="206"/>
      <c r="V26" s="211"/>
      <c r="W26" s="206"/>
      <c r="X26" s="206"/>
      <c r="Y26" s="206"/>
      <c r="Z26" s="206"/>
      <c r="AA26" s="212"/>
      <c r="AB26" s="259"/>
      <c r="AC26" s="30"/>
      <c r="AD26" s="30"/>
      <c r="AE26" s="30"/>
      <c r="AF26" s="30"/>
      <c r="AG26" s="238"/>
    </row>
    <row r="27" spans="1:33" x14ac:dyDescent="0.25">
      <c r="A27" s="4" t="s">
        <v>33</v>
      </c>
      <c r="B27" s="5"/>
      <c r="C27" s="4"/>
      <c r="D27" s="13">
        <f>Emp.1!N28+Empl.2!N30+Empl.3!N30+employé3!N27+employé4!N27+employé5!N27</f>
        <v>0</v>
      </c>
      <c r="E27" s="13">
        <f>Emp.1!O28+Empl.2!O30+Empl.3!O30+employé3!O27+employé4!O27+employé5!O27</f>
        <v>0</v>
      </c>
      <c r="F27" s="149">
        <f>SUM(Emp.1!P28+Empl.2!T30+Empl.3!T30+employé3!P27+employé4!P27+employé5!P27)</f>
        <v>0</v>
      </c>
      <c r="G27" s="149">
        <f>SUM(Emp.1!Q28+Empl.2!U30+Empl.3!U30+employé3!Q27+employé4!Q27+employé5!Q27)</f>
        <v>0</v>
      </c>
      <c r="H27" s="150">
        <f>SUM(Emp.1!R28+Empl.2!V30+Empl.3!V30+employé3!R27+employé4!R27+employé5!R27)</f>
        <v>0</v>
      </c>
      <c r="I27" s="149">
        <f>SUM(Emp.1!S28+Empl.2!W30+Empl.3!W30+employé3!S27+employé4!S27+employé5!S27)</f>
        <v>0</v>
      </c>
      <c r="J27" s="149">
        <f>SUM(Emp.1!T28+Empl.2!X30+Empl.3!X30+employé3!T27+employé4!T27+employé5!T27)</f>
        <v>0</v>
      </c>
      <c r="K27" s="149">
        <f>SUM(Emp.1!U28+Empl.2!Y30+Empl.3!Y30+employé3!U27+employé4!U27+employé5!U27)</f>
        <v>0</v>
      </c>
      <c r="L27" s="149"/>
      <c r="M27" s="149">
        <f>SUM(Emp.1!W28+Empl.2!AA30+Empl.3!AA30+employé3!W27+employé4!W27+employé5!W27)</f>
        <v>0</v>
      </c>
      <c r="N27" s="149"/>
      <c r="O27" s="149">
        <f>SUM(Emp.1!Y28+Empl.2!AC30+Empl.3!AC30+employé3!Y27+employé4!Y27+employé5!Y27)</f>
        <v>0</v>
      </c>
      <c r="P27" s="149">
        <f>SUM(Emp.1!Z28+Empl.2!AD30+Empl.3!AD30+employé3!Z27+employé4!Z27+employé5!Z27)</f>
        <v>0</v>
      </c>
      <c r="Q27" s="149">
        <f>SUM(Emp.1!AA28+Empl.2!AE30+Empl.3!AE30+employé3!AA27+employé4!AA27+employé5!AA27)</f>
        <v>0</v>
      </c>
      <c r="R27" s="149">
        <f>SUM(Emp.1!AB28+Empl.2!AF30+Empl.3!AF30+employé3!AB27+employé4!AB27+employé5!AB27)</f>
        <v>0</v>
      </c>
      <c r="S27" s="149">
        <f>SUM(Emp.1!AC28+Empl.2!AG30+Empl.3!AG30+employé3!AC27+employé4!AC27+employé5!AC27)</f>
        <v>0</v>
      </c>
      <c r="T27" s="168">
        <f>SUM(Emp.1!AD28+Empl.2!AH30+Empl.3!AH30+employé3!AD27+employé4!AD27+employé5!AD27)</f>
        <v>0</v>
      </c>
      <c r="U27" s="149"/>
      <c r="V27" s="151">
        <f>SUM(Emp.1!AF28+Empl.2!AJ30+Empl.3!AJ30+employé3!AF27+employé4!AF27+employé5!AF27)</f>
        <v>0</v>
      </c>
      <c r="W27" s="149">
        <f>SUM(Emp.1!AG28+Empl.2!AK30+Empl.3!AK30+employé3!AG27+employé4!AG27+employé5!AG27)</f>
        <v>0</v>
      </c>
      <c r="X27" s="149">
        <f>SUM(Emp.1!AH28+Empl.2!AL30+Empl.3!AL30+employé3!AH27+employé4!AH27+employé5!AH27)</f>
        <v>0</v>
      </c>
      <c r="Y27" s="149">
        <f>SUM(Emp.1!AI28+Empl.2!AM30+Empl.3!AM30+employé3!AI27+employé4!AI27+employé5!AI27)</f>
        <v>0</v>
      </c>
      <c r="Z27" s="149">
        <f>SUM(Emp.1!AJ28+Empl.2!AN30+Empl.3!AN30+employé3!AJ27+employé4!AJ27+employé5!AJ27)</f>
        <v>0</v>
      </c>
      <c r="AA27" s="152">
        <f>SUM(Emp.1!AK28+Empl.2!AP30+Empl.3!AP30+employé3!AK27+employé4!AK27+employé5!AK27)</f>
        <v>0</v>
      </c>
      <c r="AB27" s="260">
        <f>SUM(Emp.1!AL28+Empl.2!AQ30+Empl.3!AQ30)</f>
        <v>0</v>
      </c>
      <c r="AC27" s="203">
        <f>SUM(Emp.1!AM28+Empl.2!AR30+Empl.3!AR30)</f>
        <v>0</v>
      </c>
      <c r="AD27" s="203">
        <f>SUM(Emp.1!AN28+Empl.2!AS30+Empl.3!AS30)</f>
        <v>0</v>
      </c>
      <c r="AE27" s="203">
        <f>SUM(Emp.1!AO28+Empl.2!AT30+Empl.3!AT30)</f>
        <v>0</v>
      </c>
      <c r="AF27" s="200">
        <f>SUM(Emp.1!AP28+Empl.2!AU30+Empl.3!AU30)</f>
        <v>0</v>
      </c>
      <c r="AG27" s="203">
        <f>SUM(Emp.1!AR28+Empl.2!AW30+Empl.3!AW30)</f>
        <v>0</v>
      </c>
    </row>
    <row r="28" spans="1:33" x14ac:dyDescent="0.25">
      <c r="B28" s="7"/>
      <c r="C28" s="4"/>
      <c r="D28" s="13">
        <f>Emp.1!N29+Empl.2!N31+Empl.3!N31+employé3!N28+employé4!N28+employé5!N28</f>
        <v>0</v>
      </c>
      <c r="E28" s="13">
        <f>Emp.1!O29+Empl.2!O31+Empl.3!O31+employé3!O28+employé4!O28+employé5!O28</f>
        <v>0</v>
      </c>
      <c r="F28" s="25">
        <f>SUM(Emp.1!P29+Empl.2!T31+Empl.3!T31+employé3!P28+employé4!P28+employé5!P28)</f>
        <v>0</v>
      </c>
      <c r="G28" s="25">
        <f>SUM(Emp.1!Q29+Empl.2!U31+Empl.3!U31+employé3!Q28+employé4!Q28+employé5!Q28)</f>
        <v>0</v>
      </c>
      <c r="H28" s="74">
        <f>SUM(Emp.1!R29+Empl.2!V31+Empl.3!V31+employé3!R28+employé4!R28+employé5!R28)</f>
        <v>0</v>
      </c>
      <c r="I28" s="25">
        <f>SUM(Emp.1!S29+Empl.2!W31+Empl.3!W31+employé3!S28+employé4!S28+employé5!S28)</f>
        <v>0</v>
      </c>
      <c r="J28" s="35">
        <f>SUM(Emp.1!T29+Empl.2!X31+Empl.3!X31+employé3!T28+employé4!T28+employé5!T28)</f>
        <v>0</v>
      </c>
      <c r="K28" s="52">
        <f>SUM(Emp.1!U29+Empl.2!Y31+Empl.3!Y31+employé3!U28+employé4!U28+employé5!U28)</f>
        <v>0</v>
      </c>
      <c r="L28" s="13"/>
      <c r="M28" s="31">
        <f>SUM(Emp.1!W29+Empl.2!AA31+Empl.3!AA31+employé3!W28+employé4!W28+employé5!W28)</f>
        <v>0</v>
      </c>
      <c r="N28" s="25"/>
      <c r="O28" s="25">
        <f>SUM(Emp.1!Y29+Empl.2!AC31+Empl.3!AC31+employé3!Y28+employé4!Y28+employé5!Y28)</f>
        <v>0</v>
      </c>
      <c r="P28" s="25">
        <f>SUM(Emp.1!Z29+Empl.2!AD31+Empl.3!AD31+employé3!Z28+employé4!Z28+employé5!Z28)</f>
        <v>0</v>
      </c>
      <c r="Q28" s="25">
        <f>SUM(Emp.1!AA29+Empl.2!AE31+Empl.3!AE31+employé3!AA28+employé4!AA28+employé5!AA28)</f>
        <v>0</v>
      </c>
      <c r="R28" s="25">
        <f>SUM(Emp.1!AB29+Empl.2!AF31+Empl.3!AF31+employé3!AB28+employé4!AB28+employé5!AB28)</f>
        <v>0</v>
      </c>
      <c r="S28" s="25"/>
      <c r="T28" s="94">
        <f>SUM(Emp.1!AD29+Empl.2!AH31+Empl.3!AH31+employé3!AD28+employé4!AD28+employé5!AD28)</f>
        <v>0</v>
      </c>
      <c r="U28" s="95"/>
      <c r="V28" s="94">
        <f>SUM(Emp.1!AF29+Empl.2!AJ31+Empl.3!AJ31+employé3!AF28+employé4!AF28+employé5!AF28)</f>
        <v>0</v>
      </c>
      <c r="W28" s="25">
        <f>SUM(Emp.1!AG29+Empl.2!AK31+Empl.3!AK31+employé3!AG28+employé4!AG28+employé5!AG28)</f>
        <v>0</v>
      </c>
      <c r="X28" s="25">
        <f>SUM(Emp.1!AH29+Empl.2!AL31+Empl.3!AL31+employé3!AH28+employé4!AH28+employé5!AH28)</f>
        <v>0</v>
      </c>
      <c r="Y28" s="25">
        <f>SUM(Emp.1!AI29+Empl.2!AM31+Empl.3!AM31+employé3!AI28+employé4!AI28+employé5!AI28)</f>
        <v>0</v>
      </c>
      <c r="Z28" s="25">
        <f>SUM(Emp.1!AJ29+Empl.2!AN31+Empl.3!AN31+employé3!AJ28+employé4!AJ28+employé5!AJ28)</f>
        <v>0</v>
      </c>
      <c r="AA28" s="96">
        <f>SUM(Emp.1!AK29+Empl.2!AP31+Empl.3!AP31+employé3!AK28+employé4!AK28+employé5!AK28)</f>
        <v>0</v>
      </c>
      <c r="AB28" s="26">
        <f>SUM(Emp.1!AL29+Empl.2!AQ31+Empl.3!AQ31+employé3!AL28+employé4!AL28+employé5!AL28)</f>
        <v>0</v>
      </c>
      <c r="AC28" s="13">
        <f>SUM(Emp.1!AM29+Empl.2!AR31+Empl.3!AR31+employé3!AM28+employé4!AM28+employé5!AM28)</f>
        <v>0</v>
      </c>
      <c r="AD28" s="13">
        <f>SUM(Emp.1!AN29+Empl.2!AS31+Empl.3!AS31+employé3!AN28+employé4!AN28+employé5!AN28)</f>
        <v>0</v>
      </c>
      <c r="AE28" s="13">
        <f>SUM(Emp.1!AO29+Empl.2!AT31+Empl.3!AT31+employé3!AO28+employé4!AO28+employé5!AO28)</f>
        <v>0</v>
      </c>
    </row>
    <row r="29" spans="1:33" x14ac:dyDescent="0.25">
      <c r="A29" t="s">
        <v>15</v>
      </c>
      <c r="B29" s="7">
        <v>3</v>
      </c>
      <c r="C29" s="4"/>
      <c r="D29" s="13">
        <f>Emp.1!N30+Empl.2!N32+Empl.3!N32+employé3!N29+employé4!N29+employé5!N29</f>
        <v>0</v>
      </c>
      <c r="E29" s="13">
        <f>Emp.1!O30+Empl.2!O32+Empl.3!O32+employé3!O29+employé4!O29+employé5!O29</f>
        <v>0</v>
      </c>
      <c r="F29" s="91"/>
      <c r="G29" s="128"/>
      <c r="H29" s="135"/>
      <c r="I29" s="128"/>
      <c r="J29" s="136"/>
      <c r="K29" s="103"/>
      <c r="L29" s="128"/>
      <c r="M29" s="137"/>
      <c r="N29" s="128"/>
      <c r="O29" s="103"/>
      <c r="P29" s="128"/>
      <c r="Q29" s="128"/>
      <c r="R29" s="128"/>
      <c r="S29" s="128"/>
      <c r="T29" s="166"/>
      <c r="U29" s="128"/>
      <c r="V29" s="138"/>
      <c r="W29" s="128"/>
      <c r="X29" s="128"/>
      <c r="Y29" s="128"/>
      <c r="Z29" s="128"/>
      <c r="AA29" s="139"/>
      <c r="AB29" s="252"/>
      <c r="AC29" s="102"/>
      <c r="AD29" s="102"/>
      <c r="AE29" s="102"/>
      <c r="AF29" s="102"/>
      <c r="AG29" s="255"/>
    </row>
    <row r="30" spans="1:33" x14ac:dyDescent="0.25">
      <c r="A30" t="s">
        <v>15</v>
      </c>
      <c r="B30" s="7">
        <v>10</v>
      </c>
      <c r="C30" s="4"/>
      <c r="D30" s="13"/>
      <c r="E30" s="13"/>
      <c r="F30" s="91"/>
      <c r="G30" s="125"/>
      <c r="H30" s="142"/>
      <c r="I30" s="125"/>
      <c r="J30" s="143"/>
      <c r="K30" s="144"/>
      <c r="L30" s="125"/>
      <c r="M30" s="145"/>
      <c r="N30" s="125"/>
      <c r="O30" s="125"/>
      <c r="P30" s="125"/>
      <c r="Q30" s="125"/>
      <c r="R30" s="125"/>
      <c r="S30" s="125"/>
      <c r="T30" s="167"/>
      <c r="U30" s="125"/>
      <c r="V30" s="146"/>
      <c r="W30" s="125"/>
      <c r="X30" s="125"/>
      <c r="Y30" s="125"/>
      <c r="Z30" s="125"/>
      <c r="AA30" s="147"/>
      <c r="AB30" s="259"/>
      <c r="AC30" s="30"/>
      <c r="AD30" s="30"/>
      <c r="AE30" s="30"/>
      <c r="AF30" s="30"/>
      <c r="AG30" s="238"/>
    </row>
    <row r="31" spans="1:33" x14ac:dyDescent="0.25">
      <c r="A31" t="s">
        <v>15</v>
      </c>
      <c r="B31" s="7">
        <v>17</v>
      </c>
      <c r="C31" s="4"/>
      <c r="D31" s="13"/>
      <c r="E31" s="13"/>
      <c r="F31" s="91"/>
      <c r="G31" s="125"/>
      <c r="H31" s="142"/>
      <c r="I31" s="125"/>
      <c r="J31" s="143"/>
      <c r="K31" s="144"/>
      <c r="L31" s="125"/>
      <c r="M31" s="145"/>
      <c r="N31" s="125"/>
      <c r="O31" s="125"/>
      <c r="P31" s="125"/>
      <c r="Q31" s="125"/>
      <c r="R31" s="125"/>
      <c r="S31" s="125"/>
      <c r="T31" s="167"/>
      <c r="U31" s="125"/>
      <c r="V31" s="146"/>
      <c r="W31" s="125"/>
      <c r="X31" s="125"/>
      <c r="Y31" s="125"/>
      <c r="Z31" s="125"/>
      <c r="AA31" s="147"/>
      <c r="AB31" s="259"/>
      <c r="AC31" s="30"/>
      <c r="AD31" s="30"/>
      <c r="AE31" s="30"/>
      <c r="AF31" s="30"/>
      <c r="AG31" s="238"/>
    </row>
    <row r="32" spans="1:33" x14ac:dyDescent="0.25">
      <c r="A32" t="s">
        <v>15</v>
      </c>
      <c r="B32" s="7">
        <v>24</v>
      </c>
      <c r="C32" s="4"/>
      <c r="D32" s="13"/>
      <c r="E32" s="13"/>
      <c r="F32" s="91"/>
      <c r="G32" s="214"/>
      <c r="H32" s="142"/>
      <c r="I32" s="125"/>
      <c r="J32" s="143"/>
      <c r="K32" s="144"/>
      <c r="L32" s="125"/>
      <c r="M32" s="145"/>
      <c r="N32" s="125"/>
      <c r="O32" s="125"/>
      <c r="P32" s="125"/>
      <c r="Q32" s="125"/>
      <c r="R32" s="125"/>
      <c r="S32" s="125"/>
      <c r="T32" s="167"/>
      <c r="U32" s="125"/>
      <c r="V32" s="146"/>
      <c r="W32" s="125"/>
      <c r="X32" s="125"/>
      <c r="Y32" s="125"/>
      <c r="Z32" s="125"/>
      <c r="AA32" s="147"/>
      <c r="AB32" s="259"/>
      <c r="AC32" s="30"/>
      <c r="AD32" s="30"/>
      <c r="AE32" s="30"/>
      <c r="AF32" s="30"/>
      <c r="AG32" s="238"/>
    </row>
    <row r="33" spans="1:33" x14ac:dyDescent="0.25">
      <c r="A33" t="s">
        <v>15</v>
      </c>
      <c r="B33" s="7">
        <v>31</v>
      </c>
      <c r="C33" s="4"/>
      <c r="D33" s="13"/>
      <c r="E33" s="13"/>
      <c r="F33" s="91"/>
      <c r="G33" s="204"/>
      <c r="H33" s="205"/>
      <c r="I33" s="206"/>
      <c r="J33" s="207"/>
      <c r="K33" s="208"/>
      <c r="L33" s="206"/>
      <c r="M33" s="209"/>
      <c r="N33" s="206"/>
      <c r="O33" s="206"/>
      <c r="P33" s="206"/>
      <c r="Q33" s="206"/>
      <c r="R33" s="206"/>
      <c r="S33" s="206"/>
      <c r="T33" s="210"/>
      <c r="U33" s="206"/>
      <c r="V33" s="211"/>
      <c r="W33" s="206"/>
      <c r="X33" s="206"/>
      <c r="Y33" s="206"/>
      <c r="Z33" s="206"/>
      <c r="AA33" s="212"/>
      <c r="AB33" s="259"/>
      <c r="AC33" s="30"/>
      <c r="AD33" s="30"/>
      <c r="AE33" s="30"/>
      <c r="AF33" s="30"/>
      <c r="AG33" s="238"/>
    </row>
    <row r="34" spans="1:33" x14ac:dyDescent="0.25">
      <c r="A34" s="4" t="s">
        <v>33</v>
      </c>
      <c r="B34" s="5"/>
      <c r="C34" s="4"/>
      <c r="D34" s="13">
        <f>Emp.1!N35+Empl.2!N37+Empl.3!N37+employé3!N34+employé4!N34+employé5!N34</f>
        <v>0</v>
      </c>
      <c r="E34" s="13">
        <f>Emp.1!O35+Empl.2!O37+Empl.3!O37+employé3!O34+employé4!O34+employé5!O34</f>
        <v>0</v>
      </c>
      <c r="F34" s="149">
        <f>SUM(Emp.1!P35+Empl.2!T37+Empl.3!T37+employé3!P34+employé4!P34+employé5!P34)</f>
        <v>0</v>
      </c>
      <c r="G34" s="149">
        <f>SUM(Emp.1!Q35+Empl.2!U37+Empl.3!U37+employé3!Q34+employé4!Q34+employé5!Q34)</f>
        <v>0</v>
      </c>
      <c r="H34" s="150">
        <f>SUM(Emp.1!R35+Empl.2!V37+Empl.3!V37+employé3!R34+employé4!R34+employé5!R34)</f>
        <v>0</v>
      </c>
      <c r="I34" s="149">
        <f>SUM(Emp.1!S35+Empl.2!W37+Empl.3!W37+employé3!S34+employé4!S34+employé5!S34)</f>
        <v>0</v>
      </c>
      <c r="J34" s="149">
        <f>SUM(Emp.1!T35+Empl.2!X37+Empl.3!X37+employé3!T34+employé4!T34+employé5!T34)</f>
        <v>0</v>
      </c>
      <c r="K34" s="149">
        <f>SUM(Emp.1!U35+Empl.2!Y37+Empl.3!Y37+employé3!U34+employé4!U34+employé5!U34)</f>
        <v>0</v>
      </c>
      <c r="L34" s="149">
        <f>SUM(Emp.1!V35+Empl.2!Z37+Empl.3!Z37+employé3!V34+employé4!V34+employé5!V34)</f>
        <v>0</v>
      </c>
      <c r="M34" s="149">
        <f>SUM(Emp.1!W35+Empl.2!AA37+Empl.3!AA37+employé3!W34+employé4!W34+employé5!W34)</f>
        <v>0</v>
      </c>
      <c r="N34" s="149">
        <f>SUM(Emp.1!X35+Empl.2!AB37+Empl.3!AB37+employé3!X34+employé4!X34+employé5!X34)</f>
        <v>0</v>
      </c>
      <c r="O34" s="149">
        <f>SUM(Emp.1!Y35+Empl.2!AC37+Empl.3!AC37+employé3!Y34+employé4!Y34+employé5!Y34)</f>
        <v>0</v>
      </c>
      <c r="P34" s="149">
        <f>SUM(Emp.1!Z35+Empl.2!AD37+Empl.3!AD37+employé3!Z34+employé4!Z34+employé5!Z34)</f>
        <v>0</v>
      </c>
      <c r="Q34" s="149">
        <f>SUM(Emp.1!AA35+Empl.2!AE37+Empl.3!AE37+employé3!AA34+employé4!AA34+employé5!AA34)</f>
        <v>0</v>
      </c>
      <c r="R34" s="149">
        <f>SUM(Emp.1!AB35+Empl.2!AF37+Empl.3!AF37+employé3!AB34+employé4!AB34+employé5!AB34)</f>
        <v>0</v>
      </c>
      <c r="S34" s="149">
        <f>SUM(Emp.1!AC35+Empl.2!AG37+Empl.3!AG37+employé3!AC34+employé4!AC34+employé5!AC34)</f>
        <v>0</v>
      </c>
      <c r="T34" s="168">
        <f>SUM(Emp.1!AD35+Empl.2!AH37+Empl.3!AH37+employé3!AD34+employé4!AD34+employé5!AD34)</f>
        <v>0</v>
      </c>
      <c r="U34" s="149">
        <f>SUM(Emp.1!AE35+Empl.2!AI37+Empl.3!AI37+employé3!AE34+employé4!AE34+employé5!AE34)</f>
        <v>0</v>
      </c>
      <c r="V34" s="151">
        <f>SUM(Emp.1!AF35+Empl.2!AJ37+Empl.3!AJ37+employé3!AF34+employé4!AF34+employé5!AF34)</f>
        <v>0</v>
      </c>
      <c r="W34" s="149">
        <f>SUM(Emp.1!AG35+Empl.2!AK37+Empl.3!AK37+employé3!AG34+employé4!AG34+employé5!AG34)</f>
        <v>0</v>
      </c>
      <c r="X34" s="149">
        <f>SUM(Emp.1!AH35+Empl.2!AL37+Empl.3!AL37+employé3!AH34+employé4!AH34+employé5!AH34)</f>
        <v>0</v>
      </c>
      <c r="Y34" s="149">
        <f>SUM(Emp.1!AI35+Empl.2!AM37+Empl.3!AM37+employé3!AI34+employé4!AI34+employé5!AI34)</f>
        <v>0</v>
      </c>
      <c r="Z34" s="149">
        <f>SUM(Emp.1!AJ35+Empl.2!AN37+Empl.3!AN37+employé3!AJ34+employé4!AJ34+employé5!AJ34)</f>
        <v>0</v>
      </c>
      <c r="AA34" s="152">
        <f>SUM(Emp.1!AK35+Empl.2!AP37+Empl.3!AP37+employé3!AK34+employé4!AK34+employé5!AK34)</f>
        <v>0</v>
      </c>
      <c r="AB34" s="260">
        <f>SUM(Emp.1!AL35+Empl.2!AQ37+Empl.3!AQ37)</f>
        <v>0</v>
      </c>
      <c r="AC34" s="203">
        <f>SUM(Emp.1!AM35+Empl.2!AR37+Empl.3!AR37)</f>
        <v>0</v>
      </c>
      <c r="AD34" s="203">
        <f>SUM(Emp.1!AN35+Empl.2!AS37+Empl.3!AS37)</f>
        <v>0</v>
      </c>
      <c r="AE34" s="203">
        <f>SUM(Emp.1!AO35+Empl.2!AT37+Empl.3!AT37)</f>
        <v>0</v>
      </c>
      <c r="AF34" s="200">
        <f>SUM(Emp.1!AP35+Empl.2!AU37+Empl.3!AU37)</f>
        <v>0</v>
      </c>
      <c r="AG34" s="203">
        <f>SUM(Emp.1!AR35+Empl.2!AW37+Empl.3!AW37)</f>
        <v>0</v>
      </c>
    </row>
    <row r="35" spans="1:33" x14ac:dyDescent="0.25">
      <c r="B35" s="7"/>
      <c r="C35" s="4"/>
      <c r="E35" s="4"/>
      <c r="F35" s="25"/>
      <c r="G35" s="25"/>
      <c r="H35" s="74"/>
      <c r="I35" s="25"/>
      <c r="J35" s="35"/>
      <c r="K35" s="52"/>
      <c r="L35" s="13"/>
      <c r="M35" s="31"/>
      <c r="N35" s="25"/>
      <c r="O35" s="25"/>
      <c r="P35" s="25"/>
      <c r="Q35" s="25"/>
      <c r="R35" s="25"/>
      <c r="S35" s="25"/>
      <c r="T35" s="94"/>
      <c r="U35" s="95"/>
      <c r="V35" s="94"/>
      <c r="W35" s="25"/>
      <c r="X35" s="25"/>
      <c r="Y35" s="25"/>
      <c r="Z35" s="25"/>
      <c r="AA35" s="96">
        <f>SUM(Emp.1!AK36+Empl.2!AP38+Empl.3!AP38+employé3!AK35+employé4!AK35+employé5!AK35)</f>
        <v>0</v>
      </c>
      <c r="AB35" s="26"/>
      <c r="AE35" s="13">
        <f>SUM(Emp.1!AO36+Empl.2!AT38+Empl.3!AT38+employé3!AO35+employé4!AO35+employé5!AO35)</f>
        <v>0</v>
      </c>
    </row>
    <row r="36" spans="1:33" x14ac:dyDescent="0.25">
      <c r="A36" t="s">
        <v>16</v>
      </c>
      <c r="B36" s="7">
        <v>7</v>
      </c>
      <c r="C36" s="4"/>
      <c r="E36" s="4">
        <f>Emp.1!O36</f>
        <v>0</v>
      </c>
      <c r="F36" s="91"/>
      <c r="G36" s="128"/>
      <c r="H36" s="135"/>
      <c r="I36" s="128"/>
      <c r="J36" s="136"/>
      <c r="K36" s="103"/>
      <c r="L36" s="128"/>
      <c r="M36" s="137"/>
      <c r="N36" s="128"/>
      <c r="O36" s="103"/>
      <c r="P36" s="128"/>
      <c r="Q36" s="128"/>
      <c r="R36" s="128"/>
      <c r="S36" s="128"/>
      <c r="T36" s="166"/>
      <c r="U36" s="128"/>
      <c r="V36" s="138"/>
      <c r="W36" s="128"/>
      <c r="X36" s="128"/>
      <c r="Y36" s="128"/>
      <c r="Z36" s="128"/>
      <c r="AA36" s="139"/>
      <c r="AB36" s="252"/>
      <c r="AC36" s="102"/>
      <c r="AD36" s="102"/>
      <c r="AE36" s="102"/>
      <c r="AF36" s="102"/>
      <c r="AG36" s="255"/>
    </row>
    <row r="37" spans="1:33" x14ac:dyDescent="0.25">
      <c r="A37" t="s">
        <v>16</v>
      </c>
      <c r="B37" s="7">
        <v>14</v>
      </c>
      <c r="C37" s="4"/>
      <c r="E37" s="4">
        <f>Emp.1!O37</f>
        <v>0</v>
      </c>
      <c r="F37" s="91"/>
      <c r="G37" s="125"/>
      <c r="H37" s="142"/>
      <c r="I37" s="125"/>
      <c r="J37" s="143"/>
      <c r="K37" s="144"/>
      <c r="L37" s="125"/>
      <c r="M37" s="145"/>
      <c r="N37" s="125"/>
      <c r="O37" s="125"/>
      <c r="P37" s="125"/>
      <c r="Q37" s="125"/>
      <c r="R37" s="125"/>
      <c r="S37" s="125"/>
      <c r="T37" s="167"/>
      <c r="U37" s="125"/>
      <c r="V37" s="146"/>
      <c r="W37" s="125"/>
      <c r="X37" s="125"/>
      <c r="Y37" s="125"/>
      <c r="Z37" s="125"/>
      <c r="AA37" s="147"/>
      <c r="AB37" s="259"/>
      <c r="AC37" s="30"/>
      <c r="AD37" s="30"/>
      <c r="AE37" s="30"/>
      <c r="AF37" s="30"/>
      <c r="AG37" s="238"/>
    </row>
    <row r="38" spans="1:33" x14ac:dyDescent="0.25">
      <c r="A38" t="s">
        <v>16</v>
      </c>
      <c r="B38" s="7">
        <v>21</v>
      </c>
      <c r="C38" s="4"/>
      <c r="E38" s="4">
        <f>Emp.1!O38</f>
        <v>0</v>
      </c>
      <c r="F38" s="91"/>
      <c r="G38" s="125"/>
      <c r="H38" s="142"/>
      <c r="I38" s="125"/>
      <c r="J38" s="143"/>
      <c r="K38" s="144"/>
      <c r="L38" s="125"/>
      <c r="M38" s="145"/>
      <c r="N38" s="125"/>
      <c r="O38" s="125"/>
      <c r="P38" s="125"/>
      <c r="Q38" s="125"/>
      <c r="R38" s="125"/>
      <c r="S38" s="125"/>
      <c r="T38" s="167"/>
      <c r="U38" s="125"/>
      <c r="V38" s="146"/>
      <c r="W38" s="125"/>
      <c r="X38" s="125"/>
      <c r="Y38" s="125"/>
      <c r="Z38" s="125"/>
      <c r="AA38" s="147"/>
      <c r="AB38" s="259"/>
      <c r="AC38" s="30"/>
      <c r="AD38" s="30"/>
      <c r="AE38" s="30"/>
      <c r="AF38" s="30"/>
      <c r="AG38" s="238"/>
    </row>
    <row r="39" spans="1:33" x14ac:dyDescent="0.25">
      <c r="A39" t="s">
        <v>16</v>
      </c>
      <c r="B39" s="7">
        <v>28</v>
      </c>
      <c r="C39" s="4"/>
      <c r="E39" s="4">
        <f>Emp.1!O39</f>
        <v>0</v>
      </c>
      <c r="F39" s="91"/>
      <c r="G39" s="125"/>
      <c r="H39" s="142"/>
      <c r="I39" s="125"/>
      <c r="J39" s="143"/>
      <c r="K39" s="144"/>
      <c r="L39" s="125"/>
      <c r="M39" s="145"/>
      <c r="N39" s="125"/>
      <c r="O39" s="125"/>
      <c r="P39" s="125"/>
      <c r="Q39" s="125"/>
      <c r="R39" s="125"/>
      <c r="S39" s="125"/>
      <c r="T39" s="167"/>
      <c r="U39" s="125"/>
      <c r="V39" s="146"/>
      <c r="W39" s="125"/>
      <c r="X39" s="125"/>
      <c r="Y39" s="125"/>
      <c r="Z39" s="125"/>
      <c r="AA39" s="147"/>
      <c r="AB39" s="259"/>
      <c r="AC39" s="30"/>
      <c r="AD39" s="30"/>
      <c r="AE39" s="30"/>
      <c r="AF39" s="30"/>
      <c r="AG39" s="238"/>
    </row>
    <row r="40" spans="1:33" x14ac:dyDescent="0.25">
      <c r="B40" s="7"/>
      <c r="C40" s="4"/>
      <c r="E40" s="4">
        <f>Emp.1!O40</f>
        <v>0</v>
      </c>
      <c r="F40" s="91"/>
      <c r="G40" s="204"/>
      <c r="H40" s="205"/>
      <c r="I40" s="206"/>
      <c r="J40" s="207"/>
      <c r="K40" s="208"/>
      <c r="L40" s="206"/>
      <c r="M40" s="209"/>
      <c r="N40" s="206"/>
      <c r="O40" s="206"/>
      <c r="P40" s="206"/>
      <c r="Q40" s="215"/>
      <c r="R40" s="215"/>
      <c r="S40" s="206"/>
      <c r="T40" s="210"/>
      <c r="U40" s="206"/>
      <c r="V40" s="211"/>
      <c r="W40" s="206"/>
      <c r="X40" s="206"/>
      <c r="Y40" s="206"/>
      <c r="Z40" s="206"/>
      <c r="AA40" s="212"/>
      <c r="AB40" s="259"/>
      <c r="AC40" s="30"/>
      <c r="AD40" s="30"/>
      <c r="AE40" s="30"/>
      <c r="AF40" s="30"/>
      <c r="AG40" s="238"/>
    </row>
    <row r="41" spans="1:33" x14ac:dyDescent="0.25">
      <c r="A41" s="4" t="s">
        <v>33</v>
      </c>
      <c r="B41" s="5"/>
      <c r="C41" s="4"/>
      <c r="D41" s="4"/>
      <c r="E41" s="4">
        <f>Emp.1!O42</f>
        <v>0</v>
      </c>
      <c r="F41" s="149">
        <f>Emp.1!P42+Empl.2!T44+Empl.3!T44</f>
        <v>0</v>
      </c>
      <c r="G41" s="149">
        <f>Emp.1!Q42+Empl.2!U44+Empl.3!U44</f>
        <v>0</v>
      </c>
      <c r="H41" s="150">
        <f>Emp.1!R42+Empl.2!V44+Empl.3!V44</f>
        <v>0</v>
      </c>
      <c r="I41" s="149">
        <f>Emp.1!S42+Empl.2!W44+Empl.3!W44</f>
        <v>0</v>
      </c>
      <c r="J41" s="149">
        <f>Emp.1!T42+Empl.2!X44+Empl.3!X44</f>
        <v>0</v>
      </c>
      <c r="K41" s="149">
        <f>Emp.1!U42+Empl.2!Y44+Empl.3!Y44</f>
        <v>0</v>
      </c>
      <c r="L41" s="149">
        <f>Emp.1!V42+Empl.2!Z44+Empl.3!Z44</f>
        <v>0</v>
      </c>
      <c r="M41" s="149">
        <f>Emp.1!W42+Empl.2!AA44+Empl.3!AA44</f>
        <v>0</v>
      </c>
      <c r="N41" s="149">
        <f>Emp.1!X42+Empl.2!AB44+Empl.3!AB44</f>
        <v>0</v>
      </c>
      <c r="O41" s="149">
        <f>Emp.1!Y42+Empl.2!AC44+Empl.3!AC44</f>
        <v>0</v>
      </c>
      <c r="P41" s="149">
        <f>Emp.1!Z42+Empl.2!AD44+Empl.3!AD44</f>
        <v>0</v>
      </c>
      <c r="Q41" s="149">
        <f>Emp.1!AA42+Empl.2!AE44+Empl.3!AE44</f>
        <v>0</v>
      </c>
      <c r="R41" s="149">
        <f>Emp.1!AB42+Empl.2!AF44+Empl.3!AF44</f>
        <v>0</v>
      </c>
      <c r="S41" s="149">
        <f>Emp.1!AC42+Empl.2!AG44+Empl.3!AG44</f>
        <v>0</v>
      </c>
      <c r="T41" s="168">
        <f>Emp.1!AD42+Empl.2!AH44+Empl.3!AH44</f>
        <v>0</v>
      </c>
      <c r="U41" s="149">
        <f>Emp.1!AE42+Empl.2!AI44+Empl.3!AI44</f>
        <v>0</v>
      </c>
      <c r="V41" s="151">
        <f>Emp.1!AF42+Empl.2!AJ44+Empl.3!AJ44</f>
        <v>0</v>
      </c>
      <c r="W41" s="149">
        <f>Emp.1!AG42+Empl.2!AK44+Empl.3!AK44</f>
        <v>0</v>
      </c>
      <c r="X41" s="149">
        <f>Emp.1!AH42+Empl.2!AL44+Empl.3!AL44</f>
        <v>0</v>
      </c>
      <c r="Y41" s="149">
        <f>Emp.1!AI42+Empl.2!AM44+Empl.3!AM44</f>
        <v>0</v>
      </c>
      <c r="Z41" s="149">
        <f>Emp.1!AJ42+Empl.2!AN44+Empl.3!AN44</f>
        <v>0</v>
      </c>
      <c r="AA41" s="152">
        <f>Emp.1!AK42+Empl.2!AP44+Empl.3!AP44</f>
        <v>0</v>
      </c>
      <c r="AB41" s="260">
        <f>SUM(Emp.1!AL42+Empl.2!AQ44+Empl.3!AQ44)</f>
        <v>0</v>
      </c>
      <c r="AC41" s="203">
        <f>SUM(Emp.1!AM42+Empl.2!AR44+Empl.3!AR44)</f>
        <v>0</v>
      </c>
      <c r="AD41" s="203">
        <f>SUM(Emp.1!AN42+Empl.2!AS44+Empl.3!AS44)</f>
        <v>0</v>
      </c>
      <c r="AE41" s="203">
        <f>SUM(Emp.1!AO42+Empl.2!AT44+Empl.3!AT44)</f>
        <v>0</v>
      </c>
      <c r="AF41" s="200">
        <f>SUM(Emp.1!AP42+Empl.2!AU44+Empl.3!AU44)</f>
        <v>0</v>
      </c>
      <c r="AG41" s="203">
        <f>SUM(Emp.1!AR42+Empl.2!AW44+Empl.3!AW44)</f>
        <v>0</v>
      </c>
    </row>
    <row r="42" spans="1:33" x14ac:dyDescent="0.25">
      <c r="B42" s="7"/>
      <c r="C42" s="4"/>
      <c r="E42" s="4"/>
      <c r="F42" s="25"/>
      <c r="G42" s="25"/>
      <c r="H42" s="74"/>
      <c r="I42" s="25"/>
      <c r="J42" s="35"/>
      <c r="K42" s="52"/>
      <c r="L42" s="13"/>
      <c r="M42" s="31"/>
      <c r="N42" s="25"/>
      <c r="O42" s="25"/>
      <c r="P42" s="25"/>
      <c r="Q42" s="25"/>
      <c r="R42" s="25"/>
      <c r="S42" s="25"/>
      <c r="T42" s="94"/>
      <c r="U42" s="95"/>
      <c r="V42" s="94"/>
      <c r="W42" s="25"/>
      <c r="X42" s="25"/>
      <c r="Y42" s="25"/>
      <c r="Z42" s="25"/>
      <c r="AA42" s="96"/>
      <c r="AB42" s="26"/>
    </row>
    <row r="43" spans="1:33" x14ac:dyDescent="0.25">
      <c r="A43" t="s">
        <v>17</v>
      </c>
      <c r="B43" s="7">
        <v>5</v>
      </c>
      <c r="C43" s="4"/>
      <c r="E43" s="4">
        <f>Emp.1!O43</f>
        <v>0</v>
      </c>
      <c r="F43" s="91"/>
      <c r="G43" s="128"/>
      <c r="H43" s="135"/>
      <c r="I43" s="128"/>
      <c r="J43" s="136"/>
      <c r="K43" s="103"/>
      <c r="L43" s="128"/>
      <c r="M43" s="137"/>
      <c r="N43" s="128"/>
      <c r="O43" s="103"/>
      <c r="P43" s="128"/>
      <c r="Q43" s="128"/>
      <c r="R43" s="128"/>
      <c r="S43" s="128"/>
      <c r="T43" s="166"/>
      <c r="U43" s="128"/>
      <c r="V43" s="138"/>
      <c r="W43" s="128"/>
      <c r="X43" s="128"/>
      <c r="Y43" s="128"/>
      <c r="Z43" s="128"/>
      <c r="AA43" s="139"/>
      <c r="AB43" s="252"/>
      <c r="AC43" s="102"/>
      <c r="AD43" s="102"/>
      <c r="AE43" s="102"/>
      <c r="AF43" s="102"/>
      <c r="AG43" s="255"/>
    </row>
    <row r="44" spans="1:33" x14ac:dyDescent="0.25">
      <c r="A44" t="s">
        <v>17</v>
      </c>
      <c r="B44" s="7">
        <v>12</v>
      </c>
      <c r="C44" s="4"/>
      <c r="E44" s="4">
        <f>Emp.1!O44</f>
        <v>0</v>
      </c>
      <c r="F44" s="91"/>
      <c r="G44" s="125"/>
      <c r="H44" s="142"/>
      <c r="I44" s="125"/>
      <c r="J44" s="143"/>
      <c r="K44" s="144"/>
      <c r="L44" s="125"/>
      <c r="M44" s="145"/>
      <c r="N44" s="125"/>
      <c r="O44" s="125"/>
      <c r="P44" s="125"/>
      <c r="Q44" s="125"/>
      <c r="R44" s="125"/>
      <c r="S44" s="125"/>
      <c r="T44" s="167"/>
      <c r="U44" s="125"/>
      <c r="V44" s="146"/>
      <c r="W44" s="125"/>
      <c r="X44" s="125"/>
      <c r="Y44" s="125"/>
      <c r="Z44" s="125"/>
      <c r="AA44" s="147"/>
      <c r="AB44" s="259"/>
      <c r="AC44" s="30"/>
      <c r="AD44" s="30"/>
      <c r="AE44" s="30"/>
      <c r="AF44" s="30"/>
      <c r="AG44" s="238"/>
    </row>
    <row r="45" spans="1:33" x14ac:dyDescent="0.25">
      <c r="A45" t="s">
        <v>17</v>
      </c>
      <c r="B45" s="7">
        <v>19</v>
      </c>
      <c r="C45" s="4"/>
      <c r="E45" s="4">
        <f>Emp.1!O45+Empl.2!O47</f>
        <v>0</v>
      </c>
      <c r="F45" s="91"/>
      <c r="G45" s="125"/>
      <c r="H45" s="142"/>
      <c r="I45" s="125"/>
      <c r="J45" s="143"/>
      <c r="K45" s="144"/>
      <c r="L45" s="125"/>
      <c r="M45" s="145"/>
      <c r="N45" s="125"/>
      <c r="O45" s="125"/>
      <c r="P45" s="125"/>
      <c r="Q45" s="125"/>
      <c r="R45" s="125"/>
      <c r="S45" s="125"/>
      <c r="T45" s="167"/>
      <c r="U45" s="125"/>
      <c r="V45" s="146"/>
      <c r="W45" s="125"/>
      <c r="X45" s="125"/>
      <c r="Y45" s="125"/>
      <c r="Z45" s="125"/>
      <c r="AA45" s="147"/>
      <c r="AB45" s="259"/>
      <c r="AC45" s="30"/>
      <c r="AD45" s="30"/>
      <c r="AE45" s="30"/>
      <c r="AF45" s="30"/>
      <c r="AG45" s="238"/>
    </row>
    <row r="46" spans="1:33" x14ac:dyDescent="0.25">
      <c r="A46" t="s">
        <v>17</v>
      </c>
      <c r="B46" s="7">
        <v>26</v>
      </c>
      <c r="C46" s="4"/>
      <c r="E46" s="4">
        <f>Emp.1!O46+Empl.2!O48</f>
        <v>0</v>
      </c>
      <c r="F46" s="91"/>
      <c r="G46" s="214"/>
      <c r="H46" s="142"/>
      <c r="I46" s="125"/>
      <c r="J46" s="143"/>
      <c r="K46" s="144"/>
      <c r="L46" s="125"/>
      <c r="M46" s="145"/>
      <c r="N46" s="125"/>
      <c r="O46" s="125"/>
      <c r="P46" s="125"/>
      <c r="Q46" s="125"/>
      <c r="R46" s="125"/>
      <c r="S46" s="125"/>
      <c r="T46" s="167"/>
      <c r="U46" s="125"/>
      <c r="V46" s="146"/>
      <c r="W46" s="125"/>
      <c r="X46" s="125"/>
      <c r="Y46" s="125"/>
      <c r="Z46" s="125"/>
      <c r="AA46" s="147"/>
      <c r="AB46" s="259"/>
      <c r="AC46" s="30"/>
      <c r="AD46" s="30"/>
      <c r="AE46" s="30"/>
      <c r="AF46" s="30"/>
      <c r="AG46" s="238"/>
    </row>
    <row r="47" spans="1:33" x14ac:dyDescent="0.25">
      <c r="A47" t="s">
        <v>17</v>
      </c>
      <c r="B47" s="7"/>
      <c r="C47" s="4"/>
      <c r="E47" s="4">
        <f>Emp.1!O47+Empl.2!O49</f>
        <v>0</v>
      </c>
      <c r="F47" s="91"/>
      <c r="G47" s="204"/>
      <c r="H47" s="205"/>
      <c r="I47" s="206"/>
      <c r="J47" s="207"/>
      <c r="K47" s="208"/>
      <c r="L47" s="206"/>
      <c r="M47" s="209"/>
      <c r="N47" s="206"/>
      <c r="O47" s="206"/>
      <c r="P47" s="206"/>
      <c r="Q47" s="206"/>
      <c r="R47" s="206"/>
      <c r="S47" s="206"/>
      <c r="T47" s="210"/>
      <c r="U47" s="206"/>
      <c r="V47" s="211"/>
      <c r="W47" s="206"/>
      <c r="X47" s="206"/>
      <c r="Y47" s="206"/>
      <c r="Z47" s="206"/>
      <c r="AA47" s="212"/>
      <c r="AB47" s="259"/>
      <c r="AC47" s="30"/>
      <c r="AD47" s="30"/>
      <c r="AE47" s="30"/>
      <c r="AF47" s="30"/>
      <c r="AG47" s="238"/>
    </row>
    <row r="48" spans="1:33" x14ac:dyDescent="0.25">
      <c r="A48" s="4" t="s">
        <v>33</v>
      </c>
      <c r="B48" s="5"/>
      <c r="C48" s="4"/>
      <c r="D48" s="4"/>
      <c r="E48" s="4">
        <f>Emp.1!O49+Empl.2!O51</f>
        <v>0</v>
      </c>
      <c r="F48" s="149">
        <f>Emp.1!P49+Empl.2!T51+Empl.3!T51</f>
        <v>0</v>
      </c>
      <c r="G48" s="149">
        <f>Emp.1!Q49+Empl.2!U51+Empl.3!U51</f>
        <v>0</v>
      </c>
      <c r="H48" s="150">
        <f>Emp.1!R49+Empl.2!V51+Empl.3!V51</f>
        <v>0</v>
      </c>
      <c r="I48" s="149">
        <f>Emp.1!S49+Empl.2!W51+Empl.3!W51</f>
        <v>0</v>
      </c>
      <c r="J48" s="149">
        <f>Emp.1!T49+Empl.2!X51+Empl.3!X51</f>
        <v>0</v>
      </c>
      <c r="K48" s="149">
        <f>Emp.1!U49+Empl.2!Y51+Empl.3!Y51</f>
        <v>0</v>
      </c>
      <c r="L48" s="149"/>
      <c r="M48" s="149">
        <f>Emp.1!W49+Empl.2!AA51+Empl.3!AA51</f>
        <v>0</v>
      </c>
      <c r="N48" s="149"/>
      <c r="O48" s="149">
        <f>Emp.1!Y49+Empl.2!AC51+Empl.3!AC51</f>
        <v>0</v>
      </c>
      <c r="P48" s="149">
        <f>Emp.1!Z49+Empl.2!AD51+Empl.3!AD51</f>
        <v>0</v>
      </c>
      <c r="Q48" s="149">
        <f>Emp.1!AA49+Empl.2!AE51+Empl.3!AE51</f>
        <v>0</v>
      </c>
      <c r="R48" s="149">
        <f>Emp.1!AB49+Empl.2!AF51+Empl.3!AF51</f>
        <v>0</v>
      </c>
      <c r="S48" s="149">
        <f>Emp.1!AC49+Empl.2!AG51+Empl.3!AG51</f>
        <v>0</v>
      </c>
      <c r="T48" s="168">
        <f>Emp.1!AD49+Empl.2!AH51+Empl.3!AH51</f>
        <v>0</v>
      </c>
      <c r="U48" s="149"/>
      <c r="V48" s="151">
        <f>Emp.1!AF49+Empl.2!AJ51+Empl.3!AJ51</f>
        <v>0</v>
      </c>
      <c r="W48" s="149">
        <f>Emp.1!AG49+Empl.2!AK51+Empl.3!AK51</f>
        <v>0</v>
      </c>
      <c r="X48" s="149">
        <f>Emp.1!AH49+Empl.2!AL51+Empl.3!AL51</f>
        <v>0</v>
      </c>
      <c r="Y48" s="149">
        <f>Emp.1!AI49+Empl.2!AM51+Empl.3!AM51</f>
        <v>0</v>
      </c>
      <c r="Z48" s="149">
        <f>Emp.1!AJ49+Empl.2!AN51+Empl.3!AN51</f>
        <v>0</v>
      </c>
      <c r="AA48" s="152">
        <f>Emp.1!AK49+Empl.2!AP51+Empl.3!AP51</f>
        <v>0</v>
      </c>
      <c r="AB48" s="260">
        <f>SUM(Emp.1!AL49+Empl.2!AQ51+Empl.3!AQ51)</f>
        <v>0</v>
      </c>
      <c r="AC48" s="203">
        <f>SUM(Emp.1!AM49+Empl.2!AR51+Empl.3!AR51)</f>
        <v>0</v>
      </c>
      <c r="AD48" s="203">
        <f>SUM(Emp.1!AN49+Empl.2!AS51+Empl.3!AS51)</f>
        <v>0</v>
      </c>
      <c r="AE48" s="203">
        <f>SUM(Emp.1!AO49+Empl.2!AT51+Empl.3!AT51)</f>
        <v>0</v>
      </c>
      <c r="AF48" s="200">
        <f>SUM(Emp.1!AP49+Empl.2!AU51+Empl.3!AU51)</f>
        <v>0</v>
      </c>
      <c r="AG48" s="203">
        <f>SUM(Emp.1!AR49+Empl.2!AW51+Empl.3!AW51)</f>
        <v>0</v>
      </c>
    </row>
    <row r="49" spans="1:33" x14ac:dyDescent="0.25">
      <c r="B49" s="7"/>
      <c r="C49" s="4"/>
      <c r="E49" s="4"/>
      <c r="F49" s="25"/>
      <c r="G49" s="25"/>
      <c r="H49" s="74"/>
      <c r="I49" s="25"/>
      <c r="J49" s="35"/>
      <c r="K49" s="52"/>
      <c r="L49" s="13"/>
      <c r="M49" s="31"/>
      <c r="N49" s="25"/>
      <c r="O49" s="25"/>
      <c r="P49" s="25"/>
      <c r="Q49" s="25"/>
      <c r="R49" s="25"/>
      <c r="S49" s="25"/>
      <c r="T49" s="94"/>
      <c r="U49" s="95"/>
      <c r="V49" s="94"/>
      <c r="W49" s="25"/>
      <c r="X49" s="25"/>
      <c r="Y49" s="13"/>
      <c r="Z49" s="25"/>
      <c r="AA49" s="96"/>
      <c r="AB49" s="26"/>
    </row>
    <row r="50" spans="1:33" x14ac:dyDescent="0.25">
      <c r="A50" t="s">
        <v>18</v>
      </c>
      <c r="B50" s="7">
        <v>2</v>
      </c>
      <c r="C50" s="4"/>
      <c r="E50" s="4">
        <f>Emp.1!O50</f>
        <v>0</v>
      </c>
      <c r="F50" s="91"/>
      <c r="G50" s="128"/>
      <c r="H50" s="135"/>
      <c r="I50" s="128"/>
      <c r="J50" s="136"/>
      <c r="K50" s="103"/>
      <c r="L50" s="128"/>
      <c r="M50" s="137"/>
      <c r="N50" s="128"/>
      <c r="O50" s="103"/>
      <c r="P50" s="128"/>
      <c r="Q50" s="128"/>
      <c r="R50" s="128"/>
      <c r="S50" s="128"/>
      <c r="T50" s="166"/>
      <c r="U50" s="128"/>
      <c r="V50" s="138"/>
      <c r="W50" s="128"/>
      <c r="X50" s="128"/>
      <c r="Y50" s="128"/>
      <c r="Z50" s="128"/>
      <c r="AA50" s="139"/>
      <c r="AB50" s="252"/>
      <c r="AC50" s="102"/>
      <c r="AD50" s="102"/>
      <c r="AE50" s="102"/>
      <c r="AF50" s="102"/>
      <c r="AG50" s="255"/>
    </row>
    <row r="51" spans="1:33" x14ac:dyDescent="0.25">
      <c r="A51" t="s">
        <v>18</v>
      </c>
      <c r="B51" s="7">
        <v>9</v>
      </c>
      <c r="C51" s="4"/>
      <c r="E51" s="4">
        <f>Emp.1!O51</f>
        <v>0</v>
      </c>
      <c r="F51" s="91"/>
      <c r="G51" s="125"/>
      <c r="H51" s="142"/>
      <c r="I51" s="125"/>
      <c r="J51" s="143"/>
      <c r="K51" s="144"/>
      <c r="L51" s="125"/>
      <c r="M51" s="145"/>
      <c r="N51" s="125"/>
      <c r="O51" s="125"/>
      <c r="P51" s="125"/>
      <c r="Q51" s="125"/>
      <c r="R51" s="125"/>
      <c r="S51" s="125"/>
      <c r="T51" s="167"/>
      <c r="U51" s="125"/>
      <c r="V51" s="146"/>
      <c r="W51" s="125"/>
      <c r="X51" s="125"/>
      <c r="Y51" s="125"/>
      <c r="Z51" s="125"/>
      <c r="AA51" s="147"/>
      <c r="AB51" s="259"/>
      <c r="AC51" s="30"/>
      <c r="AD51" s="30"/>
      <c r="AE51" s="30"/>
      <c r="AF51" s="30"/>
      <c r="AG51" s="238"/>
    </row>
    <row r="52" spans="1:33" x14ac:dyDescent="0.25">
      <c r="A52" t="s">
        <v>18</v>
      </c>
      <c r="B52" s="7">
        <v>16</v>
      </c>
      <c r="C52" s="4"/>
      <c r="E52" s="4">
        <f>Emp.1!O52</f>
        <v>0</v>
      </c>
      <c r="F52" s="91"/>
      <c r="G52" s="125"/>
      <c r="H52" s="142"/>
      <c r="I52" s="125"/>
      <c r="J52" s="143"/>
      <c r="K52" s="144"/>
      <c r="L52" s="125"/>
      <c r="M52" s="145"/>
      <c r="N52" s="125"/>
      <c r="O52" s="125"/>
      <c r="P52" s="125"/>
      <c r="Q52" s="125"/>
      <c r="R52" s="125"/>
      <c r="S52" s="125"/>
      <c r="T52" s="167"/>
      <c r="U52" s="125"/>
      <c r="V52" s="146"/>
      <c r="W52" s="125"/>
      <c r="X52" s="125"/>
      <c r="Y52" s="125"/>
      <c r="Z52" s="125"/>
      <c r="AA52" s="147"/>
      <c r="AB52" s="259"/>
      <c r="AC52" s="30"/>
      <c r="AD52" s="30"/>
      <c r="AE52" s="30"/>
      <c r="AF52" s="30"/>
      <c r="AG52" s="238"/>
    </row>
    <row r="53" spans="1:33" x14ac:dyDescent="0.25">
      <c r="A53" t="s">
        <v>18</v>
      </c>
      <c r="B53" s="7">
        <v>23</v>
      </c>
      <c r="C53" s="4"/>
      <c r="E53" s="4">
        <f>Emp.1!O53</f>
        <v>0</v>
      </c>
      <c r="F53" s="91"/>
      <c r="G53" s="214"/>
      <c r="H53" s="142"/>
      <c r="I53" s="125"/>
      <c r="J53" s="143"/>
      <c r="K53" s="144"/>
      <c r="L53" s="125"/>
      <c r="M53" s="145"/>
      <c r="N53" s="125"/>
      <c r="O53" s="125"/>
      <c r="P53" s="125"/>
      <c r="Q53" s="125"/>
      <c r="R53" s="125"/>
      <c r="S53" s="125"/>
      <c r="T53" s="167"/>
      <c r="U53" s="125"/>
      <c r="V53" s="146"/>
      <c r="W53" s="125"/>
      <c r="X53" s="125"/>
      <c r="Y53" s="125"/>
      <c r="Z53" s="125"/>
      <c r="AA53" s="147"/>
      <c r="AB53" s="259"/>
      <c r="AC53" s="30"/>
      <c r="AD53" s="30"/>
      <c r="AE53" s="30"/>
      <c r="AF53" s="30"/>
      <c r="AG53" s="238"/>
    </row>
    <row r="54" spans="1:33" x14ac:dyDescent="0.25">
      <c r="A54" t="s">
        <v>18</v>
      </c>
      <c r="B54" s="7">
        <v>30</v>
      </c>
      <c r="C54" s="4"/>
      <c r="E54" s="4">
        <f>Emp.1!O54</f>
        <v>0</v>
      </c>
      <c r="F54" s="91"/>
      <c r="G54" s="204"/>
      <c r="H54" s="205"/>
      <c r="I54" s="206"/>
      <c r="J54" s="207"/>
      <c r="K54" s="208"/>
      <c r="L54" s="206"/>
      <c r="M54" s="209"/>
      <c r="N54" s="206"/>
      <c r="O54" s="206"/>
      <c r="P54" s="206"/>
      <c r="Q54" s="206"/>
      <c r="R54" s="206"/>
      <c r="S54" s="206"/>
      <c r="T54" s="210"/>
      <c r="U54" s="206"/>
      <c r="V54" s="211"/>
      <c r="W54" s="206"/>
      <c r="X54" s="206"/>
      <c r="Y54" s="215"/>
      <c r="Z54" s="206"/>
      <c r="AA54" s="212"/>
      <c r="AB54" s="259"/>
      <c r="AC54" s="30"/>
      <c r="AD54" s="30"/>
      <c r="AE54" s="30"/>
      <c r="AF54" s="30"/>
      <c r="AG54" s="238"/>
    </row>
    <row r="55" spans="1:33" x14ac:dyDescent="0.25">
      <c r="A55" s="4" t="s">
        <v>33</v>
      </c>
      <c r="B55" s="5"/>
      <c r="C55" s="4"/>
      <c r="D55" s="4"/>
      <c r="E55" s="4">
        <f>Emp.1!O56+Empl.2!O58</f>
        <v>0</v>
      </c>
      <c r="F55" s="149">
        <f>Emp.1!P56+Empl.2!T58+Empl.3!T58</f>
        <v>0</v>
      </c>
      <c r="G55" s="149">
        <f>Emp.1!Q56+Empl.2!U58+Empl.3!U58</f>
        <v>0</v>
      </c>
      <c r="H55" s="150">
        <f>Emp.1!R56+Empl.2!V58+Empl.3!V58</f>
        <v>0</v>
      </c>
      <c r="I55" s="149">
        <f>Emp.1!S56+Empl.2!W58+Empl.3!W58</f>
        <v>0</v>
      </c>
      <c r="J55" s="149">
        <f>Emp.1!T56+Empl.2!X58+Empl.3!X58</f>
        <v>0</v>
      </c>
      <c r="K55" s="149">
        <f>Emp.1!U56+Empl.2!Y58+Empl.3!Y58</f>
        <v>0</v>
      </c>
      <c r="L55" s="149">
        <f>Emp.1!V56+Empl.2!Z58+Empl.3!Z58</f>
        <v>0</v>
      </c>
      <c r="M55" s="149">
        <f>Emp.1!W56+Empl.2!AA58+Empl.3!AA58</f>
        <v>0</v>
      </c>
      <c r="N55" s="149">
        <f>Emp.1!X56+Empl.2!AB58+Empl.3!AB58</f>
        <v>0</v>
      </c>
      <c r="O55" s="149">
        <f>Emp.1!Y56+Empl.2!AC58+Empl.3!AC58</f>
        <v>0</v>
      </c>
      <c r="P55" s="149">
        <f>Emp.1!Z56+Empl.2!AD58+Empl.3!AD58</f>
        <v>0</v>
      </c>
      <c r="Q55" s="149">
        <f>Emp.1!AA56+Empl.2!AE58+Empl.3!AE58</f>
        <v>0</v>
      </c>
      <c r="R55" s="149">
        <f>Emp.1!AB56+Empl.2!AF58+Empl.3!AF58</f>
        <v>0</v>
      </c>
      <c r="S55" s="149">
        <f>Emp.1!AC56+Empl.2!AG58+Empl.3!AG58</f>
        <v>0</v>
      </c>
      <c r="T55" s="168">
        <f>Emp.1!AD56+Empl.2!AH58+Empl.3!AH58</f>
        <v>0</v>
      </c>
      <c r="U55" s="149">
        <f>Emp.1!AE56+Empl.2!AI58+Empl.3!AI58</f>
        <v>0</v>
      </c>
      <c r="V55" s="151">
        <f>Emp.1!AF56+Empl.2!AJ58+Empl.3!AJ58</f>
        <v>0</v>
      </c>
      <c r="W55" s="149">
        <f>Emp.1!AG56+Empl.2!AK58+Empl.3!AK58</f>
        <v>0</v>
      </c>
      <c r="X55" s="149">
        <f>Emp.1!AH56+Empl.2!AL58+Empl.3!AL58</f>
        <v>0</v>
      </c>
      <c r="Y55" s="149">
        <f>Emp.1!AI56+Empl.2!AM58+Empl.3!AM58</f>
        <v>0</v>
      </c>
      <c r="Z55" s="149">
        <f>Emp.1!AJ56+Empl.2!AN58+Empl.3!AN58</f>
        <v>0</v>
      </c>
      <c r="AA55" s="152">
        <f>Emp.1!AK56+Empl.2!AP58+Empl.3!AP58</f>
        <v>0</v>
      </c>
      <c r="AB55" s="260">
        <f>SUM(Emp.1!AL56+Empl.2!AQ58+Empl.3!AQ58)</f>
        <v>0</v>
      </c>
      <c r="AC55" s="203">
        <f>SUM(Emp.1!AM56+Empl.2!AR58+Empl.3!AR58)</f>
        <v>0</v>
      </c>
      <c r="AD55" s="203">
        <f>SUM(Emp.1!AN56+Empl.2!AS58+Empl.3!AS58)</f>
        <v>0</v>
      </c>
      <c r="AE55" s="203">
        <f>SUM(Emp.1!AO56+Empl.2!AT58+Empl.3!AT58)</f>
        <v>0</v>
      </c>
      <c r="AF55" s="200">
        <f>SUM(Emp.1!AP56+Empl.2!AU58+Empl.3!AU58)</f>
        <v>0</v>
      </c>
      <c r="AG55" s="203">
        <f>SUM(Emp.1!AR56+Empl.2!AW58+Empl.3!AW58)</f>
        <v>0</v>
      </c>
    </row>
    <row r="56" spans="1:33" x14ac:dyDescent="0.25">
      <c r="B56" s="7"/>
      <c r="C56" s="4"/>
      <c r="E56" s="4"/>
      <c r="F56" s="25"/>
      <c r="G56" s="25"/>
      <c r="H56" s="74"/>
      <c r="I56" s="25"/>
      <c r="J56" s="35"/>
      <c r="K56" s="52"/>
      <c r="L56" s="13"/>
      <c r="M56" s="31"/>
      <c r="N56" s="25"/>
      <c r="O56" s="25"/>
      <c r="P56" s="25"/>
      <c r="Q56" s="25"/>
      <c r="R56" s="25"/>
      <c r="S56" s="25"/>
      <c r="T56" s="94"/>
      <c r="U56" s="95"/>
      <c r="V56" s="94"/>
      <c r="W56" s="25"/>
      <c r="X56" s="25"/>
      <c r="Y56" s="25"/>
      <c r="Z56" s="25"/>
      <c r="AA56" s="96"/>
      <c r="AB56" s="26"/>
    </row>
    <row r="57" spans="1:33" x14ac:dyDescent="0.25">
      <c r="A57" t="s">
        <v>19</v>
      </c>
      <c r="B57" s="7">
        <v>6</v>
      </c>
      <c r="C57" s="4"/>
      <c r="E57" s="4"/>
      <c r="F57" s="91"/>
      <c r="G57" s="128"/>
      <c r="H57" s="135"/>
      <c r="I57" s="128"/>
      <c r="J57" s="136"/>
      <c r="K57" s="103"/>
      <c r="L57" s="128"/>
      <c r="M57" s="137"/>
      <c r="N57" s="128"/>
      <c r="O57" s="103"/>
      <c r="P57" s="128"/>
      <c r="Q57" s="128"/>
      <c r="R57" s="128"/>
      <c r="S57" s="128"/>
      <c r="T57" s="166"/>
      <c r="U57" s="128"/>
      <c r="V57" s="138"/>
      <c r="W57" s="128"/>
      <c r="X57" s="128"/>
      <c r="Y57" s="128"/>
      <c r="Z57" s="128"/>
      <c r="AA57" s="139"/>
      <c r="AB57" s="252"/>
      <c r="AC57" s="102"/>
      <c r="AD57" s="102"/>
      <c r="AE57" s="102"/>
      <c r="AF57" s="102"/>
      <c r="AG57" s="255"/>
    </row>
    <row r="58" spans="1:33" x14ac:dyDescent="0.25">
      <c r="A58" t="s">
        <v>19</v>
      </c>
      <c r="B58" s="7">
        <v>13</v>
      </c>
      <c r="C58" s="4"/>
      <c r="E58" s="4">
        <f>Emp.1!O58</f>
        <v>0</v>
      </c>
      <c r="F58" s="91"/>
      <c r="G58" s="125"/>
      <c r="H58" s="142"/>
      <c r="I58" s="125"/>
      <c r="J58" s="143"/>
      <c r="K58" s="144"/>
      <c r="L58" s="125"/>
      <c r="M58" s="145"/>
      <c r="N58" s="125"/>
      <c r="O58" s="125"/>
      <c r="P58" s="125"/>
      <c r="Q58" s="125"/>
      <c r="R58" s="125"/>
      <c r="S58" s="125"/>
      <c r="T58" s="167"/>
      <c r="U58" s="125"/>
      <c r="V58" s="146"/>
      <c r="W58" s="125"/>
      <c r="X58" s="125"/>
      <c r="Y58" s="125"/>
      <c r="Z58" s="125"/>
      <c r="AA58" s="147"/>
      <c r="AB58" s="259"/>
      <c r="AC58" s="30"/>
      <c r="AD58" s="30"/>
      <c r="AE58" s="30"/>
      <c r="AF58" s="30"/>
      <c r="AG58" s="238"/>
    </row>
    <row r="59" spans="1:33" x14ac:dyDescent="0.25">
      <c r="A59" t="s">
        <v>19</v>
      </c>
      <c r="B59" s="7">
        <v>20</v>
      </c>
      <c r="C59" s="4"/>
      <c r="E59" s="4">
        <f>Emp.1!O59</f>
        <v>0</v>
      </c>
      <c r="F59" s="91"/>
      <c r="G59" s="125"/>
      <c r="H59" s="142"/>
      <c r="I59" s="125"/>
      <c r="J59" s="143"/>
      <c r="K59" s="144"/>
      <c r="L59" s="125"/>
      <c r="M59" s="145"/>
      <c r="N59" s="125"/>
      <c r="O59" s="125"/>
      <c r="P59" s="125"/>
      <c r="Q59" s="125"/>
      <c r="R59" s="125"/>
      <c r="S59" s="125"/>
      <c r="T59" s="167"/>
      <c r="U59" s="125"/>
      <c r="V59" s="146"/>
      <c r="W59" s="125"/>
      <c r="X59" s="125"/>
      <c r="Y59" s="125"/>
      <c r="Z59" s="125"/>
      <c r="AA59" s="147"/>
      <c r="AB59" s="259"/>
      <c r="AC59" s="30"/>
      <c r="AD59" s="30"/>
      <c r="AE59" s="30"/>
      <c r="AF59" s="30"/>
      <c r="AG59" s="238"/>
    </row>
    <row r="60" spans="1:33" x14ac:dyDescent="0.25">
      <c r="A60" t="s">
        <v>19</v>
      </c>
      <c r="B60" s="7">
        <v>27</v>
      </c>
      <c r="C60" s="4"/>
      <c r="E60" s="4"/>
      <c r="F60" s="91"/>
      <c r="G60" s="214"/>
      <c r="H60" s="142"/>
      <c r="I60" s="125"/>
      <c r="J60" s="143"/>
      <c r="K60" s="144"/>
      <c r="L60" s="125"/>
      <c r="M60" s="145"/>
      <c r="N60" s="125"/>
      <c r="O60" s="125"/>
      <c r="P60" s="125"/>
      <c r="Q60" s="125"/>
      <c r="R60" s="125"/>
      <c r="S60" s="125"/>
      <c r="T60" s="167"/>
      <c r="U60" s="125"/>
      <c r="V60" s="146"/>
      <c r="W60" s="125"/>
      <c r="X60" s="125"/>
      <c r="Y60" s="125"/>
      <c r="Z60" s="125"/>
      <c r="AA60" s="147"/>
      <c r="AB60" s="259"/>
      <c r="AC60" s="30"/>
      <c r="AD60" s="30"/>
      <c r="AE60" s="30"/>
      <c r="AF60" s="30"/>
      <c r="AG60" s="238"/>
    </row>
    <row r="61" spans="1:33" x14ac:dyDescent="0.25">
      <c r="B61" s="7"/>
      <c r="C61" s="4"/>
      <c r="E61" s="4"/>
      <c r="F61" s="91"/>
      <c r="G61" s="204"/>
      <c r="H61" s="205"/>
      <c r="I61" s="206"/>
      <c r="J61" s="207"/>
      <c r="K61" s="208"/>
      <c r="L61" s="206"/>
      <c r="M61" s="209"/>
      <c r="N61" s="206"/>
      <c r="O61" s="206"/>
      <c r="P61" s="206"/>
      <c r="Q61" s="206"/>
      <c r="R61" s="206"/>
      <c r="S61" s="206"/>
      <c r="T61" s="210"/>
      <c r="U61" s="206"/>
      <c r="V61" s="211"/>
      <c r="W61" s="206"/>
      <c r="X61" s="206"/>
      <c r="Y61" s="206"/>
      <c r="Z61" s="206"/>
      <c r="AA61" s="212"/>
      <c r="AB61" s="259"/>
      <c r="AC61" s="30"/>
      <c r="AD61" s="30"/>
      <c r="AE61" s="30"/>
      <c r="AF61" s="30"/>
      <c r="AG61" s="238"/>
    </row>
    <row r="62" spans="1:33" x14ac:dyDescent="0.25">
      <c r="A62" s="4" t="s">
        <v>33</v>
      </c>
      <c r="B62" s="5"/>
      <c r="C62" s="4"/>
      <c r="D62" s="4"/>
      <c r="E62" s="6">
        <f>Emp.1!O63+Empl.2!O65+Empl.3!O65+employé3!O62+employé4!O62+employé5!O62+employé6!O62+employé7!O62+employé8!O62</f>
        <v>0</v>
      </c>
      <c r="F62" s="153">
        <f>Emp.1!P63+Empl.2!T65+Empl.3!T65+employé3!P62+employé4!P62+employé5!P62+employé6!P62+employé7!P62+employé8!P62</f>
        <v>0</v>
      </c>
      <c r="G62" s="149">
        <f>Emp.1!Q63+Empl.2!U65+Empl.3!U65+employé3!Q62+employé4!Q62+employé5!Q62+employé6!Q62+employé7!Q62+employé8!Q62</f>
        <v>0</v>
      </c>
      <c r="H62" s="150">
        <f>Emp.1!R63+Empl.2!V65+Empl.3!V65+employé3!R62+employé4!R62+employé5!R62+employé6!R62+employé7!R62+employé8!R62</f>
        <v>0</v>
      </c>
      <c r="I62" s="149">
        <f>Emp.1!S63+Empl.2!W65+Empl.3!W65+employé3!S62+employé4!S62+employé5!S62+employé6!S62+employé7!S62+employé8!S62</f>
        <v>0</v>
      </c>
      <c r="J62" s="149">
        <f>Emp.1!T63+Empl.2!X65+Empl.3!X65+employé3!T62+employé4!T62+employé5!T62+employé6!T62+employé7!T62+employé8!T62</f>
        <v>0</v>
      </c>
      <c r="K62" s="149">
        <f>Emp.1!U63+Empl.2!Y65+Empl.3!Y65+employé3!U62+employé4!U62+employé5!U62+employé6!U62+employé7!U62+employé8!U62</f>
        <v>0</v>
      </c>
      <c r="L62" s="149">
        <f>Emp.1!V63+Empl.2!Z65+Empl.3!Z65+employé3!V62+employé4!V62+employé5!V62+employé6!V62+employé7!V62+employé8!V62</f>
        <v>0</v>
      </c>
      <c r="M62" s="149">
        <f>Emp.1!W63+Empl.2!AA65+Empl.3!AA65+employé3!W62+employé4!W62+employé5!W62+employé6!W62+employé7!W62+employé8!W62</f>
        <v>0</v>
      </c>
      <c r="N62" s="149">
        <f>Emp.1!X63+Empl.2!AB65+Empl.3!AB65+employé3!X62+employé4!X62+employé5!X62+employé6!X62+employé7!X62+employé8!X62</f>
        <v>0</v>
      </c>
      <c r="O62" s="149">
        <f>Emp.1!Y63+Empl.2!AC65+Empl.3!AC65+employé3!Y62+employé4!Y62+employé5!Y62+employé6!Y62+employé7!Y62+employé8!Y62</f>
        <v>0</v>
      </c>
      <c r="P62" s="149">
        <f>Emp.1!Z63+Empl.2!AD65+Empl.3!AD65+employé3!Z62+employé4!Z62+employé5!Z62+employé6!Z62+employé7!Z62+employé8!Z62</f>
        <v>0</v>
      </c>
      <c r="Q62" s="149">
        <f>Emp.1!AA63+Empl.2!AE65+Empl.3!AE65+employé3!AA62+employé4!AA62+employé5!AA62+employé6!AA62+employé7!AA62+employé8!AA62</f>
        <v>0</v>
      </c>
      <c r="R62" s="149">
        <f>Emp.1!AB63+Empl.2!AF65+Empl.3!AF65+employé3!AB62+employé4!AB62+employé5!AB62+employé6!AB62+employé7!AB62+employé8!AB62</f>
        <v>0</v>
      </c>
      <c r="S62" s="149">
        <f>Emp.1!AC63+Empl.2!AG65+Empl.3!AG65+employé3!AC62+employé4!AC62+employé5!AC62+employé6!AC62+employé7!AC62+employé8!AC62</f>
        <v>0</v>
      </c>
      <c r="T62" s="168">
        <f>Emp.1!AD63+Empl.2!AH65+Empl.3!AH65+employé3!AD62+employé4!AD62+employé5!AD62+employé6!AD62+employé7!AD62+employé8!AD62</f>
        <v>0</v>
      </c>
      <c r="U62" s="149">
        <f>Emp.1!AE63+Empl.2!AI65+Empl.3!AI65+employé3!AE62+employé4!AE62+employé5!AE62+employé6!AE62+employé7!AE62+employé8!AE62</f>
        <v>0</v>
      </c>
      <c r="V62" s="151">
        <f>Emp.1!AF63+Empl.2!AJ65+Empl.3!AJ65+employé3!AF62+employé4!AF62+employé5!AF62+employé6!AF62+employé7!AF62+employé8!AF62</f>
        <v>0</v>
      </c>
      <c r="W62" s="149">
        <f>Emp.1!AG63+Empl.2!AK65+Empl.3!AK65+employé3!AG62+employé4!AG62+employé5!AG62+employé6!AG62+employé7!AG62+employé8!AG62</f>
        <v>0</v>
      </c>
      <c r="X62" s="149">
        <f>Emp.1!AH63+Empl.2!AL65+Empl.3!AL65+employé3!AH62+employé4!AH62+employé5!AH62+employé6!AH62+employé7!AH62+employé8!AH62</f>
        <v>0</v>
      </c>
      <c r="Y62" s="149">
        <f>Emp.1!AI63+Empl.2!AM65+Empl.3!AM65+employé3!AI62+employé4!AI62+employé5!AI62+employé6!AI62+employé7!AI62+employé8!AI62</f>
        <v>0</v>
      </c>
      <c r="Z62" s="149">
        <f>Emp.1!AJ63+Empl.2!AN65+Empl.3!AN65+employé3!AJ62+employé4!AJ62+employé5!AJ62+employé6!AJ62+employé7!AJ62+employé8!AJ62</f>
        <v>0</v>
      </c>
      <c r="AA62" s="152">
        <f>Emp.1!AK63+Empl.2!AP65+Empl.3!AP65+employé3!AK62+employé4!AK62+employé5!AK62+employé6!AK62+employé7!AK62+employé8!AK62</f>
        <v>0</v>
      </c>
      <c r="AB62" s="260">
        <f>SUM(Emp.1!AL63+Empl.2!AQ65+Empl.3!AQ65)</f>
        <v>0</v>
      </c>
      <c r="AC62" s="203">
        <f>SUM(Emp.1!AM63+Empl.2!AR65+Empl.3!AR65)</f>
        <v>0</v>
      </c>
      <c r="AD62" s="203">
        <f>SUM(Emp.1!AN63+Empl.2!AS65+Empl.3!AS65)</f>
        <v>0</v>
      </c>
      <c r="AE62" s="203">
        <f>SUM(Emp.1!AO63+Empl.2!AT65+Empl.3!AT65)</f>
        <v>0</v>
      </c>
      <c r="AF62" s="200">
        <f>SUM(Emp.1!AP63+Empl.2!AU65+Empl.3!AU65)</f>
        <v>0</v>
      </c>
      <c r="AG62" s="203">
        <f>SUM(Emp.1!AR63+Empl.2!AW65+Empl.3!AW65)</f>
        <v>0</v>
      </c>
    </row>
    <row r="63" spans="1:33" x14ac:dyDescent="0.25">
      <c r="B63" s="7"/>
      <c r="C63" s="4"/>
      <c r="E63" s="6">
        <f>Emp.1!O64+Empl.2!O66+Empl.3!O66+employé3!O63+employé4!O63+employé5!O63+employé6!O63+employé7!O63+employé8!O63</f>
        <v>0</v>
      </c>
      <c r="F63" s="25"/>
      <c r="G63" s="25"/>
      <c r="H63" s="74"/>
      <c r="I63" s="25"/>
      <c r="J63" s="35"/>
      <c r="K63" s="52"/>
      <c r="L63" s="13"/>
      <c r="M63" s="31"/>
      <c r="N63" s="25"/>
      <c r="O63" s="25"/>
      <c r="P63" s="25"/>
      <c r="Q63" s="25"/>
      <c r="R63" s="25"/>
      <c r="S63" s="25"/>
      <c r="T63" s="94"/>
      <c r="U63" s="95"/>
      <c r="V63" s="94"/>
      <c r="W63" s="25"/>
      <c r="X63" s="25"/>
      <c r="Y63" s="25"/>
      <c r="Z63" s="25"/>
      <c r="AA63" s="96"/>
      <c r="AB63" s="26"/>
    </row>
    <row r="64" spans="1:33" x14ac:dyDescent="0.25">
      <c r="A64" t="s">
        <v>20</v>
      </c>
      <c r="B64" s="7">
        <v>4</v>
      </c>
      <c r="C64" s="4"/>
      <c r="E64" s="6">
        <f>Emp.1!O65+Empl.2!O67+Empl.3!O67+employé3!O64+employé4!O64+employé5!O64+employé6!O64+employé7!O64+employé8!O64</f>
        <v>0</v>
      </c>
      <c r="F64" s="91"/>
      <c r="G64" s="128"/>
      <c r="H64" s="135"/>
      <c r="I64" s="128"/>
      <c r="J64" s="136"/>
      <c r="K64" s="103"/>
      <c r="L64" s="128"/>
      <c r="M64" s="137"/>
      <c r="N64" s="128"/>
      <c r="O64" s="103"/>
      <c r="P64" s="128"/>
      <c r="Q64" s="128"/>
      <c r="R64" s="128"/>
      <c r="S64" s="128"/>
      <c r="T64" s="166"/>
      <c r="U64" s="128"/>
      <c r="V64" s="138"/>
      <c r="W64" s="128"/>
      <c r="X64" s="128"/>
      <c r="Y64" s="128"/>
      <c r="Z64" s="128"/>
      <c r="AA64" s="139"/>
      <c r="AB64" s="252"/>
      <c r="AC64" s="102"/>
      <c r="AD64" s="102"/>
      <c r="AE64" s="102"/>
      <c r="AF64" s="102"/>
      <c r="AG64" s="255"/>
    </row>
    <row r="65" spans="1:33" x14ac:dyDescent="0.25">
      <c r="A65" t="s">
        <v>20</v>
      </c>
      <c r="B65" s="7">
        <v>11</v>
      </c>
      <c r="C65" s="4"/>
      <c r="E65" s="6"/>
      <c r="F65" s="91"/>
      <c r="G65" s="125"/>
      <c r="H65" s="142"/>
      <c r="I65" s="125"/>
      <c r="J65" s="143"/>
      <c r="K65" s="144"/>
      <c r="L65" s="125"/>
      <c r="M65" s="145"/>
      <c r="N65" s="125"/>
      <c r="O65" s="125"/>
      <c r="P65" s="125"/>
      <c r="Q65" s="125"/>
      <c r="R65" s="125"/>
      <c r="S65" s="125"/>
      <c r="T65" s="167"/>
      <c r="U65" s="125"/>
      <c r="V65" s="146"/>
      <c r="W65" s="125"/>
      <c r="X65" s="125"/>
      <c r="Y65" s="125"/>
      <c r="Z65" s="125"/>
      <c r="AA65" s="147"/>
      <c r="AB65" s="259"/>
      <c r="AC65" s="30"/>
      <c r="AD65" s="30"/>
      <c r="AE65" s="30"/>
      <c r="AF65" s="30"/>
      <c r="AG65" s="238"/>
    </row>
    <row r="66" spans="1:33" x14ac:dyDescent="0.25">
      <c r="A66" t="s">
        <v>20</v>
      </c>
      <c r="B66" s="7">
        <v>18</v>
      </c>
      <c r="C66" s="4"/>
      <c r="E66" s="6">
        <f>Emp.1!O67+Empl.2!O69+Empl.3!O69+employé3!O66+employé4!O66+employé5!O66+employé6!O66+employé7!O66+employé8!O66</f>
        <v>0</v>
      </c>
      <c r="F66" s="91"/>
      <c r="G66" s="125"/>
      <c r="H66" s="142"/>
      <c r="I66" s="125"/>
      <c r="J66" s="143"/>
      <c r="K66" s="144"/>
      <c r="L66" s="125"/>
      <c r="M66" s="145"/>
      <c r="N66" s="125"/>
      <c r="O66" s="125"/>
      <c r="P66" s="125"/>
      <c r="Q66" s="125"/>
      <c r="R66" s="125"/>
      <c r="S66" s="125"/>
      <c r="T66" s="167"/>
      <c r="U66" s="125"/>
      <c r="V66" s="146"/>
      <c r="W66" s="125"/>
      <c r="X66" s="125"/>
      <c r="Y66" s="125"/>
      <c r="Z66" s="125"/>
      <c r="AA66" s="147"/>
      <c r="AB66" s="259"/>
      <c r="AC66" s="30"/>
      <c r="AD66" s="30"/>
      <c r="AE66" s="30"/>
      <c r="AF66" s="30"/>
      <c r="AG66" s="238"/>
    </row>
    <row r="67" spans="1:33" x14ac:dyDescent="0.25">
      <c r="A67" t="s">
        <v>20</v>
      </c>
      <c r="B67" s="7">
        <v>25</v>
      </c>
      <c r="C67" s="4"/>
      <c r="E67" s="6">
        <f>Emp.1!O68+Empl.2!O70+Empl.3!O70+employé3!O67+employé4!O67+employé5!O67+employé6!O67+employé7!O67+employé8!O67</f>
        <v>0</v>
      </c>
      <c r="F67" s="91"/>
      <c r="G67" s="214"/>
      <c r="H67" s="142"/>
      <c r="I67" s="125"/>
      <c r="J67" s="143"/>
      <c r="K67" s="144"/>
      <c r="L67" s="125"/>
      <c r="M67" s="145"/>
      <c r="N67" s="125"/>
      <c r="O67" s="125"/>
      <c r="P67" s="125"/>
      <c r="Q67" s="125"/>
      <c r="R67" s="125"/>
      <c r="S67" s="125"/>
      <c r="T67" s="167"/>
      <c r="U67" s="125"/>
      <c r="V67" s="146"/>
      <c r="W67" s="125"/>
      <c r="X67" s="125"/>
      <c r="Y67" s="125"/>
      <c r="Z67" s="125"/>
      <c r="AA67" s="147"/>
      <c r="AB67" s="259"/>
      <c r="AC67" s="30"/>
      <c r="AD67" s="30"/>
      <c r="AE67" s="30"/>
      <c r="AF67" s="30"/>
      <c r="AG67" s="238"/>
    </row>
    <row r="68" spans="1:33" x14ac:dyDescent="0.25">
      <c r="A68" t="s">
        <v>20</v>
      </c>
      <c r="B68" s="7"/>
      <c r="C68" s="4"/>
      <c r="E68" s="58">
        <f>Emp.1!O69+Empl.2!O71+Empl.3!O71+employé3!O68+employé4!O68+employé5!O68+employé6!O68+employé7!O68+employé8!O68</f>
        <v>0</v>
      </c>
      <c r="F68" s="91"/>
      <c r="G68" s="204"/>
      <c r="H68" s="205"/>
      <c r="I68" s="206"/>
      <c r="J68" s="207"/>
      <c r="K68" s="208"/>
      <c r="L68" s="206"/>
      <c r="M68" s="209"/>
      <c r="N68" s="206"/>
      <c r="O68" s="206"/>
      <c r="P68" s="206"/>
      <c r="Q68" s="206"/>
      <c r="R68" s="206"/>
      <c r="S68" s="206"/>
      <c r="T68" s="210"/>
      <c r="U68" s="206"/>
      <c r="V68" s="211"/>
      <c r="W68" s="206"/>
      <c r="X68" s="206"/>
      <c r="Y68" s="206"/>
      <c r="Z68" s="206"/>
      <c r="AA68" s="212"/>
      <c r="AB68" s="259"/>
      <c r="AC68" s="30"/>
      <c r="AD68" s="30"/>
      <c r="AE68" s="30"/>
      <c r="AF68" s="30"/>
      <c r="AG68" s="238"/>
    </row>
    <row r="69" spans="1:33" x14ac:dyDescent="0.25">
      <c r="A69" s="4" t="s">
        <v>33</v>
      </c>
      <c r="B69" s="5"/>
      <c r="C69" s="4"/>
      <c r="D69" s="4"/>
      <c r="E69" s="58">
        <f>Emp.1!O70+Empl.2!O72+Empl.3!O72+employé3!O69+employé4!O69+employé5!O69+employé6!O69+employé7!O69+employé8!O69</f>
        <v>0</v>
      </c>
      <c r="F69" s="149">
        <f>Emp.1!P70+Empl.2!T72+Empl.3!T72+employé3!P69+employé4!P69+employé5!P69+employé6!P69+employé7!P69+employé8!P69</f>
        <v>0</v>
      </c>
      <c r="G69" s="149">
        <f>Emp.1!Q70+Empl.2!U72+Empl.3!U72+employé3!Q69+employé4!Q69+employé5!Q69+employé6!Q69+employé7!Q69+employé8!Q69</f>
        <v>0</v>
      </c>
      <c r="H69" s="150">
        <f>Emp.1!R70+Empl.2!V72+Empl.3!V72+employé3!R69+employé4!R69+employé5!R69+employé6!R69+employé7!R69+employé8!R69</f>
        <v>0</v>
      </c>
      <c r="I69" s="149">
        <f>Emp.1!S70+Empl.2!W72+Empl.3!W72+employé3!S69+employé4!S69+employé5!S69+employé6!S69+employé7!S69+employé8!S69</f>
        <v>0</v>
      </c>
      <c r="J69" s="149">
        <f>Emp.1!T70+Empl.2!X72+Empl.3!X72+employé3!T69+employé4!T69+employé5!T69+employé6!T69+employé7!T69+employé8!T69</f>
        <v>0</v>
      </c>
      <c r="K69" s="149">
        <f>Emp.1!U70+Empl.2!Y72+Empl.3!Y72+employé3!U69+employé4!U69+employé5!U69+employé6!U69+employé7!U69+employé8!U69</f>
        <v>0</v>
      </c>
      <c r="L69" s="149">
        <f>Emp.1!V70+Empl.2!Z72+Empl.3!Z72+employé3!V69+employé4!V69+employé5!V69+employé6!V69+employé7!V69+employé8!V69</f>
        <v>0</v>
      </c>
      <c r="M69" s="149">
        <f>Emp.1!W70+Empl.2!AA72+Empl.3!AA72+employé3!W69+employé4!W69+employé5!W69+employé6!W69+employé7!W69+employé8!W69</f>
        <v>0</v>
      </c>
      <c r="N69" s="149">
        <f>Emp.1!X70+Empl.2!AB72+Empl.3!AB72+employé3!X69+employé4!X69+employé5!X69+employé6!X69+employé7!X69+employé8!X69</f>
        <v>0</v>
      </c>
      <c r="O69" s="149">
        <f>Emp.1!Y70+Empl.2!AC72+Empl.3!AC72+employé3!Y69+employé4!Y69+employé5!Y69+employé6!Y69+employé7!Y69+employé8!Y69</f>
        <v>0</v>
      </c>
      <c r="P69" s="149">
        <f>Emp.1!Z70+Empl.2!AD72+Empl.3!AD72+employé3!Z69+employé4!Z69+employé5!Z69+employé6!Z69+employé7!Z69+employé8!Z69</f>
        <v>0</v>
      </c>
      <c r="Q69" s="149">
        <f>Emp.1!AA70+Empl.2!AE72+Empl.3!AE72+employé3!AA69+employé4!AA69+employé5!AA69+employé6!AA69+employé7!AA69+employé8!AA69</f>
        <v>0</v>
      </c>
      <c r="R69" s="149">
        <f>Emp.1!AB70+Empl.2!AF72+Empl.3!AF72+employé3!AB69+employé4!AB69+employé5!AB69+employé6!AB69+employé7!AB69+employé8!AB69</f>
        <v>0</v>
      </c>
      <c r="S69" s="149">
        <f>Emp.1!AC70+Empl.2!AG72+Empl.3!AG72+employé3!AC69+employé4!AC69+employé5!AC69+employé6!AC69+employé7!AC69+employé8!AC69</f>
        <v>0</v>
      </c>
      <c r="T69" s="168">
        <f>Emp.1!AD70+Empl.2!AH72+Empl.3!AH72+employé3!AD69+employé4!AD69+employé5!AD69+employé6!AD69+employé7!AD69+employé8!AD69</f>
        <v>0</v>
      </c>
      <c r="U69" s="149">
        <f>Emp.1!AE70+Empl.2!AI72+Empl.3!AI72+employé3!AE69+employé4!AE69+employé5!AE69+employé6!AE69+employé7!AE69+employé8!AE69</f>
        <v>0</v>
      </c>
      <c r="V69" s="151">
        <f>Emp.1!AF70+Empl.2!AJ72+Empl.3!AJ72+employé3!AF69+employé4!AF69+employé5!AF69+employé6!AF69+employé7!AF69+employé8!AF69</f>
        <v>0</v>
      </c>
      <c r="W69" s="149">
        <f>Emp.1!AG70+Empl.2!AK72+Empl.3!AK72+employé3!AG69+employé4!AG69+employé5!AG69+employé6!AG69+employé7!AG69+employé8!AG69</f>
        <v>0</v>
      </c>
      <c r="X69" s="149">
        <f>Emp.1!AH70+Empl.2!AL72+Empl.3!AL72+employé3!AH69+employé4!AH69+employé5!AH69+employé6!AH69+employé7!AH69+employé8!AH69</f>
        <v>0</v>
      </c>
      <c r="Y69" s="149">
        <f>Emp.1!AI70+Empl.2!AM72+Empl.3!AM72+employé3!AI69+employé4!AI69+employé5!AI69+employé6!AI69+employé7!AI69+employé8!AI69</f>
        <v>0</v>
      </c>
      <c r="Z69" s="149">
        <f>Emp.1!AJ70+Empl.2!AN72+Empl.3!AN72+employé3!AJ69+employé4!AJ69+employé5!AJ69+employé6!AJ69+employé7!AJ69+employé8!AJ69</f>
        <v>0</v>
      </c>
      <c r="AA69" s="152">
        <f>Emp.1!AK70+Empl.2!AP72+Empl.3!AP72+employé3!AK69+employé4!AK69+employé5!AK69+employé6!AK69+employé7!AK69+employé8!AK69</f>
        <v>0</v>
      </c>
      <c r="AB69" s="260">
        <f>SUM(Emp.1!AL70+Empl.2!AQ72+Empl.3!AQ72)</f>
        <v>0</v>
      </c>
      <c r="AC69" s="203">
        <f>SUM(Emp.1!AM70+Empl.2!AR72+Empl.3!AR72)</f>
        <v>0</v>
      </c>
      <c r="AD69" s="203">
        <f>SUM(Emp.1!AN70+Empl.2!AS72+Empl.3!AS72)</f>
        <v>0</v>
      </c>
      <c r="AE69" s="203">
        <f>SUM(Emp.1!AO70+Empl.2!AT72+Empl.3!AT72)</f>
        <v>0</v>
      </c>
      <c r="AF69" s="200">
        <f>SUM(Emp.1!AP70+Empl.2!AU72+Empl.3!AU72)</f>
        <v>0</v>
      </c>
      <c r="AG69" s="203">
        <f>SUM(Emp.1!AR70+Empl.2!AW72+Empl.3!AW72)</f>
        <v>0</v>
      </c>
    </row>
    <row r="70" spans="1:33" x14ac:dyDescent="0.25">
      <c r="B70" s="7"/>
      <c r="C70" s="4"/>
      <c r="E70" s="58">
        <f>Emp.1!O71+Empl.2!O73+Empl.3!O73+employé3!O70+employé4!O70+employé5!O70+employé6!O70+employé7!O70+employé8!O70</f>
        <v>0</v>
      </c>
      <c r="F70" s="25"/>
      <c r="G70" s="25"/>
      <c r="H70" s="74"/>
      <c r="I70" s="25"/>
      <c r="J70" s="35"/>
      <c r="K70" s="52"/>
      <c r="L70" s="13"/>
      <c r="M70" s="31"/>
      <c r="N70" s="25"/>
      <c r="O70" s="25"/>
      <c r="P70" s="25"/>
      <c r="Q70" s="25"/>
      <c r="R70" s="25"/>
      <c r="S70" s="25"/>
      <c r="T70" s="94"/>
      <c r="U70" s="95"/>
      <c r="V70" s="94"/>
      <c r="W70" s="25"/>
      <c r="X70" s="25"/>
      <c r="Y70" s="25"/>
      <c r="Z70" s="25"/>
      <c r="AA70" s="96"/>
      <c r="AB70" s="26"/>
      <c r="AC70" s="13"/>
      <c r="AD70" s="13">
        <f>Emp.1!AN71+Empl.2!AS73+Empl.3!AS73</f>
        <v>0</v>
      </c>
    </row>
    <row r="71" spans="1:33" x14ac:dyDescent="0.25">
      <c r="A71" t="s">
        <v>21</v>
      </c>
      <c r="B71" s="7">
        <v>1</v>
      </c>
      <c r="C71" s="4"/>
      <c r="E71" s="58"/>
      <c r="F71" s="91"/>
      <c r="G71" s="128"/>
      <c r="H71" s="135"/>
      <c r="I71" s="128"/>
      <c r="J71" s="136"/>
      <c r="K71" s="103"/>
      <c r="L71" s="128"/>
      <c r="M71" s="137"/>
      <c r="N71" s="128"/>
      <c r="O71" s="103"/>
      <c r="P71" s="128"/>
      <c r="Q71" s="128"/>
      <c r="R71" s="128"/>
      <c r="S71" s="128"/>
      <c r="T71" s="166"/>
      <c r="U71" s="128"/>
      <c r="V71" s="138"/>
      <c r="W71" s="128"/>
      <c r="X71" s="128"/>
      <c r="Y71" s="128"/>
      <c r="Z71" s="128"/>
      <c r="AA71" s="139"/>
      <c r="AB71" s="252"/>
      <c r="AC71" s="102"/>
      <c r="AD71" s="102"/>
      <c r="AE71" s="102"/>
      <c r="AF71" s="102"/>
      <c r="AG71" s="255"/>
    </row>
    <row r="72" spans="1:33" x14ac:dyDescent="0.25">
      <c r="A72" t="s">
        <v>21</v>
      </c>
      <c r="B72" s="7">
        <v>8</v>
      </c>
      <c r="C72" s="4"/>
      <c r="E72" s="58"/>
      <c r="F72" s="91"/>
      <c r="G72" s="125"/>
      <c r="H72" s="142"/>
      <c r="I72" s="125"/>
      <c r="J72" s="143"/>
      <c r="K72" s="144"/>
      <c r="L72" s="125"/>
      <c r="M72" s="145"/>
      <c r="N72" s="125"/>
      <c r="O72" s="125"/>
      <c r="P72" s="125"/>
      <c r="Q72" s="125"/>
      <c r="R72" s="125"/>
      <c r="S72" s="125"/>
      <c r="T72" s="167"/>
      <c r="U72" s="125"/>
      <c r="V72" s="146"/>
      <c r="W72" s="125"/>
      <c r="X72" s="125"/>
      <c r="Y72" s="125"/>
      <c r="Z72" s="125"/>
      <c r="AA72" s="147"/>
      <c r="AB72" s="259"/>
      <c r="AC72" s="30"/>
      <c r="AD72" s="30"/>
      <c r="AE72" s="30"/>
      <c r="AF72" s="30"/>
      <c r="AG72" s="238"/>
    </row>
    <row r="73" spans="1:33" x14ac:dyDescent="0.25">
      <c r="A73" t="s">
        <v>21</v>
      </c>
      <c r="B73" s="7">
        <v>15</v>
      </c>
      <c r="C73" s="4"/>
      <c r="E73" s="58"/>
      <c r="F73" s="91"/>
      <c r="G73" s="125"/>
      <c r="H73" s="142"/>
      <c r="I73" s="125"/>
      <c r="J73" s="143"/>
      <c r="K73" s="144"/>
      <c r="L73" s="125"/>
      <c r="M73" s="145"/>
      <c r="N73" s="125"/>
      <c r="O73" s="125"/>
      <c r="P73" s="125"/>
      <c r="Q73" s="125"/>
      <c r="R73" s="125"/>
      <c r="S73" s="125"/>
      <c r="T73" s="167"/>
      <c r="U73" s="125"/>
      <c r="V73" s="146"/>
      <c r="W73" s="125"/>
      <c r="X73" s="125"/>
      <c r="Y73" s="125"/>
      <c r="Z73" s="125"/>
      <c r="AA73" s="147"/>
      <c r="AB73" s="259"/>
      <c r="AC73" s="30"/>
      <c r="AD73" s="30"/>
      <c r="AE73" s="30"/>
      <c r="AF73" s="30"/>
      <c r="AG73" s="238"/>
    </row>
    <row r="74" spans="1:33" x14ac:dyDescent="0.25">
      <c r="A74" t="s">
        <v>21</v>
      </c>
      <c r="B74" s="7">
        <v>22</v>
      </c>
      <c r="C74" s="4"/>
      <c r="E74" s="58"/>
      <c r="F74" s="91"/>
      <c r="G74" s="214"/>
      <c r="H74" s="142"/>
      <c r="I74" s="125"/>
      <c r="J74" s="143"/>
      <c r="K74" s="144"/>
      <c r="L74" s="125"/>
      <c r="M74" s="145"/>
      <c r="N74" s="125"/>
      <c r="O74" s="125"/>
      <c r="P74" s="125"/>
      <c r="Q74" s="125"/>
      <c r="R74" s="125"/>
      <c r="S74" s="125"/>
      <c r="T74" s="167"/>
      <c r="U74" s="125"/>
      <c r="V74" s="146"/>
      <c r="W74" s="125"/>
      <c r="X74" s="125"/>
      <c r="Y74" s="125"/>
      <c r="Z74" s="125"/>
      <c r="AA74" s="147"/>
      <c r="AB74" s="259"/>
      <c r="AC74" s="30"/>
      <c r="AD74" s="30"/>
      <c r="AE74" s="30"/>
      <c r="AF74" s="30"/>
      <c r="AG74" s="238"/>
    </row>
    <row r="75" spans="1:33" x14ac:dyDescent="0.25">
      <c r="A75" t="s">
        <v>21</v>
      </c>
      <c r="B75" s="7">
        <v>29</v>
      </c>
      <c r="C75" s="4"/>
      <c r="E75" s="58"/>
      <c r="F75" s="91"/>
      <c r="G75" s="204"/>
      <c r="H75" s="205"/>
      <c r="I75" s="206"/>
      <c r="J75" s="207"/>
      <c r="K75" s="208"/>
      <c r="L75" s="206"/>
      <c r="M75" s="209"/>
      <c r="N75" s="206"/>
      <c r="O75" s="206"/>
      <c r="P75" s="206"/>
      <c r="Q75" s="206"/>
      <c r="R75" s="206"/>
      <c r="S75" s="206"/>
      <c r="T75" s="210"/>
      <c r="U75" s="206"/>
      <c r="V75" s="211"/>
      <c r="W75" s="206"/>
      <c r="X75" s="206"/>
      <c r="Y75" s="206"/>
      <c r="Z75" s="206"/>
      <c r="AA75" s="212"/>
      <c r="AB75" s="259"/>
      <c r="AC75" s="30"/>
      <c r="AD75" s="30"/>
      <c r="AE75" s="30"/>
      <c r="AF75" s="30"/>
      <c r="AG75" s="238"/>
    </row>
    <row r="76" spans="1:33" x14ac:dyDescent="0.25">
      <c r="A76" s="4" t="s">
        <v>33</v>
      </c>
      <c r="B76" s="5"/>
      <c r="C76" s="4"/>
      <c r="D76" s="58">
        <f>Emp.1!N77+Empl.2!N79+Empl.3!N79+employé3!N76+employé4!N76+employé5!N76+employé6!N76+employé7!N76+employé8!N76</f>
        <v>0</v>
      </c>
      <c r="E76" s="58">
        <f>Emp.1!O77+Empl.2!O79+Empl.3!O79+employé3!O76+employé4!O76+employé5!O76+employé6!O76+employé7!O76+employé8!O76</f>
        <v>0</v>
      </c>
      <c r="F76" s="149">
        <f>Emp.1!P77+Empl.2!T79+Empl.3!T79+employé3!P76+employé4!P76+employé5!P76+employé6!P76+employé7!P76+employé8!P76</f>
        <v>0</v>
      </c>
      <c r="G76" s="149">
        <f>Emp.1!Q77+Empl.2!U79+Empl.3!U79+employé3!Q76+employé4!Q76+employé5!Q76+employé6!Q76+employé7!Q76+employé8!Q76</f>
        <v>0</v>
      </c>
      <c r="H76" s="150">
        <f>Emp.1!R77+Empl.2!V79+Empl.3!V79+employé3!R76+employé4!R76+employé5!R76+employé6!R76+employé7!R76+employé8!R76</f>
        <v>0</v>
      </c>
      <c r="I76" s="149">
        <f>Emp.1!S77+Empl.2!W79+Empl.3!W79+employé3!S76+employé4!S76+employé5!S76+employé6!S76+employé7!S76+employé8!S76</f>
        <v>0</v>
      </c>
      <c r="J76" s="149">
        <f>Emp.1!T77+Empl.2!X79+Empl.3!X79+employé3!T76+employé4!T76+employé5!T76+employé6!T76+employé7!T76+employé8!T76</f>
        <v>0</v>
      </c>
      <c r="K76" s="149">
        <f>Emp.1!U77+Empl.2!Y79+Empl.3!Y79+employé3!U76+employé4!U76+employé5!U76+employé6!U76+employé7!U76+employé8!U76</f>
        <v>0</v>
      </c>
      <c r="L76" s="149">
        <f>Emp.1!V77+Empl.2!Z79+Empl.3!Z79+employé3!V76+employé4!V76+employé5!V76+employé6!V76+employé7!V76+employé8!V76</f>
        <v>0</v>
      </c>
      <c r="M76" s="149">
        <f>Emp.1!W77+Empl.2!AA79+Empl.3!AA79+employé3!W76+employé4!W76+employé5!W76+employé6!W76+employé7!W76+employé8!W76</f>
        <v>0</v>
      </c>
      <c r="N76" s="149">
        <f>Emp.1!X77+Empl.2!AB79+Empl.3!AB79+employé3!X76+employé4!X76+employé5!X76+employé6!X76+employé7!X76+employé8!X76</f>
        <v>0</v>
      </c>
      <c r="O76" s="149">
        <f>Emp.1!Y77+Empl.2!AC79+Empl.3!AC79+employé3!Y76+employé4!Y76+employé5!Y76+employé6!Y76+employé7!Y76+employé8!Y76</f>
        <v>0</v>
      </c>
      <c r="P76" s="149">
        <f>Emp.1!Z77+Empl.2!AD79+Empl.3!AD79+employé3!Z76+employé4!Z76+employé5!Z76+employé6!Z76+employé7!Z76+employé8!Z76</f>
        <v>0</v>
      </c>
      <c r="Q76" s="149">
        <f>Emp.1!AA77+Empl.2!AE79+Empl.3!AE79+employé3!AA76+employé4!AA76+employé5!AA76+employé6!AA76+employé7!AA76+employé8!AA76</f>
        <v>0</v>
      </c>
      <c r="R76" s="149">
        <f>Emp.1!AB77+Empl.2!AF79+Empl.3!AF79+employé3!AB76+employé4!AB76+employé5!AB76+employé6!AB76+employé7!AB76+employé8!AB76</f>
        <v>0</v>
      </c>
      <c r="S76" s="149">
        <f>Emp.1!AC77+Empl.2!AG79+Empl.3!AG79+employé3!AC76+employé4!AC76+employé5!AC76+employé6!AC76+employé7!AC76+employé8!AC76</f>
        <v>0</v>
      </c>
      <c r="T76" s="168">
        <f>Emp.1!AD77+Empl.2!AH79+Empl.3!AH79+employé3!AD76+employé4!AD76+employé5!AD76+employé6!AD76+employé7!AD76+employé8!AD76</f>
        <v>0</v>
      </c>
      <c r="U76" s="149">
        <f>Emp.1!AE77+Empl.2!AI79+Empl.3!AI79+employé3!AE76+employé4!AE76+employé5!AE76+employé6!AE76+employé7!AE76+employé8!AE76</f>
        <v>0</v>
      </c>
      <c r="V76" s="151">
        <f>Emp.1!AF77+Empl.2!AJ79+Empl.3!AJ79+employé3!AF76+employé4!AF76+employé5!AF76+employé6!AF76+employé7!AF76+employé8!AF76</f>
        <v>0</v>
      </c>
      <c r="W76" s="149">
        <f>Emp.1!AG77+Empl.2!AK79+Empl.3!AK79+employé3!AG76+employé4!AG76+employé5!AG76+employé6!AG76+employé7!AG76+employé8!AG76</f>
        <v>0</v>
      </c>
      <c r="X76" s="149">
        <f>Emp.1!AH77+Empl.2!AL79+Empl.3!AL79+employé3!AH76+employé4!AH76+employé5!AH76+employé6!AH76+employé7!AH76+employé8!AH76</f>
        <v>0</v>
      </c>
      <c r="Y76" s="149">
        <f>Emp.1!AI77+Empl.2!AM79+Empl.3!AM79+employé3!AI76+employé4!AI76+employé5!AI76+employé6!AI76+employé7!AI76+employé8!AI76</f>
        <v>0</v>
      </c>
      <c r="Z76" s="149">
        <f>Emp.1!AJ77+Empl.2!AN79+Empl.3!AN79+employé3!AJ76+employé4!AJ76+employé5!AJ76+employé6!AJ76+employé7!AJ76+employé8!AJ76</f>
        <v>0</v>
      </c>
      <c r="AA76" s="152">
        <f>Emp.1!AK77+Empl.2!AP79+Empl.3!AP79+employé3!AK76+employé4!AK76+employé5!AK76+employé6!AK76+employé7!AK76+employé8!AK76</f>
        <v>0</v>
      </c>
      <c r="AB76" s="260">
        <f>SUM(Emp.1!AL77+Empl.2!AQ79+Empl.3!AQ79)</f>
        <v>0</v>
      </c>
      <c r="AC76" s="203">
        <f>SUM(Emp.1!AM77+Empl.2!AR79+Empl.3!AR79)</f>
        <v>0</v>
      </c>
      <c r="AD76" s="203">
        <f>SUM(Emp.1!AN77+Empl.2!AS79+Empl.3!AS79)</f>
        <v>0</v>
      </c>
      <c r="AE76" s="203">
        <f>SUM(Emp.1!AO77+Empl.2!AT79+Empl.3!AT79)</f>
        <v>0</v>
      </c>
      <c r="AF76" s="200">
        <f>SUM(Emp.1!AP77+Empl.2!AU79+Empl.3!AU79)</f>
        <v>0</v>
      </c>
      <c r="AG76" s="203">
        <f>SUM(Emp.1!AR77+Empl.2!AW79+Empl.3!AW79)</f>
        <v>0</v>
      </c>
    </row>
    <row r="77" spans="1:33" x14ac:dyDescent="0.25">
      <c r="B77" s="7"/>
      <c r="C77" s="4"/>
      <c r="E77" s="58">
        <f>Emp.1!O78+Empl.2!O80+Empl.3!O80+employé3!O77+employé4!O77+employé5!O77+employé6!O77+employé7!O77+employé8!O77</f>
        <v>0</v>
      </c>
      <c r="F77" s="25"/>
      <c r="G77" s="25"/>
      <c r="H77" s="74"/>
      <c r="I77" s="25"/>
      <c r="J77" s="35"/>
      <c r="K77" s="52"/>
      <c r="L77" s="13"/>
      <c r="M77" s="52"/>
      <c r="N77" s="25"/>
      <c r="O77" s="25"/>
      <c r="P77" s="25"/>
      <c r="Q77" s="25"/>
      <c r="R77" s="25"/>
      <c r="S77" s="95"/>
      <c r="T77" s="94"/>
      <c r="U77" s="95"/>
      <c r="V77" s="94"/>
      <c r="W77" s="25"/>
      <c r="X77" s="25"/>
      <c r="Y77" s="25"/>
      <c r="Z77" s="25"/>
      <c r="AA77" s="96"/>
      <c r="AB77" s="26"/>
    </row>
    <row r="78" spans="1:33" x14ac:dyDescent="0.25">
      <c r="A78" t="s">
        <v>22</v>
      </c>
      <c r="B78" s="7">
        <v>6</v>
      </c>
      <c r="C78" s="4"/>
      <c r="E78" s="58">
        <f>Emp.1!O79+Empl.2!O81+Empl.3!O81+employé3!O78+employé4!O78+employé5!O78+employé6!O78+employé7!O78+employé8!O78</f>
        <v>0</v>
      </c>
      <c r="F78" s="91"/>
      <c r="G78" s="128"/>
      <c r="H78" s="135"/>
      <c r="I78" s="128"/>
      <c r="J78" s="136"/>
      <c r="K78" s="103"/>
      <c r="L78" s="128"/>
      <c r="M78" s="137"/>
      <c r="N78" s="128"/>
      <c r="O78" s="103"/>
      <c r="P78" s="128"/>
      <c r="Q78" s="128"/>
      <c r="R78" s="128"/>
      <c r="S78" s="128"/>
      <c r="T78" s="166"/>
      <c r="U78" s="128"/>
      <c r="V78" s="138"/>
      <c r="W78" s="128"/>
      <c r="X78" s="128"/>
      <c r="Y78" s="128"/>
      <c r="Z78" s="128"/>
      <c r="AA78" s="139"/>
      <c r="AB78" s="252"/>
      <c r="AC78" s="102"/>
      <c r="AD78" s="102"/>
      <c r="AE78" s="102"/>
      <c r="AF78" s="102"/>
      <c r="AG78" s="255"/>
    </row>
    <row r="79" spans="1:33" x14ac:dyDescent="0.25">
      <c r="A79" t="s">
        <v>22</v>
      </c>
      <c r="B79" s="7">
        <v>13</v>
      </c>
      <c r="C79" s="4"/>
      <c r="E79" s="58">
        <f>Emp.1!O80+Empl.2!O82+Empl.3!O82+employé3!O79+employé4!O79+employé5!O79+employé6!O79+employé7!O79+employé8!O79</f>
        <v>0</v>
      </c>
      <c r="F79" s="91"/>
      <c r="G79" s="125"/>
      <c r="H79" s="142"/>
      <c r="I79" s="125"/>
      <c r="J79" s="143"/>
      <c r="K79" s="144"/>
      <c r="L79" s="125"/>
      <c r="M79" s="145"/>
      <c r="N79" s="125"/>
      <c r="O79" s="125"/>
      <c r="P79" s="125"/>
      <c r="Q79" s="125"/>
      <c r="R79" s="125"/>
      <c r="S79" s="125"/>
      <c r="T79" s="167"/>
      <c r="U79" s="125"/>
      <c r="V79" s="146"/>
      <c r="W79" s="125"/>
      <c r="X79" s="125"/>
      <c r="Y79" s="125"/>
      <c r="Z79" s="125"/>
      <c r="AA79" s="147"/>
      <c r="AB79" s="259"/>
      <c r="AC79" s="30"/>
      <c r="AD79" s="30"/>
      <c r="AE79" s="30"/>
      <c r="AF79" s="30"/>
      <c r="AG79" s="238"/>
    </row>
    <row r="80" spans="1:33" x14ac:dyDescent="0.25">
      <c r="A80" t="s">
        <v>22</v>
      </c>
      <c r="B80" s="7">
        <v>20</v>
      </c>
      <c r="C80" s="4"/>
      <c r="E80" s="58">
        <f>Emp.1!O81+Empl.2!O83+Empl.3!O83+employé3!O80+employé4!O80+employé5!O80+employé6!O80+employé7!O80+employé8!O80</f>
        <v>0</v>
      </c>
      <c r="F80" s="91"/>
      <c r="G80" s="125"/>
      <c r="H80" s="142"/>
      <c r="I80" s="125"/>
      <c r="J80" s="143"/>
      <c r="K80" s="144"/>
      <c r="L80" s="125"/>
      <c r="M80" s="145"/>
      <c r="N80" s="125"/>
      <c r="O80" s="125"/>
      <c r="P80" s="125"/>
      <c r="Q80" s="125"/>
      <c r="R80" s="125"/>
      <c r="S80" s="125"/>
      <c r="T80" s="167"/>
      <c r="U80" s="125"/>
      <c r="V80" s="146"/>
      <c r="W80" s="125"/>
      <c r="X80" s="125"/>
      <c r="Y80" s="125"/>
      <c r="Z80" s="125"/>
      <c r="AA80" s="147"/>
      <c r="AB80" s="259"/>
      <c r="AC80" s="30"/>
      <c r="AD80" s="30"/>
      <c r="AE80" s="30"/>
      <c r="AF80" s="30"/>
      <c r="AG80" s="238"/>
    </row>
    <row r="81" spans="1:33" x14ac:dyDescent="0.25">
      <c r="A81" t="s">
        <v>22</v>
      </c>
      <c r="B81" s="7">
        <v>27</v>
      </c>
      <c r="C81" s="4"/>
      <c r="E81" s="58">
        <f>Emp.1!O82+Empl.2!O84+Empl.3!O84+employé3!O81+employé4!O81+employé5!O81+employé6!O81+employé7!O81+employé8!O81</f>
        <v>0</v>
      </c>
      <c r="F81" s="91"/>
      <c r="G81" s="214"/>
      <c r="H81" s="142"/>
      <c r="I81" s="125"/>
      <c r="J81" s="143"/>
      <c r="K81" s="144"/>
      <c r="L81" s="125"/>
      <c r="M81" s="145"/>
      <c r="N81" s="125"/>
      <c r="O81" s="125"/>
      <c r="P81" s="125"/>
      <c r="Q81" s="125"/>
      <c r="R81" s="125"/>
      <c r="S81" s="125"/>
      <c r="T81" s="167"/>
      <c r="U81" s="125"/>
      <c r="V81" s="146"/>
      <c r="W81" s="125"/>
      <c r="X81" s="125"/>
      <c r="Y81" s="125"/>
      <c r="Z81" s="125"/>
      <c r="AA81" s="147"/>
      <c r="AB81" s="259"/>
      <c r="AC81" s="30"/>
      <c r="AD81" s="30"/>
      <c r="AE81" s="30"/>
      <c r="AF81" s="30"/>
      <c r="AG81" s="238"/>
    </row>
    <row r="82" spans="1:33" x14ac:dyDescent="0.25">
      <c r="A82" s="16" t="s">
        <v>22</v>
      </c>
      <c r="B82" s="7"/>
      <c r="C82" s="4"/>
      <c r="E82" s="58">
        <f>Emp.1!O83+Empl.2!O85+Empl.3!O85+employé3!O82+employé4!O82+employé5!O82+employé6!O82+employé7!O82+employé8!O82</f>
        <v>0</v>
      </c>
      <c r="F82" s="91"/>
      <c r="G82" s="204"/>
      <c r="H82" s="205"/>
      <c r="I82" s="206"/>
      <c r="J82" s="207"/>
      <c r="K82" s="208"/>
      <c r="L82" s="206"/>
      <c r="M82" s="209"/>
      <c r="N82" s="206"/>
      <c r="O82" s="206"/>
      <c r="P82" s="206"/>
      <c r="Q82" s="206"/>
      <c r="R82" s="206"/>
      <c r="S82" s="206"/>
      <c r="T82" s="210"/>
      <c r="U82" s="206"/>
      <c r="V82" s="211"/>
      <c r="W82" s="206"/>
      <c r="X82" s="206"/>
      <c r="Y82" s="206"/>
      <c r="Z82" s="206"/>
      <c r="AA82" s="212"/>
      <c r="AB82" s="259"/>
      <c r="AC82" s="30"/>
      <c r="AD82" s="30"/>
      <c r="AE82" s="30"/>
      <c r="AF82" s="30"/>
      <c r="AG82" s="238"/>
    </row>
    <row r="83" spans="1:33" x14ac:dyDescent="0.25">
      <c r="A83" s="4" t="s">
        <v>33</v>
      </c>
      <c r="B83" s="5"/>
      <c r="C83" s="4"/>
      <c r="D83" s="4"/>
      <c r="E83" s="58">
        <f>Emp.1!O84+Empl.2!O86+Empl.3!O86+employé3!O83+employé4!O83+employé5!O83+employé6!O83+employé7!O83+employé8!O83</f>
        <v>0</v>
      </c>
      <c r="F83" s="149">
        <f>Emp.1!P84+Empl.2!T86+Empl.3!T86</f>
        <v>0</v>
      </c>
      <c r="G83" s="149">
        <f>Emp.1!Q84+Empl.2!U86+Empl.3!U86</f>
        <v>0</v>
      </c>
      <c r="H83" s="150">
        <f>Emp.1!R84+Empl.2!V86+Empl.3!V86</f>
        <v>0</v>
      </c>
      <c r="I83" s="149">
        <f>Emp.1!S84+Empl.2!W86+Empl.3!W86</f>
        <v>0</v>
      </c>
      <c r="J83" s="149">
        <f>Emp.1!T84+Empl.2!X86+Empl.3!X86</f>
        <v>0</v>
      </c>
      <c r="K83" s="149">
        <f>Emp.1!U84+Empl.2!Y86+Empl.3!Y86</f>
        <v>0</v>
      </c>
      <c r="L83" s="149">
        <f>Emp.1!V84+Empl.2!Z86+Empl.3!Z86</f>
        <v>0</v>
      </c>
      <c r="M83" s="149">
        <f>Emp.1!W84+Empl.2!AA86+Empl.3!AA86</f>
        <v>0</v>
      </c>
      <c r="N83" s="149">
        <f>Emp.1!X84+Empl.2!AB86+Empl.3!AB86</f>
        <v>0</v>
      </c>
      <c r="O83" s="149">
        <f>Emp.1!Y84+Empl.2!AC86+Empl.3!AC86</f>
        <v>0</v>
      </c>
      <c r="P83" s="149">
        <f>Emp.1!Z84+Empl.2!AD86+Empl.3!AD86</f>
        <v>0</v>
      </c>
      <c r="Q83" s="149">
        <f>Emp.1!AA84+Empl.2!AE86+Empl.3!AE86</f>
        <v>0</v>
      </c>
      <c r="R83" s="149">
        <f>Emp.1!AB84+Empl.2!AF86+Empl.3!AF86</f>
        <v>0</v>
      </c>
      <c r="S83" s="149">
        <f>Emp.1!AC84+Empl.2!AG86+Empl.3!AG86</f>
        <v>0</v>
      </c>
      <c r="T83" s="168">
        <f>Emp.1!AD84+Empl.2!AH86+Empl.3!AH86</f>
        <v>0</v>
      </c>
      <c r="U83" s="149">
        <f>Emp.1!AE84+Empl.2!AI86+Empl.3!AI86</f>
        <v>0</v>
      </c>
      <c r="V83" s="151">
        <f>Emp.1!AF84+Empl.2!AJ86+Empl.3!AJ86</f>
        <v>0</v>
      </c>
      <c r="W83" s="149">
        <f>Emp.1!AG84+Empl.2!AK86+Empl.3!AK86</f>
        <v>0</v>
      </c>
      <c r="X83" s="149">
        <f>Emp.1!AH84+Empl.2!AL86+Empl.3!AL86</f>
        <v>0</v>
      </c>
      <c r="Y83" s="149">
        <f>Emp.1!AI84+Empl.2!AM86+Empl.3!AM86</f>
        <v>0</v>
      </c>
      <c r="Z83" s="149">
        <f>Emp.1!AJ84+Empl.2!AN86+Empl.3!AN86</f>
        <v>0</v>
      </c>
      <c r="AA83" s="152">
        <f>Emp.1!AK84+Empl.2!AP86+Empl.3!AP86</f>
        <v>0</v>
      </c>
      <c r="AB83" s="260">
        <f>SUM(Emp.1!AL84+Empl.2!AQ86+Empl.3!AQ86)</f>
        <v>0</v>
      </c>
      <c r="AC83" s="203">
        <f>SUM(Emp.1!AM84+Empl.2!AR86+Empl.3!AR86)</f>
        <v>0</v>
      </c>
      <c r="AD83" s="203">
        <f>SUM(Emp.1!AN84+Empl.2!AS86+Empl.3!AS86)</f>
        <v>0</v>
      </c>
      <c r="AE83" s="203">
        <f>SUM(Emp.1!AO84+Empl.2!AT86+Empl.3!AT86)</f>
        <v>0</v>
      </c>
      <c r="AF83" s="200">
        <f>SUM(Emp.1!AP84+Empl.2!AU86+Empl.3!AU86)</f>
        <v>0</v>
      </c>
      <c r="AG83" s="203">
        <f>SUM(Emp.1!AR84+Empl.2!AW86+Empl.3!AW86)</f>
        <v>0</v>
      </c>
    </row>
    <row r="84" spans="1:33" ht="19.5" customHeight="1" x14ac:dyDescent="0.25">
      <c r="B84" s="7"/>
      <c r="C84" s="4"/>
      <c r="E84" s="4"/>
      <c r="F84" s="25"/>
      <c r="G84" s="25"/>
      <c r="H84" s="74"/>
      <c r="I84" s="25"/>
      <c r="J84" s="35"/>
      <c r="K84" s="52"/>
      <c r="L84" s="25"/>
      <c r="M84" s="52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96"/>
      <c r="AB84" s="25"/>
    </row>
    <row r="85" spans="1:33" x14ac:dyDescent="0.25">
      <c r="A85" s="4" t="s">
        <v>34</v>
      </c>
      <c r="B85" s="5"/>
      <c r="C85" s="4"/>
      <c r="D85" s="4"/>
      <c r="E85" s="4">
        <f>Emp.1!O86+Empl.2!O88+Empl.3!O88</f>
        <v>0</v>
      </c>
      <c r="F85" s="200">
        <f>Emp.1!P86+Empl.2!T88+Empl.3!T88+employé3!P85+employé4!P85+employé5!P85</f>
        <v>2523.5</v>
      </c>
      <c r="G85" s="200">
        <f>Emp.1!Q86+Empl.2!U88+Empl.3!U88+employé3!Q85+employé4!Q85+employé5!Q85</f>
        <v>1750</v>
      </c>
      <c r="H85" s="201">
        <f>Emp.1!R86+Empl.2!V88+Empl.3!V88+employé3!R85+employé4!R85+employé5!R85</f>
        <v>2523.5</v>
      </c>
      <c r="I85" s="200">
        <f>Emp.1!S86+Empl.2!W88+Empl.3!W88+employé3!S85+employé4!S85+employé5!S85</f>
        <v>1750</v>
      </c>
      <c r="J85" s="200">
        <f>Emp.1!T86+Empl.2!X88+Empl.3!X88+employé3!T85+employé4!T85+employé5!T85</f>
        <v>2607.9033199999999</v>
      </c>
      <c r="K85" s="200">
        <f>Emp.1!U86+Empl.2!Y88+Empl.3!Y88+employé3!U85+employé4!U85+employé5!U85</f>
        <v>120.81948</v>
      </c>
      <c r="L85" s="200">
        <f>Emp.1!V86+Empl.2!Z88+Empl.3!Z88+employé3!V85+employé4!V85+employé5!V85</f>
        <v>21</v>
      </c>
      <c r="M85" s="200">
        <f>Emp.1!W86+Empl.2!AA88+Empl.3!AA88+employé3!W85+employé4!W85+employé5!W85</f>
        <v>30.282</v>
      </c>
      <c r="N85" s="200">
        <f>Emp.1!X86+Empl.2!AB88+Empl.3!AB88+employé3!X85+employé4!X85+employé5!X85</f>
        <v>8.6449999999999996</v>
      </c>
      <c r="O85" s="200">
        <f>Emp.1!Y86+Empl.2!AC88+Empl.3!AC88+employé3!Y85+employé4!Y85+employé5!Y85</f>
        <v>12.466089999999999</v>
      </c>
      <c r="P85" s="200">
        <f>Emp.1!Z86+Empl.2!AD88+Empl.3!AD88+employé3!Z85+employé4!Z85+employé5!Z85</f>
        <v>0</v>
      </c>
      <c r="Q85" s="200">
        <f>Emp.1!AA86+Empl.2!AE88+Empl.3!AE88+employé3!AA85+employé4!AA85+employé5!AA85</f>
        <v>0</v>
      </c>
      <c r="R85" s="200">
        <f>Emp.1!AB86+Empl.2!AF88+Empl.3!AF88+employé3!AB85+employé4!AB85+employé5!AB85</f>
        <v>1750</v>
      </c>
      <c r="S85" s="200">
        <f>Emp.1!AC86+Empl.2!AG88+Empl.3!AG88+employé3!AC85+employé4!AC85+employé5!AC85</f>
        <v>2597.6999999999998</v>
      </c>
      <c r="T85" s="200">
        <f>Emp.1!AD86+Empl.2!AH88+Empl.3!AH88+employé3!AD85+employé4!AD85+employé5!AD85</f>
        <v>1849.8</v>
      </c>
      <c r="U85" s="200">
        <f>Emp.1!AE86+Empl.2!AI88+Empl.3!AI88+employé3!AE85+employé4!AE85+employé5!AE85</f>
        <v>2523.5</v>
      </c>
      <c r="V85" s="200">
        <f>Emp.1!AF86+Empl.2!AJ88+Empl.3!AJ88+employé3!AF85+employé4!AF85+employé5!AF85</f>
        <v>91.66</v>
      </c>
      <c r="W85" s="200">
        <f>Emp.1!AG86+Empl.2!AK88+Empl.3!AK88+employé3!AG85+employé4!AG85+employé5!AG85</f>
        <v>0</v>
      </c>
      <c r="X85" s="200">
        <f>Emp.1!AH86+Empl.2!AL88+Empl.3!AL88+employé3!AH85+employé4!AH85+employé5!AH85</f>
        <v>1844.8992499999999</v>
      </c>
      <c r="Y85" s="200">
        <f>Emp.1!AI86+Empl.2!AM88+Empl.3!AM88+employé3!AI85+employé4!AI85+employé5!AI85</f>
        <v>2168.4724299999998</v>
      </c>
      <c r="Z85" s="200">
        <f>Emp.1!AJ86+Empl.2!AN88+Empl.3!AN88+employé3!AJ85+employé4!AJ85+employé5!AJ85</f>
        <v>1597.87168</v>
      </c>
      <c r="AA85" s="202">
        <f>Emp.1!AK86+Empl.2!AP88+Empl.3!AP88+employé3!AK85+employé4!AK85+employé5!AK85</f>
        <v>2276.4724299999998</v>
      </c>
      <c r="AB85" s="262">
        <f>Emp.1!AL86+Empl.2!AQ88+Empl.3!AQ88+employé3!AL85+employé4!AL85+employé5!AL85</f>
        <v>17.462619999999998</v>
      </c>
      <c r="AC85" s="203">
        <f>Emp.1!AM86+Empl.2!AR88+Empl.3!AR88+employé3!AM85+employé4!AM85+employé5!AM85</f>
        <v>0</v>
      </c>
      <c r="AD85" s="203">
        <f>Emp.1!AN86+Empl.2!AS88+Empl.3!AS88+employé3!AN85+employé4!AN85+employé5!AN85</f>
        <v>0</v>
      </c>
      <c r="AE85" s="203">
        <f>Emp.1!AO86+Empl.2!AT88+Empl.3!AT88+employé3!AO85+employé4!AO85+employé5!AO85</f>
        <v>0</v>
      </c>
      <c r="AF85" s="203">
        <f>Emp.1!AP86+Empl.2!AU88+Empl.3!AU88+employé3!AP85+employé4!AP85+employé5!AP85</f>
        <v>69.056640000000016</v>
      </c>
      <c r="AG85" s="203">
        <f>Emp.1!AR86+Empl.2!AW88+Empl.3!AW88+employé3!AR85+employé4!AR85+employé5!AR85</f>
        <v>100.94</v>
      </c>
    </row>
    <row r="86" spans="1:33" ht="18.75" customHeight="1" x14ac:dyDescent="0.25">
      <c r="B86" s="7"/>
      <c r="E86" s="4"/>
      <c r="F86" s="1"/>
      <c r="G86" s="1"/>
      <c r="H86" s="41"/>
      <c r="I86" s="13"/>
      <c r="J86" s="13"/>
      <c r="K86" s="13"/>
      <c r="L86" s="13"/>
      <c r="M86" s="1"/>
      <c r="N86" s="1"/>
      <c r="O86" s="13"/>
      <c r="P86" s="13"/>
      <c r="Q86" s="13"/>
      <c r="R86" s="13"/>
      <c r="S86" s="13"/>
      <c r="T86" s="13"/>
      <c r="U86" s="13"/>
      <c r="V86" s="13"/>
      <c r="W86" s="13"/>
      <c r="X86" s="6"/>
      <c r="Y86" s="6"/>
      <c r="Z86" s="6"/>
      <c r="AA86" s="6"/>
      <c r="AB86" s="6"/>
    </row>
    <row r="87" spans="1:33" x14ac:dyDescent="0.25">
      <c r="A87" s="4" t="s">
        <v>47</v>
      </c>
      <c r="F87" s="1">
        <f>F7+F13+F20+F27+F41+F48+F55+F62+F69+F76+F83</f>
        <v>2523.5</v>
      </c>
      <c r="G87" s="1">
        <f t="shared" ref="G87:AG87" si="0">G7+G13+G20+G27+G41+G48+G55+G62+G69+G76+G83</f>
        <v>1750</v>
      </c>
      <c r="H87" s="41">
        <f t="shared" si="0"/>
        <v>2523.5</v>
      </c>
      <c r="I87" s="17">
        <f t="shared" si="0"/>
        <v>1750</v>
      </c>
      <c r="J87" s="17">
        <f t="shared" si="0"/>
        <v>2607.9033199999999</v>
      </c>
      <c r="K87" s="17">
        <f t="shared" si="0"/>
        <v>120.81948</v>
      </c>
      <c r="L87" s="17">
        <f t="shared" si="0"/>
        <v>21</v>
      </c>
      <c r="M87" s="17">
        <f t="shared" si="0"/>
        <v>30.282</v>
      </c>
      <c r="N87" s="17">
        <f t="shared" si="0"/>
        <v>8.6449999999999996</v>
      </c>
      <c r="O87" s="17">
        <f t="shared" si="0"/>
        <v>12.466089999999999</v>
      </c>
      <c r="P87" s="17">
        <f t="shared" si="0"/>
        <v>0</v>
      </c>
      <c r="Q87" s="17">
        <f t="shared" si="0"/>
        <v>0</v>
      </c>
      <c r="R87" s="17">
        <f t="shared" si="0"/>
        <v>1750</v>
      </c>
      <c r="S87" s="17">
        <f t="shared" si="0"/>
        <v>2597.6999999999998</v>
      </c>
      <c r="T87" s="17">
        <f t="shared" si="0"/>
        <v>1849.8</v>
      </c>
      <c r="U87" s="17">
        <f t="shared" si="0"/>
        <v>2523.5</v>
      </c>
      <c r="V87" s="17">
        <f t="shared" si="0"/>
        <v>91.66</v>
      </c>
      <c r="W87" s="17">
        <f t="shared" si="0"/>
        <v>0</v>
      </c>
      <c r="X87" s="17">
        <f t="shared" si="0"/>
        <v>1844.8992499999999</v>
      </c>
      <c r="Y87" s="17">
        <f t="shared" si="0"/>
        <v>2168.4724299999998</v>
      </c>
      <c r="Z87" s="17">
        <f t="shared" si="0"/>
        <v>1597.87168</v>
      </c>
      <c r="AA87" s="17">
        <f t="shared" si="0"/>
        <v>2276.4724299999998</v>
      </c>
      <c r="AB87" s="17">
        <f t="shared" si="0"/>
        <v>17.462619999999998</v>
      </c>
      <c r="AC87" s="17">
        <f t="shared" si="0"/>
        <v>0</v>
      </c>
      <c r="AD87" s="17">
        <f t="shared" si="0"/>
        <v>0</v>
      </c>
      <c r="AE87" s="17">
        <f t="shared" si="0"/>
        <v>0</v>
      </c>
      <c r="AF87" s="17">
        <f t="shared" si="0"/>
        <v>69.056640000000016</v>
      </c>
      <c r="AG87" s="17">
        <f t="shared" si="0"/>
        <v>100.94</v>
      </c>
    </row>
    <row r="88" spans="1:33" x14ac:dyDescent="0.25">
      <c r="W88" s="13">
        <f>SUM(Emp.1!AG88+Empl.2!AV90+Empl.3!AV90)</f>
        <v>0</v>
      </c>
    </row>
  </sheetData>
  <phoneticPr fontId="0" type="noConversion"/>
  <pageMargins left="0.25" right="0.25" top="0.75" bottom="0.75" header="0.3" footer="0.3"/>
  <pageSetup scale="4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>
    <pageSetUpPr fitToPage="1"/>
  </sheetPr>
  <dimension ref="A1:AD57"/>
  <sheetViews>
    <sheetView zoomScaleNormal="100" workbookViewId="0">
      <pane ySplit="3" topLeftCell="A4" activePane="bottomLeft" state="frozen"/>
      <selection pane="bottomLeft" activeCell="I17" sqref="I17"/>
    </sheetView>
  </sheetViews>
  <sheetFormatPr baseColWidth="10" defaultRowHeight="13.2" x14ac:dyDescent="0.25"/>
  <cols>
    <col min="1" max="1" width="10.5546875" style="232" customWidth="1"/>
    <col min="2" max="2" width="9.5546875" style="30" customWidth="1"/>
    <col min="3" max="3" width="8.6640625" customWidth="1"/>
    <col min="4" max="5" width="8" customWidth="1"/>
    <col min="6" max="6" width="3.6640625" customWidth="1"/>
    <col min="7" max="7" width="8.44140625" customWidth="1"/>
    <col min="8" max="8" width="9.33203125" customWidth="1"/>
    <col min="9" max="9" width="8.109375" customWidth="1"/>
    <col min="10" max="10" width="7.88671875" customWidth="1"/>
    <col min="11" max="11" width="8.6640625" customWidth="1"/>
    <col min="12" max="12" width="8.109375" customWidth="1"/>
    <col min="13" max="13" width="9" customWidth="1"/>
    <col min="14" max="14" width="3.88671875" style="30" customWidth="1"/>
    <col min="15" max="15" width="9" style="30" customWidth="1"/>
    <col min="16" max="16" width="11.6640625" style="43" customWidth="1"/>
    <col min="17" max="17" width="12.44140625" style="43" customWidth="1"/>
    <col min="18" max="18" width="10.44140625" style="43" customWidth="1"/>
    <col min="19" max="19" width="10.33203125" style="43" customWidth="1"/>
    <col min="20" max="20" width="9" style="43" customWidth="1"/>
    <col min="21" max="21" width="8.109375" style="43" customWidth="1"/>
    <col min="22" max="22" width="9" style="43" customWidth="1"/>
    <col min="23" max="23" width="9.5546875" style="43" customWidth="1"/>
    <col min="24" max="24" width="8.6640625" style="43" customWidth="1"/>
    <col min="25" max="25" width="10.33203125" style="43" customWidth="1"/>
    <col min="26" max="27" width="10" style="43" customWidth="1"/>
    <col min="28" max="28" width="10.33203125" style="43" customWidth="1"/>
    <col min="29" max="29" width="5.33203125" customWidth="1"/>
  </cols>
  <sheetData>
    <row r="1" spans="1:30" ht="17.399999999999999" thickBot="1" x14ac:dyDescent="0.35">
      <c r="B1" s="362" t="s">
        <v>118</v>
      </c>
      <c r="C1" s="363"/>
      <c r="D1" s="363"/>
      <c r="E1" s="371"/>
      <c r="F1" s="87"/>
      <c r="G1" s="362" t="s">
        <v>119</v>
      </c>
      <c r="H1" s="363"/>
      <c r="I1" s="363"/>
      <c r="J1" s="363"/>
      <c r="K1" s="363"/>
      <c r="L1" s="363"/>
      <c r="M1" s="364"/>
      <c r="N1" s="87"/>
      <c r="O1" s="81"/>
      <c r="P1" s="368" t="s">
        <v>80</v>
      </c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70"/>
    </row>
    <row r="2" spans="1:30" ht="13.8" x14ac:dyDescent="0.25">
      <c r="C2" s="34">
        <v>1.4</v>
      </c>
      <c r="F2" s="88"/>
      <c r="G2" s="237">
        <v>1.6500000000000001E-2</v>
      </c>
      <c r="H2" s="30"/>
      <c r="I2" s="30"/>
      <c r="J2" s="30"/>
      <c r="K2" s="30"/>
      <c r="L2" s="30"/>
      <c r="M2" s="238"/>
      <c r="N2" s="230"/>
      <c r="O2" s="76"/>
      <c r="P2" s="77"/>
      <c r="Q2" s="78" t="s">
        <v>101</v>
      </c>
      <c r="R2" s="77" t="s">
        <v>82</v>
      </c>
      <c r="S2" s="77" t="s">
        <v>84</v>
      </c>
      <c r="T2" s="77" t="s">
        <v>105</v>
      </c>
      <c r="U2" s="77" t="s">
        <v>87</v>
      </c>
      <c r="V2" s="77" t="s">
        <v>88</v>
      </c>
      <c r="W2" s="77" t="s">
        <v>89</v>
      </c>
      <c r="X2" s="77" t="s">
        <v>117</v>
      </c>
      <c r="Y2" s="77" t="s">
        <v>91</v>
      </c>
      <c r="Z2" s="77" t="s">
        <v>93</v>
      </c>
      <c r="AA2" s="79" t="s">
        <v>95</v>
      </c>
      <c r="AB2" s="80"/>
    </row>
    <row r="3" spans="1:30" ht="15.6" x14ac:dyDescent="0.3">
      <c r="A3" s="233" t="s">
        <v>37</v>
      </c>
      <c r="B3" s="365" t="s">
        <v>53</v>
      </c>
      <c r="C3" s="366"/>
      <c r="D3" s="9" t="s">
        <v>38</v>
      </c>
      <c r="E3" s="9" t="s">
        <v>39</v>
      </c>
      <c r="F3" s="89"/>
      <c r="G3" s="239" t="s">
        <v>81</v>
      </c>
      <c r="H3" s="367" t="s">
        <v>28</v>
      </c>
      <c r="I3" s="367"/>
      <c r="J3" s="10" t="s">
        <v>38</v>
      </c>
      <c r="K3" s="10" t="s">
        <v>40</v>
      </c>
      <c r="L3" s="10" t="s">
        <v>103</v>
      </c>
      <c r="M3" s="240" t="s">
        <v>41</v>
      </c>
      <c r="N3" s="87"/>
      <c r="O3" s="81"/>
      <c r="P3" s="78" t="s">
        <v>99</v>
      </c>
      <c r="Q3" s="77" t="s">
        <v>102</v>
      </c>
      <c r="R3" s="78" t="s">
        <v>83</v>
      </c>
      <c r="S3" s="78" t="s">
        <v>85</v>
      </c>
      <c r="T3" s="78" t="s">
        <v>85</v>
      </c>
      <c r="U3" s="78" t="s">
        <v>86</v>
      </c>
      <c r="V3" s="78" t="s">
        <v>85</v>
      </c>
      <c r="W3" s="78" t="s">
        <v>25</v>
      </c>
      <c r="X3" s="78" t="s">
        <v>90</v>
      </c>
      <c r="Y3" s="77" t="s">
        <v>92</v>
      </c>
      <c r="Z3" s="77" t="s">
        <v>94</v>
      </c>
      <c r="AA3" s="82" t="s">
        <v>96</v>
      </c>
      <c r="AB3" s="77" t="s">
        <v>39</v>
      </c>
    </row>
    <row r="4" spans="1:30" x14ac:dyDescent="0.25">
      <c r="A4" s="234" t="s">
        <v>42</v>
      </c>
      <c r="B4" s="124" t="s">
        <v>43</v>
      </c>
      <c r="C4" s="17">
        <f>sommaire!M7</f>
        <v>0</v>
      </c>
      <c r="E4" s="1"/>
      <c r="F4" s="88"/>
      <c r="G4" s="109"/>
      <c r="H4" s="30" t="s">
        <v>43</v>
      </c>
      <c r="I4" s="109">
        <f>sommaire!K7</f>
        <v>0</v>
      </c>
      <c r="J4" s="125">
        <f>sommaire!V7</f>
        <v>0</v>
      </c>
      <c r="K4" s="109">
        <f>sommaire!O7</f>
        <v>0</v>
      </c>
      <c r="L4" s="109"/>
      <c r="M4" s="238"/>
      <c r="N4" s="230"/>
      <c r="O4" s="76" t="s">
        <v>43</v>
      </c>
      <c r="P4" s="80">
        <f>sommaire!R7</f>
        <v>0</v>
      </c>
      <c r="Q4" s="80"/>
      <c r="R4" s="80"/>
      <c r="S4" s="80"/>
      <c r="T4" s="80"/>
      <c r="U4" s="80"/>
      <c r="V4" s="80"/>
      <c r="W4" s="80"/>
      <c r="X4" s="80">
        <f>sommaire!P7</f>
        <v>0</v>
      </c>
      <c r="Y4" s="80">
        <f>sommaire!Q7</f>
        <v>0</v>
      </c>
      <c r="Z4" s="80"/>
      <c r="AA4" s="80">
        <f>sommaire!AE7</f>
        <v>0</v>
      </c>
      <c r="AB4" s="80">
        <f>P4+X4+Y4+AA4</f>
        <v>0</v>
      </c>
      <c r="AD4" s="16"/>
    </row>
    <row r="5" spans="1:30" x14ac:dyDescent="0.25">
      <c r="A5" s="234" t="s">
        <v>42</v>
      </c>
      <c r="B5" s="124" t="s">
        <v>44</v>
      </c>
      <c r="C5" s="17">
        <f>C4*1.4</f>
        <v>0</v>
      </c>
      <c r="E5" s="1"/>
      <c r="F5" s="88"/>
      <c r="G5" s="109"/>
      <c r="H5" s="30" t="s">
        <v>44</v>
      </c>
      <c r="I5" s="109">
        <f>I4</f>
        <v>0</v>
      </c>
      <c r="J5" s="30"/>
      <c r="K5" s="109">
        <f>sommaire!AB7</f>
        <v>0</v>
      </c>
      <c r="L5" s="109"/>
      <c r="M5" s="238"/>
      <c r="N5" s="230"/>
      <c r="O5" s="76" t="s">
        <v>44</v>
      </c>
      <c r="P5" s="80">
        <f>sommaire!AC7</f>
        <v>0</v>
      </c>
      <c r="Q5" s="80">
        <f>sommaire!AD7*9%</f>
        <v>0</v>
      </c>
      <c r="R5" s="80">
        <f>0.02*(Emp.1!O7+Empl.2!O9)</f>
        <v>0</v>
      </c>
      <c r="S5" s="80">
        <v>5</v>
      </c>
      <c r="T5" s="80"/>
      <c r="U5" s="80">
        <f>SUM(S5+T5)*5%</f>
        <v>0.25</v>
      </c>
      <c r="V5" s="80">
        <f>SUM(S5+T5+U5)*9.5%</f>
        <v>0.49875000000000003</v>
      </c>
      <c r="W5" s="80">
        <f>sommaire!W7</f>
        <v>0</v>
      </c>
      <c r="X5" s="80">
        <f>X4</f>
        <v>0</v>
      </c>
      <c r="Y5" s="80"/>
      <c r="Z5" s="80">
        <f>0.2*sommaire!E7</f>
        <v>0</v>
      </c>
      <c r="AA5" s="80"/>
      <c r="AB5" s="80">
        <f>P5+Q5+R5+S5+T5+U5+V5+W5+X5+Y5+Z5+AA5</f>
        <v>5.7487500000000002</v>
      </c>
      <c r="AD5" s="16"/>
    </row>
    <row r="6" spans="1:30" x14ac:dyDescent="0.25">
      <c r="A6" s="234" t="s">
        <v>42</v>
      </c>
      <c r="B6" s="244" t="s">
        <v>45</v>
      </c>
      <c r="C6" s="6">
        <f>SUM(C4:C5)</f>
        <v>0</v>
      </c>
      <c r="D6" s="6">
        <f>sommaire!T7</f>
        <v>0</v>
      </c>
      <c r="E6" s="6">
        <f>SUM(C6:D6)</f>
        <v>0</v>
      </c>
      <c r="F6" s="90"/>
      <c r="G6" s="127">
        <f>sommaire!H7*$G$2</f>
        <v>0</v>
      </c>
      <c r="H6" s="236" t="s">
        <v>45</v>
      </c>
      <c r="I6" s="127">
        <f>SUM(I4:I5)</f>
        <v>0</v>
      </c>
      <c r="J6" s="127">
        <f>SUM(J4:J5)</f>
        <v>0</v>
      </c>
      <c r="K6" s="127">
        <f>SUM(K4:K5)</f>
        <v>0</v>
      </c>
      <c r="L6" s="109">
        <f>L5</f>
        <v>0</v>
      </c>
      <c r="M6" s="241">
        <f>SUM(G6:L6)</f>
        <v>0</v>
      </c>
      <c r="N6" s="231"/>
      <c r="O6" s="83" t="s">
        <v>45</v>
      </c>
      <c r="P6" s="84">
        <f>P4+P5</f>
        <v>0</v>
      </c>
      <c r="Q6" s="84">
        <f t="shared" ref="Q6:X6" si="0">Q4+Q5</f>
        <v>0</v>
      </c>
      <c r="R6" s="84">
        <f t="shared" si="0"/>
        <v>0</v>
      </c>
      <c r="S6" s="84">
        <f t="shared" si="0"/>
        <v>5</v>
      </c>
      <c r="T6" s="84">
        <f t="shared" si="0"/>
        <v>0</v>
      </c>
      <c r="U6" s="84">
        <f>U5</f>
        <v>0.25</v>
      </c>
      <c r="V6" s="84">
        <f>V5</f>
        <v>0.49875000000000003</v>
      </c>
      <c r="W6" s="84">
        <f>W5</f>
        <v>0</v>
      </c>
      <c r="X6" s="84">
        <f t="shared" si="0"/>
        <v>0</v>
      </c>
      <c r="Y6" s="84">
        <f>Y4</f>
        <v>0</v>
      </c>
      <c r="Z6" s="84">
        <f>Z5</f>
        <v>0</v>
      </c>
      <c r="AA6" s="84">
        <f>AA5+AA4</f>
        <v>0</v>
      </c>
      <c r="AB6" s="84">
        <f>AB4+AB5</f>
        <v>5.7487500000000002</v>
      </c>
      <c r="AC6" s="53"/>
    </row>
    <row r="7" spans="1:30" x14ac:dyDescent="0.25">
      <c r="B7" s="124"/>
      <c r="C7" s="17"/>
      <c r="E7" s="1"/>
      <c r="F7" s="88"/>
      <c r="G7" s="127"/>
      <c r="H7" s="30"/>
      <c r="I7" s="30"/>
      <c r="J7" s="127"/>
      <c r="K7" s="30"/>
      <c r="L7" s="109"/>
      <c r="M7" s="238"/>
      <c r="N7" s="230"/>
      <c r="O7" s="76"/>
      <c r="P7" s="80">
        <v>890.18</v>
      </c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4">
        <v>1392.29</v>
      </c>
    </row>
    <row r="8" spans="1:30" x14ac:dyDescent="0.25">
      <c r="A8" s="234" t="s">
        <v>12</v>
      </c>
      <c r="B8" s="124" t="s">
        <v>43</v>
      </c>
      <c r="C8" s="17">
        <f>sommaire!M13</f>
        <v>30.282</v>
      </c>
      <c r="E8" s="1"/>
      <c r="F8" s="88"/>
      <c r="G8" s="127"/>
      <c r="H8" s="30" t="s">
        <v>43</v>
      </c>
      <c r="I8" s="109">
        <f>sommaire!K13</f>
        <v>120.81948</v>
      </c>
      <c r="J8" s="127">
        <f>sommaire!V13</f>
        <v>91.66</v>
      </c>
      <c r="K8" s="109">
        <f>sommaire!O13</f>
        <v>12.466089999999999</v>
      </c>
      <c r="L8" s="109"/>
      <c r="M8" s="238"/>
      <c r="N8" s="230"/>
      <c r="O8" s="85" t="s">
        <v>43</v>
      </c>
      <c r="P8" s="80">
        <f>sommaire!R13</f>
        <v>1750</v>
      </c>
      <c r="Q8" s="80"/>
      <c r="R8" s="80"/>
      <c r="S8" s="80"/>
      <c r="T8" s="80"/>
      <c r="U8" s="80"/>
      <c r="V8" s="80"/>
      <c r="W8" s="80"/>
      <c r="X8" s="80">
        <f>sommaire!P13</f>
        <v>0</v>
      </c>
      <c r="Y8" s="80">
        <f>sommaire!Q13</f>
        <v>0</v>
      </c>
      <c r="Z8" s="80"/>
      <c r="AA8" s="80">
        <f>sommaire!AE13</f>
        <v>0</v>
      </c>
      <c r="AB8" s="84">
        <f>P8+X8+Y8+AA8</f>
        <v>1750</v>
      </c>
    </row>
    <row r="9" spans="1:30" x14ac:dyDescent="0.25">
      <c r="A9" s="234" t="s">
        <v>12</v>
      </c>
      <c r="B9" s="124" t="s">
        <v>44</v>
      </c>
      <c r="C9" s="17">
        <f>C8*1.4</f>
        <v>42.394799999999996</v>
      </c>
      <c r="E9" s="1"/>
      <c r="F9" s="88"/>
      <c r="G9" s="127"/>
      <c r="H9" s="30" t="s">
        <v>44</v>
      </c>
      <c r="I9" s="109">
        <f>I8</f>
        <v>120.81948</v>
      </c>
      <c r="J9" s="127"/>
      <c r="K9" s="109">
        <f>sommaire!AB13</f>
        <v>17.462619999999998</v>
      </c>
      <c r="L9" s="109"/>
      <c r="M9" s="238"/>
      <c r="N9" s="230"/>
      <c r="O9" s="85" t="s">
        <v>44</v>
      </c>
      <c r="P9" s="80">
        <f>sommaire!AC13</f>
        <v>0</v>
      </c>
      <c r="Q9" s="80">
        <f>sommaire!AD13*9%</f>
        <v>0</v>
      </c>
      <c r="R9" s="80">
        <f>0.02*(Empl.2!O16)</f>
        <v>0</v>
      </c>
      <c r="S9" s="80">
        <v>5</v>
      </c>
      <c r="T9" s="80"/>
      <c r="U9" s="80">
        <f>SUM(S9+T9)*5%</f>
        <v>0.25</v>
      </c>
      <c r="V9" s="80">
        <f>SUM(S9:U9)*9.5%</f>
        <v>0.49875000000000003</v>
      </c>
      <c r="W9" s="80">
        <f>sommaire!W13</f>
        <v>0</v>
      </c>
      <c r="X9" s="80">
        <f>X8</f>
        <v>0</v>
      </c>
      <c r="Y9" s="80"/>
      <c r="Z9" s="80">
        <f>0.2*sommaire!E13</f>
        <v>0</v>
      </c>
      <c r="AA9" s="80"/>
      <c r="AB9" s="86">
        <f>P9+Q9+R9+U9+V9+S9+W9+X9+Z9</f>
        <v>5.7487500000000002</v>
      </c>
    </row>
    <row r="10" spans="1:30" s="4" customFormat="1" x14ac:dyDescent="0.25">
      <c r="A10" s="234" t="s">
        <v>12</v>
      </c>
      <c r="B10" s="244" t="s">
        <v>45</v>
      </c>
      <c r="C10" s="6">
        <f>SUM(C8:C9)</f>
        <v>72.6768</v>
      </c>
      <c r="D10" s="6">
        <f>sommaire!T13</f>
        <v>1849.8</v>
      </c>
      <c r="E10" s="6">
        <f>SUM(C10:D10)</f>
        <v>1922.4767999999999</v>
      </c>
      <c r="F10" s="90"/>
      <c r="G10" s="127">
        <f>sommaire!H13*G2</f>
        <v>41.637750000000004</v>
      </c>
      <c r="H10" s="236" t="s">
        <v>45</v>
      </c>
      <c r="I10" s="127">
        <f>SUM(I8:I9)</f>
        <v>241.63896</v>
      </c>
      <c r="J10" s="127">
        <f>SUM(J8:J9)</f>
        <v>91.66</v>
      </c>
      <c r="K10" s="127">
        <f>SUM(K8:K9)</f>
        <v>29.928709999999995</v>
      </c>
      <c r="L10" s="127">
        <f>L9</f>
        <v>0</v>
      </c>
      <c r="M10" s="241">
        <f>SUM(G10:L10)</f>
        <v>404.86541999999997</v>
      </c>
      <c r="N10" s="231"/>
      <c r="O10" s="83" t="s">
        <v>45</v>
      </c>
      <c r="P10" s="84">
        <f>P8+P9</f>
        <v>1750</v>
      </c>
      <c r="Q10" s="84">
        <f>Q8+Q9</f>
        <v>0</v>
      </c>
      <c r="R10" s="84">
        <f>R8+R9</f>
        <v>0</v>
      </c>
      <c r="S10" s="84">
        <f>S9</f>
        <v>5</v>
      </c>
      <c r="T10" s="84">
        <f>T9</f>
        <v>0</v>
      </c>
      <c r="U10" s="84">
        <f>U9</f>
        <v>0.25</v>
      </c>
      <c r="V10" s="84">
        <f>V9</f>
        <v>0.49875000000000003</v>
      </c>
      <c r="W10" s="84">
        <f>W9</f>
        <v>0</v>
      </c>
      <c r="X10" s="84">
        <f>X8+X9</f>
        <v>0</v>
      </c>
      <c r="Y10" s="84">
        <f>Y8</f>
        <v>0</v>
      </c>
      <c r="Z10" s="84">
        <f>Z9</f>
        <v>0</v>
      </c>
      <c r="AA10" s="84">
        <f>AA8+AA9</f>
        <v>0</v>
      </c>
      <c r="AB10" s="84">
        <f>AB8+AB9</f>
        <v>1755.74875</v>
      </c>
    </row>
    <row r="11" spans="1:30" x14ac:dyDescent="0.25">
      <c r="B11" s="245"/>
      <c r="C11" s="38"/>
      <c r="D11" s="33"/>
      <c r="E11" s="38"/>
      <c r="F11" s="88"/>
      <c r="G11" s="127"/>
      <c r="H11" s="30"/>
      <c r="I11" s="30"/>
      <c r="J11" s="30"/>
      <c r="K11" s="30"/>
      <c r="L11" s="30"/>
      <c r="M11" s="238"/>
      <c r="N11" s="230"/>
      <c r="O11" s="76"/>
      <c r="P11" s="80">
        <v>482.38</v>
      </c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4">
        <v>767.24</v>
      </c>
    </row>
    <row r="12" spans="1:30" x14ac:dyDescent="0.25">
      <c r="A12" s="234" t="s">
        <v>13</v>
      </c>
      <c r="B12" s="124" t="s">
        <v>43</v>
      </c>
      <c r="C12" s="17">
        <f>sommaire!M20</f>
        <v>0</v>
      </c>
      <c r="F12" s="88"/>
      <c r="G12" s="127"/>
      <c r="H12" s="30" t="s">
        <v>43</v>
      </c>
      <c r="I12" s="109">
        <f>sommaire!K20</f>
        <v>0</v>
      </c>
      <c r="J12" s="125">
        <f>sommaire!V20</f>
        <v>0</v>
      </c>
      <c r="K12" s="109">
        <f>sommaire!O20</f>
        <v>0</v>
      </c>
      <c r="L12" s="109"/>
      <c r="M12" s="238"/>
      <c r="N12" s="230"/>
      <c r="O12" s="76" t="s">
        <v>43</v>
      </c>
      <c r="P12" s="80">
        <f>sommaire!R20</f>
        <v>0</v>
      </c>
      <c r="Q12" s="80"/>
      <c r="R12" s="80"/>
      <c r="S12" s="80"/>
      <c r="T12" s="80"/>
      <c r="U12" s="80"/>
      <c r="V12" s="80"/>
      <c r="W12" s="80"/>
      <c r="X12" s="80"/>
      <c r="Y12" s="80">
        <f>sommaire!Q20</f>
        <v>0</v>
      </c>
      <c r="Z12" s="80"/>
      <c r="AA12" s="80">
        <f>sommaire!AE20</f>
        <v>0</v>
      </c>
      <c r="AB12" s="84">
        <f>P12+X12+Y12+AA12</f>
        <v>0</v>
      </c>
    </row>
    <row r="13" spans="1:30" x14ac:dyDescent="0.25">
      <c r="A13" s="234" t="s">
        <v>13</v>
      </c>
      <c r="B13" s="124" t="s">
        <v>44</v>
      </c>
      <c r="C13" s="17">
        <f>C12*1.4</f>
        <v>0</v>
      </c>
      <c r="F13" s="88"/>
      <c r="G13" s="127"/>
      <c r="H13" s="30" t="s">
        <v>44</v>
      </c>
      <c r="I13" s="109">
        <f>I12</f>
        <v>0</v>
      </c>
      <c r="J13" s="30"/>
      <c r="K13" s="109">
        <f>sommaire!AB20</f>
        <v>0</v>
      </c>
      <c r="L13" s="109"/>
      <c r="M13" s="238"/>
      <c r="N13" s="230"/>
      <c r="O13" s="85" t="s">
        <v>44</v>
      </c>
      <c r="P13" s="80">
        <f>sommaire!AC20</f>
        <v>0</v>
      </c>
      <c r="Q13" s="80">
        <f>sommaire!AD20*9%</f>
        <v>0</v>
      </c>
      <c r="R13" s="80"/>
      <c r="S13" s="80"/>
      <c r="T13" s="80"/>
      <c r="U13" s="80">
        <f>SUM(S13:T13)*5%</f>
        <v>0</v>
      </c>
      <c r="V13" s="80">
        <f>SUM(S13:U13)*9.5%</f>
        <v>0</v>
      </c>
      <c r="W13" s="80"/>
      <c r="X13" s="80">
        <f>X12</f>
        <v>0</v>
      </c>
      <c r="Y13" s="80"/>
      <c r="Z13" s="80">
        <f>0.2*sommaire!E20</f>
        <v>0</v>
      </c>
      <c r="AA13" s="80"/>
      <c r="AB13" s="84">
        <f>P13+Q13+R13+S13+T13+U13+V13+W13+X13+Y13+Z13+AA13</f>
        <v>0</v>
      </c>
    </row>
    <row r="14" spans="1:30" s="4" customFormat="1" x14ac:dyDescent="0.25">
      <c r="A14" s="234" t="s">
        <v>13</v>
      </c>
      <c r="B14" s="244" t="s">
        <v>45</v>
      </c>
      <c r="C14" s="6">
        <f>SUM(C12:C13)</f>
        <v>0</v>
      </c>
      <c r="D14" s="6">
        <f>sommaire!T20</f>
        <v>0</v>
      </c>
      <c r="E14" s="6">
        <f>SUM(C14:D14)</f>
        <v>0</v>
      </c>
      <c r="F14" s="90"/>
      <c r="G14" s="127">
        <f>sommaire!H20*G2</f>
        <v>0</v>
      </c>
      <c r="H14" s="236" t="s">
        <v>45</v>
      </c>
      <c r="I14" s="127">
        <f>SUM(I12:I13)</f>
        <v>0</v>
      </c>
      <c r="J14" s="127">
        <f>SUM(J12:J13)</f>
        <v>0</v>
      </c>
      <c r="K14" s="127">
        <f>SUM(K12:K13)</f>
        <v>0</v>
      </c>
      <c r="L14" s="127"/>
      <c r="M14" s="241">
        <f>SUM(G14:L14)</f>
        <v>0</v>
      </c>
      <c r="N14" s="231"/>
      <c r="O14" s="83" t="s">
        <v>45</v>
      </c>
      <c r="P14" s="84">
        <f>P12+P13</f>
        <v>0</v>
      </c>
      <c r="Q14" s="84">
        <f>Q12+Q13</f>
        <v>0</v>
      </c>
      <c r="R14" s="84">
        <f>R12+R13</f>
        <v>0</v>
      </c>
      <c r="S14" s="84">
        <f>S13</f>
        <v>0</v>
      </c>
      <c r="T14" s="84">
        <f>T13</f>
        <v>0</v>
      </c>
      <c r="U14" s="84">
        <f>U13</f>
        <v>0</v>
      </c>
      <c r="V14" s="84">
        <f>V13</f>
        <v>0</v>
      </c>
      <c r="W14" s="84">
        <f>W13</f>
        <v>0</v>
      </c>
      <c r="X14" s="84">
        <f>X12+X13</f>
        <v>0</v>
      </c>
      <c r="Y14" s="84">
        <f>Y12</f>
        <v>0</v>
      </c>
      <c r="Z14" s="84">
        <f>Z13</f>
        <v>0</v>
      </c>
      <c r="AA14" s="84">
        <f>AA12+AA13</f>
        <v>0</v>
      </c>
      <c r="AB14" s="84">
        <f>AB12+AB13</f>
        <v>0</v>
      </c>
    </row>
    <row r="15" spans="1:30" x14ac:dyDescent="0.25">
      <c r="B15" s="124"/>
      <c r="C15" s="17"/>
      <c r="F15" s="88"/>
      <c r="G15" s="109"/>
      <c r="H15" s="30"/>
      <c r="I15" s="30"/>
      <c r="J15" s="30"/>
      <c r="K15" s="30"/>
      <c r="L15" s="30"/>
      <c r="M15" s="238"/>
      <c r="N15" s="230"/>
      <c r="O15" s="76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4"/>
    </row>
    <row r="16" spans="1:30" x14ac:dyDescent="0.25">
      <c r="A16" s="234" t="s">
        <v>14</v>
      </c>
      <c r="B16" s="124" t="s">
        <v>43</v>
      </c>
      <c r="C16" s="17">
        <f>sommaire!M27</f>
        <v>0</v>
      </c>
      <c r="F16" s="88"/>
      <c r="G16" s="109"/>
      <c r="H16" s="30" t="s">
        <v>43</v>
      </c>
      <c r="I16" s="109">
        <f>sommaire!K27</f>
        <v>0</v>
      </c>
      <c r="J16" s="125">
        <f>sommaire!V27</f>
        <v>0</v>
      </c>
      <c r="K16" s="109">
        <f>sommaire!O27</f>
        <v>0</v>
      </c>
      <c r="L16" s="109"/>
      <c r="M16" s="238"/>
      <c r="N16" s="230"/>
      <c r="O16" s="76" t="s">
        <v>43</v>
      </c>
      <c r="P16" s="80">
        <f>sommaire!R27</f>
        <v>0</v>
      </c>
      <c r="Q16" s="80"/>
      <c r="R16" s="80"/>
      <c r="S16" s="80"/>
      <c r="T16" s="80"/>
      <c r="U16" s="80"/>
      <c r="V16" s="80"/>
      <c r="W16" s="80"/>
      <c r="X16" s="80">
        <f>sommaire!P27</f>
        <v>0</v>
      </c>
      <c r="Y16" s="80">
        <f>sommaire!Q27</f>
        <v>0</v>
      </c>
      <c r="Z16" s="80"/>
      <c r="AA16" s="80">
        <f>sommaire!AE27</f>
        <v>0</v>
      </c>
      <c r="AB16" s="84">
        <f>P16+X16+Y16+AA16</f>
        <v>0</v>
      </c>
    </row>
    <row r="17" spans="1:29" x14ac:dyDescent="0.25">
      <c r="A17" s="234" t="s">
        <v>14</v>
      </c>
      <c r="B17" s="124" t="s">
        <v>44</v>
      </c>
      <c r="C17" s="17">
        <f>C16*1.4</f>
        <v>0</v>
      </c>
      <c r="F17" s="88"/>
      <c r="G17" s="109"/>
      <c r="H17" s="30" t="s">
        <v>44</v>
      </c>
      <c r="I17" s="109">
        <f>I16</f>
        <v>0</v>
      </c>
      <c r="J17" s="30"/>
      <c r="K17" s="109">
        <f>sommaire!AB27</f>
        <v>0</v>
      </c>
      <c r="L17" s="109"/>
      <c r="M17" s="238"/>
      <c r="N17" s="230"/>
      <c r="O17" s="85" t="s">
        <v>44</v>
      </c>
      <c r="P17" s="80">
        <f>sommaire!AC27</f>
        <v>0</v>
      </c>
      <c r="Q17" s="80">
        <f>(sommaire!AD27*9%)</f>
        <v>0</v>
      </c>
      <c r="R17" s="80">
        <f>(employé3!O27+employé5!O27)*0.02</f>
        <v>0</v>
      </c>
      <c r="S17" s="80">
        <v>0</v>
      </c>
      <c r="T17" s="80"/>
      <c r="U17" s="80">
        <v>0</v>
      </c>
      <c r="V17" s="80">
        <v>0</v>
      </c>
      <c r="W17" s="80">
        <f>sommaire!W27</f>
        <v>0</v>
      </c>
      <c r="X17" s="80">
        <f>X16</f>
        <v>0</v>
      </c>
      <c r="Y17" s="80"/>
      <c r="Z17" s="80">
        <f>0.2*sommaire!E27</f>
        <v>0</v>
      </c>
      <c r="AA17" s="80"/>
      <c r="AB17" s="84">
        <f>P17+Q17+R17+S17+T17+U17+V17+W17+X17+Y17+Z17+AA17</f>
        <v>0</v>
      </c>
    </row>
    <row r="18" spans="1:29" s="4" customFormat="1" x14ac:dyDescent="0.25">
      <c r="A18" s="234" t="s">
        <v>14</v>
      </c>
      <c r="B18" s="244" t="s">
        <v>45</v>
      </c>
      <c r="C18" s="6">
        <f>SUM(C16:C17)</f>
        <v>0</v>
      </c>
      <c r="D18" s="6">
        <f>sommaire!T27</f>
        <v>0</v>
      </c>
      <c r="E18" s="6">
        <f>SUM(C18:D18)</f>
        <v>0</v>
      </c>
      <c r="F18" s="90"/>
      <c r="G18" s="127">
        <f>sommaire!H27*G2</f>
        <v>0</v>
      </c>
      <c r="H18" s="236" t="s">
        <v>45</v>
      </c>
      <c r="I18" s="127">
        <f>SUM(I16:I17)</f>
        <v>0</v>
      </c>
      <c r="J18" s="127">
        <f>SUM(J16:J17)</f>
        <v>0</v>
      </c>
      <c r="K18" s="127">
        <f>SUM(K16:K17)</f>
        <v>0</v>
      </c>
      <c r="L18" s="127"/>
      <c r="M18" s="241">
        <f>SUM(G18:L18)</f>
        <v>0</v>
      </c>
      <c r="N18" s="231"/>
      <c r="O18" s="83" t="s">
        <v>45</v>
      </c>
      <c r="P18" s="84">
        <f>P16+P17</f>
        <v>0</v>
      </c>
      <c r="Q18" s="84">
        <f>Q16+Q17</f>
        <v>0</v>
      </c>
      <c r="R18" s="84">
        <f>R16+R17</f>
        <v>0</v>
      </c>
      <c r="S18" s="84">
        <f>S17</f>
        <v>0</v>
      </c>
      <c r="T18" s="84">
        <f>T17</f>
        <v>0</v>
      </c>
      <c r="U18" s="84">
        <f>U17</f>
        <v>0</v>
      </c>
      <c r="V18" s="84">
        <f>V17</f>
        <v>0</v>
      </c>
      <c r="W18" s="84">
        <f>W17</f>
        <v>0</v>
      </c>
      <c r="X18" s="84">
        <f>X16+X17</f>
        <v>0</v>
      </c>
      <c r="Y18" s="84">
        <f>Y16</f>
        <v>0</v>
      </c>
      <c r="Z18" s="84">
        <f>Z17</f>
        <v>0</v>
      </c>
      <c r="AA18" s="84">
        <f>AA16</f>
        <v>0</v>
      </c>
      <c r="AB18" s="84">
        <f>AB16+AB17</f>
        <v>0</v>
      </c>
    </row>
    <row r="19" spans="1:29" x14ac:dyDescent="0.25">
      <c r="B19" s="124"/>
      <c r="C19" s="17"/>
      <c r="F19" s="88"/>
      <c r="G19" s="109"/>
      <c r="H19" s="30"/>
      <c r="I19" s="30"/>
      <c r="J19" s="30"/>
      <c r="K19" s="30"/>
      <c r="L19" s="30"/>
      <c r="M19" s="238"/>
      <c r="N19" s="230"/>
      <c r="O19" s="85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4"/>
    </row>
    <row r="20" spans="1:29" x14ac:dyDescent="0.25">
      <c r="A20" s="234" t="s">
        <v>15</v>
      </c>
      <c r="B20" s="124" t="s">
        <v>43</v>
      </c>
      <c r="C20" s="17">
        <f>sommaire!M34</f>
        <v>0</v>
      </c>
      <c r="F20" s="88"/>
      <c r="G20" s="109"/>
      <c r="H20" s="30" t="s">
        <v>43</v>
      </c>
      <c r="I20" s="109">
        <f>sommaire!K34</f>
        <v>0</v>
      </c>
      <c r="J20" s="109">
        <f>sommaire!V34</f>
        <v>0</v>
      </c>
      <c r="K20" s="109">
        <f>sommaire!O34</f>
        <v>0</v>
      </c>
      <c r="L20" s="109"/>
      <c r="M20" s="238"/>
      <c r="N20" s="230"/>
      <c r="O20" s="76" t="s">
        <v>43</v>
      </c>
      <c r="P20" s="80">
        <f>sommaire!R34</f>
        <v>0</v>
      </c>
      <c r="Q20" s="80"/>
      <c r="R20" s="80"/>
      <c r="S20" s="80"/>
      <c r="T20" s="80"/>
      <c r="U20" s="80"/>
      <c r="V20" s="80"/>
      <c r="W20" s="80"/>
      <c r="X20" s="80">
        <f>sommaire!P34</f>
        <v>0</v>
      </c>
      <c r="Y20" s="80">
        <f>sommaire!Q34</f>
        <v>0</v>
      </c>
      <c r="Z20" s="80"/>
      <c r="AA20" s="80">
        <f>sommaire!AE34</f>
        <v>0</v>
      </c>
      <c r="AB20" s="84">
        <f>P20+X20+Y20+AA20</f>
        <v>0</v>
      </c>
    </row>
    <row r="21" spans="1:29" x14ac:dyDescent="0.25">
      <c r="A21" s="234" t="s">
        <v>15</v>
      </c>
      <c r="B21" s="124" t="s">
        <v>44</v>
      </c>
      <c r="C21" s="17">
        <f>C20*1.4</f>
        <v>0</v>
      </c>
      <c r="F21" s="88"/>
      <c r="G21" s="109"/>
      <c r="H21" s="30" t="s">
        <v>44</v>
      </c>
      <c r="I21" s="109">
        <f>I20</f>
        <v>0</v>
      </c>
      <c r="J21" s="30"/>
      <c r="K21" s="109">
        <f>sommaire!AB34</f>
        <v>0</v>
      </c>
      <c r="L21" s="109"/>
      <c r="M21" s="238"/>
      <c r="N21" s="230"/>
      <c r="O21" s="85" t="s">
        <v>44</v>
      </c>
      <c r="P21" s="80">
        <f>sommaire!AC34</f>
        <v>0</v>
      </c>
      <c r="Q21" s="80">
        <f>(sommaire!AD34)*9%</f>
        <v>0</v>
      </c>
      <c r="R21" s="80">
        <f>employé3!O34*0.02</f>
        <v>0</v>
      </c>
      <c r="S21" s="80">
        <v>0</v>
      </c>
      <c r="T21" s="80"/>
      <c r="U21" s="80">
        <v>0</v>
      </c>
      <c r="V21" s="80">
        <v>0</v>
      </c>
      <c r="W21" s="80">
        <f>sommaire!W34</f>
        <v>0</v>
      </c>
      <c r="X21" s="80">
        <f>X20</f>
        <v>0</v>
      </c>
      <c r="Y21" s="80"/>
      <c r="Z21" s="80">
        <f>0.2*sommaire!E34</f>
        <v>0</v>
      </c>
      <c r="AA21" s="80"/>
      <c r="AB21" s="84">
        <f>P21+Q21+R21+S21+T21+U21+V21+W21+X21+Y21+Z21+AA21</f>
        <v>0</v>
      </c>
    </row>
    <row r="22" spans="1:29" s="4" customFormat="1" x14ac:dyDescent="0.25">
      <c r="A22" s="234" t="s">
        <v>15</v>
      </c>
      <c r="B22" s="244" t="s">
        <v>45</v>
      </c>
      <c r="C22" s="6">
        <f>SUM(C20:C21)</f>
        <v>0</v>
      </c>
      <c r="D22" s="6">
        <f>sommaire!T34</f>
        <v>0</v>
      </c>
      <c r="E22" s="6">
        <f>SUM(C22:D22)</f>
        <v>0</v>
      </c>
      <c r="F22" s="90"/>
      <c r="G22" s="127">
        <f>sommaire!H34*G2</f>
        <v>0</v>
      </c>
      <c r="H22" s="236" t="s">
        <v>45</v>
      </c>
      <c r="I22" s="127">
        <f>SUM(I20:I21)</f>
        <v>0</v>
      </c>
      <c r="J22" s="127">
        <f>SUM(J20:J21)</f>
        <v>0</v>
      </c>
      <c r="K22" s="127">
        <f>SUM(K20:K21)</f>
        <v>0</v>
      </c>
      <c r="L22" s="127">
        <f>SUM(L20:L21)</f>
        <v>0</v>
      </c>
      <c r="M22" s="241">
        <f>SUM(G22:L22)</f>
        <v>0</v>
      </c>
      <c r="N22" s="231"/>
      <c r="O22" s="83" t="s">
        <v>45</v>
      </c>
      <c r="P22" s="84">
        <f>P20+P21</f>
        <v>0</v>
      </c>
      <c r="Q22" s="84">
        <f>Q20+Q21</f>
        <v>0</v>
      </c>
      <c r="R22" s="84">
        <f>R20+R21</f>
        <v>0</v>
      </c>
      <c r="S22" s="84">
        <f>S21</f>
        <v>0</v>
      </c>
      <c r="T22" s="84">
        <f>T21</f>
        <v>0</v>
      </c>
      <c r="U22" s="84">
        <f>U21</f>
        <v>0</v>
      </c>
      <c r="V22" s="84">
        <f>V21</f>
        <v>0</v>
      </c>
      <c r="W22" s="84">
        <f>W21</f>
        <v>0</v>
      </c>
      <c r="X22" s="84">
        <f>X20+X21</f>
        <v>0</v>
      </c>
      <c r="Y22" s="84">
        <f>Y20</f>
        <v>0</v>
      </c>
      <c r="Z22" s="84">
        <f>Z21</f>
        <v>0</v>
      </c>
      <c r="AA22" s="84">
        <f>AA20</f>
        <v>0</v>
      </c>
      <c r="AB22" s="84">
        <f>AB20+AB21</f>
        <v>0</v>
      </c>
    </row>
    <row r="23" spans="1:29" x14ac:dyDescent="0.25">
      <c r="B23" s="124"/>
      <c r="C23" s="17"/>
      <c r="F23" s="88"/>
      <c r="G23" s="109"/>
      <c r="H23" s="30"/>
      <c r="I23" s="30"/>
      <c r="J23" s="30"/>
      <c r="K23" s="30"/>
      <c r="L23" s="30"/>
      <c r="M23" s="238"/>
      <c r="N23" s="230"/>
      <c r="O23" s="76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4"/>
    </row>
    <row r="24" spans="1:29" x14ac:dyDescent="0.25">
      <c r="A24" s="234" t="s">
        <v>16</v>
      </c>
      <c r="B24" s="124" t="s">
        <v>43</v>
      </c>
      <c r="C24" s="17">
        <f>sommaire!M41</f>
        <v>0</v>
      </c>
      <c r="F24" s="88"/>
      <c r="G24" s="109"/>
      <c r="H24" s="30" t="s">
        <v>43</v>
      </c>
      <c r="I24" s="109">
        <f>sommaire!K41</f>
        <v>0</v>
      </c>
      <c r="J24" s="109">
        <f>sommaire!V41</f>
        <v>0</v>
      </c>
      <c r="K24" s="109">
        <f>sommaire!O41</f>
        <v>0</v>
      </c>
      <c r="L24" s="109"/>
      <c r="M24" s="238"/>
      <c r="N24" s="230"/>
      <c r="O24" s="76" t="s">
        <v>43</v>
      </c>
      <c r="P24" s="80">
        <f>sommaire!R41</f>
        <v>0</v>
      </c>
      <c r="Q24" s="80"/>
      <c r="R24" s="80"/>
      <c r="S24" s="80"/>
      <c r="T24" s="80"/>
      <c r="U24" s="80"/>
      <c r="V24" s="80"/>
      <c r="W24" s="80"/>
      <c r="X24" s="80">
        <f>sommaire!P41</f>
        <v>0</v>
      </c>
      <c r="Y24" s="80">
        <f>sommaire!Q41</f>
        <v>0</v>
      </c>
      <c r="Z24" s="80"/>
      <c r="AA24" s="80"/>
      <c r="AB24" s="84">
        <f>P24+X24+Y24</f>
        <v>0</v>
      </c>
    </row>
    <row r="25" spans="1:29" x14ac:dyDescent="0.25">
      <c r="A25" s="234" t="s">
        <v>16</v>
      </c>
      <c r="B25" s="124" t="s">
        <v>44</v>
      </c>
      <c r="C25" s="17">
        <f>C24*1.4</f>
        <v>0</v>
      </c>
      <c r="F25" s="88"/>
      <c r="G25" s="109"/>
      <c r="H25" s="30" t="s">
        <v>44</v>
      </c>
      <c r="I25" s="109">
        <f>I24</f>
        <v>0</v>
      </c>
      <c r="J25" s="30"/>
      <c r="K25" s="109">
        <f>sommaire!AB41</f>
        <v>0</v>
      </c>
      <c r="L25" s="109"/>
      <c r="M25" s="238"/>
      <c r="N25" s="230"/>
      <c r="O25" s="85" t="s">
        <v>44</v>
      </c>
      <c r="P25" s="80">
        <f>sommaire!AC41</f>
        <v>0</v>
      </c>
      <c r="Q25" s="80">
        <f>sommaire!AD41*9%</f>
        <v>0</v>
      </c>
      <c r="R25" s="80"/>
      <c r="S25" s="80">
        <f>sommaire!E41*0.03</f>
        <v>0</v>
      </c>
      <c r="T25" s="80"/>
      <c r="U25" s="80">
        <f>SUM(S25:T25)*5%</f>
        <v>0</v>
      </c>
      <c r="V25" s="80">
        <f>SUM(S25:U25)*9.5%</f>
        <v>0</v>
      </c>
      <c r="W25" s="80">
        <f>sommaire!W41</f>
        <v>0</v>
      </c>
      <c r="X25" s="80">
        <f>X24</f>
        <v>0</v>
      </c>
      <c r="Y25" s="80"/>
      <c r="Z25" s="80">
        <f>0.2*sommaire!E41</f>
        <v>0</v>
      </c>
      <c r="AA25" s="80"/>
      <c r="AB25" s="84">
        <f>P25+Q25+R25+S25+T25+U25+V25+W25+X25+Y25+Z25+AA25</f>
        <v>0</v>
      </c>
    </row>
    <row r="26" spans="1:29" s="4" customFormat="1" x14ac:dyDescent="0.25">
      <c r="A26" s="234" t="s">
        <v>16</v>
      </c>
      <c r="B26" s="244" t="s">
        <v>45</v>
      </c>
      <c r="C26" s="6">
        <f>SUM(C24:C25)</f>
        <v>0</v>
      </c>
      <c r="D26" s="6">
        <f>sommaire!T41</f>
        <v>0</v>
      </c>
      <c r="E26" s="6">
        <f>SUM(C26:D26)</f>
        <v>0</v>
      </c>
      <c r="F26" s="90"/>
      <c r="G26" s="127">
        <f>sommaire!H41*G2</f>
        <v>0</v>
      </c>
      <c r="H26" s="236" t="s">
        <v>45</v>
      </c>
      <c r="I26" s="127">
        <f>SUM(I24:I25)</f>
        <v>0</v>
      </c>
      <c r="J26" s="127">
        <f>SUM(J24:J25)</f>
        <v>0</v>
      </c>
      <c r="K26" s="127">
        <f>+SUM(K24:K25)</f>
        <v>0</v>
      </c>
      <c r="L26" s="127">
        <f>L25</f>
        <v>0</v>
      </c>
      <c r="M26" s="241">
        <f>SUM(G26:L26)</f>
        <v>0</v>
      </c>
      <c r="N26" s="231"/>
      <c r="O26" s="83" t="s">
        <v>45</v>
      </c>
      <c r="P26" s="84">
        <f>P24+P25</f>
        <v>0</v>
      </c>
      <c r="Q26" s="84">
        <f>Q24+Q25</f>
        <v>0</v>
      </c>
      <c r="R26" s="84">
        <f>R24+R25</f>
        <v>0</v>
      </c>
      <c r="S26" s="84">
        <f>S25</f>
        <v>0</v>
      </c>
      <c r="T26" s="84">
        <f>T25</f>
        <v>0</v>
      </c>
      <c r="U26" s="84">
        <f>U25</f>
        <v>0</v>
      </c>
      <c r="V26" s="84">
        <f>V25</f>
        <v>0</v>
      </c>
      <c r="W26" s="84">
        <f>W25</f>
        <v>0</v>
      </c>
      <c r="X26" s="84">
        <f>X24+X25</f>
        <v>0</v>
      </c>
      <c r="Y26" s="84">
        <f>Y24</f>
        <v>0</v>
      </c>
      <c r="Z26" s="84">
        <f>Z25</f>
        <v>0</v>
      </c>
      <c r="AA26" s="84">
        <f>AA25</f>
        <v>0</v>
      </c>
      <c r="AB26" s="84">
        <f>AB24+AB25</f>
        <v>0</v>
      </c>
    </row>
    <row r="27" spans="1:29" x14ac:dyDescent="0.25">
      <c r="B27" s="124"/>
      <c r="C27" s="17"/>
      <c r="F27" s="88"/>
      <c r="G27" s="109"/>
      <c r="H27" s="30"/>
      <c r="I27" s="30"/>
      <c r="J27" s="30"/>
      <c r="K27" s="30"/>
      <c r="L27" s="30"/>
      <c r="M27" s="238"/>
      <c r="N27" s="230"/>
      <c r="O27" s="76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4"/>
      <c r="AC27" s="33"/>
    </row>
    <row r="28" spans="1:29" x14ac:dyDescent="0.25">
      <c r="A28" s="234" t="s">
        <v>17</v>
      </c>
      <c r="B28" s="124" t="s">
        <v>43</v>
      </c>
      <c r="C28" s="17">
        <f>sommaire!M48</f>
        <v>0</v>
      </c>
      <c r="F28" s="88"/>
      <c r="G28" s="109"/>
      <c r="H28" s="30" t="s">
        <v>43</v>
      </c>
      <c r="I28" s="109">
        <f>sommaire!K48</f>
        <v>0</v>
      </c>
      <c r="J28" s="109">
        <f>sommaire!V48</f>
        <v>0</v>
      </c>
      <c r="K28" s="109">
        <f>sommaire!O48</f>
        <v>0</v>
      </c>
      <c r="L28" s="109"/>
      <c r="M28" s="238"/>
      <c r="N28" s="230"/>
      <c r="O28" s="76" t="s">
        <v>43</v>
      </c>
      <c r="P28" s="80">
        <f>sommaire!R48</f>
        <v>0</v>
      </c>
      <c r="Q28" s="80"/>
      <c r="R28" s="80"/>
      <c r="S28" s="80"/>
      <c r="T28" s="80"/>
      <c r="U28" s="80"/>
      <c r="V28" s="80"/>
      <c r="W28" s="80"/>
      <c r="X28" s="80">
        <f>sommaire!P48</f>
        <v>0</v>
      </c>
      <c r="Y28" s="80">
        <f>sommaire!Q48</f>
        <v>0</v>
      </c>
      <c r="Z28" s="80"/>
      <c r="AA28" s="80"/>
      <c r="AB28" s="84">
        <f>P28+X28+Y28</f>
        <v>0</v>
      </c>
    </row>
    <row r="29" spans="1:29" x14ac:dyDescent="0.25">
      <c r="A29" s="234" t="s">
        <v>17</v>
      </c>
      <c r="B29" s="124" t="s">
        <v>44</v>
      </c>
      <c r="C29" s="17">
        <f>C28*1.4</f>
        <v>0</v>
      </c>
      <c r="F29" s="88"/>
      <c r="G29" s="109"/>
      <c r="H29" s="30" t="s">
        <v>44</v>
      </c>
      <c r="I29" s="109">
        <f>I28</f>
        <v>0</v>
      </c>
      <c r="J29" s="30"/>
      <c r="K29" s="109">
        <f>sommaire!AB48</f>
        <v>0</v>
      </c>
      <c r="L29" s="109"/>
      <c r="M29" s="238"/>
      <c r="N29" s="230"/>
      <c r="O29" s="85" t="s">
        <v>44</v>
      </c>
      <c r="P29" s="80">
        <f>sommaire!AC48</f>
        <v>0</v>
      </c>
      <c r="Q29" s="80">
        <f>sommaire!AD48*9%</f>
        <v>0</v>
      </c>
      <c r="R29" s="80"/>
      <c r="S29" s="80">
        <f>sommaire!E48*0.03</f>
        <v>0</v>
      </c>
      <c r="T29" s="80"/>
      <c r="U29" s="80">
        <f>SUM(S29:T29)*5%</f>
        <v>0</v>
      </c>
      <c r="V29" s="80">
        <f>SUM(S29:U29)*9.5%</f>
        <v>0</v>
      </c>
      <c r="W29" s="80">
        <f>sommaire!W48</f>
        <v>0</v>
      </c>
      <c r="X29" s="80">
        <f>X28</f>
        <v>0</v>
      </c>
      <c r="Y29" s="80"/>
      <c r="Z29" s="80">
        <f>0.2*sommaire!E48</f>
        <v>0</v>
      </c>
      <c r="AA29" s="80">
        <f>sommaire!AE48</f>
        <v>0</v>
      </c>
      <c r="AB29" s="84">
        <f>P29+Q29+R29+S29+T29+U29+V29+W29+X29+Y29+Z29+AA29</f>
        <v>0</v>
      </c>
    </row>
    <row r="30" spans="1:29" s="4" customFormat="1" x14ac:dyDescent="0.25">
      <c r="A30" s="234" t="s">
        <v>17</v>
      </c>
      <c r="B30" s="244" t="s">
        <v>45</v>
      </c>
      <c r="C30" s="6">
        <f>SUM(C28:C29)</f>
        <v>0</v>
      </c>
      <c r="D30" s="6">
        <f>sommaire!T48</f>
        <v>0</v>
      </c>
      <c r="E30" s="6">
        <f>SUM(C30:D30)</f>
        <v>0</v>
      </c>
      <c r="F30" s="90"/>
      <c r="G30" s="127">
        <f>sommaire!H48*G2</f>
        <v>0</v>
      </c>
      <c r="H30" s="236" t="s">
        <v>45</v>
      </c>
      <c r="I30" s="127">
        <f>SUM(I28:I29)</f>
        <v>0</v>
      </c>
      <c r="J30" s="127">
        <f>SUM(J28:J29)</f>
        <v>0</v>
      </c>
      <c r="K30" s="127">
        <f>SUM(K28:K29)</f>
        <v>0</v>
      </c>
      <c r="L30" s="127">
        <f>L29</f>
        <v>0</v>
      </c>
      <c r="M30" s="241">
        <f>SUM(G30:L30)</f>
        <v>0</v>
      </c>
      <c r="N30" s="231"/>
      <c r="O30" s="83" t="s">
        <v>45</v>
      </c>
      <c r="P30" s="84">
        <f>P28+P29</f>
        <v>0</v>
      </c>
      <c r="Q30" s="84">
        <f>Q28+Q29</f>
        <v>0</v>
      </c>
      <c r="R30" s="84">
        <f>R28+R29</f>
        <v>0</v>
      </c>
      <c r="S30" s="84">
        <f>S29</f>
        <v>0</v>
      </c>
      <c r="T30" s="84">
        <f>T29</f>
        <v>0</v>
      </c>
      <c r="U30" s="84">
        <f>U29</f>
        <v>0</v>
      </c>
      <c r="V30" s="84">
        <f>V29</f>
        <v>0</v>
      </c>
      <c r="W30" s="84">
        <f>W29</f>
        <v>0</v>
      </c>
      <c r="X30" s="84">
        <f>X28+X29</f>
        <v>0</v>
      </c>
      <c r="Y30" s="84">
        <f>Y28</f>
        <v>0</v>
      </c>
      <c r="Z30" s="84">
        <f>Z29</f>
        <v>0</v>
      </c>
      <c r="AA30" s="84">
        <f>AA29</f>
        <v>0</v>
      </c>
      <c r="AB30" s="84">
        <f>AB28+AB29</f>
        <v>0</v>
      </c>
    </row>
    <row r="31" spans="1:29" x14ac:dyDescent="0.25">
      <c r="B31" s="124"/>
      <c r="C31" s="17"/>
      <c r="F31" s="88"/>
      <c r="G31" s="109"/>
      <c r="H31" s="30"/>
      <c r="I31" s="30"/>
      <c r="J31" s="30"/>
      <c r="K31" s="30"/>
      <c r="L31" s="30"/>
      <c r="M31" s="238"/>
      <c r="N31" s="230"/>
      <c r="O31" s="76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4"/>
    </row>
    <row r="32" spans="1:29" x14ac:dyDescent="0.25">
      <c r="A32" s="234" t="s">
        <v>18</v>
      </c>
      <c r="B32" s="124" t="s">
        <v>43</v>
      </c>
      <c r="C32" s="17">
        <f>sommaire!M55</f>
        <v>0</v>
      </c>
      <c r="F32" s="88"/>
      <c r="G32" s="109"/>
      <c r="H32" s="30" t="s">
        <v>43</v>
      </c>
      <c r="I32" s="109">
        <f>sommaire!K55</f>
        <v>0</v>
      </c>
      <c r="J32" s="109">
        <f>sommaire!V55</f>
        <v>0</v>
      </c>
      <c r="K32" s="109">
        <f>sommaire!O55</f>
        <v>0</v>
      </c>
      <c r="L32" s="109"/>
      <c r="M32" s="238"/>
      <c r="N32" s="230"/>
      <c r="O32" s="76" t="s">
        <v>43</v>
      </c>
      <c r="P32" s="80">
        <f>sommaire!R55</f>
        <v>0</v>
      </c>
      <c r="Q32" s="80"/>
      <c r="R32" s="80"/>
      <c r="S32" s="80"/>
      <c r="T32" s="80"/>
      <c r="U32" s="80"/>
      <c r="V32" s="80"/>
      <c r="W32" s="80"/>
      <c r="X32" s="80">
        <f>sommaire!P55</f>
        <v>0</v>
      </c>
      <c r="Y32" s="80">
        <f>sommaire!Q55</f>
        <v>0</v>
      </c>
      <c r="Z32" s="80"/>
      <c r="AA32" s="80"/>
      <c r="AB32" s="84">
        <f>P32+X32+Y32</f>
        <v>0</v>
      </c>
    </row>
    <row r="33" spans="1:29" x14ac:dyDescent="0.25">
      <c r="A33" s="234" t="s">
        <v>18</v>
      </c>
      <c r="B33" s="124" t="s">
        <v>44</v>
      </c>
      <c r="C33" s="17">
        <f>C32*1.4</f>
        <v>0</v>
      </c>
      <c r="F33" s="88"/>
      <c r="G33" s="109"/>
      <c r="H33" s="30" t="s">
        <v>44</v>
      </c>
      <c r="I33" s="109">
        <f>I32</f>
        <v>0</v>
      </c>
      <c r="J33" s="30"/>
      <c r="K33" s="109">
        <f>sommaire!AB55</f>
        <v>0</v>
      </c>
      <c r="L33" s="109"/>
      <c r="M33" s="238"/>
      <c r="N33" s="230"/>
      <c r="O33" s="85" t="s">
        <v>44</v>
      </c>
      <c r="P33" s="80">
        <f>sommaire!AC55</f>
        <v>0</v>
      </c>
      <c r="Q33" s="80">
        <f>sommaire!AD55*9%</f>
        <v>0</v>
      </c>
      <c r="R33" s="80">
        <f>0.02*sommaire!E55</f>
        <v>0</v>
      </c>
      <c r="S33" s="80">
        <f>0.03*sommaire!E55</f>
        <v>0</v>
      </c>
      <c r="T33" s="80"/>
      <c r="U33" s="80">
        <f>SUM(S33:T33)*5%</f>
        <v>0</v>
      </c>
      <c r="V33" s="80">
        <f>SUM(S33:U33)*9.5%</f>
        <v>0</v>
      </c>
      <c r="W33" s="80">
        <f>sommaire!W55</f>
        <v>0</v>
      </c>
      <c r="X33" s="80">
        <f>X32</f>
        <v>0</v>
      </c>
      <c r="Y33" s="80"/>
      <c r="Z33" s="80">
        <f>0.2*sommaire!E55</f>
        <v>0</v>
      </c>
      <c r="AA33" s="80">
        <f>sommaire!AE55</f>
        <v>0</v>
      </c>
      <c r="AB33" s="84">
        <f>P33+Q33+R33+S33+T33+U33+V33+W33+X33+Y33+Z33+AA33</f>
        <v>0</v>
      </c>
    </row>
    <row r="34" spans="1:29" s="4" customFormat="1" x14ac:dyDescent="0.25">
      <c r="A34" s="234" t="s">
        <v>18</v>
      </c>
      <c r="B34" s="244" t="s">
        <v>45</v>
      </c>
      <c r="C34" s="6">
        <f>SUM(C32:C33)</f>
        <v>0</v>
      </c>
      <c r="D34" s="6">
        <f>sommaire!T55</f>
        <v>0</v>
      </c>
      <c r="E34" s="6">
        <f>SUM(C34:D34)</f>
        <v>0</v>
      </c>
      <c r="F34" s="90"/>
      <c r="G34" s="127">
        <f>sommaire!H55*G2</f>
        <v>0</v>
      </c>
      <c r="H34" s="236" t="s">
        <v>45</v>
      </c>
      <c r="I34" s="127">
        <f>SUM(I32:I33)</f>
        <v>0</v>
      </c>
      <c r="J34" s="127">
        <f>SUM(J32:J33)</f>
        <v>0</v>
      </c>
      <c r="K34" s="127">
        <f>SUM(K32:K33)</f>
        <v>0</v>
      </c>
      <c r="L34" s="127">
        <f>L33</f>
        <v>0</v>
      </c>
      <c r="M34" s="241">
        <f>SUM(G34:L34)</f>
        <v>0</v>
      </c>
      <c r="N34" s="231"/>
      <c r="O34" s="83" t="s">
        <v>45</v>
      </c>
      <c r="P34" s="84">
        <f>P32+P33</f>
        <v>0</v>
      </c>
      <c r="Q34" s="84">
        <f>Q32+Q33</f>
        <v>0</v>
      </c>
      <c r="R34" s="84">
        <f>R32+R33</f>
        <v>0</v>
      </c>
      <c r="S34" s="84">
        <f>S33</f>
        <v>0</v>
      </c>
      <c r="T34" s="84">
        <f>T33</f>
        <v>0</v>
      </c>
      <c r="U34" s="84">
        <f>U33</f>
        <v>0</v>
      </c>
      <c r="V34" s="84">
        <f>V33</f>
        <v>0</v>
      </c>
      <c r="W34" s="84">
        <f>W33</f>
        <v>0</v>
      </c>
      <c r="X34" s="84">
        <f>X32+X33</f>
        <v>0</v>
      </c>
      <c r="Y34" s="84">
        <f>Y32</f>
        <v>0</v>
      </c>
      <c r="Z34" s="84">
        <f>Z33</f>
        <v>0</v>
      </c>
      <c r="AA34" s="84">
        <f>AA33</f>
        <v>0</v>
      </c>
      <c r="AB34" s="84">
        <f>AB32+AB33</f>
        <v>0</v>
      </c>
    </row>
    <row r="35" spans="1:29" x14ac:dyDescent="0.25">
      <c r="B35" s="124"/>
      <c r="C35" s="17"/>
      <c r="F35" s="88"/>
      <c r="G35" s="109"/>
      <c r="H35" s="30"/>
      <c r="I35" s="30"/>
      <c r="J35" s="30"/>
      <c r="K35" s="30"/>
      <c r="L35" s="30"/>
      <c r="M35" s="238"/>
      <c r="N35" s="230"/>
      <c r="O35" s="76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4"/>
    </row>
    <row r="36" spans="1:29" x14ac:dyDescent="0.25">
      <c r="A36" s="234" t="s">
        <v>19</v>
      </c>
      <c r="B36" s="124" t="s">
        <v>43</v>
      </c>
      <c r="C36" s="17">
        <f>sommaire!M62</f>
        <v>0</v>
      </c>
      <c r="F36" s="88"/>
      <c r="G36" s="109"/>
      <c r="H36" s="30" t="s">
        <v>43</v>
      </c>
      <c r="I36" s="109">
        <f>sommaire!K62</f>
        <v>0</v>
      </c>
      <c r="J36" s="109">
        <f>sommaire!V62</f>
        <v>0</v>
      </c>
      <c r="K36" s="109">
        <f>sommaire!O62</f>
        <v>0</v>
      </c>
      <c r="L36" s="109"/>
      <c r="M36" s="238"/>
      <c r="N36" s="230"/>
      <c r="O36" s="76" t="s">
        <v>43</v>
      </c>
      <c r="P36" s="80">
        <f>sommaire!R62</f>
        <v>0</v>
      </c>
      <c r="Q36" s="80"/>
      <c r="R36" s="80"/>
      <c r="S36" s="80"/>
      <c r="T36" s="80"/>
      <c r="U36" s="80"/>
      <c r="V36" s="80"/>
      <c r="W36" s="80"/>
      <c r="X36" s="80">
        <f>sommaire!P62</f>
        <v>0</v>
      </c>
      <c r="Y36" s="80">
        <f>sommaire!Q62</f>
        <v>0</v>
      </c>
      <c r="Z36" s="80"/>
      <c r="AA36" s="80"/>
      <c r="AB36" s="84">
        <f>P36+X36+Y36</f>
        <v>0</v>
      </c>
    </row>
    <row r="37" spans="1:29" x14ac:dyDescent="0.25">
      <c r="A37" s="234" t="s">
        <v>19</v>
      </c>
      <c r="B37" s="124" t="s">
        <v>44</v>
      </c>
      <c r="C37" s="17">
        <f>C36*1.4</f>
        <v>0</v>
      </c>
      <c r="F37" s="88"/>
      <c r="G37" s="242"/>
      <c r="H37" s="30" t="s">
        <v>44</v>
      </c>
      <c r="I37" s="109">
        <f>I36</f>
        <v>0</v>
      </c>
      <c r="J37" s="30"/>
      <c r="K37" s="109">
        <f>sommaire!AB62</f>
        <v>0</v>
      </c>
      <c r="L37" s="109"/>
      <c r="M37" s="238"/>
      <c r="N37" s="230"/>
      <c r="O37" s="85" t="s">
        <v>44</v>
      </c>
      <c r="P37" s="80">
        <f>sommaire!AC62</f>
        <v>0</v>
      </c>
      <c r="Q37" s="80">
        <f>sommaire!AD62*9%</f>
        <v>0</v>
      </c>
      <c r="R37" s="80">
        <f>0.02*143.25</f>
        <v>2.8650000000000002</v>
      </c>
      <c r="S37" s="80">
        <f>0.03*sommaire!E62</f>
        <v>0</v>
      </c>
      <c r="T37" s="80"/>
      <c r="U37" s="80">
        <f>SUM(S37:T37)*5%</f>
        <v>0</v>
      </c>
      <c r="V37" s="80">
        <f>SUM(S37:U37)*9.5%</f>
        <v>0</v>
      </c>
      <c r="W37" s="80">
        <f>sommaire!W62</f>
        <v>0</v>
      </c>
      <c r="X37" s="80">
        <f>X36</f>
        <v>0</v>
      </c>
      <c r="Y37" s="80"/>
      <c r="Z37" s="80">
        <f>0.2*sommaire!E62</f>
        <v>0</v>
      </c>
      <c r="AA37" s="80">
        <f>sommaire!AE62</f>
        <v>0</v>
      </c>
      <c r="AB37" s="84">
        <f>P37+Q37+R37+S37+T37+U37+V37+W37+X37+Y37+Z37+AA37</f>
        <v>2.8650000000000002</v>
      </c>
    </row>
    <row r="38" spans="1:29" s="4" customFormat="1" x14ac:dyDescent="0.25">
      <c r="A38" s="234" t="s">
        <v>19</v>
      </c>
      <c r="B38" s="244" t="s">
        <v>45</v>
      </c>
      <c r="C38" s="6">
        <f>SUM(C36:C37)</f>
        <v>0</v>
      </c>
      <c r="D38" s="6">
        <f>sommaire!T62</f>
        <v>0</v>
      </c>
      <c r="E38" s="6">
        <f>SUM(C38:D38)</f>
        <v>0</v>
      </c>
      <c r="F38" s="90"/>
      <c r="G38" s="127">
        <f>sommaire!H62*G2</f>
        <v>0</v>
      </c>
      <c r="H38" s="236" t="s">
        <v>45</v>
      </c>
      <c r="I38" s="243">
        <f>SUM(I36:I37)</f>
        <v>0</v>
      </c>
      <c r="J38" s="243">
        <f>SUM(J36:J37)</f>
        <v>0</v>
      </c>
      <c r="K38" s="127">
        <f>SUM(K36:K37)</f>
        <v>0</v>
      </c>
      <c r="L38" s="127">
        <f>L37</f>
        <v>0</v>
      </c>
      <c r="M38" s="241">
        <f>SUM(G38:L38)</f>
        <v>0</v>
      </c>
      <c r="N38" s="231"/>
      <c r="O38" s="83" t="s">
        <v>45</v>
      </c>
      <c r="P38" s="84">
        <f>P36+P37</f>
        <v>0</v>
      </c>
      <c r="Q38" s="84">
        <f>Q36+Q37</f>
        <v>0</v>
      </c>
      <c r="R38" s="84">
        <f>R36+R37</f>
        <v>2.8650000000000002</v>
      </c>
      <c r="S38" s="84">
        <f>S37</f>
        <v>0</v>
      </c>
      <c r="T38" s="84">
        <f>T37</f>
        <v>0</v>
      </c>
      <c r="U38" s="84">
        <f>U37</f>
        <v>0</v>
      </c>
      <c r="V38" s="84">
        <f>V37</f>
        <v>0</v>
      </c>
      <c r="W38" s="84">
        <f>W37</f>
        <v>0</v>
      </c>
      <c r="X38" s="84">
        <f>X36+X37</f>
        <v>0</v>
      </c>
      <c r="Y38" s="84">
        <f>Y36</f>
        <v>0</v>
      </c>
      <c r="Z38" s="84">
        <f>Z37</f>
        <v>0</v>
      </c>
      <c r="AA38" s="84">
        <f>AA37</f>
        <v>0</v>
      </c>
      <c r="AB38" s="84">
        <f>AB36+AB37</f>
        <v>2.8650000000000002</v>
      </c>
    </row>
    <row r="39" spans="1:29" x14ac:dyDescent="0.25">
      <c r="B39" s="124"/>
      <c r="C39" s="17"/>
      <c r="F39" s="88"/>
      <c r="G39" s="109"/>
      <c r="H39" s="30"/>
      <c r="I39" s="30"/>
      <c r="J39" s="30"/>
      <c r="K39" s="30"/>
      <c r="L39" s="30"/>
      <c r="M39" s="238"/>
      <c r="N39" s="230"/>
      <c r="O39" s="76"/>
      <c r="P39" s="80">
        <v>1773.34</v>
      </c>
      <c r="Q39" s="80"/>
      <c r="R39" s="80"/>
      <c r="S39" s="80"/>
      <c r="T39" s="80"/>
      <c r="U39" s="80"/>
      <c r="V39" s="80"/>
      <c r="W39" s="80">
        <v>751.5</v>
      </c>
      <c r="X39" s="80"/>
      <c r="Y39" s="80"/>
      <c r="Z39" s="80"/>
      <c r="AA39" s="80"/>
      <c r="AB39" s="84">
        <v>2781.16</v>
      </c>
    </row>
    <row r="40" spans="1:29" x14ac:dyDescent="0.25">
      <c r="A40" s="234" t="s">
        <v>20</v>
      </c>
      <c r="B40" s="124" t="s">
        <v>43</v>
      </c>
      <c r="C40" s="17">
        <f>sommaire!M69</f>
        <v>0</v>
      </c>
      <c r="F40" s="88"/>
      <c r="G40" s="109"/>
      <c r="H40" s="30" t="s">
        <v>43</v>
      </c>
      <c r="I40" s="109">
        <f>sommaire!K69</f>
        <v>0</v>
      </c>
      <c r="J40" s="125">
        <f>sommaire!V69</f>
        <v>0</v>
      </c>
      <c r="K40" s="109">
        <f>sommaire!O69</f>
        <v>0</v>
      </c>
      <c r="L40" s="109"/>
      <c r="M40" s="238"/>
      <c r="N40" s="230"/>
      <c r="O40" s="76" t="s">
        <v>43</v>
      </c>
      <c r="P40" s="80">
        <f>sommaire!R69</f>
        <v>0</v>
      </c>
      <c r="Q40" s="80"/>
      <c r="R40" s="80"/>
      <c r="S40" s="80"/>
      <c r="T40" s="80"/>
      <c r="U40" s="80"/>
      <c r="V40" s="80"/>
      <c r="W40" s="80"/>
      <c r="X40" s="80">
        <f>sommaire!P69</f>
        <v>0</v>
      </c>
      <c r="Y40" s="80">
        <f>sommaire!Q69</f>
        <v>0</v>
      </c>
      <c r="Z40" s="80"/>
      <c r="AA40" s="80"/>
      <c r="AB40" s="84">
        <f>P40+X40+Y40</f>
        <v>0</v>
      </c>
      <c r="AC40" s="40"/>
    </row>
    <row r="41" spans="1:29" x14ac:dyDescent="0.25">
      <c r="A41" s="234" t="s">
        <v>20</v>
      </c>
      <c r="B41" s="124" t="s">
        <v>44</v>
      </c>
      <c r="C41" s="17">
        <f>C40*1.4</f>
        <v>0</v>
      </c>
      <c r="F41" s="88"/>
      <c r="G41" s="109"/>
      <c r="H41" s="30" t="s">
        <v>44</v>
      </c>
      <c r="I41" s="109">
        <f>I40</f>
        <v>0</v>
      </c>
      <c r="J41" s="30"/>
      <c r="K41" s="109">
        <f>sommaire!AB69</f>
        <v>0</v>
      </c>
      <c r="L41" s="109"/>
      <c r="M41" s="238"/>
      <c r="N41" s="230"/>
      <c r="O41" s="85" t="s">
        <v>44</v>
      </c>
      <c r="P41" s="80">
        <f>sommaire!AC69</f>
        <v>0</v>
      </c>
      <c r="Q41" s="80">
        <f>sommaire!AD69*9%</f>
        <v>0</v>
      </c>
      <c r="R41" s="80">
        <f>0.02*sommaire!E69</f>
        <v>0</v>
      </c>
      <c r="S41" s="80">
        <v>5</v>
      </c>
      <c r="T41" s="80">
        <v>225</v>
      </c>
      <c r="U41" s="80">
        <f>(S41+T41)*5%</f>
        <v>11.5</v>
      </c>
      <c r="V41" s="80">
        <f>(S41+T41+U41)*9.5%</f>
        <v>22.942499999999999</v>
      </c>
      <c r="W41" s="80">
        <f>sommaire!W69</f>
        <v>0</v>
      </c>
      <c r="X41" s="80">
        <f>X40</f>
        <v>0</v>
      </c>
      <c r="Y41" s="80"/>
      <c r="Z41" s="80">
        <f>0.2*sommaire!E69</f>
        <v>0</v>
      </c>
      <c r="AA41" s="80">
        <f>sommaire!AE69</f>
        <v>0</v>
      </c>
      <c r="AB41" s="84">
        <f>P41+Q41+S41+R41+T41+U41+V41+W41+X41+Y41+Z41+AA41</f>
        <v>264.4425</v>
      </c>
      <c r="AC41" s="40"/>
    </row>
    <row r="42" spans="1:29" s="4" customFormat="1" x14ac:dyDescent="0.25">
      <c r="A42" s="234" t="s">
        <v>20</v>
      </c>
      <c r="B42" s="244" t="s">
        <v>45</v>
      </c>
      <c r="C42" s="6">
        <f>SUM(C40:C41)</f>
        <v>0</v>
      </c>
      <c r="D42" s="6">
        <f>sommaire!T69</f>
        <v>0</v>
      </c>
      <c r="E42" s="6">
        <f>SUM(C42:D42)</f>
        <v>0</v>
      </c>
      <c r="F42" s="90"/>
      <c r="G42" s="127">
        <f>sommaire!H69*G2</f>
        <v>0</v>
      </c>
      <c r="H42" s="236" t="s">
        <v>45</v>
      </c>
      <c r="I42" s="127">
        <f>SUM(I40:I41)</f>
        <v>0</v>
      </c>
      <c r="J42" s="127">
        <f>SUM(J40:J41)</f>
        <v>0</v>
      </c>
      <c r="K42" s="127">
        <f>SUM(K40:K41)</f>
        <v>0</v>
      </c>
      <c r="L42" s="127">
        <f>L41</f>
        <v>0</v>
      </c>
      <c r="M42" s="241">
        <f>SUM(G42:L42)</f>
        <v>0</v>
      </c>
      <c r="N42" s="231"/>
      <c r="O42" s="83" t="s">
        <v>45</v>
      </c>
      <c r="P42" s="84">
        <f>P40+P41</f>
        <v>0</v>
      </c>
      <c r="Q42" s="84">
        <f t="shared" ref="Q42" si="1">Q40+Q41</f>
        <v>0</v>
      </c>
      <c r="R42" s="84">
        <f>R40+R41</f>
        <v>0</v>
      </c>
      <c r="S42" s="84">
        <f>S41</f>
        <v>5</v>
      </c>
      <c r="T42" s="84">
        <f>T41</f>
        <v>225</v>
      </c>
      <c r="U42" s="84">
        <f>U41</f>
        <v>11.5</v>
      </c>
      <c r="V42" s="84">
        <f>V41</f>
        <v>22.942499999999999</v>
      </c>
      <c r="W42" s="84">
        <f>W41</f>
        <v>0</v>
      </c>
      <c r="X42" s="84">
        <f t="shared" ref="X42" si="2">X40+X41</f>
        <v>0</v>
      </c>
      <c r="Y42" s="84">
        <f>Y40</f>
        <v>0</v>
      </c>
      <c r="Z42" s="84">
        <f>Z41</f>
        <v>0</v>
      </c>
      <c r="AA42" s="84">
        <f>AA41</f>
        <v>0</v>
      </c>
      <c r="AB42" s="84">
        <f>AB40+AB41</f>
        <v>264.4425</v>
      </c>
      <c r="AC42" s="44"/>
    </row>
    <row r="43" spans="1:29" x14ac:dyDescent="0.25">
      <c r="B43" s="124"/>
      <c r="C43" s="17"/>
      <c r="F43" s="88"/>
      <c r="G43" s="109"/>
      <c r="H43" s="30"/>
      <c r="I43" s="30"/>
      <c r="J43" s="30"/>
      <c r="K43" s="30"/>
      <c r="L43" s="30"/>
      <c r="M43" s="238"/>
      <c r="N43" s="230"/>
      <c r="O43" s="76"/>
      <c r="P43" s="80">
        <v>1527.77</v>
      </c>
      <c r="Q43" s="80">
        <v>42.99</v>
      </c>
      <c r="R43" s="80">
        <v>2.54</v>
      </c>
      <c r="S43" s="80">
        <v>7.17</v>
      </c>
      <c r="T43" s="80">
        <v>225</v>
      </c>
      <c r="U43" s="80">
        <v>11.61</v>
      </c>
      <c r="V43" s="80">
        <v>23.16</v>
      </c>
      <c r="W43" s="80">
        <v>638.69000000000005</v>
      </c>
      <c r="X43" s="80">
        <v>83.28</v>
      </c>
      <c r="Y43" s="80">
        <v>34.799999999999997</v>
      </c>
      <c r="Z43" s="80">
        <v>47.78</v>
      </c>
      <c r="AA43" s="80">
        <v>5.0999999999999996</v>
      </c>
      <c r="AB43" s="84">
        <v>2649.89</v>
      </c>
      <c r="AC43" s="40"/>
    </row>
    <row r="44" spans="1:29" x14ac:dyDescent="0.25">
      <c r="A44" s="234" t="s">
        <v>21</v>
      </c>
      <c r="B44" s="124" t="s">
        <v>43</v>
      </c>
      <c r="C44" s="17">
        <f>sommaire!M76</f>
        <v>0</v>
      </c>
      <c r="F44" s="88"/>
      <c r="G44" s="109"/>
      <c r="H44" s="30" t="s">
        <v>43</v>
      </c>
      <c r="I44" s="109">
        <f>sommaire!K76</f>
        <v>0</v>
      </c>
      <c r="J44" s="109">
        <f>sommaire!V76</f>
        <v>0</v>
      </c>
      <c r="K44" s="109">
        <f>sommaire!O76</f>
        <v>0</v>
      </c>
      <c r="L44" s="109"/>
      <c r="M44" s="238"/>
      <c r="N44" s="230"/>
      <c r="O44" s="76" t="s">
        <v>43</v>
      </c>
      <c r="P44" s="80">
        <f>sommaire!R76</f>
        <v>0</v>
      </c>
      <c r="Q44" s="80"/>
      <c r="R44" s="80"/>
      <c r="S44" s="80"/>
      <c r="T44" s="80"/>
      <c r="U44" s="80"/>
      <c r="V44" s="80"/>
      <c r="W44" s="80"/>
      <c r="X44" s="80">
        <f>sommaire!P76</f>
        <v>0</v>
      </c>
      <c r="Y44" s="80">
        <f>sommaire!Q76</f>
        <v>0</v>
      </c>
      <c r="Z44" s="80"/>
      <c r="AA44" s="80"/>
      <c r="AB44" s="84">
        <f>P44+X44+Y44</f>
        <v>0</v>
      </c>
    </row>
    <row r="45" spans="1:29" x14ac:dyDescent="0.25">
      <c r="A45" s="234" t="s">
        <v>21</v>
      </c>
      <c r="B45" s="124" t="s">
        <v>44</v>
      </c>
      <c r="C45" s="17">
        <f>C44*1.4</f>
        <v>0</v>
      </c>
      <c r="F45" s="88"/>
      <c r="G45" s="109"/>
      <c r="H45" s="30" t="s">
        <v>44</v>
      </c>
      <c r="I45" s="109">
        <f>I44</f>
        <v>0</v>
      </c>
      <c r="J45" s="30"/>
      <c r="K45" s="109">
        <f>sommaire!AB76</f>
        <v>0</v>
      </c>
      <c r="L45" s="109"/>
      <c r="M45" s="238"/>
      <c r="N45" s="230"/>
      <c r="O45" s="85" t="s">
        <v>44</v>
      </c>
      <c r="P45" s="80">
        <f>sommaire!AC76</f>
        <v>0</v>
      </c>
      <c r="Q45" s="80">
        <f>sommaire!AD76*9%</f>
        <v>0</v>
      </c>
      <c r="R45" s="80">
        <f>0.02*Empl.2!O79</f>
        <v>0</v>
      </c>
      <c r="S45" s="80">
        <f>0.03*sommaire!E76</f>
        <v>0</v>
      </c>
      <c r="T45" s="80"/>
      <c r="U45" s="80">
        <f>(S45+T45)*5%</f>
        <v>0</v>
      </c>
      <c r="V45" s="80">
        <f>SUM(S45:U45)*9.5%</f>
        <v>0</v>
      </c>
      <c r="W45" s="80">
        <f>sommaire!W76</f>
        <v>0</v>
      </c>
      <c r="X45" s="80">
        <f>X44</f>
        <v>0</v>
      </c>
      <c r="Y45" s="80"/>
      <c r="Z45" s="80">
        <f>0.2*sommaire!E76</f>
        <v>0</v>
      </c>
      <c r="AA45" s="80">
        <f>sommaire!AE76</f>
        <v>0</v>
      </c>
      <c r="AB45" s="84">
        <f>P45+Q45+R45+S45+T45+U45+V45+W45+X45+Y45+Z45+AA45</f>
        <v>0</v>
      </c>
    </row>
    <row r="46" spans="1:29" s="4" customFormat="1" x14ac:dyDescent="0.25">
      <c r="A46" s="234" t="s">
        <v>21</v>
      </c>
      <c r="B46" s="244" t="s">
        <v>45</v>
      </c>
      <c r="C46" s="6">
        <f>SUM(C44:C45)</f>
        <v>0</v>
      </c>
      <c r="D46" s="6">
        <f>sommaire!T76</f>
        <v>0</v>
      </c>
      <c r="E46" s="6">
        <f>SUM(C46:D46)</f>
        <v>0</v>
      </c>
      <c r="F46" s="90"/>
      <c r="G46" s="127">
        <f>sommaire!H76*G2</f>
        <v>0</v>
      </c>
      <c r="H46" s="236" t="s">
        <v>45</v>
      </c>
      <c r="I46" s="127">
        <f>SUM(I44:I45)</f>
        <v>0</v>
      </c>
      <c r="J46" s="127">
        <f>SUM(J44:J45)</f>
        <v>0</v>
      </c>
      <c r="K46" s="127">
        <f>SUM(K44:K45)</f>
        <v>0</v>
      </c>
      <c r="L46" s="127"/>
      <c r="M46" s="241">
        <f>SUM(G46:L46)</f>
        <v>0</v>
      </c>
      <c r="N46" s="231"/>
      <c r="O46" s="83" t="s">
        <v>45</v>
      </c>
      <c r="P46" s="84">
        <f>P44+P45</f>
        <v>0</v>
      </c>
      <c r="Q46" s="84">
        <f>Q44+Q45</f>
        <v>0</v>
      </c>
      <c r="R46" s="84">
        <f>R44+R45</f>
        <v>0</v>
      </c>
      <c r="S46" s="84">
        <f>S45</f>
        <v>0</v>
      </c>
      <c r="T46" s="84">
        <f>T45</f>
        <v>0</v>
      </c>
      <c r="U46" s="84">
        <f>U45</f>
        <v>0</v>
      </c>
      <c r="V46" s="84">
        <f>V45</f>
        <v>0</v>
      </c>
      <c r="W46" s="84">
        <f>W45</f>
        <v>0</v>
      </c>
      <c r="X46" s="84">
        <f>X44+X45</f>
        <v>0</v>
      </c>
      <c r="Y46" s="84">
        <f>Y44</f>
        <v>0</v>
      </c>
      <c r="Z46" s="84">
        <f>Z45</f>
        <v>0</v>
      </c>
      <c r="AA46" s="84">
        <f>AA45</f>
        <v>0</v>
      </c>
      <c r="AB46" s="84">
        <f>AB44+AB45</f>
        <v>0</v>
      </c>
    </row>
    <row r="47" spans="1:29" x14ac:dyDescent="0.25">
      <c r="B47" s="124"/>
      <c r="C47" s="17"/>
      <c r="F47" s="88"/>
      <c r="G47" s="109"/>
      <c r="H47" s="30"/>
      <c r="I47" s="30"/>
      <c r="J47" s="30"/>
      <c r="K47" s="30"/>
      <c r="L47" s="30"/>
      <c r="M47" s="238"/>
      <c r="N47" s="230"/>
      <c r="O47" s="76"/>
      <c r="P47" s="80">
        <v>1253.52</v>
      </c>
      <c r="Q47" s="80">
        <v>34.5</v>
      </c>
      <c r="R47" s="80">
        <v>3.43</v>
      </c>
      <c r="S47" s="80">
        <v>5.75</v>
      </c>
      <c r="T47" s="80"/>
      <c r="U47" s="80">
        <v>0.28999999999999998</v>
      </c>
      <c r="V47" s="80">
        <v>0.56999999999999995</v>
      </c>
      <c r="W47" s="80">
        <v>531.86</v>
      </c>
      <c r="X47" s="80">
        <v>69.34</v>
      </c>
      <c r="Y47" s="80">
        <v>43.5</v>
      </c>
      <c r="Z47" s="80">
        <v>38.340000000000003</v>
      </c>
      <c r="AA47" s="80">
        <v>6.87</v>
      </c>
      <c r="AB47" s="84">
        <f>P47+Q47+R47+S47+T47+U47+V47+W47+X47+Y47+Z47+AA47</f>
        <v>1987.9699999999998</v>
      </c>
      <c r="AC47" s="4"/>
    </row>
    <row r="48" spans="1:29" x14ac:dyDescent="0.25">
      <c r="A48" s="234" t="s">
        <v>22</v>
      </c>
      <c r="B48" s="124" t="s">
        <v>43</v>
      </c>
      <c r="C48" s="17">
        <f>sommaire!M83</f>
        <v>0</v>
      </c>
      <c r="F48" s="88"/>
      <c r="G48" s="109"/>
      <c r="H48" s="30" t="s">
        <v>43</v>
      </c>
      <c r="I48" s="109">
        <f>sommaire!K83</f>
        <v>0</v>
      </c>
      <c r="J48" s="109">
        <f>sommaire!V83</f>
        <v>0</v>
      </c>
      <c r="K48" s="109">
        <f>sommaire!O83</f>
        <v>0</v>
      </c>
      <c r="L48" s="109"/>
      <c r="M48" s="238"/>
      <c r="N48" s="230"/>
      <c r="O48" s="76" t="s">
        <v>43</v>
      </c>
      <c r="P48" s="80">
        <f>sommaire!R83</f>
        <v>0</v>
      </c>
      <c r="Q48" s="80"/>
      <c r="R48" s="80"/>
      <c r="S48" s="80"/>
      <c r="T48" s="80"/>
      <c r="U48" s="80"/>
      <c r="V48" s="80"/>
      <c r="W48" s="80"/>
      <c r="X48" s="80">
        <f>sommaire!P83</f>
        <v>0</v>
      </c>
      <c r="Y48" s="80">
        <f>sommaire!Q83</f>
        <v>0</v>
      </c>
      <c r="Z48" s="80"/>
      <c r="AA48" s="80"/>
      <c r="AB48" s="84">
        <f>P48+X48+Y48</f>
        <v>0</v>
      </c>
    </row>
    <row r="49" spans="1:28" x14ac:dyDescent="0.25">
      <c r="A49" s="234" t="s">
        <v>22</v>
      </c>
      <c r="B49" s="124" t="s">
        <v>44</v>
      </c>
      <c r="C49" s="17">
        <f>C48*1.4</f>
        <v>0</v>
      </c>
      <c r="F49" s="88"/>
      <c r="G49" s="109"/>
      <c r="H49" s="30" t="s">
        <v>44</v>
      </c>
      <c r="I49" s="109">
        <f>I48</f>
        <v>0</v>
      </c>
      <c r="J49" s="30"/>
      <c r="K49" s="109">
        <f>sommaire!AB83</f>
        <v>0</v>
      </c>
      <c r="L49" s="109"/>
      <c r="M49" s="238"/>
      <c r="N49" s="230"/>
      <c r="O49" s="85" t="s">
        <v>44</v>
      </c>
      <c r="P49" s="80">
        <f>sommaire!AC83</f>
        <v>0</v>
      </c>
      <c r="Q49" s="80">
        <f>sommaire!AD83*9%</f>
        <v>0</v>
      </c>
      <c r="R49" s="80">
        <f>0.02*Empl.2!O86</f>
        <v>0</v>
      </c>
      <c r="S49" s="80">
        <v>5</v>
      </c>
      <c r="T49" s="80"/>
      <c r="U49" s="80">
        <f>SUM(S49:T49)*5%</f>
        <v>0.25</v>
      </c>
      <c r="V49" s="80">
        <f>SUM(S49:U49)*9.5%</f>
        <v>0.49875000000000003</v>
      </c>
      <c r="W49" s="80">
        <f>sommaire!W83</f>
        <v>0</v>
      </c>
      <c r="X49" s="80">
        <f>X48</f>
        <v>0</v>
      </c>
      <c r="Y49" s="80"/>
      <c r="Z49" s="80">
        <f>0.2*sommaire!E83</f>
        <v>0</v>
      </c>
      <c r="AA49" s="80">
        <f>sommaire!AE83</f>
        <v>0</v>
      </c>
      <c r="AB49" s="84">
        <f>P49+Q49+R49+S49+T49+U49+V49+W49+X49+Y49+Z49+AA49</f>
        <v>5.7487500000000002</v>
      </c>
    </row>
    <row r="50" spans="1:28" s="4" customFormat="1" x14ac:dyDescent="0.25">
      <c r="A50" s="234" t="s">
        <v>22</v>
      </c>
      <c r="B50" s="244" t="s">
        <v>45</v>
      </c>
      <c r="C50" s="6">
        <f>SUM(C48:C49)</f>
        <v>0</v>
      </c>
      <c r="D50" s="6">
        <f>sommaire!T83</f>
        <v>0</v>
      </c>
      <c r="E50" s="6">
        <f>SUM(C50:D50)</f>
        <v>0</v>
      </c>
      <c r="F50" s="90"/>
      <c r="G50" s="127">
        <f>sommaire!H83*G2</f>
        <v>0</v>
      </c>
      <c r="H50" s="236" t="s">
        <v>45</v>
      </c>
      <c r="I50" s="127">
        <f>SUM(I48:I49)</f>
        <v>0</v>
      </c>
      <c r="J50" s="127">
        <f>SUM(J48:J49)</f>
        <v>0</v>
      </c>
      <c r="K50" s="127">
        <f>SUM(K48:K49)</f>
        <v>0</v>
      </c>
      <c r="L50" s="127">
        <f>SUM(L48:L49)</f>
        <v>0</v>
      </c>
      <c r="M50" s="241">
        <f>SUM(G50:L50)</f>
        <v>0</v>
      </c>
      <c r="N50" s="231"/>
      <c r="O50" s="83" t="s">
        <v>45</v>
      </c>
      <c r="P50" s="84">
        <f>P48+P49</f>
        <v>0</v>
      </c>
      <c r="Q50" s="84">
        <f>Q48+Q49</f>
        <v>0</v>
      </c>
      <c r="R50" s="84">
        <f>R48+R49</f>
        <v>0</v>
      </c>
      <c r="S50" s="84">
        <f>S49</f>
        <v>5</v>
      </c>
      <c r="T50" s="84">
        <f>T49</f>
        <v>0</v>
      </c>
      <c r="U50" s="84">
        <f>U49</f>
        <v>0.25</v>
      </c>
      <c r="V50" s="84">
        <f>V49</f>
        <v>0.49875000000000003</v>
      </c>
      <c r="W50" s="84">
        <f>W49</f>
        <v>0</v>
      </c>
      <c r="X50" s="84">
        <f>X48+X49</f>
        <v>0</v>
      </c>
      <c r="Y50" s="84">
        <f>Y48</f>
        <v>0</v>
      </c>
      <c r="Z50" s="84">
        <f>Z49</f>
        <v>0</v>
      </c>
      <c r="AA50" s="84">
        <f>AA49</f>
        <v>0</v>
      </c>
      <c r="AB50" s="84">
        <f>AB48+AB49</f>
        <v>5.7487500000000002</v>
      </c>
    </row>
    <row r="51" spans="1:28" x14ac:dyDescent="0.25">
      <c r="B51" s="124"/>
      <c r="C51" s="17"/>
      <c r="F51" s="88"/>
      <c r="G51" s="109"/>
      <c r="H51" s="30"/>
      <c r="I51" s="30"/>
      <c r="J51" s="30"/>
      <c r="K51" s="30"/>
      <c r="L51" s="30"/>
      <c r="M51" s="238"/>
      <c r="N51" s="230"/>
      <c r="O51" s="76"/>
      <c r="P51" s="80">
        <v>452.12</v>
      </c>
      <c r="Q51" s="80">
        <v>12.72</v>
      </c>
      <c r="R51" s="80">
        <v>1.41</v>
      </c>
      <c r="S51" s="80">
        <v>5</v>
      </c>
      <c r="T51" s="80"/>
      <c r="U51" s="80">
        <v>0.25</v>
      </c>
      <c r="V51" s="80">
        <v>0.5</v>
      </c>
      <c r="W51" s="80">
        <v>179.56</v>
      </c>
      <c r="X51" s="80">
        <v>23.4</v>
      </c>
      <c r="Y51" s="80">
        <v>17.399999999999999</v>
      </c>
      <c r="Z51" s="80">
        <v>14.14</v>
      </c>
      <c r="AA51" s="80">
        <v>2.83</v>
      </c>
      <c r="AB51" s="84">
        <f>SUM(P51:AA51)</f>
        <v>709.33</v>
      </c>
    </row>
    <row r="52" spans="1:28" x14ac:dyDescent="0.25">
      <c r="A52" s="234" t="s">
        <v>39</v>
      </c>
      <c r="B52" s="124" t="s">
        <v>43</v>
      </c>
      <c r="C52" s="17">
        <f>SUM(C4+C8+C12+C16+C20+C24+C28+C32+C36+C40+C44+C48)</f>
        <v>30.282</v>
      </c>
      <c r="F52" s="88"/>
      <c r="G52" s="109"/>
      <c r="H52" s="155" t="s">
        <v>43</v>
      </c>
      <c r="I52" s="109">
        <f>SUM(I4+I8+I12+I16+I20+I24+I28+I32+I36+I40+I44+I48)</f>
        <v>120.81948</v>
      </c>
      <c r="J52" s="109">
        <f>SUM(J4+J8+J12+J16+J20+J24+J28+J32+J36+J40+J44+J48)</f>
        <v>91.66</v>
      </c>
      <c r="K52" s="109">
        <f>SUM(K4+K8+K12+K16+K20+K24+K28+K32+K36+K40+K44+K48)</f>
        <v>12.466089999999999</v>
      </c>
      <c r="L52" s="109"/>
      <c r="M52" s="238"/>
      <c r="N52" s="230"/>
      <c r="O52" s="76" t="s">
        <v>120</v>
      </c>
      <c r="P52" s="80">
        <f>P4+P8+P12+P16+P20+P24+P28+P32+P36+P40+P44+P48</f>
        <v>1750</v>
      </c>
      <c r="Q52" s="80"/>
      <c r="R52" s="80"/>
      <c r="S52" s="80"/>
      <c r="T52" s="80"/>
      <c r="U52" s="80"/>
      <c r="V52" s="80"/>
      <c r="W52" s="80"/>
      <c r="X52" s="80">
        <f>X4+X8+X12+X16+X20+X24+X28+X32+X36+X40+X44+X48</f>
        <v>0</v>
      </c>
      <c r="Y52" s="80">
        <f>Y4+Y8+Y12+Y16+Y20+Y24+Y28+Y32+Y36+Y40+Y44+Y48</f>
        <v>0</v>
      </c>
      <c r="Z52" s="80"/>
      <c r="AA52" s="80"/>
      <c r="AB52" s="84">
        <f>P52+X52+Y52</f>
        <v>1750</v>
      </c>
    </row>
    <row r="53" spans="1:28" x14ac:dyDescent="0.25">
      <c r="A53" s="234" t="s">
        <v>46</v>
      </c>
      <c r="B53" s="124" t="s">
        <v>44</v>
      </c>
      <c r="C53" s="17">
        <f>SUM(C5+C9+C13+C17+C21+C25+C29+C33+C37+C41+C45+C49)</f>
        <v>42.394799999999996</v>
      </c>
      <c r="F53" s="88"/>
      <c r="G53" s="109"/>
      <c r="H53" s="155" t="s">
        <v>44</v>
      </c>
      <c r="I53" s="109">
        <f>SUM(I5+I9+I13+I17+I21+I25+I29+I33+I37+I41+I45+I49)</f>
        <v>120.81948</v>
      </c>
      <c r="J53" s="30"/>
      <c r="K53" s="109">
        <f>SUM(K5+K9+K13+K17+K21+K25+K29+K33+K37+K41+K45+K49)</f>
        <v>17.462619999999998</v>
      </c>
      <c r="L53" s="109">
        <f>SUM(L5+L9+L13+L17+L21+L25+L29+L33+L37+L41+L45+L49)</f>
        <v>0</v>
      </c>
      <c r="M53" s="238"/>
      <c r="N53" s="230"/>
      <c r="O53" s="85" t="s">
        <v>44</v>
      </c>
      <c r="P53" s="80">
        <f>P5+P9+P13+P17+P21+P25+P29+P33+P37+P41+P45+P49</f>
        <v>0</v>
      </c>
      <c r="Q53" s="80">
        <f>Q5+Q9+Q13+Q17+Q21+Q25+Q29+Q33+Q37+Q41+Q45+Q49</f>
        <v>0</v>
      </c>
      <c r="R53" s="80">
        <f t="shared" ref="R53:X54" si="3">R5+R9+R13+R17+R21+R25+R29+R33+R37+R41+R45+R49</f>
        <v>2.8650000000000002</v>
      </c>
      <c r="S53" s="80">
        <f t="shared" si="3"/>
        <v>20</v>
      </c>
      <c r="T53" s="80">
        <f t="shared" si="3"/>
        <v>225</v>
      </c>
      <c r="U53" s="80">
        <f>SUM(S53:T53)*5%</f>
        <v>12.25</v>
      </c>
      <c r="V53" s="80">
        <f>SUM(S53:U53)*8.5%</f>
        <v>21.866250000000001</v>
      </c>
      <c r="W53" s="80">
        <f t="shared" si="3"/>
        <v>0</v>
      </c>
      <c r="X53" s="80">
        <f t="shared" si="3"/>
        <v>0</v>
      </c>
      <c r="Y53" s="80"/>
      <c r="Z53" s="80">
        <f>Z5+Z9+Z13+Z17+Z21+Z25+Z29+Z33+Z37+Z41+Z45+Z49</f>
        <v>0</v>
      </c>
      <c r="AA53" s="80">
        <f>AA5+AA9+AA13+AA17+AA21+AA25+AA29+AA33+AA37+AA41+AA45+AA49</f>
        <v>0</v>
      </c>
      <c r="AB53" s="80">
        <f>P53+Q53+R53+S53+T53+U53+V53+W53+X53+Z53+AA53</f>
        <v>281.98124999999999</v>
      </c>
    </row>
    <row r="54" spans="1:28" s="4" customFormat="1" x14ac:dyDescent="0.25">
      <c r="A54" s="247">
        <v>2020</v>
      </c>
      <c r="B54" s="113" t="s">
        <v>45</v>
      </c>
      <c r="C54" s="115">
        <f>SUM(C6+C10+C14+C18+C22+C26+C30+C34+C38+C42+C46+C50)</f>
        <v>72.6768</v>
      </c>
      <c r="D54" s="115">
        <f>SUM(D6+D10+D14+D18+D22+D26+D30+D34+D38+D42+D46+D50)</f>
        <v>1849.8</v>
      </c>
      <c r="E54" s="115">
        <f>SUM(E6+E10+E14+E18+E22+E26+E30+E34+E38+E42+E46+E50)</f>
        <v>1922.4767999999999</v>
      </c>
      <c r="F54" s="248"/>
      <c r="G54" s="115">
        <f>SUM(G6+G10+G14+G18+G22+G26+G30+G34+G38+G42+G46+G50)</f>
        <v>41.637750000000004</v>
      </c>
      <c r="H54" s="114"/>
      <c r="I54" s="115">
        <f>SUM(I52:I53)</f>
        <v>241.63896</v>
      </c>
      <c r="J54" s="115">
        <f>SUM(J52:J53)</f>
        <v>91.66</v>
      </c>
      <c r="K54" s="115">
        <f>SUM(K52:K53)</f>
        <v>29.928709999999995</v>
      </c>
      <c r="L54" s="115">
        <f>SUM(L52:L53)</f>
        <v>0</v>
      </c>
      <c r="M54" s="116">
        <f>SUM(M6+M10+M14+M18+M22+M26+M30+M34+M38+M42+M46+M50)</f>
        <v>404.86541999999997</v>
      </c>
      <c r="N54" s="231"/>
      <c r="O54" s="83" t="s">
        <v>45</v>
      </c>
      <c r="P54" s="84">
        <f>P6+P10+P14+P18+P22+P26+P30+P34+P38+P42+P46+P50</f>
        <v>1750</v>
      </c>
      <c r="Q54" s="84">
        <f>Q6+Q10+Q14+Q18+Q22+Q26+Q30+Q34+Q38+Q42+Q46+Q50</f>
        <v>0</v>
      </c>
      <c r="R54" s="84">
        <f t="shared" si="3"/>
        <v>2.8650000000000002</v>
      </c>
      <c r="S54" s="84">
        <f t="shared" si="3"/>
        <v>20</v>
      </c>
      <c r="T54" s="84">
        <f t="shared" si="3"/>
        <v>225</v>
      </c>
      <c r="U54" s="80">
        <f>SUM(S54:T54)*5%</f>
        <v>12.25</v>
      </c>
      <c r="V54" s="80">
        <f>SUM(S54:U54)*8.5%</f>
        <v>21.866250000000001</v>
      </c>
      <c r="W54" s="84">
        <f t="shared" si="3"/>
        <v>0</v>
      </c>
      <c r="X54" s="84">
        <f t="shared" si="3"/>
        <v>0</v>
      </c>
      <c r="Y54" s="84">
        <f>Y6+Y10+Y14+Y18+Y22+Y26+Y30+Y34+Y38+Y42+Y46+Y50</f>
        <v>0</v>
      </c>
      <c r="Z54" s="84">
        <f>Z6+Z10+Z14+Z18+Z22+Z26+Z30+Z34+Z38+Z42+Z46+Z50</f>
        <v>0</v>
      </c>
      <c r="AA54" s="84">
        <f>AA6+AA10+AA14+AA18+AA22+AA26+AA30+AA34+AA38+AA42+AA46+AA50</f>
        <v>0</v>
      </c>
      <c r="AB54" s="84">
        <f>P54+Q54+R54+S54+T54+U54+V54+W54+X54+Y54+Z54+AA54</f>
        <v>2031.98125</v>
      </c>
    </row>
    <row r="55" spans="1:28" x14ac:dyDescent="0.25">
      <c r="A55" s="235"/>
      <c r="B55" s="246"/>
      <c r="C55" s="228"/>
      <c r="D55" s="219" t="s">
        <v>47</v>
      </c>
      <c r="E55" s="121">
        <f>SUM(C54:D54)</f>
        <v>1922.4767999999999</v>
      </c>
      <c r="F55" s="229"/>
      <c r="G55" s="121"/>
      <c r="H55" s="219"/>
      <c r="I55" s="219"/>
      <c r="J55" s="219"/>
      <c r="K55" s="219" t="s">
        <v>47</v>
      </c>
      <c r="L55" s="219"/>
      <c r="M55" s="122">
        <f>SUM(G54+I54+J54+K54+L54)</f>
        <v>404.86541999999997</v>
      </c>
      <c r="N55" s="230"/>
      <c r="O55" s="76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</row>
    <row r="56" spans="1:28" x14ac:dyDescent="0.25">
      <c r="N56" s="230"/>
      <c r="O56" s="76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</row>
    <row r="57" spans="1:28" x14ac:dyDescent="0.25">
      <c r="N57" s="230"/>
    </row>
  </sheetData>
  <mergeCells count="5">
    <mergeCell ref="G1:M1"/>
    <mergeCell ref="B3:C3"/>
    <mergeCell ref="H3:I3"/>
    <mergeCell ref="P1:AB1"/>
    <mergeCell ref="B1:E1"/>
  </mergeCells>
  <phoneticPr fontId="0" type="noConversion"/>
  <pageMargins left="0.25" right="0.25" top="0.75" bottom="0.75" header="0.3" footer="0.3"/>
  <pageSetup scale="52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4">
    <tabColor theme="9" tint="0.59999389629810485"/>
  </sheetPr>
  <dimension ref="A1:H448"/>
  <sheetViews>
    <sheetView topLeftCell="A31" workbookViewId="0">
      <selection activeCell="H11" sqref="H11"/>
    </sheetView>
  </sheetViews>
  <sheetFormatPr baseColWidth="10" defaultRowHeight="13.2" x14ac:dyDescent="0.25"/>
  <cols>
    <col min="1" max="1" width="11.44140625" style="99"/>
    <col min="2" max="2" width="11.44140625" style="172"/>
    <col min="3" max="3" width="11.44140625" style="99"/>
    <col min="4" max="4" width="11.44140625" style="172"/>
    <col min="5" max="5" width="11.44140625" style="99"/>
    <col min="6" max="6" width="11.44140625" style="172"/>
    <col min="7" max="7" width="11.44140625" style="99"/>
    <col min="8" max="8" width="11.44140625" style="172"/>
  </cols>
  <sheetData>
    <row r="1" spans="1:8" x14ac:dyDescent="0.25">
      <c r="A1" s="169" t="s">
        <v>188</v>
      </c>
      <c r="B1" s="171"/>
      <c r="C1" s="169" t="s">
        <v>189</v>
      </c>
      <c r="D1" s="171"/>
      <c r="E1" s="170" t="s">
        <v>188</v>
      </c>
      <c r="F1" s="173"/>
      <c r="G1" s="170" t="s">
        <v>189</v>
      </c>
      <c r="H1" s="173"/>
    </row>
    <row r="2" spans="1:8" x14ac:dyDescent="0.25">
      <c r="A2" s="188">
        <v>0</v>
      </c>
      <c r="B2" s="174">
        <v>0</v>
      </c>
      <c r="C2" s="191">
        <v>0</v>
      </c>
      <c r="D2" s="175">
        <v>0</v>
      </c>
      <c r="E2" s="194">
        <v>0</v>
      </c>
      <c r="F2" s="174">
        <v>0</v>
      </c>
      <c r="G2" s="197">
        <v>0</v>
      </c>
      <c r="H2" s="175">
        <v>0</v>
      </c>
    </row>
    <row r="3" spans="1:8" x14ac:dyDescent="0.25">
      <c r="A3" s="189">
        <v>5</v>
      </c>
      <c r="B3" s="176">
        <v>0</v>
      </c>
      <c r="C3" s="192">
        <v>10</v>
      </c>
      <c r="D3" s="177">
        <v>0</v>
      </c>
      <c r="E3" s="195">
        <v>5</v>
      </c>
      <c r="F3" s="176">
        <v>0</v>
      </c>
      <c r="G3" s="198">
        <v>10</v>
      </c>
      <c r="H3" s="177">
        <v>0</v>
      </c>
    </row>
    <row r="4" spans="1:8" x14ac:dyDescent="0.25">
      <c r="A4" s="189">
        <v>10</v>
      </c>
      <c r="B4" s="176">
        <v>0</v>
      </c>
      <c r="C4" s="192">
        <v>15</v>
      </c>
      <c r="D4" s="177">
        <v>0</v>
      </c>
      <c r="E4" s="195">
        <v>10</v>
      </c>
      <c r="F4" s="176">
        <v>0</v>
      </c>
      <c r="G4" s="198">
        <v>15</v>
      </c>
      <c r="H4" s="177">
        <v>0</v>
      </c>
    </row>
    <row r="5" spans="1:8" x14ac:dyDescent="0.25">
      <c r="A5" s="189">
        <v>15</v>
      </c>
      <c r="B5" s="176">
        <v>0</v>
      </c>
      <c r="C5" s="192">
        <v>20</v>
      </c>
      <c r="D5" s="177">
        <v>0</v>
      </c>
      <c r="E5" s="195">
        <v>15</v>
      </c>
      <c r="F5" s="176">
        <v>0</v>
      </c>
      <c r="G5" s="198">
        <v>20</v>
      </c>
      <c r="H5" s="177">
        <v>0</v>
      </c>
    </row>
    <row r="6" spans="1:8" x14ac:dyDescent="0.25">
      <c r="A6" s="189">
        <v>20</v>
      </c>
      <c r="B6" s="176">
        <v>0</v>
      </c>
      <c r="C6" s="192">
        <v>25</v>
      </c>
      <c r="D6" s="177">
        <v>0</v>
      </c>
      <c r="E6" s="195">
        <v>20</v>
      </c>
      <c r="F6" s="176">
        <v>0</v>
      </c>
      <c r="G6" s="198">
        <v>25</v>
      </c>
      <c r="H6" s="177">
        <v>0</v>
      </c>
    </row>
    <row r="7" spans="1:8" x14ac:dyDescent="0.25">
      <c r="A7" s="189">
        <v>25</v>
      </c>
      <c r="B7" s="176">
        <v>0</v>
      </c>
      <c r="C7" s="192">
        <v>30</v>
      </c>
      <c r="D7" s="177">
        <v>0</v>
      </c>
      <c r="E7" s="195">
        <v>25</v>
      </c>
      <c r="F7" s="176">
        <v>0</v>
      </c>
      <c r="G7" s="198">
        <v>30</v>
      </c>
      <c r="H7" s="177">
        <v>0</v>
      </c>
    </row>
    <row r="8" spans="1:8" x14ac:dyDescent="0.25">
      <c r="A8" s="189">
        <v>30</v>
      </c>
      <c r="B8" s="176">
        <v>0</v>
      </c>
      <c r="C8" s="192">
        <v>35</v>
      </c>
      <c r="D8" s="177">
        <v>0</v>
      </c>
      <c r="E8" s="195">
        <v>30</v>
      </c>
      <c r="F8" s="176">
        <v>0</v>
      </c>
      <c r="G8" s="198">
        <v>35</v>
      </c>
      <c r="H8" s="177">
        <v>0</v>
      </c>
    </row>
    <row r="9" spans="1:8" x14ac:dyDescent="0.25">
      <c r="A9" s="189">
        <v>35</v>
      </c>
      <c r="B9" s="176">
        <v>0</v>
      </c>
      <c r="C9" s="192">
        <v>40</v>
      </c>
      <c r="D9" s="177">
        <v>0</v>
      </c>
      <c r="E9" s="195">
        <v>35</v>
      </c>
      <c r="F9" s="176">
        <v>0</v>
      </c>
      <c r="G9" s="198">
        <v>40</v>
      </c>
      <c r="H9" s="177">
        <v>0</v>
      </c>
    </row>
    <row r="10" spans="1:8" x14ac:dyDescent="0.25">
      <c r="A10" s="189">
        <v>40</v>
      </c>
      <c r="B10" s="176">
        <v>0</v>
      </c>
      <c r="C10" s="192">
        <v>45</v>
      </c>
      <c r="D10" s="177">
        <v>0</v>
      </c>
      <c r="E10" s="195">
        <v>40</v>
      </c>
      <c r="F10" s="176">
        <v>0</v>
      </c>
      <c r="G10" s="198">
        <v>45</v>
      </c>
      <c r="H10" s="177">
        <v>0</v>
      </c>
    </row>
    <row r="11" spans="1:8" x14ac:dyDescent="0.25">
      <c r="A11" s="189">
        <v>45</v>
      </c>
      <c r="B11" s="176">
        <v>0</v>
      </c>
      <c r="C11" s="192">
        <v>50</v>
      </c>
      <c r="D11" s="177">
        <v>0</v>
      </c>
      <c r="E11" s="195">
        <v>45</v>
      </c>
      <c r="F11" s="176">
        <v>0</v>
      </c>
      <c r="G11" s="198">
        <v>50</v>
      </c>
      <c r="H11" s="177">
        <v>0</v>
      </c>
    </row>
    <row r="12" spans="1:8" x14ac:dyDescent="0.25">
      <c r="A12" s="189">
        <v>50</v>
      </c>
      <c r="B12" s="176">
        <v>0</v>
      </c>
      <c r="C12" s="192">
        <v>55</v>
      </c>
      <c r="D12" s="177">
        <v>0</v>
      </c>
      <c r="E12" s="195">
        <v>50</v>
      </c>
      <c r="F12" s="176">
        <v>0</v>
      </c>
      <c r="G12" s="198">
        <v>55</v>
      </c>
      <c r="H12" s="177">
        <v>0</v>
      </c>
    </row>
    <row r="13" spans="1:8" x14ac:dyDescent="0.25">
      <c r="A13" s="189">
        <v>55</v>
      </c>
      <c r="B13" s="176">
        <v>0</v>
      </c>
      <c r="C13" s="192">
        <v>60</v>
      </c>
      <c r="D13" s="177">
        <v>0</v>
      </c>
      <c r="E13" s="195">
        <v>55</v>
      </c>
      <c r="F13" s="176">
        <v>0</v>
      </c>
      <c r="G13" s="198">
        <v>60</v>
      </c>
      <c r="H13" s="177">
        <v>0</v>
      </c>
    </row>
    <row r="14" spans="1:8" x14ac:dyDescent="0.25">
      <c r="A14" s="189">
        <v>60</v>
      </c>
      <c r="B14" s="176">
        <v>0</v>
      </c>
      <c r="C14" s="192">
        <v>65</v>
      </c>
      <c r="D14" s="177">
        <v>0</v>
      </c>
      <c r="E14" s="195">
        <v>60</v>
      </c>
      <c r="F14" s="176">
        <v>0</v>
      </c>
      <c r="G14" s="198">
        <v>65</v>
      </c>
      <c r="H14" s="177">
        <v>0</v>
      </c>
    </row>
    <row r="15" spans="1:8" x14ac:dyDescent="0.25">
      <c r="A15" s="189">
        <v>65</v>
      </c>
      <c r="B15" s="176">
        <v>0</v>
      </c>
      <c r="C15" s="192">
        <v>70</v>
      </c>
      <c r="D15" s="177">
        <v>0</v>
      </c>
      <c r="E15" s="195">
        <v>65</v>
      </c>
      <c r="F15" s="176">
        <v>0</v>
      </c>
      <c r="G15" s="198">
        <v>70</v>
      </c>
      <c r="H15" s="177">
        <v>0</v>
      </c>
    </row>
    <row r="16" spans="1:8" x14ac:dyDescent="0.25">
      <c r="A16" s="189">
        <v>70</v>
      </c>
      <c r="B16" s="176">
        <v>0</v>
      </c>
      <c r="C16" s="192">
        <v>75</v>
      </c>
      <c r="D16" s="177">
        <v>0</v>
      </c>
      <c r="E16" s="195">
        <v>70</v>
      </c>
      <c r="F16" s="176">
        <v>0</v>
      </c>
      <c r="G16" s="198">
        <v>75</v>
      </c>
      <c r="H16" s="177">
        <v>0</v>
      </c>
    </row>
    <row r="17" spans="1:8" x14ac:dyDescent="0.25">
      <c r="A17" s="189">
        <v>75</v>
      </c>
      <c r="B17" s="176">
        <v>0</v>
      </c>
      <c r="C17" s="192">
        <v>80</v>
      </c>
      <c r="D17" s="177">
        <v>0</v>
      </c>
      <c r="E17" s="195">
        <v>75</v>
      </c>
      <c r="F17" s="176">
        <v>0</v>
      </c>
      <c r="G17" s="198">
        <v>80</v>
      </c>
      <c r="H17" s="177">
        <v>0</v>
      </c>
    </row>
    <row r="18" spans="1:8" x14ac:dyDescent="0.25">
      <c r="A18" s="189">
        <v>80</v>
      </c>
      <c r="B18" s="176">
        <v>0</v>
      </c>
      <c r="C18" s="192">
        <v>85</v>
      </c>
      <c r="D18" s="177">
        <v>0</v>
      </c>
      <c r="E18" s="195">
        <v>80</v>
      </c>
      <c r="F18" s="176">
        <v>0</v>
      </c>
      <c r="G18" s="198">
        <v>85</v>
      </c>
      <c r="H18" s="177">
        <v>0</v>
      </c>
    </row>
    <row r="19" spans="1:8" x14ac:dyDescent="0.25">
      <c r="A19" s="189">
        <v>85</v>
      </c>
      <c r="B19" s="176">
        <v>0</v>
      </c>
      <c r="C19" s="192">
        <v>90</v>
      </c>
      <c r="D19" s="177">
        <v>0</v>
      </c>
      <c r="E19" s="195">
        <v>85</v>
      </c>
      <c r="F19" s="176">
        <v>0</v>
      </c>
      <c r="G19" s="198">
        <v>90</v>
      </c>
      <c r="H19" s="177">
        <v>0</v>
      </c>
    </row>
    <row r="20" spans="1:8" x14ac:dyDescent="0.25">
      <c r="A20" s="189">
        <v>90</v>
      </c>
      <c r="B20" s="176">
        <v>0</v>
      </c>
      <c r="C20" s="192">
        <v>95</v>
      </c>
      <c r="D20" s="177">
        <v>0</v>
      </c>
      <c r="E20" s="195">
        <v>90</v>
      </c>
      <c r="F20" s="176">
        <v>0</v>
      </c>
      <c r="G20" s="198">
        <v>95</v>
      </c>
      <c r="H20" s="177">
        <v>0</v>
      </c>
    </row>
    <row r="21" spans="1:8" x14ac:dyDescent="0.25">
      <c r="A21" s="189">
        <v>95</v>
      </c>
      <c r="B21" s="176">
        <v>0</v>
      </c>
      <c r="C21" s="192">
        <v>100</v>
      </c>
      <c r="D21" s="177">
        <v>0</v>
      </c>
      <c r="E21" s="195">
        <v>95</v>
      </c>
      <c r="F21" s="176">
        <v>0</v>
      </c>
      <c r="G21" s="198">
        <v>100</v>
      </c>
      <c r="H21" s="177">
        <v>0</v>
      </c>
    </row>
    <row r="22" spans="1:8" x14ac:dyDescent="0.25">
      <c r="A22" s="189">
        <v>100</v>
      </c>
      <c r="B22" s="176">
        <v>0</v>
      </c>
      <c r="C22" s="192">
        <v>105</v>
      </c>
      <c r="D22" s="177">
        <v>0</v>
      </c>
      <c r="E22" s="195">
        <v>100</v>
      </c>
      <c r="F22" s="176">
        <v>0</v>
      </c>
      <c r="G22" s="198">
        <v>105</v>
      </c>
      <c r="H22" s="177">
        <v>0</v>
      </c>
    </row>
    <row r="23" spans="1:8" x14ac:dyDescent="0.25">
      <c r="A23" s="189">
        <v>105</v>
      </c>
      <c r="B23" s="176">
        <v>0</v>
      </c>
      <c r="C23" s="192">
        <v>110</v>
      </c>
      <c r="D23" s="177">
        <v>0</v>
      </c>
      <c r="E23" s="195">
        <v>105</v>
      </c>
      <c r="F23" s="176">
        <v>0</v>
      </c>
      <c r="G23" s="198">
        <v>110</v>
      </c>
      <c r="H23" s="177">
        <v>0</v>
      </c>
    </row>
    <row r="24" spans="1:8" x14ac:dyDescent="0.25">
      <c r="A24" s="189">
        <v>110</v>
      </c>
      <c r="B24" s="176">
        <v>0</v>
      </c>
      <c r="C24" s="192">
        <v>115</v>
      </c>
      <c r="D24" s="177">
        <v>0</v>
      </c>
      <c r="E24" s="195">
        <v>110</v>
      </c>
      <c r="F24" s="176">
        <v>0</v>
      </c>
      <c r="G24" s="198">
        <v>115</v>
      </c>
      <c r="H24" s="177">
        <v>0</v>
      </c>
    </row>
    <row r="25" spans="1:8" x14ac:dyDescent="0.25">
      <c r="A25" s="189">
        <v>115</v>
      </c>
      <c r="B25" s="176">
        <v>0</v>
      </c>
      <c r="C25" s="192">
        <v>120</v>
      </c>
      <c r="D25" s="177">
        <v>0</v>
      </c>
      <c r="E25" s="195">
        <v>115</v>
      </c>
      <c r="F25" s="176">
        <v>0</v>
      </c>
      <c r="G25" s="198">
        <v>120</v>
      </c>
      <c r="H25" s="177">
        <v>0</v>
      </c>
    </row>
    <row r="26" spans="1:8" x14ac:dyDescent="0.25">
      <c r="A26" s="189">
        <v>120</v>
      </c>
      <c r="B26" s="176">
        <v>0</v>
      </c>
      <c r="C26" s="192">
        <v>125</v>
      </c>
      <c r="D26" s="177">
        <v>0</v>
      </c>
      <c r="E26" s="195">
        <v>120</v>
      </c>
      <c r="F26" s="176">
        <v>0</v>
      </c>
      <c r="G26" s="198">
        <v>125</v>
      </c>
      <c r="H26" s="177">
        <v>0</v>
      </c>
    </row>
    <row r="27" spans="1:8" x14ac:dyDescent="0.25">
      <c r="A27" s="189">
        <v>125</v>
      </c>
      <c r="B27" s="176">
        <v>0</v>
      </c>
      <c r="C27" s="192">
        <v>130</v>
      </c>
      <c r="D27" s="177">
        <v>0</v>
      </c>
      <c r="E27" s="195">
        <v>125</v>
      </c>
      <c r="F27" s="176">
        <v>0</v>
      </c>
      <c r="G27" s="198">
        <v>130</v>
      </c>
      <c r="H27" s="177">
        <v>0</v>
      </c>
    </row>
    <row r="28" spans="1:8" x14ac:dyDescent="0.25">
      <c r="A28" s="189">
        <v>130</v>
      </c>
      <c r="B28" s="176">
        <v>0</v>
      </c>
      <c r="C28" s="192">
        <v>135</v>
      </c>
      <c r="D28" s="177">
        <v>0</v>
      </c>
      <c r="E28" s="195">
        <v>130</v>
      </c>
      <c r="F28" s="176">
        <v>0</v>
      </c>
      <c r="G28" s="198">
        <v>135</v>
      </c>
      <c r="H28" s="177">
        <v>0</v>
      </c>
    </row>
    <row r="29" spans="1:8" x14ac:dyDescent="0.25">
      <c r="A29" s="189">
        <v>135</v>
      </c>
      <c r="B29" s="176">
        <v>0</v>
      </c>
      <c r="C29" s="192">
        <v>140</v>
      </c>
      <c r="D29" s="177">
        <v>0</v>
      </c>
      <c r="E29" s="195">
        <v>135</v>
      </c>
      <c r="F29" s="176">
        <v>0</v>
      </c>
      <c r="G29" s="198">
        <v>140</v>
      </c>
      <c r="H29" s="177">
        <v>0</v>
      </c>
    </row>
    <row r="30" spans="1:8" x14ac:dyDescent="0.25">
      <c r="A30" s="189">
        <v>140</v>
      </c>
      <c r="B30" s="176">
        <v>0</v>
      </c>
      <c r="C30" s="192">
        <v>145</v>
      </c>
      <c r="D30" s="177">
        <v>0</v>
      </c>
      <c r="E30" s="195">
        <v>140</v>
      </c>
      <c r="F30" s="176">
        <v>0</v>
      </c>
      <c r="G30" s="198">
        <v>145</v>
      </c>
      <c r="H30" s="177">
        <v>0</v>
      </c>
    </row>
    <row r="31" spans="1:8" x14ac:dyDescent="0.25">
      <c r="A31" s="189">
        <v>145</v>
      </c>
      <c r="B31" s="176">
        <v>0</v>
      </c>
      <c r="C31" s="192">
        <v>150</v>
      </c>
      <c r="D31" s="177">
        <v>0</v>
      </c>
      <c r="E31" s="195">
        <v>145</v>
      </c>
      <c r="F31" s="176">
        <v>0</v>
      </c>
      <c r="G31" s="198">
        <v>150</v>
      </c>
      <c r="H31" s="177">
        <v>0</v>
      </c>
    </row>
    <row r="32" spans="1:8" x14ac:dyDescent="0.25">
      <c r="A32" s="189">
        <v>150</v>
      </c>
      <c r="B32" s="176">
        <v>0</v>
      </c>
      <c r="C32" s="192">
        <v>155</v>
      </c>
      <c r="D32" s="177">
        <v>0</v>
      </c>
      <c r="E32" s="195">
        <v>150</v>
      </c>
      <c r="F32" s="176">
        <v>0</v>
      </c>
      <c r="G32" s="198">
        <v>155</v>
      </c>
      <c r="H32" s="177">
        <v>0</v>
      </c>
    </row>
    <row r="33" spans="1:8" x14ac:dyDescent="0.25">
      <c r="A33" s="189">
        <v>155</v>
      </c>
      <c r="B33" s="176">
        <v>0</v>
      </c>
      <c r="C33" s="192">
        <v>160</v>
      </c>
      <c r="D33" s="177">
        <v>0</v>
      </c>
      <c r="E33" s="195">
        <v>155</v>
      </c>
      <c r="F33" s="176">
        <v>0</v>
      </c>
      <c r="G33" s="198">
        <v>160</v>
      </c>
      <c r="H33" s="177">
        <v>0</v>
      </c>
    </row>
    <row r="34" spans="1:8" x14ac:dyDescent="0.25">
      <c r="A34" s="189">
        <v>160</v>
      </c>
      <c r="B34" s="176">
        <v>0</v>
      </c>
      <c r="C34" s="192">
        <v>165</v>
      </c>
      <c r="D34" s="177">
        <v>0</v>
      </c>
      <c r="E34" s="195">
        <v>160</v>
      </c>
      <c r="F34" s="176">
        <v>0</v>
      </c>
      <c r="G34" s="198">
        <v>165</v>
      </c>
      <c r="H34" s="177">
        <v>0</v>
      </c>
    </row>
    <row r="35" spans="1:8" x14ac:dyDescent="0.25">
      <c r="A35" s="189">
        <v>165</v>
      </c>
      <c r="B35" s="176">
        <v>0</v>
      </c>
      <c r="C35" s="192">
        <v>170</v>
      </c>
      <c r="D35" s="177">
        <v>0</v>
      </c>
      <c r="E35" s="195">
        <v>165</v>
      </c>
      <c r="F35" s="176">
        <v>0</v>
      </c>
      <c r="G35" s="198">
        <v>170</v>
      </c>
      <c r="H35" s="177">
        <v>0</v>
      </c>
    </row>
    <row r="36" spans="1:8" x14ac:dyDescent="0.25">
      <c r="A36" s="189">
        <v>170</v>
      </c>
      <c r="B36" s="176">
        <v>0</v>
      </c>
      <c r="C36" s="192">
        <v>175</v>
      </c>
      <c r="D36" s="177">
        <v>0</v>
      </c>
      <c r="E36" s="195">
        <v>170</v>
      </c>
      <c r="F36" s="176">
        <v>0</v>
      </c>
      <c r="G36" s="198">
        <v>175</v>
      </c>
      <c r="H36" s="177">
        <v>0</v>
      </c>
    </row>
    <row r="37" spans="1:8" x14ac:dyDescent="0.25">
      <c r="A37" s="189">
        <v>175</v>
      </c>
      <c r="B37" s="176">
        <v>0</v>
      </c>
      <c r="C37" s="192">
        <v>180</v>
      </c>
      <c r="D37" s="177">
        <v>0</v>
      </c>
      <c r="E37" s="195">
        <v>175</v>
      </c>
      <c r="F37" s="176">
        <v>0</v>
      </c>
      <c r="G37" s="198">
        <v>180</v>
      </c>
      <c r="H37" s="177">
        <v>0</v>
      </c>
    </row>
    <row r="38" spans="1:8" x14ac:dyDescent="0.25">
      <c r="A38" s="189">
        <v>180</v>
      </c>
      <c r="B38" s="176">
        <v>0</v>
      </c>
      <c r="C38" s="192">
        <v>185</v>
      </c>
      <c r="D38" s="177">
        <v>0</v>
      </c>
      <c r="E38" s="195">
        <v>180</v>
      </c>
      <c r="F38" s="176">
        <v>0</v>
      </c>
      <c r="G38" s="198">
        <v>185</v>
      </c>
      <c r="H38" s="177">
        <v>0</v>
      </c>
    </row>
    <row r="39" spans="1:8" x14ac:dyDescent="0.25">
      <c r="A39" s="189">
        <v>185</v>
      </c>
      <c r="B39" s="176">
        <v>0</v>
      </c>
      <c r="C39" s="192">
        <v>190</v>
      </c>
      <c r="D39" s="177">
        <v>0</v>
      </c>
      <c r="E39" s="195">
        <v>185</v>
      </c>
      <c r="F39" s="176">
        <v>0</v>
      </c>
      <c r="G39" s="198">
        <v>190</v>
      </c>
      <c r="H39" s="177">
        <v>0</v>
      </c>
    </row>
    <row r="40" spans="1:8" x14ac:dyDescent="0.25">
      <c r="A40" s="189">
        <v>190</v>
      </c>
      <c r="B40" s="176">
        <v>0</v>
      </c>
      <c r="C40" s="192">
        <v>195</v>
      </c>
      <c r="D40" s="177">
        <v>0</v>
      </c>
      <c r="E40" s="195">
        <v>190</v>
      </c>
      <c r="F40" s="176">
        <v>0</v>
      </c>
      <c r="G40" s="198">
        <v>195</v>
      </c>
      <c r="H40" s="177">
        <v>0</v>
      </c>
    </row>
    <row r="41" spans="1:8" x14ac:dyDescent="0.25">
      <c r="A41" s="189">
        <v>195</v>
      </c>
      <c r="B41" s="176">
        <v>0</v>
      </c>
      <c r="C41" s="192">
        <v>200</v>
      </c>
      <c r="D41" s="177">
        <v>0</v>
      </c>
      <c r="E41" s="195">
        <v>195</v>
      </c>
      <c r="F41" s="176">
        <v>0</v>
      </c>
      <c r="G41" s="198">
        <v>200</v>
      </c>
      <c r="H41" s="177">
        <v>0</v>
      </c>
    </row>
    <row r="42" spans="1:8" x14ac:dyDescent="0.25">
      <c r="A42" s="189">
        <v>200</v>
      </c>
      <c r="B42" s="176">
        <v>0</v>
      </c>
      <c r="C42" s="192">
        <v>205</v>
      </c>
      <c r="D42" s="177">
        <v>0</v>
      </c>
      <c r="E42" s="195">
        <v>200</v>
      </c>
      <c r="F42" s="176">
        <v>0</v>
      </c>
      <c r="G42" s="198">
        <v>205</v>
      </c>
      <c r="H42" s="177">
        <v>0</v>
      </c>
    </row>
    <row r="43" spans="1:8" x14ac:dyDescent="0.25">
      <c r="A43" s="189">
        <v>205</v>
      </c>
      <c r="B43" s="176">
        <v>0</v>
      </c>
      <c r="C43" s="192">
        <v>210</v>
      </c>
      <c r="D43" s="177">
        <v>0</v>
      </c>
      <c r="E43" s="195">
        <v>205</v>
      </c>
      <c r="F43" s="176">
        <v>0</v>
      </c>
      <c r="G43" s="198">
        <v>210</v>
      </c>
      <c r="H43" s="177">
        <v>0</v>
      </c>
    </row>
    <row r="44" spans="1:8" x14ac:dyDescent="0.25">
      <c r="A44" s="189">
        <v>210</v>
      </c>
      <c r="B44" s="176">
        <v>0</v>
      </c>
      <c r="C44" s="192">
        <v>215</v>
      </c>
      <c r="D44" s="177">
        <v>0</v>
      </c>
      <c r="E44" s="195">
        <v>210</v>
      </c>
      <c r="F44" s="176">
        <v>0</v>
      </c>
      <c r="G44" s="198">
        <v>215</v>
      </c>
      <c r="H44" s="177">
        <v>0</v>
      </c>
    </row>
    <row r="45" spans="1:8" x14ac:dyDescent="0.25">
      <c r="A45" s="189">
        <v>215</v>
      </c>
      <c r="B45" s="176">
        <v>0</v>
      </c>
      <c r="C45" s="192">
        <v>220</v>
      </c>
      <c r="D45" s="177">
        <v>0</v>
      </c>
      <c r="E45" s="195">
        <v>215</v>
      </c>
      <c r="F45" s="176">
        <v>0</v>
      </c>
      <c r="G45" s="198">
        <v>220</v>
      </c>
      <c r="H45" s="177">
        <v>0</v>
      </c>
    </row>
    <row r="46" spans="1:8" x14ac:dyDescent="0.25">
      <c r="A46" s="189">
        <v>220</v>
      </c>
      <c r="B46" s="176">
        <v>0</v>
      </c>
      <c r="C46" s="192">
        <v>225</v>
      </c>
      <c r="D46" s="177">
        <v>0</v>
      </c>
      <c r="E46" s="195">
        <v>220</v>
      </c>
      <c r="F46" s="176">
        <v>0</v>
      </c>
      <c r="G46" s="198">
        <v>225</v>
      </c>
      <c r="H46" s="177">
        <v>0</v>
      </c>
    </row>
    <row r="47" spans="1:8" x14ac:dyDescent="0.25">
      <c r="A47" s="189">
        <v>225</v>
      </c>
      <c r="B47" s="176">
        <v>0</v>
      </c>
      <c r="C47" s="192">
        <v>230</v>
      </c>
      <c r="D47" s="177">
        <v>0</v>
      </c>
      <c r="E47" s="195">
        <v>225</v>
      </c>
      <c r="F47" s="176">
        <v>0</v>
      </c>
      <c r="G47" s="198">
        <v>230</v>
      </c>
      <c r="H47" s="177">
        <v>0</v>
      </c>
    </row>
    <row r="48" spans="1:8" x14ac:dyDescent="0.25">
      <c r="A48" s="189">
        <v>230</v>
      </c>
      <c r="B48" s="176">
        <v>0</v>
      </c>
      <c r="C48" s="192">
        <v>235</v>
      </c>
      <c r="D48" s="177">
        <v>0</v>
      </c>
      <c r="E48" s="195">
        <v>230</v>
      </c>
      <c r="F48" s="176">
        <v>0</v>
      </c>
      <c r="G48" s="198">
        <v>235</v>
      </c>
      <c r="H48" s="177">
        <v>0</v>
      </c>
    </row>
    <row r="49" spans="1:8" x14ac:dyDescent="0.25">
      <c r="A49" s="189">
        <v>235</v>
      </c>
      <c r="B49" s="176">
        <v>0</v>
      </c>
      <c r="C49" s="192">
        <v>240</v>
      </c>
      <c r="D49" s="177">
        <v>0</v>
      </c>
      <c r="E49" s="195">
        <v>235</v>
      </c>
      <c r="F49" s="176">
        <v>0</v>
      </c>
      <c r="G49" s="198">
        <v>240</v>
      </c>
      <c r="H49" s="177">
        <v>0</v>
      </c>
    </row>
    <row r="50" spans="1:8" x14ac:dyDescent="0.25">
      <c r="A50" s="189">
        <v>240</v>
      </c>
      <c r="B50" s="176">
        <v>0</v>
      </c>
      <c r="C50" s="192">
        <v>245</v>
      </c>
      <c r="D50" s="177">
        <v>0</v>
      </c>
      <c r="E50" s="195">
        <v>240</v>
      </c>
      <c r="F50" s="176">
        <v>0</v>
      </c>
      <c r="G50" s="198">
        <v>245</v>
      </c>
      <c r="H50" s="177">
        <v>0</v>
      </c>
    </row>
    <row r="51" spans="1:8" x14ac:dyDescent="0.25">
      <c r="A51" s="189">
        <v>245</v>
      </c>
      <c r="B51" s="176">
        <v>0</v>
      </c>
      <c r="C51" s="192">
        <v>250</v>
      </c>
      <c r="D51" s="177">
        <v>0</v>
      </c>
      <c r="E51" s="195">
        <v>245</v>
      </c>
      <c r="F51" s="176">
        <v>0</v>
      </c>
      <c r="G51" s="198">
        <v>250</v>
      </c>
      <c r="H51" s="177">
        <v>0</v>
      </c>
    </row>
    <row r="52" spans="1:8" x14ac:dyDescent="0.25">
      <c r="A52" s="189">
        <v>250</v>
      </c>
      <c r="B52" s="176">
        <v>0</v>
      </c>
      <c r="C52" s="192">
        <v>255</v>
      </c>
      <c r="D52" s="177">
        <v>0</v>
      </c>
      <c r="E52" s="195">
        <v>250</v>
      </c>
      <c r="F52" s="176">
        <v>0</v>
      </c>
      <c r="G52" s="198">
        <v>255</v>
      </c>
      <c r="H52" s="177">
        <v>0</v>
      </c>
    </row>
    <row r="53" spans="1:8" x14ac:dyDescent="0.25">
      <c r="A53" s="189">
        <v>255</v>
      </c>
      <c r="B53" s="176">
        <v>0</v>
      </c>
      <c r="C53" s="192">
        <v>260</v>
      </c>
      <c r="D53" s="177">
        <v>0</v>
      </c>
      <c r="E53" s="195">
        <v>255</v>
      </c>
      <c r="F53" s="176">
        <v>0</v>
      </c>
      <c r="G53" s="198">
        <v>260</v>
      </c>
      <c r="H53" s="177">
        <v>0</v>
      </c>
    </row>
    <row r="54" spans="1:8" x14ac:dyDescent="0.25">
      <c r="A54" s="189">
        <v>260</v>
      </c>
      <c r="B54" s="176">
        <v>0</v>
      </c>
      <c r="C54" s="192">
        <v>265</v>
      </c>
      <c r="D54" s="177">
        <v>0</v>
      </c>
      <c r="E54" s="195">
        <v>260</v>
      </c>
      <c r="F54" s="176">
        <v>0</v>
      </c>
      <c r="G54" s="198">
        <v>265</v>
      </c>
      <c r="H54" s="177">
        <v>0</v>
      </c>
    </row>
    <row r="55" spans="1:8" x14ac:dyDescent="0.25">
      <c r="A55" s="189">
        <v>265</v>
      </c>
      <c r="B55" s="176">
        <v>0</v>
      </c>
      <c r="C55" s="192">
        <v>270</v>
      </c>
      <c r="D55" s="177">
        <v>0</v>
      </c>
      <c r="E55" s="195">
        <v>265</v>
      </c>
      <c r="F55" s="176">
        <v>0</v>
      </c>
      <c r="G55" s="198">
        <v>270</v>
      </c>
      <c r="H55" s="177">
        <v>0</v>
      </c>
    </row>
    <row r="56" spans="1:8" x14ac:dyDescent="0.25">
      <c r="A56" s="189">
        <v>270</v>
      </c>
      <c r="B56" s="176">
        <v>0</v>
      </c>
      <c r="C56" s="192">
        <v>275</v>
      </c>
      <c r="D56" s="177">
        <v>0</v>
      </c>
      <c r="E56" s="195">
        <v>270</v>
      </c>
      <c r="F56" s="176">
        <v>0</v>
      </c>
      <c r="G56" s="198">
        <v>275</v>
      </c>
      <c r="H56" s="177">
        <v>0</v>
      </c>
    </row>
    <row r="57" spans="1:8" x14ac:dyDescent="0.25">
      <c r="A57" s="189">
        <v>275</v>
      </c>
      <c r="B57" s="176">
        <v>0</v>
      </c>
      <c r="C57" s="192">
        <v>280</v>
      </c>
      <c r="D57" s="177">
        <v>0</v>
      </c>
      <c r="E57" s="195">
        <v>275</v>
      </c>
      <c r="F57" s="176">
        <v>0</v>
      </c>
      <c r="G57" s="198">
        <v>280</v>
      </c>
      <c r="H57" s="177">
        <v>0</v>
      </c>
    </row>
    <row r="58" spans="1:8" x14ac:dyDescent="0.25">
      <c r="A58" s="189">
        <v>280</v>
      </c>
      <c r="B58" s="176">
        <v>0</v>
      </c>
      <c r="C58" s="192">
        <v>285</v>
      </c>
      <c r="D58" s="177">
        <v>0</v>
      </c>
      <c r="E58" s="195">
        <v>280</v>
      </c>
      <c r="F58" s="176">
        <v>0</v>
      </c>
      <c r="G58" s="198">
        <v>285</v>
      </c>
      <c r="H58" s="177">
        <v>0</v>
      </c>
    </row>
    <row r="59" spans="1:8" x14ac:dyDescent="0.25">
      <c r="A59" s="189">
        <v>285</v>
      </c>
      <c r="B59" s="176">
        <v>0</v>
      </c>
      <c r="C59" s="192">
        <v>290</v>
      </c>
      <c r="D59" s="177">
        <v>0</v>
      </c>
      <c r="E59" s="195">
        <v>285</v>
      </c>
      <c r="F59" s="176">
        <v>0</v>
      </c>
      <c r="G59" s="198">
        <v>290</v>
      </c>
      <c r="H59" s="177">
        <v>0</v>
      </c>
    </row>
    <row r="60" spans="1:8" x14ac:dyDescent="0.25">
      <c r="A60" s="189">
        <v>290</v>
      </c>
      <c r="B60" s="176">
        <v>0</v>
      </c>
      <c r="C60" s="192">
        <v>295</v>
      </c>
      <c r="D60" s="177">
        <v>0</v>
      </c>
      <c r="E60" s="195">
        <v>290</v>
      </c>
      <c r="F60" s="176">
        <v>0</v>
      </c>
      <c r="G60" s="198">
        <v>295</v>
      </c>
      <c r="H60" s="177">
        <v>0</v>
      </c>
    </row>
    <row r="61" spans="1:8" x14ac:dyDescent="0.25">
      <c r="A61" s="189">
        <v>295</v>
      </c>
      <c r="B61" s="176">
        <v>0</v>
      </c>
      <c r="C61" s="192">
        <v>300</v>
      </c>
      <c r="D61" s="177">
        <v>0</v>
      </c>
      <c r="E61" s="195">
        <v>295</v>
      </c>
      <c r="F61" s="176">
        <v>0</v>
      </c>
      <c r="G61" s="198">
        <v>300</v>
      </c>
      <c r="H61" s="177">
        <v>0</v>
      </c>
    </row>
    <row r="62" spans="1:8" x14ac:dyDescent="0.25">
      <c r="A62" s="189">
        <v>300</v>
      </c>
      <c r="B62" s="176">
        <v>0</v>
      </c>
      <c r="C62" s="192">
        <v>305</v>
      </c>
      <c r="D62" s="177">
        <v>0</v>
      </c>
      <c r="E62" s="195">
        <v>300</v>
      </c>
      <c r="F62" s="176">
        <v>0</v>
      </c>
      <c r="G62" s="198">
        <v>303.99</v>
      </c>
      <c r="H62" s="177">
        <v>0</v>
      </c>
    </row>
    <row r="63" spans="1:8" x14ac:dyDescent="0.25">
      <c r="A63" s="189">
        <v>305</v>
      </c>
      <c r="B63" s="176">
        <v>0</v>
      </c>
      <c r="C63" s="192">
        <v>310</v>
      </c>
      <c r="D63" s="177">
        <v>0</v>
      </c>
      <c r="E63" s="195">
        <v>304</v>
      </c>
      <c r="F63" s="176">
        <v>0</v>
      </c>
      <c r="G63" s="198">
        <v>307.99</v>
      </c>
      <c r="H63" s="177">
        <v>0</v>
      </c>
    </row>
    <row r="64" spans="1:8" x14ac:dyDescent="0.25">
      <c r="A64" s="189">
        <v>310</v>
      </c>
      <c r="B64" s="176">
        <v>0</v>
      </c>
      <c r="C64" s="192">
        <v>315</v>
      </c>
      <c r="D64" s="177">
        <v>0</v>
      </c>
      <c r="E64" s="195">
        <v>308</v>
      </c>
      <c r="F64" s="176">
        <v>0</v>
      </c>
      <c r="G64" s="198">
        <v>311.99</v>
      </c>
      <c r="H64" s="177">
        <v>0</v>
      </c>
    </row>
    <row r="65" spans="1:8" x14ac:dyDescent="0.25">
      <c r="A65" s="189">
        <v>315</v>
      </c>
      <c r="B65" s="176">
        <v>0</v>
      </c>
      <c r="C65" s="192">
        <v>320</v>
      </c>
      <c r="D65" s="177">
        <v>0</v>
      </c>
      <c r="E65" s="195">
        <v>312</v>
      </c>
      <c r="F65" s="176">
        <v>0</v>
      </c>
      <c r="G65" s="198">
        <v>315.99</v>
      </c>
      <c r="H65" s="177">
        <v>0</v>
      </c>
    </row>
    <row r="66" spans="1:8" x14ac:dyDescent="0.25">
      <c r="A66" s="189">
        <v>320</v>
      </c>
      <c r="B66" s="176">
        <v>0</v>
      </c>
      <c r="C66" s="192">
        <v>325</v>
      </c>
      <c r="D66" s="177">
        <v>0</v>
      </c>
      <c r="E66" s="195">
        <v>316</v>
      </c>
      <c r="F66" s="176">
        <v>0</v>
      </c>
      <c r="G66" s="198">
        <v>319.99</v>
      </c>
      <c r="H66" s="177">
        <v>0</v>
      </c>
    </row>
    <row r="67" spans="1:8" x14ac:dyDescent="0.25">
      <c r="A67" s="189">
        <v>325</v>
      </c>
      <c r="B67" s="176">
        <v>0</v>
      </c>
      <c r="C67" s="192">
        <v>330</v>
      </c>
      <c r="D67" s="177">
        <v>0</v>
      </c>
      <c r="E67" s="195">
        <v>320</v>
      </c>
      <c r="F67" s="176">
        <v>0</v>
      </c>
      <c r="G67" s="198">
        <v>323.99</v>
      </c>
      <c r="H67" s="177">
        <v>0</v>
      </c>
    </row>
    <row r="68" spans="1:8" x14ac:dyDescent="0.25">
      <c r="A68" s="189">
        <v>330</v>
      </c>
      <c r="B68" s="176">
        <v>0</v>
      </c>
      <c r="C68" s="192">
        <v>335</v>
      </c>
      <c r="D68" s="177">
        <v>0</v>
      </c>
      <c r="E68" s="195">
        <v>324</v>
      </c>
      <c r="F68" s="176">
        <v>0</v>
      </c>
      <c r="G68" s="198">
        <v>327.99</v>
      </c>
      <c r="H68" s="177">
        <v>0</v>
      </c>
    </row>
    <row r="69" spans="1:8" x14ac:dyDescent="0.25">
      <c r="A69" s="189">
        <v>335</v>
      </c>
      <c r="B69" s="176">
        <v>0</v>
      </c>
      <c r="C69" s="192">
        <v>340</v>
      </c>
      <c r="D69" s="177">
        <v>0</v>
      </c>
      <c r="E69" s="195">
        <v>328</v>
      </c>
      <c r="F69" s="176">
        <v>0</v>
      </c>
      <c r="G69" s="198">
        <v>331.99</v>
      </c>
      <c r="H69" s="177">
        <v>0</v>
      </c>
    </row>
    <row r="70" spans="1:8" x14ac:dyDescent="0.25">
      <c r="A70" s="189">
        <v>340</v>
      </c>
      <c r="B70" s="176">
        <v>0</v>
      </c>
      <c r="C70" s="192">
        <v>345</v>
      </c>
      <c r="D70" s="177">
        <v>0</v>
      </c>
      <c r="E70" s="195">
        <v>332</v>
      </c>
      <c r="F70" s="176">
        <v>0</v>
      </c>
      <c r="G70" s="198">
        <v>335.99</v>
      </c>
      <c r="H70" s="177">
        <v>0</v>
      </c>
    </row>
    <row r="71" spans="1:8" x14ac:dyDescent="0.25">
      <c r="A71" s="189">
        <v>345</v>
      </c>
      <c r="B71" s="176">
        <v>0</v>
      </c>
      <c r="C71" s="192">
        <v>350</v>
      </c>
      <c r="D71" s="177">
        <v>0</v>
      </c>
      <c r="E71" s="195">
        <v>336</v>
      </c>
      <c r="F71" s="176">
        <v>0</v>
      </c>
      <c r="G71" s="198">
        <v>339.99</v>
      </c>
      <c r="H71" s="177">
        <v>0</v>
      </c>
    </row>
    <row r="72" spans="1:8" x14ac:dyDescent="0.25">
      <c r="A72" s="189">
        <v>350</v>
      </c>
      <c r="B72" s="176">
        <v>0</v>
      </c>
      <c r="C72" s="192">
        <v>355</v>
      </c>
      <c r="D72" s="177">
        <v>0</v>
      </c>
      <c r="E72" s="195">
        <v>340</v>
      </c>
      <c r="F72" s="176">
        <v>0</v>
      </c>
      <c r="G72" s="198">
        <v>343.99</v>
      </c>
      <c r="H72" s="177">
        <v>0</v>
      </c>
    </row>
    <row r="73" spans="1:8" x14ac:dyDescent="0.25">
      <c r="A73" s="189">
        <v>355</v>
      </c>
      <c r="B73" s="176">
        <v>0</v>
      </c>
      <c r="C73" s="192">
        <v>360</v>
      </c>
      <c r="D73" s="177">
        <v>0</v>
      </c>
      <c r="E73" s="195">
        <v>344</v>
      </c>
      <c r="F73" s="176">
        <v>0</v>
      </c>
      <c r="G73" s="198">
        <v>347.99</v>
      </c>
      <c r="H73" s="177">
        <v>0</v>
      </c>
    </row>
    <row r="74" spans="1:8" x14ac:dyDescent="0.25">
      <c r="A74" s="189">
        <v>360</v>
      </c>
      <c r="B74" s="176">
        <v>0</v>
      </c>
      <c r="C74" s="192">
        <v>365</v>
      </c>
      <c r="D74" s="177">
        <v>0</v>
      </c>
      <c r="E74" s="195">
        <v>348</v>
      </c>
      <c r="F74" s="176">
        <v>0</v>
      </c>
      <c r="G74" s="198">
        <v>351.99</v>
      </c>
      <c r="H74" s="177">
        <v>0</v>
      </c>
    </row>
    <row r="75" spans="1:8" x14ac:dyDescent="0.25">
      <c r="A75" s="189">
        <v>365</v>
      </c>
      <c r="B75" s="176">
        <v>0</v>
      </c>
      <c r="C75" s="192">
        <v>370</v>
      </c>
      <c r="D75" s="177">
        <v>0</v>
      </c>
      <c r="E75" s="195">
        <v>352</v>
      </c>
      <c r="F75" s="176">
        <v>0</v>
      </c>
      <c r="G75" s="198">
        <v>355.99</v>
      </c>
      <c r="H75" s="177">
        <v>0</v>
      </c>
    </row>
    <row r="76" spans="1:8" x14ac:dyDescent="0.25">
      <c r="A76" s="189">
        <v>370</v>
      </c>
      <c r="B76" s="176">
        <v>0</v>
      </c>
      <c r="C76" s="192">
        <v>375</v>
      </c>
      <c r="D76" s="177">
        <v>0</v>
      </c>
      <c r="E76" s="195">
        <v>356</v>
      </c>
      <c r="F76" s="176">
        <v>0</v>
      </c>
      <c r="G76" s="198">
        <v>359.99</v>
      </c>
      <c r="H76" s="177">
        <v>0</v>
      </c>
    </row>
    <row r="77" spans="1:8" x14ac:dyDescent="0.25">
      <c r="A77" s="189">
        <v>375</v>
      </c>
      <c r="B77" s="176">
        <v>0</v>
      </c>
      <c r="C77" s="192">
        <v>380</v>
      </c>
      <c r="D77" s="177">
        <v>0</v>
      </c>
      <c r="E77" s="195">
        <v>360</v>
      </c>
      <c r="F77" s="176">
        <v>0</v>
      </c>
      <c r="G77" s="198">
        <v>363.99</v>
      </c>
      <c r="H77" s="177">
        <v>0</v>
      </c>
    </row>
    <row r="78" spans="1:8" x14ac:dyDescent="0.25">
      <c r="A78" s="189">
        <v>380</v>
      </c>
      <c r="B78" s="176">
        <v>0</v>
      </c>
      <c r="C78" s="192">
        <v>385</v>
      </c>
      <c r="D78" s="177">
        <v>0</v>
      </c>
      <c r="E78" s="195">
        <v>364</v>
      </c>
      <c r="F78" s="176">
        <v>0</v>
      </c>
      <c r="G78" s="198">
        <v>367.99</v>
      </c>
      <c r="H78" s="177">
        <v>0</v>
      </c>
    </row>
    <row r="79" spans="1:8" x14ac:dyDescent="0.25">
      <c r="A79" s="189">
        <v>385</v>
      </c>
      <c r="B79" s="176">
        <v>0</v>
      </c>
      <c r="C79" s="192">
        <v>390</v>
      </c>
      <c r="D79" s="177">
        <v>0</v>
      </c>
      <c r="E79" s="195">
        <v>368</v>
      </c>
      <c r="F79" s="176">
        <v>0</v>
      </c>
      <c r="G79" s="198">
        <v>371.99</v>
      </c>
      <c r="H79" s="177">
        <v>0</v>
      </c>
    </row>
    <row r="80" spans="1:8" x14ac:dyDescent="0.25">
      <c r="A80" s="189">
        <v>390</v>
      </c>
      <c r="B80" s="176">
        <v>0</v>
      </c>
      <c r="C80" s="192">
        <v>395</v>
      </c>
      <c r="D80" s="177">
        <v>0</v>
      </c>
      <c r="E80" s="195">
        <v>372</v>
      </c>
      <c r="F80" s="176">
        <v>0</v>
      </c>
      <c r="G80" s="198">
        <v>375.99</v>
      </c>
      <c r="H80" s="177">
        <v>0</v>
      </c>
    </row>
    <row r="81" spans="1:8" x14ac:dyDescent="0.25">
      <c r="A81" s="189">
        <v>395</v>
      </c>
      <c r="B81" s="176">
        <v>0</v>
      </c>
      <c r="C81" s="192">
        <v>400</v>
      </c>
      <c r="D81" s="177">
        <v>0</v>
      </c>
      <c r="E81" s="195">
        <v>376</v>
      </c>
      <c r="F81" s="176">
        <v>0</v>
      </c>
      <c r="G81" s="198">
        <v>379.99</v>
      </c>
      <c r="H81" s="177">
        <v>0</v>
      </c>
    </row>
    <row r="82" spans="1:8" x14ac:dyDescent="0.25">
      <c r="A82" s="189">
        <v>400</v>
      </c>
      <c r="B82" s="176">
        <v>0</v>
      </c>
      <c r="C82" s="192">
        <v>405</v>
      </c>
      <c r="D82" s="177">
        <v>0</v>
      </c>
      <c r="E82" s="195">
        <v>380</v>
      </c>
      <c r="F82" s="176">
        <v>0</v>
      </c>
      <c r="G82" s="198">
        <v>383.99</v>
      </c>
      <c r="H82" s="177">
        <v>0</v>
      </c>
    </row>
    <row r="83" spans="1:8" x14ac:dyDescent="0.25">
      <c r="A83" s="189">
        <v>405</v>
      </c>
      <c r="B83" s="176">
        <v>0</v>
      </c>
      <c r="C83" s="192">
        <v>410</v>
      </c>
      <c r="D83" s="177">
        <v>0</v>
      </c>
      <c r="E83" s="195">
        <v>384</v>
      </c>
      <c r="F83" s="176">
        <v>0</v>
      </c>
      <c r="G83" s="198">
        <v>387.99</v>
      </c>
      <c r="H83" s="177">
        <v>0</v>
      </c>
    </row>
    <row r="84" spans="1:8" x14ac:dyDescent="0.25">
      <c r="A84" s="189">
        <v>410</v>
      </c>
      <c r="B84" s="176">
        <v>0</v>
      </c>
      <c r="C84" s="192">
        <v>415</v>
      </c>
      <c r="D84" s="177">
        <v>0</v>
      </c>
      <c r="E84" s="195">
        <v>388</v>
      </c>
      <c r="F84" s="176">
        <v>0</v>
      </c>
      <c r="G84" s="198">
        <v>391.99</v>
      </c>
      <c r="H84" s="177">
        <v>0</v>
      </c>
    </row>
    <row r="85" spans="1:8" x14ac:dyDescent="0.25">
      <c r="A85" s="189">
        <v>415</v>
      </c>
      <c r="B85" s="176">
        <v>0</v>
      </c>
      <c r="C85" s="192">
        <v>420</v>
      </c>
      <c r="D85" s="177">
        <v>0</v>
      </c>
      <c r="E85" s="195">
        <v>392</v>
      </c>
      <c r="F85" s="176">
        <v>0</v>
      </c>
      <c r="G85" s="198">
        <v>395.99</v>
      </c>
      <c r="H85" s="177">
        <v>0</v>
      </c>
    </row>
    <row r="86" spans="1:8" x14ac:dyDescent="0.25">
      <c r="A86" s="189">
        <v>420</v>
      </c>
      <c r="B86" s="176">
        <v>0</v>
      </c>
      <c r="C86" s="192">
        <v>425</v>
      </c>
      <c r="D86" s="177">
        <v>0</v>
      </c>
      <c r="E86" s="195">
        <v>396</v>
      </c>
      <c r="F86" s="176">
        <v>0</v>
      </c>
      <c r="G86" s="198">
        <v>399.99</v>
      </c>
      <c r="H86" s="177">
        <v>0</v>
      </c>
    </row>
    <row r="87" spans="1:8" x14ac:dyDescent="0.25">
      <c r="A87" s="189">
        <v>425</v>
      </c>
      <c r="B87" s="176">
        <v>0</v>
      </c>
      <c r="C87" s="192">
        <v>430</v>
      </c>
      <c r="D87" s="177">
        <v>0</v>
      </c>
      <c r="E87" s="195">
        <v>400</v>
      </c>
      <c r="F87" s="176">
        <v>0</v>
      </c>
      <c r="G87" s="198">
        <v>403.99</v>
      </c>
      <c r="H87" s="177">
        <v>0</v>
      </c>
    </row>
    <row r="88" spans="1:8" x14ac:dyDescent="0.25">
      <c r="A88" s="189">
        <v>430</v>
      </c>
      <c r="B88" s="176">
        <v>0</v>
      </c>
      <c r="C88" s="192">
        <v>435</v>
      </c>
      <c r="D88" s="177">
        <v>0</v>
      </c>
      <c r="E88" s="195">
        <v>404</v>
      </c>
      <c r="F88" s="176">
        <v>0</v>
      </c>
      <c r="G88" s="198">
        <v>407.99</v>
      </c>
      <c r="H88" s="177">
        <v>0</v>
      </c>
    </row>
    <row r="89" spans="1:8" x14ac:dyDescent="0.25">
      <c r="A89" s="189">
        <v>435</v>
      </c>
      <c r="B89" s="176">
        <v>0</v>
      </c>
      <c r="C89" s="192">
        <v>440</v>
      </c>
      <c r="D89" s="177">
        <v>0</v>
      </c>
      <c r="E89" s="195">
        <v>408</v>
      </c>
      <c r="F89" s="176">
        <v>0</v>
      </c>
      <c r="G89" s="198">
        <v>411.99</v>
      </c>
      <c r="H89" s="177">
        <v>0</v>
      </c>
    </row>
    <row r="90" spans="1:8" x14ac:dyDescent="0.25">
      <c r="A90" s="189">
        <v>440</v>
      </c>
      <c r="B90" s="176">
        <v>0</v>
      </c>
      <c r="C90" s="192">
        <v>445</v>
      </c>
      <c r="D90" s="177">
        <v>0</v>
      </c>
      <c r="E90" s="195">
        <v>412</v>
      </c>
      <c r="F90" s="176">
        <v>0</v>
      </c>
      <c r="G90" s="198">
        <v>415.99</v>
      </c>
      <c r="H90" s="177">
        <v>0</v>
      </c>
    </row>
    <row r="91" spans="1:8" x14ac:dyDescent="0.25">
      <c r="A91" s="189">
        <v>445</v>
      </c>
      <c r="B91" s="176">
        <v>0</v>
      </c>
      <c r="C91" s="192">
        <v>450</v>
      </c>
      <c r="D91" s="177">
        <v>0</v>
      </c>
      <c r="E91" s="195">
        <v>416</v>
      </c>
      <c r="F91" s="176">
        <v>0</v>
      </c>
      <c r="G91" s="198">
        <v>419.99</v>
      </c>
      <c r="H91" s="177">
        <v>0</v>
      </c>
    </row>
    <row r="92" spans="1:8" x14ac:dyDescent="0.25">
      <c r="A92" s="189">
        <v>450</v>
      </c>
      <c r="B92" s="176">
        <v>0</v>
      </c>
      <c r="C92" s="192">
        <v>455</v>
      </c>
      <c r="D92" s="177">
        <v>0</v>
      </c>
      <c r="E92" s="195">
        <v>420</v>
      </c>
      <c r="F92" s="176">
        <v>0</v>
      </c>
      <c r="G92" s="198">
        <v>423.99</v>
      </c>
      <c r="H92" s="177">
        <v>0</v>
      </c>
    </row>
    <row r="93" spans="1:8" x14ac:dyDescent="0.25">
      <c r="A93" s="189">
        <v>455</v>
      </c>
      <c r="B93" s="176">
        <v>0</v>
      </c>
      <c r="C93" s="192">
        <v>460</v>
      </c>
      <c r="D93" s="177">
        <v>0</v>
      </c>
      <c r="E93" s="195">
        <v>424</v>
      </c>
      <c r="F93" s="176">
        <v>0</v>
      </c>
      <c r="G93" s="198">
        <v>427.99</v>
      </c>
      <c r="H93" s="177">
        <v>0</v>
      </c>
    </row>
    <row r="94" spans="1:8" x14ac:dyDescent="0.25">
      <c r="A94" s="189">
        <v>460</v>
      </c>
      <c r="B94" s="176">
        <v>0</v>
      </c>
      <c r="C94" s="192">
        <v>465</v>
      </c>
      <c r="D94" s="177">
        <v>0</v>
      </c>
      <c r="E94" s="195">
        <v>428</v>
      </c>
      <c r="F94" s="176">
        <v>0</v>
      </c>
      <c r="G94" s="198">
        <v>431.99</v>
      </c>
      <c r="H94" s="177">
        <v>0</v>
      </c>
    </row>
    <row r="95" spans="1:8" x14ac:dyDescent="0.25">
      <c r="A95" s="189">
        <v>465</v>
      </c>
      <c r="B95" s="176">
        <v>0</v>
      </c>
      <c r="C95" s="192">
        <v>470</v>
      </c>
      <c r="D95" s="177">
        <v>0</v>
      </c>
      <c r="E95" s="195">
        <v>432</v>
      </c>
      <c r="F95" s="176">
        <v>0</v>
      </c>
      <c r="G95" s="198">
        <v>435.99</v>
      </c>
      <c r="H95" s="177">
        <v>0</v>
      </c>
    </row>
    <row r="96" spans="1:8" x14ac:dyDescent="0.25">
      <c r="A96" s="189">
        <v>470</v>
      </c>
      <c r="B96" s="176">
        <v>0</v>
      </c>
      <c r="C96" s="192">
        <v>475</v>
      </c>
      <c r="D96" s="177">
        <v>0</v>
      </c>
      <c r="E96" s="195">
        <v>436</v>
      </c>
      <c r="F96" s="176">
        <v>0</v>
      </c>
      <c r="G96" s="198">
        <v>439.99</v>
      </c>
      <c r="H96" s="177">
        <v>0</v>
      </c>
    </row>
    <row r="97" spans="1:8" x14ac:dyDescent="0.25">
      <c r="A97" s="189">
        <v>475</v>
      </c>
      <c r="B97" s="176">
        <v>0</v>
      </c>
      <c r="C97" s="192">
        <v>480</v>
      </c>
      <c r="D97" s="177">
        <v>0</v>
      </c>
      <c r="E97" s="195">
        <v>440</v>
      </c>
      <c r="F97" s="176">
        <v>0</v>
      </c>
      <c r="G97" s="198">
        <v>443.99</v>
      </c>
      <c r="H97" s="177">
        <v>0</v>
      </c>
    </row>
    <row r="98" spans="1:8" x14ac:dyDescent="0.25">
      <c r="A98" s="189">
        <v>480</v>
      </c>
      <c r="B98" s="176">
        <v>0</v>
      </c>
      <c r="C98" s="192">
        <v>485</v>
      </c>
      <c r="D98" s="177">
        <v>0</v>
      </c>
      <c r="E98" s="195">
        <v>444</v>
      </c>
      <c r="F98" s="176">
        <v>0</v>
      </c>
      <c r="G98" s="198">
        <v>447.99</v>
      </c>
      <c r="H98" s="177">
        <v>0</v>
      </c>
    </row>
    <row r="99" spans="1:8" x14ac:dyDescent="0.25">
      <c r="A99" s="189">
        <v>485</v>
      </c>
      <c r="B99" s="176">
        <v>0</v>
      </c>
      <c r="C99" s="192">
        <v>490</v>
      </c>
      <c r="D99" s="177">
        <v>0</v>
      </c>
      <c r="E99" s="195">
        <v>448</v>
      </c>
      <c r="F99" s="176">
        <v>0</v>
      </c>
      <c r="G99" s="198">
        <v>451.99</v>
      </c>
      <c r="H99" s="177">
        <v>0</v>
      </c>
    </row>
    <row r="100" spans="1:8" x14ac:dyDescent="0.25">
      <c r="A100" s="189">
        <v>490</v>
      </c>
      <c r="B100" s="176">
        <v>0</v>
      </c>
      <c r="C100" s="192">
        <v>495</v>
      </c>
      <c r="D100" s="177">
        <v>0</v>
      </c>
      <c r="E100" s="195">
        <v>452</v>
      </c>
      <c r="F100" s="176">
        <v>0</v>
      </c>
      <c r="G100" s="198">
        <v>455.99</v>
      </c>
      <c r="H100" s="177">
        <v>0</v>
      </c>
    </row>
    <row r="101" spans="1:8" x14ac:dyDescent="0.25">
      <c r="A101" s="189">
        <v>495</v>
      </c>
      <c r="B101" s="176">
        <v>0</v>
      </c>
      <c r="C101" s="192">
        <v>500</v>
      </c>
      <c r="D101" s="177">
        <v>0</v>
      </c>
      <c r="E101" s="195">
        <v>456</v>
      </c>
      <c r="F101" s="176">
        <v>0</v>
      </c>
      <c r="G101" s="198">
        <v>459.99</v>
      </c>
      <c r="H101" s="177">
        <v>0</v>
      </c>
    </row>
    <row r="102" spans="1:8" x14ac:dyDescent="0.25">
      <c r="A102" s="189">
        <v>500</v>
      </c>
      <c r="B102" s="176">
        <v>0</v>
      </c>
      <c r="C102" s="192">
        <v>505</v>
      </c>
      <c r="D102" s="177">
        <v>0</v>
      </c>
      <c r="E102" s="195">
        <v>460</v>
      </c>
      <c r="F102" s="176">
        <v>0</v>
      </c>
      <c r="G102" s="198">
        <v>469.99</v>
      </c>
      <c r="H102" s="177">
        <v>0</v>
      </c>
    </row>
    <row r="103" spans="1:8" x14ac:dyDescent="0.25">
      <c r="A103" s="189">
        <v>505</v>
      </c>
      <c r="B103" s="176">
        <v>0</v>
      </c>
      <c r="C103" s="192">
        <v>510</v>
      </c>
      <c r="D103" s="177">
        <v>0</v>
      </c>
      <c r="E103" s="195">
        <v>470</v>
      </c>
      <c r="F103" s="176">
        <v>0</v>
      </c>
      <c r="G103" s="198">
        <v>479.99</v>
      </c>
      <c r="H103" s="177">
        <v>0</v>
      </c>
    </row>
    <row r="104" spans="1:8" x14ac:dyDescent="0.25">
      <c r="A104" s="189">
        <v>510</v>
      </c>
      <c r="B104" s="176">
        <v>0</v>
      </c>
      <c r="C104" s="192">
        <v>515</v>
      </c>
      <c r="D104" s="177">
        <v>0</v>
      </c>
      <c r="E104" s="195">
        <v>480</v>
      </c>
      <c r="F104" s="176">
        <v>0</v>
      </c>
      <c r="G104" s="198">
        <v>489.99</v>
      </c>
      <c r="H104" s="177">
        <v>0</v>
      </c>
    </row>
    <row r="105" spans="1:8" x14ac:dyDescent="0.25">
      <c r="A105" s="189">
        <v>515</v>
      </c>
      <c r="B105" s="176">
        <v>0</v>
      </c>
      <c r="C105" s="192">
        <v>520</v>
      </c>
      <c r="D105" s="177">
        <v>0</v>
      </c>
      <c r="E105" s="195">
        <v>490</v>
      </c>
      <c r="F105" s="176">
        <v>0</v>
      </c>
      <c r="G105" s="198">
        <v>499.99</v>
      </c>
      <c r="H105" s="177">
        <v>0</v>
      </c>
    </row>
    <row r="106" spans="1:8" x14ac:dyDescent="0.25">
      <c r="A106" s="189">
        <v>520</v>
      </c>
      <c r="B106" s="176">
        <v>0</v>
      </c>
      <c r="C106" s="192">
        <v>525</v>
      </c>
      <c r="D106" s="177">
        <v>0</v>
      </c>
      <c r="E106" s="195">
        <v>500</v>
      </c>
      <c r="F106" s="176">
        <v>0</v>
      </c>
      <c r="G106" s="198">
        <v>509.99</v>
      </c>
      <c r="H106" s="177">
        <v>0</v>
      </c>
    </row>
    <row r="107" spans="1:8" x14ac:dyDescent="0.25">
      <c r="A107" s="189">
        <v>525</v>
      </c>
      <c r="B107" s="176">
        <v>0</v>
      </c>
      <c r="C107" s="192">
        <v>530</v>
      </c>
      <c r="D107" s="177">
        <v>0</v>
      </c>
      <c r="E107" s="195">
        <v>510</v>
      </c>
      <c r="F107" s="176">
        <v>0</v>
      </c>
      <c r="G107" s="198">
        <v>519.99</v>
      </c>
      <c r="H107" s="177">
        <v>0</v>
      </c>
    </row>
    <row r="108" spans="1:8" x14ac:dyDescent="0.25">
      <c r="A108" s="189">
        <v>530</v>
      </c>
      <c r="B108" s="176">
        <v>0</v>
      </c>
      <c r="C108" s="192">
        <v>535</v>
      </c>
      <c r="D108" s="177">
        <v>0</v>
      </c>
      <c r="E108" s="195">
        <v>520</v>
      </c>
      <c r="F108" s="176">
        <v>0</v>
      </c>
      <c r="G108" s="198">
        <v>529.99</v>
      </c>
      <c r="H108" s="177">
        <v>0</v>
      </c>
    </row>
    <row r="109" spans="1:8" x14ac:dyDescent="0.25">
      <c r="A109" s="189">
        <v>535</v>
      </c>
      <c r="B109" s="176">
        <v>0</v>
      </c>
      <c r="C109" s="192">
        <v>540</v>
      </c>
      <c r="D109" s="176">
        <v>0</v>
      </c>
      <c r="E109" s="195">
        <v>530</v>
      </c>
      <c r="F109" s="176">
        <v>0</v>
      </c>
      <c r="G109" s="198">
        <v>539.99</v>
      </c>
      <c r="H109" s="177">
        <v>0</v>
      </c>
    </row>
    <row r="110" spans="1:8" x14ac:dyDescent="0.25">
      <c r="A110" s="189">
        <v>545</v>
      </c>
      <c r="B110" s="176">
        <v>0.3</v>
      </c>
      <c r="C110" s="192">
        <v>550</v>
      </c>
      <c r="D110" s="176">
        <v>0.3</v>
      </c>
      <c r="E110" s="195">
        <v>540</v>
      </c>
      <c r="F110" s="176">
        <v>0</v>
      </c>
      <c r="G110" s="198">
        <v>549.99</v>
      </c>
      <c r="H110" s="177">
        <v>0</v>
      </c>
    </row>
    <row r="111" spans="1:8" x14ac:dyDescent="0.25">
      <c r="A111" s="189">
        <v>550</v>
      </c>
      <c r="B111" s="176">
        <v>0</v>
      </c>
      <c r="C111" s="192">
        <v>555</v>
      </c>
      <c r="D111" s="176">
        <v>0</v>
      </c>
      <c r="E111" s="195">
        <v>550</v>
      </c>
      <c r="F111" s="176">
        <v>0</v>
      </c>
      <c r="G111" s="198">
        <v>559.99</v>
      </c>
      <c r="H111" s="177">
        <v>0</v>
      </c>
    </row>
    <row r="112" spans="1:8" x14ac:dyDescent="0.25">
      <c r="A112" s="189">
        <v>555</v>
      </c>
      <c r="B112" s="176">
        <v>0.35</v>
      </c>
      <c r="C112" s="192">
        <v>559</v>
      </c>
      <c r="D112" s="176">
        <v>0.35</v>
      </c>
      <c r="E112" s="195">
        <v>560</v>
      </c>
      <c r="F112" s="176">
        <v>0</v>
      </c>
      <c r="G112" s="198">
        <v>569.99</v>
      </c>
      <c r="H112" s="177">
        <v>0</v>
      </c>
    </row>
    <row r="113" spans="1:8" x14ac:dyDescent="0.25">
      <c r="A113" s="189">
        <v>559</v>
      </c>
      <c r="B113" s="176">
        <v>0.8</v>
      </c>
      <c r="C113" s="192">
        <v>563</v>
      </c>
      <c r="D113" s="176">
        <v>0.8</v>
      </c>
      <c r="E113" s="195">
        <v>570</v>
      </c>
      <c r="F113" s="176">
        <v>0</v>
      </c>
      <c r="G113" s="198">
        <v>579.99</v>
      </c>
      <c r="H113" s="177">
        <v>0</v>
      </c>
    </row>
    <row r="114" spans="1:8" x14ac:dyDescent="0.25">
      <c r="A114" s="189">
        <v>563</v>
      </c>
      <c r="B114" s="176">
        <v>1.25</v>
      </c>
      <c r="C114" s="192">
        <v>567</v>
      </c>
      <c r="D114" s="176">
        <v>1.25</v>
      </c>
      <c r="E114" s="195">
        <v>580</v>
      </c>
      <c r="F114" s="176">
        <v>0</v>
      </c>
      <c r="G114" s="198">
        <v>589.99</v>
      </c>
      <c r="H114" s="177">
        <v>0</v>
      </c>
    </row>
    <row r="115" spans="1:8" x14ac:dyDescent="0.25">
      <c r="A115" s="189">
        <v>567</v>
      </c>
      <c r="B115" s="176">
        <v>1.7</v>
      </c>
      <c r="C115" s="192">
        <v>571</v>
      </c>
      <c r="D115" s="176">
        <v>1.7</v>
      </c>
      <c r="E115" s="195">
        <v>590</v>
      </c>
      <c r="F115" s="176">
        <v>0</v>
      </c>
      <c r="G115" s="198">
        <v>599.99</v>
      </c>
      <c r="H115" s="177">
        <v>0</v>
      </c>
    </row>
    <row r="116" spans="1:8" x14ac:dyDescent="0.25">
      <c r="A116" s="189">
        <v>571</v>
      </c>
      <c r="B116" s="176">
        <v>2.2000000000000002</v>
      </c>
      <c r="C116" s="192">
        <v>575</v>
      </c>
      <c r="D116" s="176">
        <v>2.2000000000000002</v>
      </c>
      <c r="E116" s="195">
        <v>600</v>
      </c>
      <c r="F116" s="176">
        <v>0</v>
      </c>
      <c r="G116" s="198">
        <v>609.99</v>
      </c>
      <c r="H116" s="177">
        <v>0</v>
      </c>
    </row>
    <row r="117" spans="1:8" x14ac:dyDescent="0.25">
      <c r="A117" s="189">
        <v>575</v>
      </c>
      <c r="B117" s="176">
        <v>2.65</v>
      </c>
      <c r="C117" s="192">
        <v>579</v>
      </c>
      <c r="D117" s="176">
        <v>2.65</v>
      </c>
      <c r="E117" s="195">
        <v>610</v>
      </c>
      <c r="F117" s="176">
        <v>0</v>
      </c>
      <c r="G117" s="198">
        <v>619.99</v>
      </c>
      <c r="H117" s="177">
        <v>0</v>
      </c>
    </row>
    <row r="118" spans="1:8" x14ac:dyDescent="0.25">
      <c r="A118" s="189">
        <v>579</v>
      </c>
      <c r="B118" s="176">
        <v>3.1</v>
      </c>
      <c r="C118" s="192">
        <v>583</v>
      </c>
      <c r="D118" s="176">
        <v>3.1</v>
      </c>
      <c r="E118" s="195">
        <v>620</v>
      </c>
      <c r="F118" s="176">
        <v>0</v>
      </c>
      <c r="G118" s="198">
        <v>629.99</v>
      </c>
      <c r="H118" s="177">
        <v>0</v>
      </c>
    </row>
    <row r="119" spans="1:8" x14ac:dyDescent="0.25">
      <c r="A119" s="189">
        <v>583</v>
      </c>
      <c r="B119" s="176">
        <v>3.55</v>
      </c>
      <c r="C119" s="192">
        <v>587</v>
      </c>
      <c r="D119" s="176">
        <v>3.55</v>
      </c>
      <c r="E119" s="195">
        <v>630</v>
      </c>
      <c r="F119" s="176">
        <v>0</v>
      </c>
      <c r="G119" s="198">
        <v>639.99</v>
      </c>
      <c r="H119" s="177">
        <v>0</v>
      </c>
    </row>
    <row r="120" spans="1:8" x14ac:dyDescent="0.25">
      <c r="A120" s="189">
        <v>587</v>
      </c>
      <c r="B120" s="176">
        <v>4.05</v>
      </c>
      <c r="C120" s="192">
        <v>591</v>
      </c>
      <c r="D120" s="176">
        <v>4.05</v>
      </c>
      <c r="E120" s="195">
        <v>640</v>
      </c>
      <c r="F120" s="176">
        <v>1.34</v>
      </c>
      <c r="G120" s="198">
        <v>649.99</v>
      </c>
      <c r="H120" s="177">
        <v>1.34</v>
      </c>
    </row>
    <row r="121" spans="1:8" x14ac:dyDescent="0.25">
      <c r="A121" s="189">
        <v>591</v>
      </c>
      <c r="B121" s="176">
        <v>4.5</v>
      </c>
      <c r="C121" s="192">
        <v>595</v>
      </c>
      <c r="D121" s="176">
        <v>4.5</v>
      </c>
      <c r="E121" s="195">
        <v>650</v>
      </c>
      <c r="F121" s="176">
        <v>2.75</v>
      </c>
      <c r="G121" s="198">
        <v>659.99</v>
      </c>
      <c r="H121" s="177">
        <v>2.75</v>
      </c>
    </row>
    <row r="122" spans="1:8" x14ac:dyDescent="0.25">
      <c r="A122" s="189">
        <v>595</v>
      </c>
      <c r="B122" s="176">
        <v>4.95</v>
      </c>
      <c r="C122" s="192">
        <v>599</v>
      </c>
      <c r="D122" s="176">
        <v>4.95</v>
      </c>
      <c r="E122" s="195">
        <v>660</v>
      </c>
      <c r="F122" s="176">
        <v>4.16</v>
      </c>
      <c r="G122" s="198">
        <v>669.99</v>
      </c>
      <c r="H122" s="177">
        <v>4.16</v>
      </c>
    </row>
    <row r="123" spans="1:8" x14ac:dyDescent="0.25">
      <c r="A123" s="189">
        <v>599</v>
      </c>
      <c r="B123" s="176">
        <v>5.45</v>
      </c>
      <c r="C123" s="192">
        <v>603</v>
      </c>
      <c r="D123" s="176">
        <v>5.45</v>
      </c>
      <c r="E123" s="195">
        <v>670</v>
      </c>
      <c r="F123" s="176">
        <v>5.57</v>
      </c>
      <c r="G123" s="198">
        <v>679.99</v>
      </c>
      <c r="H123" s="177">
        <v>5.57</v>
      </c>
    </row>
    <row r="124" spans="1:8" x14ac:dyDescent="0.25">
      <c r="A124" s="189">
        <v>603</v>
      </c>
      <c r="B124" s="176">
        <v>5.9</v>
      </c>
      <c r="C124" s="192">
        <v>607</v>
      </c>
      <c r="D124" s="176">
        <v>5.9</v>
      </c>
      <c r="E124" s="195">
        <v>680</v>
      </c>
      <c r="F124" s="176">
        <v>6.98</v>
      </c>
      <c r="G124" s="198">
        <v>689.99</v>
      </c>
      <c r="H124" s="177">
        <v>6.98</v>
      </c>
    </row>
    <row r="125" spans="1:8" x14ac:dyDescent="0.25">
      <c r="A125" s="189">
        <v>607</v>
      </c>
      <c r="B125" s="176">
        <v>6.35</v>
      </c>
      <c r="C125" s="192">
        <v>611</v>
      </c>
      <c r="D125" s="176">
        <v>6.35</v>
      </c>
      <c r="E125" s="195">
        <v>690</v>
      </c>
      <c r="F125" s="176">
        <v>8.39</v>
      </c>
      <c r="G125" s="198">
        <v>699.99</v>
      </c>
      <c r="H125" s="177">
        <v>8.39</v>
      </c>
    </row>
    <row r="126" spans="1:8" x14ac:dyDescent="0.25">
      <c r="A126" s="189">
        <v>611</v>
      </c>
      <c r="B126" s="176">
        <v>6.8</v>
      </c>
      <c r="C126" s="192">
        <v>615</v>
      </c>
      <c r="D126" s="176">
        <v>6.8</v>
      </c>
      <c r="E126" s="195">
        <v>700</v>
      </c>
      <c r="F126" s="176">
        <v>9.8000000000000007</v>
      </c>
      <c r="G126" s="198">
        <v>709.99</v>
      </c>
      <c r="H126" s="177">
        <v>9.8000000000000007</v>
      </c>
    </row>
    <row r="127" spans="1:8" x14ac:dyDescent="0.25">
      <c r="A127" s="189">
        <v>615</v>
      </c>
      <c r="B127" s="176">
        <v>7.3</v>
      </c>
      <c r="C127" s="192">
        <v>619</v>
      </c>
      <c r="D127" s="176">
        <v>7.3</v>
      </c>
      <c r="E127" s="195">
        <v>710</v>
      </c>
      <c r="F127" s="176">
        <v>11.21</v>
      </c>
      <c r="G127" s="198">
        <v>719.99</v>
      </c>
      <c r="H127" s="177">
        <v>11.21</v>
      </c>
    </row>
    <row r="128" spans="1:8" x14ac:dyDescent="0.25">
      <c r="A128" s="189">
        <v>619</v>
      </c>
      <c r="B128" s="176">
        <v>7.75</v>
      </c>
      <c r="C128" s="192">
        <v>623</v>
      </c>
      <c r="D128" s="176">
        <v>7.75</v>
      </c>
      <c r="E128" s="195">
        <v>720</v>
      </c>
      <c r="F128" s="176">
        <v>12.62</v>
      </c>
      <c r="G128" s="198">
        <v>729.99</v>
      </c>
      <c r="H128" s="177">
        <v>12.62</v>
      </c>
    </row>
    <row r="129" spans="1:8" x14ac:dyDescent="0.25">
      <c r="A129" s="189">
        <v>623</v>
      </c>
      <c r="B129" s="176">
        <v>8.1999999999999993</v>
      </c>
      <c r="C129" s="192">
        <v>627</v>
      </c>
      <c r="D129" s="176">
        <v>8.1999999999999993</v>
      </c>
      <c r="E129" s="195">
        <v>730</v>
      </c>
      <c r="F129" s="176">
        <v>14.03</v>
      </c>
      <c r="G129" s="198">
        <v>739.99</v>
      </c>
      <c r="H129" s="177">
        <v>14.03</v>
      </c>
    </row>
    <row r="130" spans="1:8" x14ac:dyDescent="0.25">
      <c r="A130" s="189">
        <v>627</v>
      </c>
      <c r="B130" s="176">
        <v>8.6999999999999993</v>
      </c>
      <c r="C130" s="192">
        <v>631</v>
      </c>
      <c r="D130" s="176">
        <v>8.6999999999999993</v>
      </c>
      <c r="E130" s="195">
        <v>740</v>
      </c>
      <c r="F130" s="176">
        <v>15.44</v>
      </c>
      <c r="G130" s="198">
        <v>749.99</v>
      </c>
      <c r="H130" s="177">
        <v>15.44</v>
      </c>
    </row>
    <row r="131" spans="1:8" x14ac:dyDescent="0.25">
      <c r="A131" s="189">
        <v>631</v>
      </c>
      <c r="B131" s="176">
        <v>9.15</v>
      </c>
      <c r="C131" s="192">
        <v>635</v>
      </c>
      <c r="D131" s="176">
        <v>9.15</v>
      </c>
      <c r="E131" s="195">
        <v>750</v>
      </c>
      <c r="F131" s="176">
        <v>16.850000000000001</v>
      </c>
      <c r="G131" s="198">
        <v>759.99</v>
      </c>
      <c r="H131" s="177">
        <v>16.850000000000001</v>
      </c>
    </row>
    <row r="132" spans="1:8" x14ac:dyDescent="0.25">
      <c r="A132" s="189">
        <v>635</v>
      </c>
      <c r="B132" s="176">
        <v>9.6</v>
      </c>
      <c r="C132" s="192">
        <v>639</v>
      </c>
      <c r="D132" s="176">
        <v>9.6</v>
      </c>
      <c r="E132" s="195">
        <v>760</v>
      </c>
      <c r="F132" s="176">
        <v>18.28</v>
      </c>
      <c r="G132" s="198">
        <v>769.99</v>
      </c>
      <c r="H132" s="177">
        <v>18.28</v>
      </c>
    </row>
    <row r="133" spans="1:8" x14ac:dyDescent="0.25">
      <c r="A133" s="189">
        <v>639</v>
      </c>
      <c r="B133" s="176">
        <v>10.050000000000001</v>
      </c>
      <c r="C133" s="192">
        <v>643</v>
      </c>
      <c r="D133" s="176">
        <v>10.050000000000001</v>
      </c>
      <c r="E133" s="195">
        <v>770</v>
      </c>
      <c r="F133" s="176">
        <v>19.78</v>
      </c>
      <c r="G133" s="198">
        <v>779.99</v>
      </c>
      <c r="H133" s="177">
        <v>19.78</v>
      </c>
    </row>
    <row r="134" spans="1:8" x14ac:dyDescent="0.25">
      <c r="A134" s="189">
        <v>643</v>
      </c>
      <c r="B134" s="176">
        <v>10.55</v>
      </c>
      <c r="C134" s="192">
        <v>647</v>
      </c>
      <c r="D134" s="176">
        <v>10.55</v>
      </c>
      <c r="E134" s="195">
        <v>780</v>
      </c>
      <c r="F134" s="176">
        <v>21.28</v>
      </c>
      <c r="G134" s="198">
        <v>789.99</v>
      </c>
      <c r="H134" s="177">
        <v>21.28</v>
      </c>
    </row>
    <row r="135" spans="1:8" x14ac:dyDescent="0.25">
      <c r="A135" s="189">
        <v>647</v>
      </c>
      <c r="B135" s="176">
        <v>11</v>
      </c>
      <c r="C135" s="192">
        <v>651</v>
      </c>
      <c r="D135" s="176">
        <v>11</v>
      </c>
      <c r="E135" s="195">
        <v>790</v>
      </c>
      <c r="F135" s="176">
        <v>22.78</v>
      </c>
      <c r="G135" s="198">
        <v>799.99</v>
      </c>
      <c r="H135" s="177">
        <v>22.78</v>
      </c>
    </row>
    <row r="136" spans="1:8" x14ac:dyDescent="0.25">
      <c r="A136" s="189">
        <v>651</v>
      </c>
      <c r="B136" s="176">
        <v>11.45</v>
      </c>
      <c r="C136" s="192">
        <v>655</v>
      </c>
      <c r="D136" s="176">
        <v>11.45</v>
      </c>
      <c r="E136" s="195">
        <v>800</v>
      </c>
      <c r="F136" s="176">
        <v>24.28</v>
      </c>
      <c r="G136" s="198">
        <v>809.99</v>
      </c>
      <c r="H136" s="177">
        <v>24.28</v>
      </c>
    </row>
    <row r="137" spans="1:8" x14ac:dyDescent="0.25">
      <c r="A137" s="189">
        <v>655</v>
      </c>
      <c r="B137" s="176">
        <v>11.9</v>
      </c>
      <c r="C137" s="192">
        <v>659</v>
      </c>
      <c r="D137" s="176">
        <v>11.9</v>
      </c>
      <c r="E137" s="195">
        <v>810</v>
      </c>
      <c r="F137" s="176">
        <v>25.78</v>
      </c>
      <c r="G137" s="198">
        <v>819.99</v>
      </c>
      <c r="H137" s="177">
        <v>25.78</v>
      </c>
    </row>
    <row r="138" spans="1:8" x14ac:dyDescent="0.25">
      <c r="A138" s="189">
        <v>659</v>
      </c>
      <c r="B138" s="176">
        <v>12.4</v>
      </c>
      <c r="C138" s="192">
        <v>663</v>
      </c>
      <c r="D138" s="176">
        <v>12.4</v>
      </c>
      <c r="E138" s="195">
        <v>820</v>
      </c>
      <c r="F138" s="176">
        <v>27.28</v>
      </c>
      <c r="G138" s="198">
        <v>829.99</v>
      </c>
      <c r="H138" s="177">
        <v>27.28</v>
      </c>
    </row>
    <row r="139" spans="1:8" x14ac:dyDescent="0.25">
      <c r="A139" s="189">
        <v>663</v>
      </c>
      <c r="B139" s="176">
        <v>12.85</v>
      </c>
      <c r="C139" s="192">
        <v>667</v>
      </c>
      <c r="D139" s="176">
        <v>12.85</v>
      </c>
      <c r="E139" s="195">
        <v>830</v>
      </c>
      <c r="F139" s="176">
        <v>28.78</v>
      </c>
      <c r="G139" s="198">
        <v>839.99</v>
      </c>
      <c r="H139" s="177">
        <v>28.78</v>
      </c>
    </row>
    <row r="140" spans="1:8" x14ac:dyDescent="0.25">
      <c r="A140" s="189">
        <v>667</v>
      </c>
      <c r="B140" s="176">
        <v>13.3</v>
      </c>
      <c r="C140" s="192">
        <v>671</v>
      </c>
      <c r="D140" s="176">
        <v>13.3</v>
      </c>
      <c r="E140" s="195">
        <v>840</v>
      </c>
      <c r="F140" s="176">
        <v>30.28</v>
      </c>
      <c r="G140" s="198">
        <v>849.99</v>
      </c>
      <c r="H140" s="177">
        <v>30.28</v>
      </c>
    </row>
    <row r="141" spans="1:8" x14ac:dyDescent="0.25">
      <c r="A141" s="189">
        <v>671</v>
      </c>
      <c r="B141" s="176">
        <v>13.8</v>
      </c>
      <c r="C141" s="192">
        <v>675</v>
      </c>
      <c r="D141" s="176">
        <v>13.8</v>
      </c>
      <c r="E141" s="195">
        <v>850</v>
      </c>
      <c r="F141" s="176">
        <v>31.78</v>
      </c>
      <c r="G141" s="198">
        <v>859.99</v>
      </c>
      <c r="H141" s="177">
        <v>31.78</v>
      </c>
    </row>
    <row r="142" spans="1:8" x14ac:dyDescent="0.25">
      <c r="A142" s="189">
        <v>675</v>
      </c>
      <c r="B142" s="176">
        <v>14.25</v>
      </c>
      <c r="C142" s="192">
        <v>679</v>
      </c>
      <c r="D142" s="176">
        <v>14.25</v>
      </c>
      <c r="E142" s="195">
        <v>860</v>
      </c>
      <c r="F142" s="176">
        <v>34.03</v>
      </c>
      <c r="G142" s="198">
        <v>879.99</v>
      </c>
      <c r="H142" s="177">
        <v>34.03</v>
      </c>
    </row>
    <row r="143" spans="1:8" x14ac:dyDescent="0.25">
      <c r="A143" s="189">
        <v>679</v>
      </c>
      <c r="B143" s="176">
        <v>14.7</v>
      </c>
      <c r="C143" s="192">
        <v>683</v>
      </c>
      <c r="D143" s="176">
        <v>14.7</v>
      </c>
      <c r="E143" s="195">
        <v>880</v>
      </c>
      <c r="F143" s="176">
        <v>37.03</v>
      </c>
      <c r="G143" s="198">
        <v>899.99</v>
      </c>
      <c r="H143" s="177">
        <v>37.03</v>
      </c>
    </row>
    <row r="144" spans="1:8" x14ac:dyDescent="0.25">
      <c r="A144" s="189">
        <v>683</v>
      </c>
      <c r="B144" s="176">
        <v>15.15</v>
      </c>
      <c r="C144" s="192">
        <v>687</v>
      </c>
      <c r="D144" s="176">
        <v>15.15</v>
      </c>
      <c r="E144" s="195">
        <v>900</v>
      </c>
      <c r="F144" s="176">
        <v>40.03</v>
      </c>
      <c r="G144" s="198">
        <v>919.99</v>
      </c>
      <c r="H144" s="177">
        <v>40.03</v>
      </c>
    </row>
    <row r="145" spans="1:8" x14ac:dyDescent="0.25">
      <c r="A145" s="189">
        <v>687</v>
      </c>
      <c r="B145" s="176">
        <v>15.65</v>
      </c>
      <c r="C145" s="192">
        <v>691</v>
      </c>
      <c r="D145" s="176">
        <v>15.65</v>
      </c>
      <c r="E145" s="195">
        <v>920</v>
      </c>
      <c r="F145" s="176">
        <v>43.03</v>
      </c>
      <c r="G145" s="198">
        <v>939.99</v>
      </c>
      <c r="H145" s="177">
        <v>43.03</v>
      </c>
    </row>
    <row r="146" spans="1:8" x14ac:dyDescent="0.25">
      <c r="A146" s="189">
        <v>691</v>
      </c>
      <c r="B146" s="176">
        <v>16.100000000000001</v>
      </c>
      <c r="C146" s="192">
        <v>695</v>
      </c>
      <c r="D146" s="176">
        <v>16.100000000000001</v>
      </c>
      <c r="E146" s="195">
        <v>940</v>
      </c>
      <c r="F146" s="176">
        <v>46.03</v>
      </c>
      <c r="G146" s="198">
        <v>959.99</v>
      </c>
      <c r="H146" s="177">
        <v>46.03</v>
      </c>
    </row>
    <row r="147" spans="1:8" x14ac:dyDescent="0.25">
      <c r="A147" s="189">
        <v>695</v>
      </c>
      <c r="B147" s="176">
        <v>16.55</v>
      </c>
      <c r="C147" s="192">
        <v>699</v>
      </c>
      <c r="D147" s="176">
        <v>16.55</v>
      </c>
      <c r="E147" s="195">
        <v>960</v>
      </c>
      <c r="F147" s="176">
        <v>49.03</v>
      </c>
      <c r="G147" s="198">
        <v>979.99</v>
      </c>
      <c r="H147" s="177">
        <v>49.03</v>
      </c>
    </row>
    <row r="148" spans="1:8" x14ac:dyDescent="0.25">
      <c r="A148" s="189">
        <v>699</v>
      </c>
      <c r="B148" s="176">
        <v>17.05</v>
      </c>
      <c r="C148" s="192">
        <v>703</v>
      </c>
      <c r="D148" s="176">
        <v>17.05</v>
      </c>
      <c r="E148" s="195">
        <v>980</v>
      </c>
      <c r="F148" s="176">
        <v>52.03</v>
      </c>
      <c r="G148" s="198">
        <v>999.99</v>
      </c>
      <c r="H148" s="177">
        <v>52.03</v>
      </c>
    </row>
    <row r="149" spans="1:8" x14ac:dyDescent="0.25">
      <c r="A149" s="189">
        <v>703</v>
      </c>
      <c r="B149" s="176">
        <v>17.5</v>
      </c>
      <c r="C149" s="192">
        <v>707</v>
      </c>
      <c r="D149" s="176">
        <v>17.5</v>
      </c>
      <c r="E149" s="195">
        <v>1000</v>
      </c>
      <c r="F149" s="176">
        <v>55.03</v>
      </c>
      <c r="G149" s="198">
        <v>1019.99</v>
      </c>
      <c r="H149" s="177">
        <v>55.03</v>
      </c>
    </row>
    <row r="150" spans="1:8" x14ac:dyDescent="0.25">
      <c r="A150" s="189">
        <v>707</v>
      </c>
      <c r="B150" s="176">
        <v>17.95</v>
      </c>
      <c r="C150" s="192">
        <v>711</v>
      </c>
      <c r="D150" s="176">
        <v>17.95</v>
      </c>
      <c r="E150" s="195">
        <v>1020</v>
      </c>
      <c r="F150" s="176">
        <v>58.03</v>
      </c>
      <c r="G150" s="198">
        <v>1039.99</v>
      </c>
      <c r="H150" s="177">
        <v>58.03</v>
      </c>
    </row>
    <row r="151" spans="1:8" x14ac:dyDescent="0.25">
      <c r="A151" s="189">
        <v>711</v>
      </c>
      <c r="B151" s="176">
        <v>18.399999999999999</v>
      </c>
      <c r="C151" s="192">
        <v>715</v>
      </c>
      <c r="D151" s="176">
        <v>18.399999999999999</v>
      </c>
      <c r="E151" s="195">
        <v>1040</v>
      </c>
      <c r="F151" s="176">
        <v>61.03</v>
      </c>
      <c r="G151" s="198">
        <v>1059.99</v>
      </c>
      <c r="H151" s="177">
        <v>61.03</v>
      </c>
    </row>
    <row r="152" spans="1:8" x14ac:dyDescent="0.25">
      <c r="A152" s="189">
        <v>715</v>
      </c>
      <c r="B152" s="176">
        <v>18.899999999999999</v>
      </c>
      <c r="C152" s="192">
        <v>719</v>
      </c>
      <c r="D152" s="176">
        <v>18.899999999999999</v>
      </c>
      <c r="E152" s="195">
        <v>1060</v>
      </c>
      <c r="F152" s="176">
        <v>64.03</v>
      </c>
      <c r="G152" s="198">
        <v>1079.99</v>
      </c>
      <c r="H152" s="177">
        <v>64.03</v>
      </c>
    </row>
    <row r="153" spans="1:8" x14ac:dyDescent="0.25">
      <c r="A153" s="189">
        <v>719</v>
      </c>
      <c r="B153" s="176">
        <v>19.350000000000001</v>
      </c>
      <c r="C153" s="192">
        <v>723</v>
      </c>
      <c r="D153" s="176">
        <v>19.350000000000001</v>
      </c>
      <c r="E153" s="195">
        <v>1080</v>
      </c>
      <c r="F153" s="176">
        <v>67.03</v>
      </c>
      <c r="G153" s="198">
        <v>1099.99</v>
      </c>
      <c r="H153" s="177">
        <v>67.03</v>
      </c>
    </row>
    <row r="154" spans="1:8" x14ac:dyDescent="0.25">
      <c r="A154" s="189">
        <v>723</v>
      </c>
      <c r="B154" s="176">
        <v>19.8</v>
      </c>
      <c r="C154" s="192">
        <v>727</v>
      </c>
      <c r="D154" s="176">
        <v>19.8</v>
      </c>
      <c r="E154" s="195">
        <v>1100</v>
      </c>
      <c r="F154" s="176">
        <v>70.03</v>
      </c>
      <c r="G154" s="198">
        <v>1119.99</v>
      </c>
      <c r="H154" s="177">
        <v>70.03</v>
      </c>
    </row>
    <row r="155" spans="1:8" x14ac:dyDescent="0.25">
      <c r="A155" s="189">
        <v>727</v>
      </c>
      <c r="B155" s="176">
        <v>20.3</v>
      </c>
      <c r="C155" s="192">
        <v>731</v>
      </c>
      <c r="D155" s="176">
        <v>20.3</v>
      </c>
      <c r="E155" s="195">
        <v>1120</v>
      </c>
      <c r="F155" s="176">
        <v>73.03</v>
      </c>
      <c r="G155" s="198">
        <v>1139.99</v>
      </c>
      <c r="H155" s="177">
        <v>73.03</v>
      </c>
    </row>
    <row r="156" spans="1:8" x14ac:dyDescent="0.25">
      <c r="A156" s="189">
        <v>731</v>
      </c>
      <c r="B156" s="176">
        <v>20.75</v>
      </c>
      <c r="C156" s="192">
        <v>735</v>
      </c>
      <c r="D156" s="176">
        <v>20.75</v>
      </c>
      <c r="E156" s="195">
        <v>1140</v>
      </c>
      <c r="F156" s="176">
        <v>76.03</v>
      </c>
      <c r="G156" s="198">
        <v>1159.99</v>
      </c>
      <c r="H156" s="177">
        <v>76.03</v>
      </c>
    </row>
    <row r="157" spans="1:8" x14ac:dyDescent="0.25">
      <c r="A157" s="189">
        <v>735</v>
      </c>
      <c r="B157" s="176">
        <v>21.2</v>
      </c>
      <c r="C157" s="192">
        <v>739</v>
      </c>
      <c r="D157" s="176">
        <v>21.2</v>
      </c>
      <c r="E157" s="195">
        <v>1160</v>
      </c>
      <c r="F157" s="176">
        <v>79.03</v>
      </c>
      <c r="G157" s="198">
        <v>1179.99</v>
      </c>
      <c r="H157" s="177">
        <v>79.03</v>
      </c>
    </row>
    <row r="158" spans="1:8" x14ac:dyDescent="0.25">
      <c r="A158" s="189">
        <v>739</v>
      </c>
      <c r="B158" s="176">
        <v>21.65</v>
      </c>
      <c r="C158" s="192">
        <v>743</v>
      </c>
      <c r="D158" s="176">
        <v>21.65</v>
      </c>
      <c r="E158" s="195">
        <v>1180</v>
      </c>
      <c r="F158" s="176">
        <v>82.03</v>
      </c>
      <c r="G158" s="198">
        <v>1199.99</v>
      </c>
      <c r="H158" s="177">
        <v>82.03</v>
      </c>
    </row>
    <row r="159" spans="1:8" x14ac:dyDescent="0.25">
      <c r="A159" s="189">
        <v>743</v>
      </c>
      <c r="B159" s="176">
        <v>22.15</v>
      </c>
      <c r="C159" s="192">
        <v>747</v>
      </c>
      <c r="D159" s="176">
        <v>22.15</v>
      </c>
      <c r="E159" s="195">
        <v>1200</v>
      </c>
      <c r="F159" s="176">
        <v>85.03</v>
      </c>
      <c r="G159" s="198">
        <v>1219.99</v>
      </c>
      <c r="H159" s="177">
        <v>85.03</v>
      </c>
    </row>
    <row r="160" spans="1:8" x14ac:dyDescent="0.25">
      <c r="A160" s="189">
        <v>747</v>
      </c>
      <c r="B160" s="176">
        <v>22.6</v>
      </c>
      <c r="C160" s="192">
        <v>751</v>
      </c>
      <c r="D160" s="176">
        <v>22.6</v>
      </c>
      <c r="E160" s="195">
        <v>1220</v>
      </c>
      <c r="F160" s="176">
        <v>88.03</v>
      </c>
      <c r="G160" s="198">
        <v>1239.99</v>
      </c>
      <c r="H160" s="177">
        <v>88.03</v>
      </c>
    </row>
    <row r="161" spans="1:8" x14ac:dyDescent="0.25">
      <c r="A161" s="189">
        <v>751</v>
      </c>
      <c r="B161" s="176">
        <v>23.05</v>
      </c>
      <c r="C161" s="192">
        <v>755</v>
      </c>
      <c r="D161" s="176">
        <v>23.05</v>
      </c>
      <c r="E161" s="195">
        <v>1240</v>
      </c>
      <c r="F161" s="176">
        <v>91.03</v>
      </c>
      <c r="G161" s="198">
        <v>1259.99</v>
      </c>
      <c r="H161" s="177">
        <v>91.03</v>
      </c>
    </row>
    <row r="162" spans="1:8" x14ac:dyDescent="0.25">
      <c r="A162" s="189">
        <v>755</v>
      </c>
      <c r="B162" s="176">
        <v>23.5</v>
      </c>
      <c r="C162" s="192">
        <v>759</v>
      </c>
      <c r="D162" s="176">
        <v>23.5</v>
      </c>
      <c r="E162" s="195">
        <v>1260</v>
      </c>
      <c r="F162" s="176">
        <v>94.03</v>
      </c>
      <c r="G162" s="198">
        <v>1279.99</v>
      </c>
      <c r="H162" s="177">
        <v>94.03</v>
      </c>
    </row>
    <row r="163" spans="1:8" x14ac:dyDescent="0.25">
      <c r="A163" s="189">
        <v>759</v>
      </c>
      <c r="B163" s="176">
        <v>24</v>
      </c>
      <c r="C163" s="192">
        <v>763</v>
      </c>
      <c r="D163" s="176">
        <v>24</v>
      </c>
      <c r="E163" s="195">
        <v>1280</v>
      </c>
      <c r="F163" s="176">
        <v>97.03</v>
      </c>
      <c r="G163" s="198">
        <v>1299.99</v>
      </c>
      <c r="H163" s="177">
        <v>97.03</v>
      </c>
    </row>
    <row r="164" spans="1:8" x14ac:dyDescent="0.25">
      <c r="A164" s="189">
        <v>763</v>
      </c>
      <c r="B164" s="176">
        <v>24.45</v>
      </c>
      <c r="C164" s="192">
        <v>767</v>
      </c>
      <c r="D164" s="176">
        <v>24.45</v>
      </c>
      <c r="E164" s="195">
        <v>1300</v>
      </c>
      <c r="F164" s="176">
        <v>100.03</v>
      </c>
      <c r="G164" s="198">
        <v>1319.99</v>
      </c>
      <c r="H164" s="177">
        <v>100.03</v>
      </c>
    </row>
    <row r="165" spans="1:8" x14ac:dyDescent="0.25">
      <c r="A165" s="189">
        <v>767</v>
      </c>
      <c r="B165" s="176">
        <v>24.9</v>
      </c>
      <c r="C165" s="192">
        <v>771</v>
      </c>
      <c r="D165" s="176">
        <v>24.9</v>
      </c>
      <c r="E165" s="195">
        <v>1320</v>
      </c>
      <c r="F165" s="176">
        <v>103.03</v>
      </c>
      <c r="G165" s="198">
        <v>1339.99</v>
      </c>
      <c r="H165" s="177">
        <v>103.03</v>
      </c>
    </row>
    <row r="166" spans="1:8" x14ac:dyDescent="0.25">
      <c r="A166" s="189">
        <v>771</v>
      </c>
      <c r="B166" s="176">
        <v>25.6</v>
      </c>
      <c r="C166" s="192">
        <v>779</v>
      </c>
      <c r="D166" s="176">
        <v>25.6</v>
      </c>
      <c r="E166" s="195">
        <v>1340</v>
      </c>
      <c r="F166" s="176">
        <v>106.03</v>
      </c>
      <c r="G166" s="198">
        <v>1359.99</v>
      </c>
      <c r="H166" s="177">
        <v>106.03</v>
      </c>
    </row>
    <row r="167" spans="1:8" x14ac:dyDescent="0.25">
      <c r="A167" s="189">
        <v>779</v>
      </c>
      <c r="B167" s="176">
        <v>26.55</v>
      </c>
      <c r="C167" s="192">
        <v>787</v>
      </c>
      <c r="D167" s="176">
        <v>26.55</v>
      </c>
      <c r="E167" s="195">
        <v>1360</v>
      </c>
      <c r="F167" s="176">
        <v>109.03</v>
      </c>
      <c r="G167" s="198">
        <v>1379.99</v>
      </c>
      <c r="H167" s="177">
        <v>109.03</v>
      </c>
    </row>
    <row r="168" spans="1:8" x14ac:dyDescent="0.25">
      <c r="A168" s="189">
        <v>787</v>
      </c>
      <c r="B168" s="176">
        <v>27.45</v>
      </c>
      <c r="C168" s="192">
        <v>795</v>
      </c>
      <c r="D168" s="176">
        <v>27.45</v>
      </c>
      <c r="E168" s="195">
        <v>1380</v>
      </c>
      <c r="F168" s="176">
        <v>112.03</v>
      </c>
      <c r="G168" s="198">
        <v>1399.99</v>
      </c>
      <c r="H168" s="177">
        <v>112.03</v>
      </c>
    </row>
    <row r="169" spans="1:8" x14ac:dyDescent="0.25">
      <c r="A169" s="189">
        <v>795</v>
      </c>
      <c r="B169" s="176">
        <v>28.4</v>
      </c>
      <c r="C169" s="192">
        <v>803</v>
      </c>
      <c r="D169" s="176">
        <v>28.4</v>
      </c>
      <c r="E169" s="195">
        <v>1400</v>
      </c>
      <c r="F169" s="176">
        <v>115.03</v>
      </c>
      <c r="G169" s="198">
        <v>1419.99</v>
      </c>
      <c r="H169" s="177">
        <v>115.03</v>
      </c>
    </row>
    <row r="170" spans="1:8" x14ac:dyDescent="0.25">
      <c r="A170" s="189">
        <v>803</v>
      </c>
      <c r="B170" s="176">
        <v>29.3</v>
      </c>
      <c r="C170" s="192">
        <v>811</v>
      </c>
      <c r="D170" s="176">
        <v>29.3</v>
      </c>
      <c r="E170" s="195">
        <v>1420</v>
      </c>
      <c r="F170" s="176">
        <v>118.03</v>
      </c>
      <c r="G170" s="198">
        <v>1439.99</v>
      </c>
      <c r="H170" s="177">
        <v>118.03</v>
      </c>
    </row>
    <row r="171" spans="1:8" x14ac:dyDescent="0.25">
      <c r="A171" s="189">
        <v>811</v>
      </c>
      <c r="B171" s="176">
        <v>30.25</v>
      </c>
      <c r="C171" s="192">
        <v>819</v>
      </c>
      <c r="D171" s="176">
        <v>30.25</v>
      </c>
      <c r="E171" s="195">
        <v>1440</v>
      </c>
      <c r="F171" s="176">
        <v>121.03</v>
      </c>
      <c r="G171" s="198">
        <v>1459.99</v>
      </c>
      <c r="H171" s="177">
        <v>121.03</v>
      </c>
    </row>
    <row r="172" spans="1:8" x14ac:dyDescent="0.25">
      <c r="A172" s="189">
        <v>819</v>
      </c>
      <c r="B172" s="176">
        <v>31.2</v>
      </c>
      <c r="C172" s="192">
        <v>827</v>
      </c>
      <c r="D172" s="176">
        <v>31.2</v>
      </c>
      <c r="E172" s="195">
        <v>1460</v>
      </c>
      <c r="F172" s="176">
        <v>124.03</v>
      </c>
      <c r="G172" s="198">
        <v>1479.99</v>
      </c>
      <c r="H172" s="177">
        <v>124.03</v>
      </c>
    </row>
    <row r="173" spans="1:8" x14ac:dyDescent="0.25">
      <c r="A173" s="189">
        <v>827</v>
      </c>
      <c r="B173" s="176">
        <v>32.1</v>
      </c>
      <c r="C173" s="192">
        <v>835</v>
      </c>
      <c r="D173" s="176">
        <v>32.1</v>
      </c>
      <c r="E173" s="195">
        <v>1480</v>
      </c>
      <c r="F173" s="176">
        <v>127.03</v>
      </c>
      <c r="G173" s="198">
        <v>1499.99</v>
      </c>
      <c r="H173" s="177">
        <v>127.03</v>
      </c>
    </row>
    <row r="174" spans="1:8" x14ac:dyDescent="0.25">
      <c r="A174" s="189">
        <v>835</v>
      </c>
      <c r="B174" s="176">
        <v>33.049999999999997</v>
      </c>
      <c r="C174" s="192">
        <v>843</v>
      </c>
      <c r="D174" s="176">
        <v>33.049999999999997</v>
      </c>
      <c r="E174" s="195">
        <v>1500</v>
      </c>
      <c r="F174" s="176">
        <v>130.03</v>
      </c>
      <c r="G174" s="198">
        <v>1519.99</v>
      </c>
      <c r="H174" s="177">
        <v>130.03</v>
      </c>
    </row>
    <row r="175" spans="1:8" x14ac:dyDescent="0.25">
      <c r="A175" s="189">
        <v>843</v>
      </c>
      <c r="B175" s="176">
        <v>33.950000000000003</v>
      </c>
      <c r="C175" s="192">
        <v>851</v>
      </c>
      <c r="D175" s="176">
        <v>33.950000000000003</v>
      </c>
      <c r="E175" s="195">
        <v>1520</v>
      </c>
      <c r="F175" s="176">
        <v>133.03</v>
      </c>
      <c r="G175" s="198">
        <v>1539.99</v>
      </c>
      <c r="H175" s="177">
        <v>133.03</v>
      </c>
    </row>
    <row r="176" spans="1:8" x14ac:dyDescent="0.25">
      <c r="A176" s="189">
        <v>851</v>
      </c>
      <c r="B176" s="176">
        <v>34.9</v>
      </c>
      <c r="C176" s="192">
        <v>859</v>
      </c>
      <c r="D176" s="176">
        <v>34.9</v>
      </c>
      <c r="E176" s="195">
        <v>1540</v>
      </c>
      <c r="F176" s="176">
        <v>136.03</v>
      </c>
      <c r="G176" s="198">
        <v>1559.99</v>
      </c>
      <c r="H176" s="177">
        <v>136.03</v>
      </c>
    </row>
    <row r="177" spans="1:8" x14ac:dyDescent="0.25">
      <c r="A177" s="189">
        <v>859</v>
      </c>
      <c r="B177" s="176">
        <v>35.799999999999997</v>
      </c>
      <c r="C177" s="192">
        <v>867</v>
      </c>
      <c r="D177" s="176">
        <v>35.799999999999997</v>
      </c>
      <c r="E177" s="195">
        <v>1560</v>
      </c>
      <c r="F177" s="176">
        <v>139.03</v>
      </c>
      <c r="G177" s="198">
        <v>1579.99</v>
      </c>
      <c r="H177" s="177">
        <v>139.03</v>
      </c>
    </row>
    <row r="178" spans="1:8" x14ac:dyDescent="0.25">
      <c r="A178" s="189">
        <v>867</v>
      </c>
      <c r="B178" s="176">
        <v>36.75</v>
      </c>
      <c r="C178" s="192">
        <v>875</v>
      </c>
      <c r="D178" s="176">
        <v>36.75</v>
      </c>
      <c r="E178" s="195">
        <v>1580</v>
      </c>
      <c r="F178" s="176">
        <v>142.03</v>
      </c>
      <c r="G178" s="198">
        <v>1599.99</v>
      </c>
      <c r="H178" s="177">
        <v>142.03</v>
      </c>
    </row>
    <row r="179" spans="1:8" x14ac:dyDescent="0.25">
      <c r="A179" s="189">
        <v>875</v>
      </c>
      <c r="B179" s="176">
        <v>37.65</v>
      </c>
      <c r="C179" s="192">
        <v>883</v>
      </c>
      <c r="D179" s="176">
        <v>37.65</v>
      </c>
      <c r="E179" s="195">
        <v>1600</v>
      </c>
      <c r="F179" s="176">
        <v>145.03</v>
      </c>
      <c r="G179" s="198">
        <v>1619.99</v>
      </c>
      <c r="H179" s="177">
        <v>145.03</v>
      </c>
    </row>
    <row r="180" spans="1:8" x14ac:dyDescent="0.25">
      <c r="A180" s="189">
        <v>883</v>
      </c>
      <c r="B180" s="176">
        <v>38.6</v>
      </c>
      <c r="C180" s="192">
        <v>891</v>
      </c>
      <c r="D180" s="176">
        <v>38.6</v>
      </c>
      <c r="E180" s="195">
        <v>1620</v>
      </c>
      <c r="F180" s="176">
        <v>148.03</v>
      </c>
      <c r="G180" s="198">
        <v>1639.99</v>
      </c>
      <c r="H180" s="177">
        <v>148.03</v>
      </c>
    </row>
    <row r="181" spans="1:8" x14ac:dyDescent="0.25">
      <c r="A181" s="189">
        <v>891</v>
      </c>
      <c r="B181" s="176">
        <v>39.549999999999997</v>
      </c>
      <c r="C181" s="192">
        <v>899</v>
      </c>
      <c r="D181" s="176">
        <v>39.549999999999997</v>
      </c>
      <c r="E181" s="195">
        <v>1640</v>
      </c>
      <c r="F181" s="176">
        <v>151.03</v>
      </c>
      <c r="G181" s="198">
        <v>1659.99</v>
      </c>
      <c r="H181" s="177">
        <v>151.03</v>
      </c>
    </row>
    <row r="182" spans="1:8" x14ac:dyDescent="0.25">
      <c r="A182" s="189">
        <v>899</v>
      </c>
      <c r="B182" s="176">
        <v>40.450000000000003</v>
      </c>
      <c r="C182" s="192">
        <v>907</v>
      </c>
      <c r="D182" s="176">
        <v>40.450000000000003</v>
      </c>
      <c r="E182" s="195">
        <v>1660</v>
      </c>
      <c r="F182" s="176">
        <v>154.03</v>
      </c>
      <c r="G182" s="198">
        <v>1679.99</v>
      </c>
      <c r="H182" s="177">
        <v>154.03</v>
      </c>
    </row>
    <row r="183" spans="1:8" x14ac:dyDescent="0.25">
      <c r="A183" s="189">
        <v>907</v>
      </c>
      <c r="B183" s="176">
        <v>41.4</v>
      </c>
      <c r="C183" s="192">
        <v>915</v>
      </c>
      <c r="D183" s="176">
        <v>41.4</v>
      </c>
      <c r="E183" s="195">
        <v>1680</v>
      </c>
      <c r="F183" s="176">
        <v>157.03</v>
      </c>
      <c r="G183" s="198">
        <v>1699.99</v>
      </c>
      <c r="H183" s="177">
        <v>157.03</v>
      </c>
    </row>
    <row r="184" spans="1:8" x14ac:dyDescent="0.25">
      <c r="A184" s="189">
        <v>915</v>
      </c>
      <c r="B184" s="176">
        <v>42.3</v>
      </c>
      <c r="C184" s="192">
        <v>923</v>
      </c>
      <c r="D184" s="176">
        <v>42.3</v>
      </c>
      <c r="E184" s="195">
        <v>1700</v>
      </c>
      <c r="F184" s="176">
        <v>160.03</v>
      </c>
      <c r="G184" s="198">
        <v>1719.99</v>
      </c>
      <c r="H184" s="177">
        <v>160.03</v>
      </c>
    </row>
    <row r="185" spans="1:8" x14ac:dyDescent="0.25">
      <c r="A185" s="189">
        <v>923</v>
      </c>
      <c r="B185" s="176">
        <v>43.25</v>
      </c>
      <c r="C185" s="192">
        <v>931</v>
      </c>
      <c r="D185" s="176">
        <v>43.25</v>
      </c>
      <c r="E185" s="195">
        <v>1720</v>
      </c>
      <c r="F185" s="176">
        <v>163.03</v>
      </c>
      <c r="G185" s="198">
        <v>1739.99</v>
      </c>
      <c r="H185" s="177">
        <v>163.03</v>
      </c>
    </row>
    <row r="186" spans="1:8" x14ac:dyDescent="0.25">
      <c r="A186" s="189">
        <v>931</v>
      </c>
      <c r="B186" s="176">
        <v>44.15</v>
      </c>
      <c r="C186" s="192">
        <v>939</v>
      </c>
      <c r="D186" s="176">
        <v>44.15</v>
      </c>
      <c r="E186" s="195">
        <v>1740</v>
      </c>
      <c r="F186" s="176">
        <v>166.03</v>
      </c>
      <c r="G186" s="198">
        <v>1759.99</v>
      </c>
      <c r="H186" s="177">
        <v>166.03</v>
      </c>
    </row>
    <row r="187" spans="1:8" x14ac:dyDescent="0.25">
      <c r="A187" s="189">
        <v>939</v>
      </c>
      <c r="B187" s="176">
        <v>45.1</v>
      </c>
      <c r="C187" s="192">
        <v>947</v>
      </c>
      <c r="D187" s="176">
        <v>45.1</v>
      </c>
      <c r="E187" s="195">
        <v>1760</v>
      </c>
      <c r="F187" s="176">
        <v>169.58</v>
      </c>
      <c r="G187" s="198">
        <v>1779.99</v>
      </c>
      <c r="H187" s="177">
        <v>169.58</v>
      </c>
    </row>
    <row r="188" spans="1:8" x14ac:dyDescent="0.25">
      <c r="A188" s="189">
        <v>947</v>
      </c>
      <c r="B188" s="176">
        <v>46.05</v>
      </c>
      <c r="C188" s="192">
        <v>955</v>
      </c>
      <c r="D188" s="176">
        <v>46.05</v>
      </c>
      <c r="E188" s="195">
        <v>1780</v>
      </c>
      <c r="F188" s="176">
        <v>173.58</v>
      </c>
      <c r="G188" s="198">
        <v>1799.99</v>
      </c>
      <c r="H188" s="177">
        <v>173.58</v>
      </c>
    </row>
    <row r="189" spans="1:8" x14ac:dyDescent="0.25">
      <c r="A189" s="189">
        <v>955</v>
      </c>
      <c r="B189" s="176">
        <v>46.95</v>
      </c>
      <c r="C189" s="192">
        <v>963</v>
      </c>
      <c r="D189" s="176">
        <v>46.95</v>
      </c>
      <c r="E189" s="195">
        <v>1800</v>
      </c>
      <c r="F189" s="176">
        <v>177.58</v>
      </c>
      <c r="G189" s="198">
        <v>1819.99</v>
      </c>
      <c r="H189" s="177">
        <v>177.58</v>
      </c>
    </row>
    <row r="190" spans="1:8" x14ac:dyDescent="0.25">
      <c r="A190" s="189">
        <v>963</v>
      </c>
      <c r="B190" s="176">
        <v>47.9</v>
      </c>
      <c r="C190" s="192">
        <v>971</v>
      </c>
      <c r="D190" s="176">
        <v>47.9</v>
      </c>
      <c r="E190" s="195">
        <v>1820</v>
      </c>
      <c r="F190" s="176">
        <v>181.58</v>
      </c>
      <c r="G190" s="198">
        <v>1839.99</v>
      </c>
      <c r="H190" s="177">
        <v>181.58</v>
      </c>
    </row>
    <row r="191" spans="1:8" x14ac:dyDescent="0.25">
      <c r="A191" s="189">
        <v>971</v>
      </c>
      <c r="B191" s="176">
        <v>48.8</v>
      </c>
      <c r="C191" s="192">
        <v>979</v>
      </c>
      <c r="D191" s="176">
        <v>48.8</v>
      </c>
      <c r="E191" s="195">
        <v>1840</v>
      </c>
      <c r="F191" s="176">
        <v>185.58</v>
      </c>
      <c r="G191" s="198">
        <v>1859.99</v>
      </c>
      <c r="H191" s="177">
        <v>185.58</v>
      </c>
    </row>
    <row r="192" spans="1:8" x14ac:dyDescent="0.25">
      <c r="A192" s="189">
        <v>979</v>
      </c>
      <c r="B192" s="176">
        <v>49.75</v>
      </c>
      <c r="C192" s="192">
        <v>987</v>
      </c>
      <c r="D192" s="176">
        <v>49.75</v>
      </c>
      <c r="E192" s="195">
        <v>1860</v>
      </c>
      <c r="F192" s="176">
        <v>189.58</v>
      </c>
      <c r="G192" s="198">
        <v>1879.99</v>
      </c>
      <c r="H192" s="177">
        <v>189.58</v>
      </c>
    </row>
    <row r="193" spans="1:8" x14ac:dyDescent="0.25">
      <c r="A193" s="189">
        <v>987</v>
      </c>
      <c r="B193" s="176">
        <v>50.65</v>
      </c>
      <c r="C193" s="192">
        <v>995</v>
      </c>
      <c r="D193" s="176">
        <v>50.65</v>
      </c>
      <c r="E193" s="195">
        <v>1880</v>
      </c>
      <c r="F193" s="176">
        <v>193.58</v>
      </c>
      <c r="G193" s="198">
        <v>1899.99</v>
      </c>
      <c r="H193" s="177">
        <v>193.58</v>
      </c>
    </row>
    <row r="194" spans="1:8" x14ac:dyDescent="0.25">
      <c r="A194" s="189">
        <v>995</v>
      </c>
      <c r="B194" s="176">
        <v>51.6</v>
      </c>
      <c r="C194" s="192">
        <v>1003</v>
      </c>
      <c r="D194" s="176">
        <v>51.6</v>
      </c>
      <c r="E194" s="195">
        <v>1900</v>
      </c>
      <c r="F194" s="176">
        <v>197.58</v>
      </c>
      <c r="G194" s="198">
        <v>1919.99</v>
      </c>
      <c r="H194" s="177">
        <v>197.58</v>
      </c>
    </row>
    <row r="195" spans="1:8" x14ac:dyDescent="0.25">
      <c r="A195" s="189">
        <v>1003</v>
      </c>
      <c r="B195" s="176">
        <v>52.5</v>
      </c>
      <c r="C195" s="192">
        <v>1011</v>
      </c>
      <c r="D195" s="176">
        <v>52.5</v>
      </c>
      <c r="E195" s="195">
        <v>1920</v>
      </c>
      <c r="F195" s="176">
        <v>201.58</v>
      </c>
      <c r="G195" s="198">
        <v>1939.99</v>
      </c>
      <c r="H195" s="177">
        <v>201.58</v>
      </c>
    </row>
    <row r="196" spans="1:8" x14ac:dyDescent="0.25">
      <c r="A196" s="189">
        <v>1011</v>
      </c>
      <c r="B196" s="176">
        <v>53.45</v>
      </c>
      <c r="C196" s="192">
        <v>1019</v>
      </c>
      <c r="D196" s="176">
        <v>53.45</v>
      </c>
      <c r="E196" s="195">
        <v>1940</v>
      </c>
      <c r="F196" s="176">
        <v>205.58</v>
      </c>
      <c r="G196" s="198">
        <v>1959.99</v>
      </c>
      <c r="H196" s="177">
        <v>205.58</v>
      </c>
    </row>
    <row r="197" spans="1:8" x14ac:dyDescent="0.25">
      <c r="A197" s="189">
        <v>1019</v>
      </c>
      <c r="B197" s="176">
        <v>54.4</v>
      </c>
      <c r="C197" s="192">
        <v>1027</v>
      </c>
      <c r="D197" s="176">
        <v>54.4</v>
      </c>
      <c r="E197" s="195">
        <v>1960</v>
      </c>
      <c r="F197" s="176">
        <v>209.58</v>
      </c>
      <c r="G197" s="198">
        <v>1979.99</v>
      </c>
      <c r="H197" s="177">
        <v>209.58</v>
      </c>
    </row>
    <row r="198" spans="1:8" x14ac:dyDescent="0.25">
      <c r="A198" s="189">
        <v>1027</v>
      </c>
      <c r="B198" s="176">
        <v>55.3</v>
      </c>
      <c r="C198" s="192">
        <v>1035</v>
      </c>
      <c r="D198" s="176">
        <v>55.3</v>
      </c>
      <c r="E198" s="195">
        <v>1980</v>
      </c>
      <c r="F198" s="176">
        <v>213.58</v>
      </c>
      <c r="G198" s="198">
        <v>1999.99</v>
      </c>
      <c r="H198" s="177">
        <v>213.58</v>
      </c>
    </row>
    <row r="199" spans="1:8" x14ac:dyDescent="0.25">
      <c r="A199" s="189">
        <v>1035</v>
      </c>
      <c r="B199" s="176">
        <v>56.25</v>
      </c>
      <c r="C199" s="192">
        <v>1043</v>
      </c>
      <c r="D199" s="176">
        <v>56.25</v>
      </c>
      <c r="E199" s="195">
        <v>2000</v>
      </c>
      <c r="F199" s="176">
        <v>217.58</v>
      </c>
      <c r="G199" s="198">
        <v>2019.99</v>
      </c>
      <c r="H199" s="177">
        <v>217.58</v>
      </c>
    </row>
    <row r="200" spans="1:8" x14ac:dyDescent="0.25">
      <c r="A200" s="189">
        <v>1043</v>
      </c>
      <c r="B200" s="176">
        <v>57.15</v>
      </c>
      <c r="C200" s="192">
        <v>1051</v>
      </c>
      <c r="D200" s="176">
        <v>57.15</v>
      </c>
      <c r="E200" s="195">
        <v>2020</v>
      </c>
      <c r="F200" s="176">
        <v>221.58</v>
      </c>
      <c r="G200" s="198">
        <v>2039.99</v>
      </c>
      <c r="H200" s="177">
        <v>221.58</v>
      </c>
    </row>
    <row r="201" spans="1:8" x14ac:dyDescent="0.25">
      <c r="A201" s="189">
        <v>1051</v>
      </c>
      <c r="B201" s="176">
        <v>58.1</v>
      </c>
      <c r="C201" s="192">
        <v>1059</v>
      </c>
      <c r="D201" s="176">
        <v>58.1</v>
      </c>
      <c r="E201" s="195">
        <v>2040</v>
      </c>
      <c r="F201" s="176">
        <v>225.58</v>
      </c>
      <c r="G201" s="198">
        <v>2059.9899999999998</v>
      </c>
      <c r="H201" s="177">
        <v>225.58</v>
      </c>
    </row>
    <row r="202" spans="1:8" x14ac:dyDescent="0.25">
      <c r="A202" s="189">
        <v>1059</v>
      </c>
      <c r="B202" s="176">
        <v>59</v>
      </c>
      <c r="C202" s="192">
        <v>1067</v>
      </c>
      <c r="D202" s="176">
        <v>59</v>
      </c>
      <c r="E202" s="195">
        <v>2060</v>
      </c>
      <c r="F202" s="176">
        <v>229.58</v>
      </c>
      <c r="G202" s="198">
        <v>2079.9899999999998</v>
      </c>
      <c r="H202" s="177">
        <v>229.58</v>
      </c>
    </row>
    <row r="203" spans="1:8" x14ac:dyDescent="0.25">
      <c r="A203" s="189">
        <v>1067</v>
      </c>
      <c r="B203" s="176">
        <v>59.95</v>
      </c>
      <c r="C203" s="192">
        <v>1075</v>
      </c>
      <c r="D203" s="176">
        <v>59.95</v>
      </c>
      <c r="E203" s="195">
        <v>2080</v>
      </c>
      <c r="F203" s="176">
        <v>233.58</v>
      </c>
      <c r="G203" s="198">
        <v>2099.9899999999998</v>
      </c>
      <c r="H203" s="177">
        <v>233.58</v>
      </c>
    </row>
    <row r="204" spans="1:8" x14ac:dyDescent="0.25">
      <c r="A204" s="189">
        <v>1075</v>
      </c>
      <c r="B204" s="176">
        <v>60.85</v>
      </c>
      <c r="C204" s="192">
        <v>1083</v>
      </c>
      <c r="D204" s="176">
        <v>60.85</v>
      </c>
      <c r="E204" s="195">
        <v>2100</v>
      </c>
      <c r="F204" s="176">
        <v>237.58</v>
      </c>
      <c r="G204" s="198">
        <v>2119.9899999999998</v>
      </c>
      <c r="H204" s="177">
        <v>237.58</v>
      </c>
    </row>
    <row r="205" spans="1:8" x14ac:dyDescent="0.25">
      <c r="A205" s="189">
        <v>1083</v>
      </c>
      <c r="B205" s="176">
        <v>61.8</v>
      </c>
      <c r="C205" s="192">
        <v>1091</v>
      </c>
      <c r="D205" s="176">
        <v>61.8</v>
      </c>
      <c r="E205" s="195">
        <v>2120</v>
      </c>
      <c r="F205" s="176">
        <v>241.58</v>
      </c>
      <c r="G205" s="198">
        <v>2139.9899999999998</v>
      </c>
      <c r="H205" s="177">
        <v>241.58</v>
      </c>
    </row>
    <row r="206" spans="1:8" x14ac:dyDescent="0.25">
      <c r="A206" s="189">
        <v>1091</v>
      </c>
      <c r="B206" s="176">
        <v>62.75</v>
      </c>
      <c r="C206" s="192">
        <v>1099</v>
      </c>
      <c r="D206" s="176">
        <v>62.75</v>
      </c>
      <c r="E206" s="195">
        <v>2140</v>
      </c>
      <c r="F206" s="176">
        <v>245.58</v>
      </c>
      <c r="G206" s="198">
        <v>2159.9899999999998</v>
      </c>
      <c r="H206" s="177">
        <v>245.58</v>
      </c>
    </row>
    <row r="207" spans="1:8" x14ac:dyDescent="0.25">
      <c r="A207" s="189">
        <v>1099</v>
      </c>
      <c r="B207" s="176">
        <v>63.65</v>
      </c>
      <c r="C207" s="192">
        <v>1107</v>
      </c>
      <c r="D207" s="176">
        <v>63.65</v>
      </c>
      <c r="E207" s="195">
        <v>2160</v>
      </c>
      <c r="F207" s="176">
        <v>249.58</v>
      </c>
      <c r="G207" s="198">
        <v>2179.9899999999998</v>
      </c>
      <c r="H207" s="177">
        <v>249.58</v>
      </c>
    </row>
    <row r="208" spans="1:8" x14ac:dyDescent="0.25">
      <c r="A208" s="189">
        <v>1107</v>
      </c>
      <c r="B208" s="176">
        <v>64.599999999999994</v>
      </c>
      <c r="C208" s="192">
        <v>1115</v>
      </c>
      <c r="D208" s="177">
        <v>64.599999999999994</v>
      </c>
      <c r="E208" s="195">
        <v>2180</v>
      </c>
      <c r="F208" s="176">
        <v>253.58</v>
      </c>
      <c r="G208" s="198">
        <v>2199.9899999999998</v>
      </c>
      <c r="H208" s="177">
        <v>253.58</v>
      </c>
    </row>
    <row r="209" spans="1:8" x14ac:dyDescent="0.25">
      <c r="A209" s="189">
        <v>1115</v>
      </c>
      <c r="B209" s="176">
        <v>65.5</v>
      </c>
      <c r="C209" s="192">
        <v>1123</v>
      </c>
      <c r="D209" s="177">
        <v>65.5</v>
      </c>
      <c r="E209" s="195">
        <v>2200</v>
      </c>
      <c r="F209" s="176">
        <v>257.58</v>
      </c>
      <c r="G209" s="198">
        <v>2219.9899999999998</v>
      </c>
      <c r="H209" s="177">
        <v>257.58</v>
      </c>
    </row>
    <row r="210" spans="1:8" x14ac:dyDescent="0.25">
      <c r="A210" s="189">
        <v>1123</v>
      </c>
      <c r="B210" s="176">
        <v>66.45</v>
      </c>
      <c r="C210" s="192">
        <v>1131</v>
      </c>
      <c r="D210" s="177">
        <v>66.45</v>
      </c>
      <c r="E210" s="195">
        <v>2220</v>
      </c>
      <c r="F210" s="176">
        <v>261.58</v>
      </c>
      <c r="G210" s="198">
        <v>2239.9899999999998</v>
      </c>
      <c r="H210" s="177">
        <v>261.58</v>
      </c>
    </row>
    <row r="211" spans="1:8" x14ac:dyDescent="0.25">
      <c r="A211" s="189">
        <v>1131</v>
      </c>
      <c r="B211" s="176">
        <v>67.349999999999994</v>
      </c>
      <c r="C211" s="192">
        <v>1139</v>
      </c>
      <c r="D211" s="177">
        <v>67.349999999999994</v>
      </c>
      <c r="E211" s="195">
        <v>2240</v>
      </c>
      <c r="F211" s="176">
        <v>265.58</v>
      </c>
      <c r="G211" s="198">
        <v>2259.9899999999998</v>
      </c>
      <c r="H211" s="177">
        <v>265.58</v>
      </c>
    </row>
    <row r="212" spans="1:8" x14ac:dyDescent="0.25">
      <c r="A212" s="189">
        <v>1139</v>
      </c>
      <c r="B212" s="176">
        <v>68.3</v>
      </c>
      <c r="C212" s="192">
        <v>1147</v>
      </c>
      <c r="D212" s="177">
        <v>68.3</v>
      </c>
      <c r="E212" s="195">
        <v>2260</v>
      </c>
      <c r="F212" s="176">
        <v>269.58</v>
      </c>
      <c r="G212" s="198">
        <v>2279.9899999999998</v>
      </c>
      <c r="H212" s="177">
        <v>269.58</v>
      </c>
    </row>
    <row r="213" spans="1:8" x14ac:dyDescent="0.25">
      <c r="A213" s="189">
        <v>1147</v>
      </c>
      <c r="B213" s="176">
        <v>69.2</v>
      </c>
      <c r="C213" s="192">
        <v>1155</v>
      </c>
      <c r="D213" s="177">
        <v>69.2</v>
      </c>
      <c r="E213" s="195">
        <v>2280</v>
      </c>
      <c r="F213" s="176">
        <v>273.58</v>
      </c>
      <c r="G213" s="198">
        <v>2299.9899999999998</v>
      </c>
      <c r="H213" s="177">
        <v>273.58</v>
      </c>
    </row>
    <row r="214" spans="1:8" x14ac:dyDescent="0.25">
      <c r="A214" s="189">
        <v>1155</v>
      </c>
      <c r="B214" s="176">
        <v>70.150000000000006</v>
      </c>
      <c r="C214" s="192">
        <v>1163</v>
      </c>
      <c r="D214" s="177">
        <v>70.150000000000006</v>
      </c>
      <c r="E214" s="195">
        <v>2300</v>
      </c>
      <c r="F214" s="176">
        <v>277.58</v>
      </c>
      <c r="G214" s="198">
        <v>2319.9899999999998</v>
      </c>
      <c r="H214" s="177">
        <v>277.58</v>
      </c>
    </row>
    <row r="215" spans="1:8" x14ac:dyDescent="0.25">
      <c r="A215" s="189">
        <v>1163</v>
      </c>
      <c r="B215" s="176">
        <v>71.099999999999994</v>
      </c>
      <c r="C215" s="192">
        <v>1171</v>
      </c>
      <c r="D215" s="177">
        <v>71.099999999999994</v>
      </c>
      <c r="E215" s="195">
        <v>2320</v>
      </c>
      <c r="F215" s="176">
        <v>281.58</v>
      </c>
      <c r="G215" s="198">
        <v>2339.9899999999998</v>
      </c>
      <c r="H215" s="177">
        <v>281.58</v>
      </c>
    </row>
    <row r="216" spans="1:8" x14ac:dyDescent="0.25">
      <c r="A216" s="189">
        <v>1171</v>
      </c>
      <c r="B216" s="176">
        <v>72</v>
      </c>
      <c r="C216" s="192">
        <v>1179</v>
      </c>
      <c r="D216" s="177">
        <v>72</v>
      </c>
      <c r="E216" s="195">
        <v>2340</v>
      </c>
      <c r="F216" s="176">
        <v>285.58</v>
      </c>
      <c r="G216" s="198">
        <v>2359.9899999999998</v>
      </c>
      <c r="H216" s="177">
        <v>285.58</v>
      </c>
    </row>
    <row r="217" spans="1:8" x14ac:dyDescent="0.25">
      <c r="A217" s="189">
        <v>1179</v>
      </c>
      <c r="B217" s="176">
        <v>72.95</v>
      </c>
      <c r="C217" s="192">
        <v>1187</v>
      </c>
      <c r="D217" s="177">
        <v>72.95</v>
      </c>
      <c r="E217" s="195">
        <v>2360</v>
      </c>
      <c r="F217" s="176">
        <v>289.58</v>
      </c>
      <c r="G217" s="198">
        <v>2379.9899999999998</v>
      </c>
      <c r="H217" s="177">
        <v>289.58</v>
      </c>
    </row>
    <row r="218" spans="1:8" x14ac:dyDescent="0.25">
      <c r="A218" s="189">
        <v>1187</v>
      </c>
      <c r="B218" s="176">
        <v>73.849999999999994</v>
      </c>
      <c r="C218" s="192">
        <v>1195</v>
      </c>
      <c r="D218" s="177">
        <v>73.849999999999994</v>
      </c>
      <c r="E218" s="195">
        <v>2380</v>
      </c>
      <c r="F218" s="176">
        <v>293.58</v>
      </c>
      <c r="G218" s="198">
        <v>2399.9899999999998</v>
      </c>
      <c r="H218" s="177">
        <v>293.58</v>
      </c>
    </row>
    <row r="219" spans="1:8" x14ac:dyDescent="0.25">
      <c r="A219" s="189">
        <v>1195</v>
      </c>
      <c r="B219" s="176">
        <v>74.8</v>
      </c>
      <c r="C219" s="192">
        <v>1203</v>
      </c>
      <c r="D219" s="177">
        <v>74.8</v>
      </c>
      <c r="E219" s="195">
        <v>2400</v>
      </c>
      <c r="F219" s="176">
        <v>297.58</v>
      </c>
      <c r="G219" s="198">
        <v>2419.9899999999998</v>
      </c>
      <c r="H219" s="177">
        <v>297.58</v>
      </c>
    </row>
    <row r="220" spans="1:8" x14ac:dyDescent="0.25">
      <c r="A220" s="189">
        <v>1203</v>
      </c>
      <c r="B220" s="176">
        <v>75.7</v>
      </c>
      <c r="C220" s="192">
        <v>1211</v>
      </c>
      <c r="D220" s="177">
        <v>75.7</v>
      </c>
      <c r="E220" s="195">
        <v>2420</v>
      </c>
      <c r="F220" s="176">
        <v>301.58</v>
      </c>
      <c r="G220" s="198">
        <v>2439.9899999999998</v>
      </c>
      <c r="H220" s="177">
        <v>301.58</v>
      </c>
    </row>
    <row r="221" spans="1:8" x14ac:dyDescent="0.25">
      <c r="A221" s="189">
        <v>1211</v>
      </c>
      <c r="B221" s="176">
        <v>77.099999999999994</v>
      </c>
      <c r="C221" s="192">
        <v>1227</v>
      </c>
      <c r="D221" s="177">
        <v>77.099999999999994</v>
      </c>
      <c r="E221" s="195">
        <v>2440</v>
      </c>
      <c r="F221" s="176">
        <v>305.58</v>
      </c>
      <c r="G221" s="198">
        <v>2459.9899999999998</v>
      </c>
      <c r="H221" s="177">
        <v>305.58</v>
      </c>
    </row>
    <row r="222" spans="1:8" x14ac:dyDescent="0.25">
      <c r="A222" s="189">
        <v>1227</v>
      </c>
      <c r="B222" s="176">
        <v>78.95</v>
      </c>
      <c r="C222" s="192">
        <v>1243</v>
      </c>
      <c r="D222" s="177">
        <v>78.95</v>
      </c>
      <c r="E222" s="195">
        <v>2460</v>
      </c>
      <c r="F222" s="176">
        <v>311.58</v>
      </c>
      <c r="G222" s="198">
        <v>2499.9899999999998</v>
      </c>
      <c r="H222" s="177">
        <v>311.58</v>
      </c>
    </row>
    <row r="223" spans="1:8" x14ac:dyDescent="0.25">
      <c r="A223" s="189">
        <v>1243</v>
      </c>
      <c r="B223" s="176">
        <v>80.8</v>
      </c>
      <c r="C223" s="192">
        <v>1259</v>
      </c>
      <c r="D223" s="177">
        <v>80.8</v>
      </c>
      <c r="E223" s="195">
        <v>2500</v>
      </c>
      <c r="F223" s="176">
        <v>319.58</v>
      </c>
      <c r="G223" s="198">
        <v>2539.9899999999998</v>
      </c>
      <c r="H223" s="177">
        <v>319.58</v>
      </c>
    </row>
    <row r="224" spans="1:8" x14ac:dyDescent="0.25">
      <c r="A224" s="189">
        <v>1259</v>
      </c>
      <c r="B224" s="176">
        <v>82.7</v>
      </c>
      <c r="C224" s="192">
        <v>1275</v>
      </c>
      <c r="D224" s="177">
        <v>82.7</v>
      </c>
      <c r="E224" s="195">
        <v>2540</v>
      </c>
      <c r="F224" s="176">
        <v>327.58</v>
      </c>
      <c r="G224" s="198">
        <v>2579.9899999999998</v>
      </c>
      <c r="H224" s="177">
        <v>327.58</v>
      </c>
    </row>
    <row r="225" spans="1:8" x14ac:dyDescent="0.25">
      <c r="A225" s="189">
        <v>1275</v>
      </c>
      <c r="B225" s="176">
        <v>84.55</v>
      </c>
      <c r="C225" s="192">
        <v>1291</v>
      </c>
      <c r="D225" s="177">
        <v>84.55</v>
      </c>
      <c r="E225" s="195">
        <v>2580</v>
      </c>
      <c r="F225" s="176">
        <v>335.58</v>
      </c>
      <c r="G225" s="198">
        <v>2619.9899999999998</v>
      </c>
      <c r="H225" s="177">
        <v>335.58</v>
      </c>
    </row>
    <row r="226" spans="1:8" x14ac:dyDescent="0.25">
      <c r="A226" s="189">
        <v>1291</v>
      </c>
      <c r="B226" s="176">
        <v>86.4</v>
      </c>
      <c r="C226" s="192">
        <v>1307</v>
      </c>
      <c r="D226" s="177">
        <v>86.4</v>
      </c>
      <c r="E226" s="195">
        <v>2620</v>
      </c>
      <c r="F226" s="176">
        <v>343.58</v>
      </c>
      <c r="G226" s="198">
        <v>2659.99</v>
      </c>
      <c r="H226" s="177">
        <v>343.58</v>
      </c>
    </row>
    <row r="227" spans="1:8" x14ac:dyDescent="0.25">
      <c r="A227" s="189">
        <v>1307</v>
      </c>
      <c r="B227" s="176">
        <v>88.25</v>
      </c>
      <c r="C227" s="192">
        <v>1323</v>
      </c>
      <c r="D227" s="177">
        <v>88.25</v>
      </c>
      <c r="E227" s="195">
        <v>2660</v>
      </c>
      <c r="F227" s="176">
        <v>351.58</v>
      </c>
      <c r="G227" s="198">
        <v>2699.99</v>
      </c>
      <c r="H227" s="177">
        <v>351.58</v>
      </c>
    </row>
    <row r="228" spans="1:8" x14ac:dyDescent="0.25">
      <c r="A228" s="189">
        <v>1323</v>
      </c>
      <c r="B228" s="176">
        <v>90.1</v>
      </c>
      <c r="C228" s="192">
        <v>1339</v>
      </c>
      <c r="D228" s="177">
        <v>90.1</v>
      </c>
      <c r="E228" s="195">
        <v>2700</v>
      </c>
      <c r="F228" s="176">
        <v>359.58</v>
      </c>
      <c r="G228" s="198">
        <v>2739.99</v>
      </c>
      <c r="H228" s="177">
        <v>359.58</v>
      </c>
    </row>
    <row r="229" spans="1:8" x14ac:dyDescent="0.25">
      <c r="A229" s="189">
        <v>1339</v>
      </c>
      <c r="B229" s="176">
        <v>91.95</v>
      </c>
      <c r="C229" s="192">
        <v>1355</v>
      </c>
      <c r="D229" s="177">
        <v>91.95</v>
      </c>
      <c r="E229" s="195">
        <v>2740</v>
      </c>
      <c r="F229" s="176">
        <v>367.58</v>
      </c>
      <c r="G229" s="198">
        <v>2779.99</v>
      </c>
      <c r="H229" s="177">
        <v>367.58</v>
      </c>
    </row>
    <row r="230" spans="1:8" x14ac:dyDescent="0.25">
      <c r="A230" s="189">
        <v>1355</v>
      </c>
      <c r="B230" s="176">
        <v>93.8</v>
      </c>
      <c r="C230" s="192">
        <v>1371</v>
      </c>
      <c r="D230" s="177">
        <v>93.8</v>
      </c>
      <c r="E230" s="195">
        <v>2780</v>
      </c>
      <c r="F230" s="176">
        <v>375.58</v>
      </c>
      <c r="G230" s="198">
        <v>2819.99</v>
      </c>
      <c r="H230" s="177">
        <v>375.58</v>
      </c>
    </row>
    <row r="231" spans="1:8" x14ac:dyDescent="0.25">
      <c r="A231" s="189">
        <v>1371</v>
      </c>
      <c r="B231" s="176">
        <v>95.65</v>
      </c>
      <c r="C231" s="192">
        <v>1387</v>
      </c>
      <c r="D231" s="177">
        <v>95.65</v>
      </c>
      <c r="E231" s="195">
        <v>2820</v>
      </c>
      <c r="F231" s="176">
        <v>383.58</v>
      </c>
      <c r="G231" s="198">
        <v>2859.99</v>
      </c>
      <c r="H231" s="177">
        <v>383.58</v>
      </c>
    </row>
    <row r="232" spans="1:8" x14ac:dyDescent="0.25">
      <c r="A232" s="189">
        <v>1387</v>
      </c>
      <c r="B232" s="176">
        <v>97.5</v>
      </c>
      <c r="C232" s="192">
        <v>1403</v>
      </c>
      <c r="D232" s="177">
        <v>97.5</v>
      </c>
      <c r="E232" s="195">
        <v>2860</v>
      </c>
      <c r="F232" s="176">
        <v>391.58</v>
      </c>
      <c r="G232" s="198">
        <v>2899.99</v>
      </c>
      <c r="H232" s="177">
        <v>391.58</v>
      </c>
    </row>
    <row r="233" spans="1:8" x14ac:dyDescent="0.25">
      <c r="A233" s="189">
        <v>1403</v>
      </c>
      <c r="B233" s="176">
        <v>99.4</v>
      </c>
      <c r="C233" s="192">
        <v>1419</v>
      </c>
      <c r="D233" s="177">
        <v>99.4</v>
      </c>
      <c r="E233" s="195">
        <v>2900</v>
      </c>
      <c r="F233" s="176">
        <v>399.58</v>
      </c>
      <c r="G233" s="198">
        <v>2939.99</v>
      </c>
      <c r="H233" s="177">
        <v>399.58</v>
      </c>
    </row>
    <row r="234" spans="1:8" x14ac:dyDescent="0.25">
      <c r="A234" s="189">
        <v>1419</v>
      </c>
      <c r="B234" s="176">
        <v>101.25</v>
      </c>
      <c r="C234" s="192">
        <v>1435</v>
      </c>
      <c r="D234" s="177">
        <v>101.25</v>
      </c>
      <c r="E234" s="195">
        <v>2940</v>
      </c>
      <c r="F234" s="176">
        <v>407.58</v>
      </c>
      <c r="G234" s="198">
        <v>2979.99</v>
      </c>
      <c r="H234" s="177">
        <v>407.58</v>
      </c>
    </row>
    <row r="235" spans="1:8" x14ac:dyDescent="0.25">
      <c r="A235" s="189">
        <v>1435</v>
      </c>
      <c r="B235" s="176">
        <v>103.1</v>
      </c>
      <c r="C235" s="192">
        <v>1451</v>
      </c>
      <c r="D235" s="177">
        <v>103.1</v>
      </c>
      <c r="E235" s="195">
        <v>2980</v>
      </c>
      <c r="F235" s="176">
        <v>415.58</v>
      </c>
      <c r="G235" s="198">
        <v>3019.99</v>
      </c>
      <c r="H235" s="177">
        <v>415.58</v>
      </c>
    </row>
    <row r="236" spans="1:8" x14ac:dyDescent="0.25">
      <c r="A236" s="189">
        <v>1451</v>
      </c>
      <c r="B236" s="176">
        <v>104.95</v>
      </c>
      <c r="C236" s="192">
        <v>1467</v>
      </c>
      <c r="D236" s="177">
        <v>104.95</v>
      </c>
      <c r="E236" s="195">
        <v>3020</v>
      </c>
      <c r="F236" s="176">
        <v>423.58</v>
      </c>
      <c r="G236" s="198">
        <v>3059.99</v>
      </c>
      <c r="H236" s="177">
        <v>423.58</v>
      </c>
    </row>
    <row r="237" spans="1:8" x14ac:dyDescent="0.25">
      <c r="A237" s="189">
        <v>1467</v>
      </c>
      <c r="B237" s="176">
        <v>106.8</v>
      </c>
      <c r="C237" s="192">
        <v>1483</v>
      </c>
      <c r="D237" s="177">
        <v>106.8</v>
      </c>
      <c r="E237" s="195">
        <v>3060</v>
      </c>
      <c r="F237" s="176">
        <v>431.58</v>
      </c>
      <c r="G237" s="198">
        <v>3099.99</v>
      </c>
      <c r="H237" s="177">
        <v>431.58</v>
      </c>
    </row>
    <row r="238" spans="1:8" x14ac:dyDescent="0.25">
      <c r="A238" s="189">
        <v>1483</v>
      </c>
      <c r="B238" s="176">
        <v>108.65</v>
      </c>
      <c r="C238" s="192">
        <v>1499</v>
      </c>
      <c r="D238" s="177">
        <v>108.65</v>
      </c>
      <c r="E238" s="195">
        <v>3100</v>
      </c>
      <c r="F238" s="176">
        <v>439.58</v>
      </c>
      <c r="G238" s="198">
        <v>3139.99</v>
      </c>
      <c r="H238" s="177">
        <v>439.58</v>
      </c>
    </row>
    <row r="239" spans="1:8" x14ac:dyDescent="0.25">
      <c r="A239" s="189">
        <v>1499</v>
      </c>
      <c r="B239" s="176">
        <v>110.5</v>
      </c>
      <c r="C239" s="192">
        <v>1515</v>
      </c>
      <c r="D239" s="177">
        <v>110.5</v>
      </c>
      <c r="E239" s="195">
        <v>3140</v>
      </c>
      <c r="F239" s="176">
        <v>447.58</v>
      </c>
      <c r="G239" s="198">
        <v>3179.99</v>
      </c>
      <c r="H239" s="177">
        <v>447.58</v>
      </c>
    </row>
    <row r="240" spans="1:8" x14ac:dyDescent="0.25">
      <c r="A240" s="189">
        <v>1515</v>
      </c>
      <c r="B240" s="176">
        <v>112.35</v>
      </c>
      <c r="C240" s="192">
        <v>1531</v>
      </c>
      <c r="D240" s="177">
        <v>112.35</v>
      </c>
      <c r="E240" s="195">
        <v>3180</v>
      </c>
      <c r="F240" s="176">
        <v>455.58</v>
      </c>
      <c r="G240" s="198">
        <v>3219.99</v>
      </c>
      <c r="H240" s="177">
        <v>455.58</v>
      </c>
    </row>
    <row r="241" spans="1:8" x14ac:dyDescent="0.25">
      <c r="A241" s="189">
        <v>1531</v>
      </c>
      <c r="B241" s="176">
        <v>114.25</v>
      </c>
      <c r="C241" s="192">
        <v>1547</v>
      </c>
      <c r="D241" s="177">
        <v>114.25</v>
      </c>
      <c r="E241" s="195">
        <v>3220</v>
      </c>
      <c r="F241" s="176">
        <v>463.58</v>
      </c>
      <c r="G241" s="198">
        <v>3259.99</v>
      </c>
      <c r="H241" s="177">
        <v>463.58</v>
      </c>
    </row>
    <row r="242" spans="1:8" x14ac:dyDescent="0.25">
      <c r="A242" s="189">
        <v>1547</v>
      </c>
      <c r="B242" s="176">
        <v>116.1</v>
      </c>
      <c r="C242" s="192">
        <v>1563</v>
      </c>
      <c r="D242" s="177">
        <v>116.1</v>
      </c>
      <c r="E242" s="195">
        <v>3260</v>
      </c>
      <c r="F242" s="176">
        <v>471.58</v>
      </c>
      <c r="G242" s="198">
        <v>3299.99</v>
      </c>
      <c r="H242" s="177">
        <v>471.58</v>
      </c>
    </row>
    <row r="243" spans="1:8" x14ac:dyDescent="0.25">
      <c r="A243" s="189">
        <v>1563</v>
      </c>
      <c r="B243" s="176">
        <v>117.95</v>
      </c>
      <c r="C243" s="192">
        <v>1579</v>
      </c>
      <c r="D243" s="177">
        <v>117.95</v>
      </c>
      <c r="E243" s="195">
        <v>3300</v>
      </c>
      <c r="F243" s="176">
        <v>479.58</v>
      </c>
      <c r="G243" s="198">
        <v>3339.99</v>
      </c>
      <c r="H243" s="177">
        <v>479.58</v>
      </c>
    </row>
    <row r="244" spans="1:8" x14ac:dyDescent="0.25">
      <c r="A244" s="189">
        <v>1579</v>
      </c>
      <c r="B244" s="176">
        <v>119.8</v>
      </c>
      <c r="C244" s="192">
        <v>1595</v>
      </c>
      <c r="D244" s="177">
        <v>119.8</v>
      </c>
      <c r="E244" s="195">
        <v>3340</v>
      </c>
      <c r="F244" s="176">
        <v>487.58</v>
      </c>
      <c r="G244" s="198">
        <v>3379.99</v>
      </c>
      <c r="H244" s="177">
        <v>487.58</v>
      </c>
    </row>
    <row r="245" spans="1:8" x14ac:dyDescent="0.25">
      <c r="A245" s="189">
        <v>1595</v>
      </c>
      <c r="B245" s="176">
        <v>121.65</v>
      </c>
      <c r="C245" s="192">
        <v>1611</v>
      </c>
      <c r="D245" s="177">
        <v>121.65</v>
      </c>
      <c r="E245" s="195">
        <v>3380</v>
      </c>
      <c r="F245" s="176">
        <v>495.58</v>
      </c>
      <c r="G245" s="198">
        <v>3419.99</v>
      </c>
      <c r="H245" s="177">
        <v>495.58</v>
      </c>
    </row>
    <row r="246" spans="1:8" x14ac:dyDescent="0.25">
      <c r="A246" s="189">
        <v>1611</v>
      </c>
      <c r="B246" s="176">
        <v>123.5</v>
      </c>
      <c r="C246" s="192">
        <v>1627</v>
      </c>
      <c r="D246" s="177">
        <v>123.5</v>
      </c>
      <c r="E246" s="195">
        <v>3420</v>
      </c>
      <c r="F246" s="176">
        <v>503.58</v>
      </c>
      <c r="G246" s="198">
        <v>3459.99</v>
      </c>
      <c r="H246" s="177">
        <v>503.58</v>
      </c>
    </row>
    <row r="247" spans="1:8" x14ac:dyDescent="0.25">
      <c r="A247" s="189">
        <v>1627</v>
      </c>
      <c r="B247" s="176">
        <v>125.35</v>
      </c>
      <c r="C247" s="192">
        <v>1643</v>
      </c>
      <c r="D247" s="177">
        <v>125.35</v>
      </c>
      <c r="E247" s="195">
        <v>3460</v>
      </c>
      <c r="F247" s="176">
        <v>511.9</v>
      </c>
      <c r="G247" s="198">
        <v>3499.99</v>
      </c>
      <c r="H247" s="177">
        <v>511.9</v>
      </c>
    </row>
    <row r="248" spans="1:8" x14ac:dyDescent="0.25">
      <c r="A248" s="189">
        <v>1643</v>
      </c>
      <c r="B248" s="176">
        <v>127.2</v>
      </c>
      <c r="C248" s="192">
        <v>1659</v>
      </c>
      <c r="D248" s="177">
        <v>127.2</v>
      </c>
      <c r="E248" s="195">
        <v>3500</v>
      </c>
      <c r="F248" s="176">
        <v>521.5</v>
      </c>
      <c r="G248" s="198">
        <v>3539.99</v>
      </c>
      <c r="H248" s="177">
        <v>521.5</v>
      </c>
    </row>
    <row r="249" spans="1:8" x14ac:dyDescent="0.25">
      <c r="A249" s="189">
        <v>1659</v>
      </c>
      <c r="B249" s="176">
        <v>129.05000000000001</v>
      </c>
      <c r="C249" s="192">
        <v>1675</v>
      </c>
      <c r="D249" s="177">
        <v>129.05000000000001</v>
      </c>
      <c r="E249" s="195">
        <v>3540</v>
      </c>
      <c r="F249" s="176">
        <v>531.1</v>
      </c>
      <c r="G249" s="198">
        <v>3579.99</v>
      </c>
      <c r="H249" s="177">
        <v>531.1</v>
      </c>
    </row>
    <row r="250" spans="1:8" x14ac:dyDescent="0.25">
      <c r="A250" s="189">
        <v>1675</v>
      </c>
      <c r="B250" s="176">
        <v>130.94999999999999</v>
      </c>
      <c r="C250" s="192">
        <v>1691</v>
      </c>
      <c r="D250" s="177">
        <v>130.94999999999999</v>
      </c>
      <c r="E250" s="195">
        <v>3580</v>
      </c>
      <c r="F250" s="176">
        <v>540.70000000000005</v>
      </c>
      <c r="G250" s="198">
        <v>3619.99</v>
      </c>
      <c r="H250" s="177">
        <v>540.70000000000005</v>
      </c>
    </row>
    <row r="251" spans="1:8" x14ac:dyDescent="0.25">
      <c r="A251" s="189">
        <v>1691</v>
      </c>
      <c r="B251" s="176">
        <v>132.80000000000001</v>
      </c>
      <c r="C251" s="192">
        <v>1707</v>
      </c>
      <c r="D251" s="177">
        <v>132.80000000000001</v>
      </c>
      <c r="E251" s="195">
        <v>3620</v>
      </c>
      <c r="F251" s="176">
        <v>550.29999999999995</v>
      </c>
      <c r="G251" s="198">
        <v>3659.99</v>
      </c>
      <c r="H251" s="177">
        <v>550.29999999999995</v>
      </c>
    </row>
    <row r="252" spans="1:8" x14ac:dyDescent="0.25">
      <c r="A252" s="189">
        <v>1707</v>
      </c>
      <c r="B252" s="176">
        <v>134.65</v>
      </c>
      <c r="C252" s="192">
        <v>1723</v>
      </c>
      <c r="D252" s="177">
        <v>134.65</v>
      </c>
      <c r="E252" s="195">
        <v>3660</v>
      </c>
      <c r="F252" s="176">
        <v>559.9</v>
      </c>
      <c r="G252" s="198">
        <v>3699.99</v>
      </c>
      <c r="H252" s="177">
        <v>559.9</v>
      </c>
    </row>
    <row r="253" spans="1:8" x14ac:dyDescent="0.25">
      <c r="A253" s="189">
        <v>1723</v>
      </c>
      <c r="B253" s="176">
        <v>136.5</v>
      </c>
      <c r="C253" s="192">
        <v>1739</v>
      </c>
      <c r="D253" s="177">
        <v>136.5</v>
      </c>
      <c r="E253" s="195">
        <v>3700</v>
      </c>
      <c r="F253" s="176">
        <v>569.5</v>
      </c>
      <c r="G253" s="198">
        <v>3739.99</v>
      </c>
      <c r="H253" s="177">
        <v>569.5</v>
      </c>
    </row>
    <row r="254" spans="1:8" x14ac:dyDescent="0.25">
      <c r="A254" s="189">
        <v>1739</v>
      </c>
      <c r="B254" s="176">
        <v>138.35</v>
      </c>
      <c r="C254" s="192">
        <v>1755</v>
      </c>
      <c r="D254" s="177">
        <v>138.35</v>
      </c>
      <c r="E254" s="195">
        <v>3740</v>
      </c>
      <c r="F254" s="176">
        <v>579.1</v>
      </c>
      <c r="G254" s="198">
        <v>3779.99</v>
      </c>
      <c r="H254" s="177">
        <v>579.1</v>
      </c>
    </row>
    <row r="255" spans="1:8" x14ac:dyDescent="0.25">
      <c r="A255" s="189">
        <v>1755</v>
      </c>
      <c r="B255" s="176">
        <v>140.19999999999999</v>
      </c>
      <c r="C255" s="192">
        <v>1771</v>
      </c>
      <c r="D255" s="177">
        <v>140.19999999999999</v>
      </c>
      <c r="E255" s="195">
        <v>3780</v>
      </c>
      <c r="F255" s="176">
        <v>588.70000000000005</v>
      </c>
      <c r="G255" s="198">
        <v>3819.99</v>
      </c>
      <c r="H255" s="177">
        <v>588.70000000000005</v>
      </c>
    </row>
    <row r="256" spans="1:8" x14ac:dyDescent="0.25">
      <c r="A256" s="189">
        <v>1771</v>
      </c>
      <c r="B256" s="176">
        <v>142.05000000000001</v>
      </c>
      <c r="C256" s="192">
        <v>1787</v>
      </c>
      <c r="D256" s="177">
        <v>142.05000000000001</v>
      </c>
      <c r="E256" s="195">
        <v>3820</v>
      </c>
      <c r="F256" s="176">
        <v>598.29999999999995</v>
      </c>
      <c r="G256" s="198">
        <v>3859.99</v>
      </c>
      <c r="H256" s="177">
        <v>598.29999999999995</v>
      </c>
    </row>
    <row r="257" spans="1:8" x14ac:dyDescent="0.25">
      <c r="A257" s="189">
        <v>1787</v>
      </c>
      <c r="B257" s="176">
        <v>143.9</v>
      </c>
      <c r="C257" s="192">
        <v>1803</v>
      </c>
      <c r="D257" s="177">
        <v>143.9</v>
      </c>
      <c r="E257" s="195">
        <v>3860</v>
      </c>
      <c r="F257" s="176">
        <v>607.9</v>
      </c>
      <c r="G257" s="198">
        <v>3899.99</v>
      </c>
      <c r="H257" s="177">
        <v>607.9</v>
      </c>
    </row>
    <row r="258" spans="1:8" x14ac:dyDescent="0.25">
      <c r="A258" s="189">
        <v>1803</v>
      </c>
      <c r="B258" s="176">
        <v>145.80000000000001</v>
      </c>
      <c r="C258" s="192">
        <v>1819</v>
      </c>
      <c r="D258" s="177">
        <v>145.80000000000001</v>
      </c>
      <c r="E258" s="195">
        <v>3900</v>
      </c>
      <c r="F258" s="176">
        <v>617.5</v>
      </c>
      <c r="G258" s="198">
        <v>3939.99</v>
      </c>
      <c r="H258" s="177">
        <v>617.5</v>
      </c>
    </row>
    <row r="259" spans="1:8" x14ac:dyDescent="0.25">
      <c r="A259" s="189">
        <v>1819</v>
      </c>
      <c r="B259" s="176">
        <v>147.65</v>
      </c>
      <c r="C259" s="192">
        <v>1835</v>
      </c>
      <c r="D259" s="177">
        <v>147.65</v>
      </c>
      <c r="E259" s="195">
        <v>3940</v>
      </c>
      <c r="F259" s="176">
        <v>627.1</v>
      </c>
      <c r="G259" s="198">
        <v>3979.99</v>
      </c>
      <c r="H259" s="177">
        <v>627.1</v>
      </c>
    </row>
    <row r="260" spans="1:8" x14ac:dyDescent="0.25">
      <c r="A260" s="189">
        <v>1835</v>
      </c>
      <c r="B260" s="176">
        <v>149.5</v>
      </c>
      <c r="C260" s="192">
        <v>1851</v>
      </c>
      <c r="D260" s="177">
        <v>149.5</v>
      </c>
      <c r="E260" s="195">
        <v>3980</v>
      </c>
      <c r="F260" s="176">
        <v>636.70000000000005</v>
      </c>
      <c r="G260" s="198">
        <v>4019.99</v>
      </c>
      <c r="H260" s="177">
        <v>636.70000000000005</v>
      </c>
    </row>
    <row r="261" spans="1:8" x14ac:dyDescent="0.25">
      <c r="A261" s="189">
        <v>1851</v>
      </c>
      <c r="B261" s="176">
        <v>151.35</v>
      </c>
      <c r="C261" s="192">
        <v>1867</v>
      </c>
      <c r="D261" s="177">
        <v>151.35</v>
      </c>
      <c r="E261" s="195">
        <v>4020</v>
      </c>
      <c r="F261" s="176">
        <v>646.29999999999995</v>
      </c>
      <c r="G261" s="198">
        <v>4059.99</v>
      </c>
      <c r="H261" s="177">
        <v>646.29999999999995</v>
      </c>
    </row>
    <row r="262" spans="1:8" x14ac:dyDescent="0.25">
      <c r="A262" s="189">
        <v>1867</v>
      </c>
      <c r="B262" s="176">
        <v>153.6</v>
      </c>
      <c r="C262" s="192">
        <v>1883</v>
      </c>
      <c r="D262" s="177">
        <v>153.6</v>
      </c>
      <c r="E262" s="195">
        <v>4060</v>
      </c>
      <c r="F262" s="176">
        <v>660.7</v>
      </c>
      <c r="G262" s="198">
        <v>4139.99</v>
      </c>
      <c r="H262" s="177">
        <v>660.7</v>
      </c>
    </row>
    <row r="263" spans="1:8" x14ac:dyDescent="0.25">
      <c r="A263" s="189">
        <v>1883</v>
      </c>
      <c r="B263" s="176">
        <v>156.19999999999999</v>
      </c>
      <c r="C263" s="192">
        <v>1899</v>
      </c>
      <c r="D263" s="177">
        <v>156.19999999999999</v>
      </c>
      <c r="E263" s="195">
        <v>4140</v>
      </c>
      <c r="F263" s="176">
        <v>679.9</v>
      </c>
      <c r="G263" s="198">
        <v>4219.99</v>
      </c>
      <c r="H263" s="177">
        <v>679.9</v>
      </c>
    </row>
    <row r="264" spans="1:8" x14ac:dyDescent="0.25">
      <c r="A264" s="189">
        <v>1899</v>
      </c>
      <c r="B264" s="176">
        <v>158.75</v>
      </c>
      <c r="C264" s="192">
        <v>1915</v>
      </c>
      <c r="D264" s="177">
        <v>158.75</v>
      </c>
      <c r="E264" s="195">
        <v>4220</v>
      </c>
      <c r="F264" s="176">
        <v>699.9</v>
      </c>
      <c r="G264" s="198">
        <v>4299.99</v>
      </c>
      <c r="H264" s="177">
        <v>699.9</v>
      </c>
    </row>
    <row r="265" spans="1:8" x14ac:dyDescent="0.25">
      <c r="A265" s="189">
        <v>1915</v>
      </c>
      <c r="B265" s="176">
        <v>161.35</v>
      </c>
      <c r="C265" s="192">
        <v>1931</v>
      </c>
      <c r="D265" s="177">
        <v>161.35</v>
      </c>
      <c r="E265" s="195">
        <v>4300</v>
      </c>
      <c r="F265" s="176">
        <v>720.5</v>
      </c>
      <c r="G265" s="198">
        <v>4379.99</v>
      </c>
      <c r="H265" s="177">
        <v>720.5</v>
      </c>
    </row>
    <row r="266" spans="1:8" x14ac:dyDescent="0.25">
      <c r="A266" s="189">
        <v>1931</v>
      </c>
      <c r="B266" s="176">
        <v>163.95</v>
      </c>
      <c r="C266" s="192">
        <v>1947</v>
      </c>
      <c r="D266" s="177">
        <v>163.95</v>
      </c>
      <c r="E266" s="195">
        <v>4380</v>
      </c>
      <c r="F266" s="176">
        <v>741.1</v>
      </c>
      <c r="G266" s="198">
        <v>4459.99</v>
      </c>
      <c r="H266" s="177">
        <v>741.1</v>
      </c>
    </row>
    <row r="267" spans="1:8" x14ac:dyDescent="0.25">
      <c r="A267" s="189">
        <v>1947</v>
      </c>
      <c r="B267" s="176">
        <v>166.55</v>
      </c>
      <c r="C267" s="192">
        <v>1963</v>
      </c>
      <c r="D267" s="177">
        <v>166.55</v>
      </c>
      <c r="E267" s="195">
        <v>4460</v>
      </c>
      <c r="F267" s="176">
        <v>761.7</v>
      </c>
      <c r="G267" s="198">
        <v>4539.99</v>
      </c>
      <c r="H267" s="177">
        <v>761.7</v>
      </c>
    </row>
    <row r="268" spans="1:8" x14ac:dyDescent="0.25">
      <c r="A268" s="189">
        <v>1963</v>
      </c>
      <c r="B268" s="176">
        <v>169.15</v>
      </c>
      <c r="C268" s="192">
        <v>1979</v>
      </c>
      <c r="D268" s="177">
        <v>169.15</v>
      </c>
      <c r="E268" s="195">
        <v>4540</v>
      </c>
      <c r="F268" s="176">
        <v>782.3</v>
      </c>
      <c r="G268" s="198">
        <v>4619.99</v>
      </c>
      <c r="H268" s="177">
        <v>782.3</v>
      </c>
    </row>
    <row r="269" spans="1:8" x14ac:dyDescent="0.25">
      <c r="A269" s="189">
        <v>1979</v>
      </c>
      <c r="B269" s="176">
        <v>171.75</v>
      </c>
      <c r="C269" s="192">
        <v>1995</v>
      </c>
      <c r="D269" s="177">
        <v>171.75</v>
      </c>
      <c r="E269" s="195">
        <v>4620</v>
      </c>
      <c r="F269" s="176">
        <v>802.9</v>
      </c>
      <c r="G269" s="198">
        <v>4699.99</v>
      </c>
      <c r="H269" s="177">
        <v>802.9</v>
      </c>
    </row>
    <row r="270" spans="1:8" x14ac:dyDescent="0.25">
      <c r="A270" s="189">
        <v>1995</v>
      </c>
      <c r="B270" s="176">
        <v>174.3</v>
      </c>
      <c r="C270" s="192">
        <v>2011</v>
      </c>
      <c r="D270" s="177">
        <v>174.3</v>
      </c>
      <c r="E270" s="195">
        <v>4700</v>
      </c>
      <c r="F270" s="176">
        <v>823.5</v>
      </c>
      <c r="G270" s="198">
        <v>4779.99</v>
      </c>
      <c r="H270" s="177">
        <v>823.5</v>
      </c>
    </row>
    <row r="271" spans="1:8" x14ac:dyDescent="0.25">
      <c r="A271" s="189">
        <v>2011</v>
      </c>
      <c r="B271" s="176">
        <v>176.9</v>
      </c>
      <c r="C271" s="192">
        <v>2027</v>
      </c>
      <c r="D271" s="177">
        <v>176.9</v>
      </c>
      <c r="E271" s="195">
        <v>4780</v>
      </c>
      <c r="F271" s="176">
        <v>844.1</v>
      </c>
      <c r="G271" s="198">
        <v>4859.99</v>
      </c>
      <c r="H271" s="177">
        <v>844.1</v>
      </c>
    </row>
    <row r="272" spans="1:8" x14ac:dyDescent="0.25">
      <c r="A272" s="189">
        <v>2027</v>
      </c>
      <c r="B272" s="176">
        <v>179.5</v>
      </c>
      <c r="C272" s="192">
        <v>2043</v>
      </c>
      <c r="D272" s="177">
        <v>179.5</v>
      </c>
      <c r="E272" s="195">
        <v>4860</v>
      </c>
      <c r="F272" s="176">
        <v>864.7</v>
      </c>
      <c r="G272" s="198">
        <v>4939.99</v>
      </c>
      <c r="H272" s="177">
        <v>864.7</v>
      </c>
    </row>
    <row r="273" spans="1:8" x14ac:dyDescent="0.25">
      <c r="A273" s="189">
        <v>2043</v>
      </c>
      <c r="B273" s="176">
        <v>182.1</v>
      </c>
      <c r="C273" s="192">
        <v>2059</v>
      </c>
      <c r="D273" s="177">
        <v>182.1</v>
      </c>
      <c r="E273" s="195">
        <v>4940</v>
      </c>
      <c r="F273" s="176">
        <v>885.3</v>
      </c>
      <c r="G273" s="198">
        <v>5019.99</v>
      </c>
      <c r="H273" s="177">
        <v>885.3</v>
      </c>
    </row>
    <row r="274" spans="1:8" x14ac:dyDescent="0.25">
      <c r="A274" s="189">
        <v>2059</v>
      </c>
      <c r="B274" s="176">
        <v>184.7</v>
      </c>
      <c r="C274" s="192">
        <v>2075</v>
      </c>
      <c r="D274" s="177">
        <v>184.7</v>
      </c>
      <c r="E274" s="195">
        <v>5020</v>
      </c>
      <c r="F274" s="176">
        <v>905.9</v>
      </c>
      <c r="G274" s="198">
        <v>5099.99</v>
      </c>
      <c r="H274" s="177">
        <v>905.9</v>
      </c>
    </row>
    <row r="275" spans="1:8" x14ac:dyDescent="0.25">
      <c r="A275" s="189">
        <v>2075</v>
      </c>
      <c r="B275" s="176">
        <v>187.25</v>
      </c>
      <c r="C275" s="192">
        <v>2091</v>
      </c>
      <c r="D275" s="177">
        <v>187.25</v>
      </c>
      <c r="E275" s="195">
        <v>5100</v>
      </c>
      <c r="F275" s="176">
        <v>926.5</v>
      </c>
      <c r="G275" s="198">
        <v>5179.99</v>
      </c>
      <c r="H275" s="177">
        <v>926.5</v>
      </c>
    </row>
    <row r="276" spans="1:8" x14ac:dyDescent="0.25">
      <c r="A276" s="189">
        <v>2091</v>
      </c>
      <c r="B276" s="176">
        <v>190.55</v>
      </c>
      <c r="C276" s="192">
        <v>2115</v>
      </c>
      <c r="D276" s="177">
        <v>190.55</v>
      </c>
      <c r="E276" s="195">
        <v>5180</v>
      </c>
      <c r="F276" s="176">
        <v>947.1</v>
      </c>
      <c r="G276" s="198">
        <v>5259.99</v>
      </c>
      <c r="H276" s="177">
        <v>947.1</v>
      </c>
    </row>
    <row r="277" spans="1:8" x14ac:dyDescent="0.25">
      <c r="A277" s="189">
        <v>2115</v>
      </c>
      <c r="B277" s="176">
        <v>194.45</v>
      </c>
      <c r="C277" s="192">
        <v>2139</v>
      </c>
      <c r="D277" s="177">
        <v>194.45</v>
      </c>
      <c r="E277" s="195">
        <v>5260</v>
      </c>
      <c r="F277" s="176">
        <v>967.7</v>
      </c>
      <c r="G277" s="198">
        <v>5339.99</v>
      </c>
      <c r="H277" s="177">
        <v>967.7</v>
      </c>
    </row>
    <row r="278" spans="1:8" x14ac:dyDescent="0.25">
      <c r="A278" s="189">
        <v>2139</v>
      </c>
      <c r="B278" s="176">
        <v>198.4</v>
      </c>
      <c r="C278" s="192">
        <v>2163</v>
      </c>
      <c r="D278" s="177">
        <v>198.4</v>
      </c>
      <c r="E278" s="195">
        <v>5340</v>
      </c>
      <c r="F278" s="176">
        <v>988.3</v>
      </c>
      <c r="G278" s="198">
        <v>5419.99</v>
      </c>
      <c r="H278" s="177">
        <v>988.3</v>
      </c>
    </row>
    <row r="279" spans="1:8" x14ac:dyDescent="0.25">
      <c r="A279" s="189">
        <v>2163</v>
      </c>
      <c r="B279" s="176">
        <v>202.3</v>
      </c>
      <c r="C279" s="192">
        <v>2187</v>
      </c>
      <c r="D279" s="177">
        <v>202.3</v>
      </c>
      <c r="E279" s="195">
        <v>5420</v>
      </c>
      <c r="F279" s="176">
        <v>1008.9</v>
      </c>
      <c r="G279" s="198">
        <v>5499.99</v>
      </c>
      <c r="H279" s="177">
        <v>1008.9</v>
      </c>
    </row>
    <row r="280" spans="1:8" x14ac:dyDescent="0.25">
      <c r="A280" s="189">
        <v>2187</v>
      </c>
      <c r="B280" s="176">
        <v>206.25</v>
      </c>
      <c r="C280" s="192">
        <v>2211</v>
      </c>
      <c r="D280" s="177">
        <v>206.25</v>
      </c>
      <c r="E280" s="195">
        <v>5500</v>
      </c>
      <c r="F280" s="176">
        <v>1029.5</v>
      </c>
      <c r="G280" s="198">
        <v>5579.99</v>
      </c>
      <c r="H280" s="177">
        <v>1029.5</v>
      </c>
    </row>
    <row r="281" spans="1:8" x14ac:dyDescent="0.25">
      <c r="A281" s="189">
        <v>2211</v>
      </c>
      <c r="B281" s="176">
        <v>210.15</v>
      </c>
      <c r="C281" s="192">
        <v>2235</v>
      </c>
      <c r="D281" s="177">
        <v>210.15</v>
      </c>
      <c r="E281" s="195">
        <v>5580</v>
      </c>
      <c r="F281" s="176">
        <v>1050.0999999999999</v>
      </c>
      <c r="G281" s="198">
        <v>5659.99</v>
      </c>
      <c r="H281" s="177">
        <v>1050.0999999999999</v>
      </c>
    </row>
    <row r="282" spans="1:8" x14ac:dyDescent="0.25">
      <c r="A282" s="189">
        <v>2235</v>
      </c>
      <c r="B282" s="176">
        <v>214.05</v>
      </c>
      <c r="C282" s="192">
        <v>2259</v>
      </c>
      <c r="D282" s="177">
        <v>214.05</v>
      </c>
      <c r="E282" s="195">
        <v>5660</v>
      </c>
      <c r="F282" s="176">
        <v>1070.7</v>
      </c>
      <c r="G282" s="198">
        <v>5739.99</v>
      </c>
      <c r="H282" s="177">
        <v>1070.7</v>
      </c>
    </row>
    <row r="283" spans="1:8" x14ac:dyDescent="0.25">
      <c r="A283" s="189">
        <v>2259</v>
      </c>
      <c r="B283" s="176">
        <v>218.1</v>
      </c>
      <c r="C283" s="192">
        <v>2283</v>
      </c>
      <c r="D283" s="177">
        <v>218.1</v>
      </c>
      <c r="E283" s="195">
        <v>5740</v>
      </c>
      <c r="F283" s="176">
        <v>1091.3</v>
      </c>
      <c r="G283" s="198">
        <v>5819.99</v>
      </c>
      <c r="H283" s="177">
        <v>1091.3</v>
      </c>
    </row>
    <row r="284" spans="1:8" x14ac:dyDescent="0.25">
      <c r="A284" s="189">
        <v>2283</v>
      </c>
      <c r="B284" s="176">
        <v>222.2</v>
      </c>
      <c r="C284" s="192">
        <v>2307</v>
      </c>
      <c r="D284" s="177">
        <v>222.2</v>
      </c>
      <c r="E284" s="195">
        <v>5820</v>
      </c>
      <c r="F284" s="176">
        <v>1111.9000000000001</v>
      </c>
      <c r="G284" s="198">
        <v>5899.99</v>
      </c>
      <c r="H284" s="177">
        <v>1111.9000000000001</v>
      </c>
    </row>
    <row r="285" spans="1:8" x14ac:dyDescent="0.25">
      <c r="A285" s="189">
        <v>2307</v>
      </c>
      <c r="B285" s="176">
        <v>226.25</v>
      </c>
      <c r="C285" s="192">
        <v>2331</v>
      </c>
      <c r="D285" s="177">
        <v>226.25</v>
      </c>
      <c r="E285" s="195">
        <v>5900</v>
      </c>
      <c r="F285" s="176">
        <v>1132.5</v>
      </c>
      <c r="G285" s="198">
        <v>5979.99</v>
      </c>
      <c r="H285" s="177">
        <v>1132.5</v>
      </c>
    </row>
    <row r="286" spans="1:8" x14ac:dyDescent="0.25">
      <c r="A286" s="189">
        <v>2331</v>
      </c>
      <c r="B286" s="176">
        <v>230.35</v>
      </c>
      <c r="C286" s="192">
        <v>2355</v>
      </c>
      <c r="D286" s="177">
        <v>230.35</v>
      </c>
      <c r="E286" s="195">
        <v>5980</v>
      </c>
      <c r="F286" s="176">
        <v>1153.0999999999999</v>
      </c>
      <c r="G286" s="198">
        <v>6059.99</v>
      </c>
      <c r="H286" s="177">
        <v>1153.0999999999999</v>
      </c>
    </row>
    <row r="287" spans="1:8" x14ac:dyDescent="0.25">
      <c r="A287" s="189">
        <v>2355</v>
      </c>
      <c r="B287" s="176">
        <v>234.45</v>
      </c>
      <c r="C287" s="192">
        <v>2379</v>
      </c>
      <c r="D287" s="177">
        <v>234.45</v>
      </c>
      <c r="E287" s="195">
        <v>6060</v>
      </c>
      <c r="F287" s="176">
        <v>1173.7</v>
      </c>
      <c r="G287" s="198">
        <v>6139.99</v>
      </c>
      <c r="H287" s="177">
        <v>1173.7</v>
      </c>
    </row>
    <row r="288" spans="1:8" x14ac:dyDescent="0.25">
      <c r="A288" s="189">
        <v>2379</v>
      </c>
      <c r="B288" s="176">
        <v>238.55</v>
      </c>
      <c r="C288" s="192">
        <v>2403</v>
      </c>
      <c r="D288" s="177">
        <v>238.55</v>
      </c>
      <c r="E288" s="195">
        <v>6140</v>
      </c>
      <c r="F288" s="176">
        <v>1194.3</v>
      </c>
      <c r="G288" s="198">
        <v>6219.99</v>
      </c>
      <c r="H288" s="177">
        <v>1194.3</v>
      </c>
    </row>
    <row r="289" spans="1:8" x14ac:dyDescent="0.25">
      <c r="A289" s="189">
        <v>2403</v>
      </c>
      <c r="B289" s="176">
        <v>242.65</v>
      </c>
      <c r="C289" s="192">
        <v>2427</v>
      </c>
      <c r="D289" s="177">
        <v>242.65</v>
      </c>
      <c r="E289" s="195">
        <v>6220</v>
      </c>
      <c r="F289" s="176">
        <v>1214.9000000000001</v>
      </c>
      <c r="G289" s="198">
        <v>6299.99</v>
      </c>
      <c r="H289" s="177">
        <v>1214.9000000000001</v>
      </c>
    </row>
    <row r="290" spans="1:8" x14ac:dyDescent="0.25">
      <c r="A290" s="189">
        <v>2427</v>
      </c>
      <c r="B290" s="176">
        <v>246.75</v>
      </c>
      <c r="C290" s="192">
        <v>2451</v>
      </c>
      <c r="D290" s="177">
        <v>246.75</v>
      </c>
      <c r="E290" s="195">
        <v>6300</v>
      </c>
      <c r="F290" s="176">
        <v>1235.5</v>
      </c>
      <c r="G290" s="198">
        <v>6379.99</v>
      </c>
      <c r="H290" s="177">
        <v>1235.5</v>
      </c>
    </row>
    <row r="291" spans="1:8" x14ac:dyDescent="0.25">
      <c r="A291" s="189">
        <v>2451</v>
      </c>
      <c r="B291" s="176">
        <v>250.85</v>
      </c>
      <c r="C291" s="192">
        <v>2475</v>
      </c>
      <c r="D291" s="177">
        <v>250.85</v>
      </c>
      <c r="E291" s="195">
        <v>6380</v>
      </c>
      <c r="F291" s="176">
        <v>1256.0999999999999</v>
      </c>
      <c r="G291" s="198">
        <v>6459.99</v>
      </c>
      <c r="H291" s="177">
        <v>1256.0999999999999</v>
      </c>
    </row>
    <row r="292" spans="1:8" x14ac:dyDescent="0.25">
      <c r="A292" s="189">
        <v>2475</v>
      </c>
      <c r="B292" s="176">
        <v>254.95</v>
      </c>
      <c r="C292" s="192">
        <v>2499</v>
      </c>
      <c r="D292" s="177">
        <v>254.95</v>
      </c>
      <c r="E292" s="195">
        <v>6460</v>
      </c>
      <c r="F292" s="176">
        <v>1276.7</v>
      </c>
      <c r="G292" s="198">
        <v>6539.99</v>
      </c>
      <c r="H292" s="177">
        <v>1276.7</v>
      </c>
    </row>
    <row r="293" spans="1:8" x14ac:dyDescent="0.25">
      <c r="A293" s="189">
        <v>2499</v>
      </c>
      <c r="B293" s="176">
        <v>259</v>
      </c>
      <c r="C293" s="192">
        <v>2523</v>
      </c>
      <c r="D293" s="177">
        <v>259</v>
      </c>
      <c r="E293" s="195">
        <v>6540</v>
      </c>
      <c r="F293" s="176">
        <v>1297.3</v>
      </c>
      <c r="G293" s="198">
        <v>6619.99</v>
      </c>
      <c r="H293" s="177">
        <v>1297.3</v>
      </c>
    </row>
    <row r="294" spans="1:8" x14ac:dyDescent="0.25">
      <c r="A294" s="189">
        <v>2523</v>
      </c>
      <c r="B294" s="176">
        <v>263.10000000000002</v>
      </c>
      <c r="C294" s="192">
        <v>2547</v>
      </c>
      <c r="D294" s="177">
        <v>263.10000000000002</v>
      </c>
      <c r="E294" s="195">
        <v>6620</v>
      </c>
      <c r="F294" s="176">
        <v>1317.9</v>
      </c>
      <c r="G294" s="198">
        <v>6699.99</v>
      </c>
      <c r="H294" s="177">
        <v>1317.9</v>
      </c>
    </row>
    <row r="295" spans="1:8" x14ac:dyDescent="0.25">
      <c r="A295" s="189">
        <v>2547</v>
      </c>
      <c r="B295" s="176">
        <v>267.2</v>
      </c>
      <c r="C295" s="192">
        <v>2571</v>
      </c>
      <c r="D295" s="177">
        <v>267.2</v>
      </c>
      <c r="E295" s="195">
        <v>6700</v>
      </c>
      <c r="F295" s="176">
        <v>1338.5</v>
      </c>
      <c r="G295" s="198">
        <v>6779.99</v>
      </c>
      <c r="H295" s="177">
        <v>1338.5</v>
      </c>
    </row>
    <row r="296" spans="1:8" x14ac:dyDescent="0.25">
      <c r="A296" s="189">
        <v>2571</v>
      </c>
      <c r="B296" s="176">
        <v>271.3</v>
      </c>
      <c r="C296" s="192">
        <v>2595</v>
      </c>
      <c r="D296" s="177">
        <v>271.3</v>
      </c>
      <c r="E296" s="195">
        <v>6780</v>
      </c>
      <c r="F296" s="176">
        <v>1359.1</v>
      </c>
      <c r="G296" s="198">
        <v>6859.99</v>
      </c>
      <c r="H296" s="177">
        <v>1359.1</v>
      </c>
    </row>
    <row r="297" spans="1:8" x14ac:dyDescent="0.25">
      <c r="A297" s="189">
        <v>2595</v>
      </c>
      <c r="B297" s="176">
        <v>275.39999999999998</v>
      </c>
      <c r="C297" s="192">
        <v>2619</v>
      </c>
      <c r="D297" s="177">
        <v>275.39999999999998</v>
      </c>
      <c r="E297" s="195">
        <v>6860</v>
      </c>
      <c r="F297" s="176">
        <v>1379.7</v>
      </c>
      <c r="G297" s="198">
        <v>6939.99</v>
      </c>
      <c r="H297" s="177">
        <v>1379.7</v>
      </c>
    </row>
    <row r="298" spans="1:8" x14ac:dyDescent="0.25">
      <c r="A298" s="189">
        <v>2619</v>
      </c>
      <c r="B298" s="176">
        <v>279.5</v>
      </c>
      <c r="C298" s="192">
        <v>2643</v>
      </c>
      <c r="D298" s="177">
        <v>279.5</v>
      </c>
      <c r="E298" s="195">
        <v>6940</v>
      </c>
      <c r="F298" s="176">
        <v>1400.3</v>
      </c>
      <c r="G298" s="198">
        <v>7019.99</v>
      </c>
      <c r="H298" s="177">
        <v>1400.3</v>
      </c>
    </row>
    <row r="299" spans="1:8" x14ac:dyDescent="0.25">
      <c r="A299" s="189">
        <v>2643</v>
      </c>
      <c r="B299" s="176">
        <v>283.60000000000002</v>
      </c>
      <c r="C299" s="192">
        <v>2667</v>
      </c>
      <c r="D299" s="177">
        <v>283.60000000000002</v>
      </c>
      <c r="E299" s="195">
        <v>7020</v>
      </c>
      <c r="F299" s="176">
        <v>1420.9</v>
      </c>
      <c r="G299" s="198">
        <v>7099.99</v>
      </c>
      <c r="H299" s="177">
        <v>1420.9</v>
      </c>
    </row>
    <row r="300" spans="1:8" x14ac:dyDescent="0.25">
      <c r="A300" s="189">
        <v>2667</v>
      </c>
      <c r="B300" s="176">
        <v>287.64999999999998</v>
      </c>
      <c r="C300" s="192">
        <v>2691</v>
      </c>
      <c r="D300" s="177">
        <v>287.64999999999998</v>
      </c>
      <c r="E300" s="195">
        <v>7100</v>
      </c>
      <c r="F300" s="176">
        <v>1441.5</v>
      </c>
      <c r="G300" s="198">
        <v>7179.99</v>
      </c>
      <c r="H300" s="177">
        <v>1441.5</v>
      </c>
    </row>
    <row r="301" spans="1:8" x14ac:dyDescent="0.25">
      <c r="A301" s="189">
        <v>2691</v>
      </c>
      <c r="B301" s="176">
        <v>291.75</v>
      </c>
      <c r="C301" s="192">
        <v>2715</v>
      </c>
      <c r="D301" s="177">
        <v>291.75</v>
      </c>
      <c r="E301" s="195">
        <v>7180</v>
      </c>
      <c r="F301" s="176">
        <v>1462.1</v>
      </c>
      <c r="G301" s="198">
        <v>7259.99</v>
      </c>
      <c r="H301" s="177">
        <v>1462.1</v>
      </c>
    </row>
    <row r="302" spans="1:8" x14ac:dyDescent="0.25">
      <c r="A302" s="189">
        <v>2715</v>
      </c>
      <c r="B302" s="176">
        <v>295.85000000000002</v>
      </c>
      <c r="C302" s="192">
        <v>2739</v>
      </c>
      <c r="D302" s="177">
        <v>295.85000000000002</v>
      </c>
      <c r="E302" s="195">
        <v>7260</v>
      </c>
      <c r="F302" s="176">
        <v>1482.7</v>
      </c>
      <c r="G302" s="198">
        <v>7339.99</v>
      </c>
      <c r="H302" s="177">
        <v>1482.7</v>
      </c>
    </row>
    <row r="303" spans="1:8" x14ac:dyDescent="0.25">
      <c r="A303" s="189">
        <v>2739</v>
      </c>
      <c r="B303" s="176">
        <v>299.95</v>
      </c>
      <c r="C303" s="192">
        <v>2763</v>
      </c>
      <c r="D303" s="177">
        <v>299.95</v>
      </c>
      <c r="E303" s="195">
        <v>7340</v>
      </c>
      <c r="F303" s="176">
        <v>1503.3</v>
      </c>
      <c r="G303" s="198">
        <v>7419.99</v>
      </c>
      <c r="H303" s="177">
        <v>1503.3</v>
      </c>
    </row>
    <row r="304" spans="1:8" x14ac:dyDescent="0.25">
      <c r="A304" s="189">
        <v>2763</v>
      </c>
      <c r="B304" s="176">
        <v>304.05</v>
      </c>
      <c r="C304" s="192">
        <v>2787</v>
      </c>
      <c r="D304" s="177">
        <v>304.05</v>
      </c>
      <c r="E304" s="195">
        <v>7420</v>
      </c>
      <c r="F304" s="176">
        <v>1523.9</v>
      </c>
      <c r="G304" s="198">
        <v>7499.99</v>
      </c>
      <c r="H304" s="177">
        <v>1523.9</v>
      </c>
    </row>
    <row r="305" spans="1:8" x14ac:dyDescent="0.25">
      <c r="A305" s="189">
        <v>2787</v>
      </c>
      <c r="B305" s="176">
        <v>308.14999999999998</v>
      </c>
      <c r="C305" s="192">
        <v>2811</v>
      </c>
      <c r="D305" s="177">
        <v>308.14999999999998</v>
      </c>
      <c r="E305" s="195">
        <v>7500</v>
      </c>
      <c r="F305" s="176">
        <v>1544.5</v>
      </c>
      <c r="G305" s="198">
        <v>7579.99</v>
      </c>
      <c r="H305" s="177">
        <v>1544.5</v>
      </c>
    </row>
    <row r="306" spans="1:8" x14ac:dyDescent="0.25">
      <c r="A306" s="189">
        <v>2811</v>
      </c>
      <c r="B306" s="176">
        <v>312.25</v>
      </c>
      <c r="C306" s="192">
        <v>2835</v>
      </c>
      <c r="D306" s="177">
        <v>312.25</v>
      </c>
      <c r="E306" s="196">
        <v>7580</v>
      </c>
      <c r="F306" s="178">
        <v>1565.1</v>
      </c>
      <c r="G306" s="199">
        <v>7659.99</v>
      </c>
      <c r="H306" s="179">
        <v>1565.1</v>
      </c>
    </row>
    <row r="307" spans="1:8" x14ac:dyDescent="0.25">
      <c r="A307" s="189">
        <v>2835</v>
      </c>
      <c r="B307" s="176">
        <v>316.35000000000002</v>
      </c>
      <c r="C307" s="192">
        <v>2859</v>
      </c>
      <c r="D307" s="177">
        <v>316.35000000000002</v>
      </c>
    </row>
    <row r="308" spans="1:8" x14ac:dyDescent="0.25">
      <c r="A308" s="189">
        <v>2859</v>
      </c>
      <c r="B308" s="176">
        <v>320.39999999999998</v>
      </c>
      <c r="C308" s="192">
        <v>2883</v>
      </c>
      <c r="D308" s="177">
        <v>320.39999999999998</v>
      </c>
    </row>
    <row r="309" spans="1:8" x14ac:dyDescent="0.25">
      <c r="A309" s="189">
        <v>2883</v>
      </c>
      <c r="B309" s="176">
        <v>324.5</v>
      </c>
      <c r="C309" s="192">
        <v>2907</v>
      </c>
      <c r="D309" s="177">
        <v>324.5</v>
      </c>
    </row>
    <row r="310" spans="1:8" x14ac:dyDescent="0.25">
      <c r="A310" s="189">
        <v>2907</v>
      </c>
      <c r="B310" s="176">
        <v>328.6</v>
      </c>
      <c r="C310" s="192">
        <v>2931</v>
      </c>
      <c r="D310" s="177">
        <v>328.6</v>
      </c>
    </row>
    <row r="311" spans="1:8" x14ac:dyDescent="0.25">
      <c r="A311" s="189">
        <v>2931</v>
      </c>
      <c r="B311" s="176">
        <v>332.7</v>
      </c>
      <c r="C311" s="192">
        <v>2955</v>
      </c>
      <c r="D311" s="177">
        <v>332.7</v>
      </c>
    </row>
    <row r="312" spans="1:8" x14ac:dyDescent="0.25">
      <c r="A312" s="189">
        <v>2955</v>
      </c>
      <c r="B312" s="176">
        <v>336.8</v>
      </c>
      <c r="C312" s="192">
        <v>2979</v>
      </c>
      <c r="D312" s="177">
        <v>336.8</v>
      </c>
    </row>
    <row r="313" spans="1:8" x14ac:dyDescent="0.25">
      <c r="A313" s="189">
        <v>2979</v>
      </c>
      <c r="B313" s="176">
        <v>340.9</v>
      </c>
      <c r="C313" s="192">
        <v>3003</v>
      </c>
      <c r="D313" s="177">
        <v>340.9</v>
      </c>
    </row>
    <row r="314" spans="1:8" x14ac:dyDescent="0.25">
      <c r="A314" s="189">
        <v>3003</v>
      </c>
      <c r="B314" s="176">
        <v>345</v>
      </c>
      <c r="C314" s="192">
        <v>3027</v>
      </c>
      <c r="D314" s="177">
        <v>345</v>
      </c>
    </row>
    <row r="315" spans="1:8" x14ac:dyDescent="0.25">
      <c r="A315" s="189">
        <v>3027</v>
      </c>
      <c r="B315" s="176">
        <v>349.1</v>
      </c>
      <c r="C315" s="192">
        <v>3051</v>
      </c>
      <c r="D315" s="177">
        <v>349.1</v>
      </c>
    </row>
    <row r="316" spans="1:8" x14ac:dyDescent="0.25">
      <c r="A316" s="189">
        <v>3051</v>
      </c>
      <c r="B316" s="176">
        <v>353.2</v>
      </c>
      <c r="C316" s="192">
        <v>3075</v>
      </c>
      <c r="D316" s="177">
        <v>353.2</v>
      </c>
    </row>
    <row r="317" spans="1:8" x14ac:dyDescent="0.25">
      <c r="A317" s="189">
        <v>3075</v>
      </c>
      <c r="B317" s="176">
        <v>357.3</v>
      </c>
      <c r="C317" s="192">
        <v>3099</v>
      </c>
      <c r="D317" s="177">
        <v>357.3</v>
      </c>
    </row>
    <row r="318" spans="1:8" x14ac:dyDescent="0.25">
      <c r="A318" s="189">
        <v>3099</v>
      </c>
      <c r="B318" s="176">
        <v>361.4</v>
      </c>
      <c r="C318" s="192">
        <v>3123</v>
      </c>
      <c r="D318" s="177">
        <v>361.4</v>
      </c>
    </row>
    <row r="319" spans="1:8" x14ac:dyDescent="0.25">
      <c r="A319" s="189">
        <v>3123</v>
      </c>
      <c r="B319" s="176">
        <v>365.5</v>
      </c>
      <c r="C319" s="192">
        <v>3147</v>
      </c>
      <c r="D319" s="177">
        <v>365.5</v>
      </c>
    </row>
    <row r="320" spans="1:8" x14ac:dyDescent="0.25">
      <c r="A320" s="189">
        <v>3147</v>
      </c>
      <c r="B320" s="176">
        <v>369.65</v>
      </c>
      <c r="C320" s="192">
        <v>3171</v>
      </c>
      <c r="D320" s="177">
        <v>369.65</v>
      </c>
    </row>
    <row r="321" spans="1:4" x14ac:dyDescent="0.25">
      <c r="A321" s="189">
        <v>3171</v>
      </c>
      <c r="B321" s="176">
        <v>373.75</v>
      </c>
      <c r="C321" s="192">
        <v>3195</v>
      </c>
      <c r="D321" s="177">
        <v>373.75</v>
      </c>
    </row>
    <row r="322" spans="1:4" x14ac:dyDescent="0.25">
      <c r="A322" s="189">
        <v>3195</v>
      </c>
      <c r="B322" s="176">
        <v>377.85</v>
      </c>
      <c r="C322" s="192">
        <v>3219</v>
      </c>
      <c r="D322" s="177">
        <v>377.85</v>
      </c>
    </row>
    <row r="323" spans="1:4" x14ac:dyDescent="0.25">
      <c r="A323" s="189">
        <v>3219</v>
      </c>
      <c r="B323" s="176">
        <v>381.95</v>
      </c>
      <c r="C323" s="192">
        <v>3243</v>
      </c>
      <c r="D323" s="177">
        <v>381.95</v>
      </c>
    </row>
    <row r="324" spans="1:4" x14ac:dyDescent="0.25">
      <c r="A324" s="189">
        <v>3243</v>
      </c>
      <c r="B324" s="176">
        <v>386.05</v>
      </c>
      <c r="C324" s="192">
        <v>3267</v>
      </c>
      <c r="D324" s="177">
        <v>386.05</v>
      </c>
    </row>
    <row r="325" spans="1:4" x14ac:dyDescent="0.25">
      <c r="A325" s="189">
        <v>3267</v>
      </c>
      <c r="B325" s="176">
        <v>390.15</v>
      </c>
      <c r="C325" s="192">
        <v>3291</v>
      </c>
      <c r="D325" s="177">
        <v>390.15</v>
      </c>
    </row>
    <row r="326" spans="1:4" x14ac:dyDescent="0.25">
      <c r="A326" s="189">
        <v>3291</v>
      </c>
      <c r="B326" s="176">
        <v>394.3</v>
      </c>
      <c r="C326" s="192">
        <v>3315</v>
      </c>
      <c r="D326" s="177">
        <v>394.3</v>
      </c>
    </row>
    <row r="327" spans="1:4" x14ac:dyDescent="0.25">
      <c r="A327" s="189">
        <v>3315</v>
      </c>
      <c r="B327" s="176">
        <v>398.4</v>
      </c>
      <c r="C327" s="192">
        <v>3339</v>
      </c>
      <c r="D327" s="177">
        <v>398.4</v>
      </c>
    </row>
    <row r="328" spans="1:4" x14ac:dyDescent="0.25">
      <c r="A328" s="189">
        <v>3339</v>
      </c>
      <c r="B328" s="176">
        <v>402.5</v>
      </c>
      <c r="C328" s="192">
        <v>3363</v>
      </c>
      <c r="D328" s="177">
        <v>402.5</v>
      </c>
    </row>
    <row r="329" spans="1:4" x14ac:dyDescent="0.25">
      <c r="A329" s="189">
        <v>3363</v>
      </c>
      <c r="B329" s="176">
        <v>406.6</v>
      </c>
      <c r="C329" s="192">
        <v>3387</v>
      </c>
      <c r="D329" s="177">
        <v>406.6</v>
      </c>
    </row>
    <row r="330" spans="1:4" x14ac:dyDescent="0.25">
      <c r="A330" s="189">
        <v>3387</v>
      </c>
      <c r="B330" s="176">
        <v>410.7</v>
      </c>
      <c r="C330" s="192">
        <v>3411</v>
      </c>
      <c r="D330" s="177">
        <v>410.7</v>
      </c>
    </row>
    <row r="331" spans="1:4" x14ac:dyDescent="0.25">
      <c r="A331" s="189">
        <v>3411</v>
      </c>
      <c r="B331" s="176">
        <v>415.5</v>
      </c>
      <c r="C331" s="192">
        <v>3443</v>
      </c>
      <c r="D331" s="177">
        <v>415.5</v>
      </c>
    </row>
    <row r="332" spans="1:4" x14ac:dyDescent="0.25">
      <c r="A332" s="189">
        <v>3443</v>
      </c>
      <c r="B332" s="176">
        <v>421</v>
      </c>
      <c r="C332" s="192">
        <v>3475</v>
      </c>
      <c r="D332" s="177">
        <v>421</v>
      </c>
    </row>
    <row r="333" spans="1:4" x14ac:dyDescent="0.25">
      <c r="A333" s="189">
        <v>3475</v>
      </c>
      <c r="B333" s="176">
        <v>426.45</v>
      </c>
      <c r="C333" s="192">
        <v>3507</v>
      </c>
      <c r="D333" s="177">
        <v>426.45</v>
      </c>
    </row>
    <row r="334" spans="1:4" x14ac:dyDescent="0.25">
      <c r="A334" s="189">
        <v>3507</v>
      </c>
      <c r="B334" s="176">
        <v>431.95</v>
      </c>
      <c r="C334" s="192">
        <v>3539</v>
      </c>
      <c r="D334" s="177">
        <v>431.95</v>
      </c>
    </row>
    <row r="335" spans="1:4" x14ac:dyDescent="0.25">
      <c r="A335" s="189">
        <v>3539</v>
      </c>
      <c r="B335" s="176">
        <v>437.4</v>
      </c>
      <c r="C335" s="192">
        <v>3571</v>
      </c>
      <c r="D335" s="177">
        <v>437.4</v>
      </c>
    </row>
    <row r="336" spans="1:4" x14ac:dyDescent="0.25">
      <c r="A336" s="189">
        <v>3571</v>
      </c>
      <c r="B336" s="176">
        <v>442.9</v>
      </c>
      <c r="C336" s="192">
        <v>3603</v>
      </c>
      <c r="D336" s="177">
        <v>442.9</v>
      </c>
    </row>
    <row r="337" spans="1:4" x14ac:dyDescent="0.25">
      <c r="A337" s="189">
        <v>3603</v>
      </c>
      <c r="B337" s="176">
        <v>448.35</v>
      </c>
      <c r="C337" s="192">
        <v>3635</v>
      </c>
      <c r="D337" s="177">
        <v>448.35</v>
      </c>
    </row>
    <row r="338" spans="1:4" x14ac:dyDescent="0.25">
      <c r="A338" s="189">
        <v>3635</v>
      </c>
      <c r="B338" s="176">
        <v>453.85</v>
      </c>
      <c r="C338" s="192">
        <v>3667</v>
      </c>
      <c r="D338" s="177">
        <v>453.85</v>
      </c>
    </row>
    <row r="339" spans="1:4" x14ac:dyDescent="0.25">
      <c r="A339" s="189">
        <v>3667</v>
      </c>
      <c r="B339" s="176">
        <v>459.3</v>
      </c>
      <c r="C339" s="192">
        <v>3699</v>
      </c>
      <c r="D339" s="177">
        <v>459.3</v>
      </c>
    </row>
    <row r="340" spans="1:4" x14ac:dyDescent="0.25">
      <c r="A340" s="189">
        <v>3699</v>
      </c>
      <c r="B340" s="176">
        <v>464.8</v>
      </c>
      <c r="C340" s="192">
        <v>3731</v>
      </c>
      <c r="D340" s="177">
        <v>464.8</v>
      </c>
    </row>
    <row r="341" spans="1:4" x14ac:dyDescent="0.25">
      <c r="A341" s="189">
        <v>3731</v>
      </c>
      <c r="B341" s="176">
        <v>470.9</v>
      </c>
      <c r="C341" s="192">
        <v>3763</v>
      </c>
      <c r="D341" s="177">
        <v>470.9</v>
      </c>
    </row>
    <row r="342" spans="1:4" x14ac:dyDescent="0.25">
      <c r="A342" s="189">
        <v>3763</v>
      </c>
      <c r="B342" s="176">
        <v>477.85</v>
      </c>
      <c r="C342" s="192">
        <v>3795</v>
      </c>
      <c r="D342" s="177">
        <v>477.85</v>
      </c>
    </row>
    <row r="343" spans="1:4" x14ac:dyDescent="0.25">
      <c r="A343" s="189">
        <v>3795</v>
      </c>
      <c r="B343" s="176">
        <v>484.8</v>
      </c>
      <c r="C343" s="192">
        <v>3827</v>
      </c>
      <c r="D343" s="177">
        <v>484.8</v>
      </c>
    </row>
    <row r="344" spans="1:4" x14ac:dyDescent="0.25">
      <c r="A344" s="189">
        <v>3827</v>
      </c>
      <c r="B344" s="176">
        <v>491.75</v>
      </c>
      <c r="C344" s="192">
        <v>3859</v>
      </c>
      <c r="D344" s="177">
        <v>491.75</v>
      </c>
    </row>
    <row r="345" spans="1:4" x14ac:dyDescent="0.25">
      <c r="A345" s="189">
        <v>3859</v>
      </c>
      <c r="B345" s="176">
        <v>498.7</v>
      </c>
      <c r="C345" s="192">
        <v>3891</v>
      </c>
      <c r="D345" s="177">
        <v>498.7</v>
      </c>
    </row>
    <row r="346" spans="1:4" x14ac:dyDescent="0.25">
      <c r="A346" s="189">
        <v>3891</v>
      </c>
      <c r="B346" s="176">
        <v>505.65</v>
      </c>
      <c r="C346" s="192">
        <v>3923</v>
      </c>
      <c r="D346" s="177">
        <v>505.65</v>
      </c>
    </row>
    <row r="347" spans="1:4" x14ac:dyDescent="0.25">
      <c r="A347" s="189">
        <v>3923</v>
      </c>
      <c r="B347" s="176">
        <v>512.6</v>
      </c>
      <c r="C347" s="192">
        <v>3955</v>
      </c>
      <c r="D347" s="177">
        <v>512.6</v>
      </c>
    </row>
    <row r="348" spans="1:4" x14ac:dyDescent="0.25">
      <c r="A348" s="189">
        <v>3955</v>
      </c>
      <c r="B348" s="176">
        <v>519.5</v>
      </c>
      <c r="C348" s="192">
        <v>3987</v>
      </c>
      <c r="D348" s="177">
        <v>519.5</v>
      </c>
    </row>
    <row r="349" spans="1:4" x14ac:dyDescent="0.25">
      <c r="A349" s="189">
        <v>3987</v>
      </c>
      <c r="B349" s="176">
        <v>526.45000000000005</v>
      </c>
      <c r="C349" s="192">
        <v>4019</v>
      </c>
      <c r="D349" s="177">
        <v>526.45000000000005</v>
      </c>
    </row>
    <row r="350" spans="1:4" x14ac:dyDescent="0.25">
      <c r="A350" s="189">
        <v>4019</v>
      </c>
      <c r="B350" s="176">
        <v>533.4</v>
      </c>
      <c r="C350" s="192">
        <v>4051</v>
      </c>
      <c r="D350" s="177">
        <v>533.4</v>
      </c>
    </row>
    <row r="351" spans="1:4" x14ac:dyDescent="0.25">
      <c r="A351" s="189">
        <v>4051</v>
      </c>
      <c r="B351" s="176">
        <v>540.35</v>
      </c>
      <c r="C351" s="192">
        <v>4083</v>
      </c>
      <c r="D351" s="177">
        <v>540.35</v>
      </c>
    </row>
    <row r="352" spans="1:4" x14ac:dyDescent="0.25">
      <c r="A352" s="189">
        <v>4083</v>
      </c>
      <c r="B352" s="176">
        <v>547.29999999999995</v>
      </c>
      <c r="C352" s="192">
        <v>4115</v>
      </c>
      <c r="D352" s="177">
        <v>547.29999999999995</v>
      </c>
    </row>
    <row r="353" spans="1:4" x14ac:dyDescent="0.25">
      <c r="A353" s="189">
        <v>4115</v>
      </c>
      <c r="B353" s="176">
        <v>554.25</v>
      </c>
      <c r="C353" s="192">
        <v>4147</v>
      </c>
      <c r="D353" s="177">
        <v>554.25</v>
      </c>
    </row>
    <row r="354" spans="1:4" x14ac:dyDescent="0.25">
      <c r="A354" s="189">
        <v>4147</v>
      </c>
      <c r="B354" s="176">
        <v>561.20000000000005</v>
      </c>
      <c r="C354" s="192">
        <v>4179</v>
      </c>
      <c r="D354" s="177">
        <v>561.20000000000005</v>
      </c>
    </row>
    <row r="355" spans="1:4" x14ac:dyDescent="0.25">
      <c r="A355" s="189">
        <v>4179</v>
      </c>
      <c r="B355" s="176">
        <v>568.15</v>
      </c>
      <c r="C355" s="192">
        <v>4211</v>
      </c>
      <c r="D355" s="177">
        <v>568.15</v>
      </c>
    </row>
    <row r="356" spans="1:4" x14ac:dyDescent="0.25">
      <c r="A356" s="189">
        <v>4211</v>
      </c>
      <c r="B356" s="176">
        <v>575.1</v>
      </c>
      <c r="C356" s="192">
        <v>4243</v>
      </c>
      <c r="D356" s="177">
        <v>575.1</v>
      </c>
    </row>
    <row r="357" spans="1:4" x14ac:dyDescent="0.25">
      <c r="A357" s="189">
        <v>4243</v>
      </c>
      <c r="B357" s="176">
        <v>582.04999999999995</v>
      </c>
      <c r="C357" s="192">
        <v>4275</v>
      </c>
      <c r="D357" s="177">
        <v>582.04999999999995</v>
      </c>
    </row>
    <row r="358" spans="1:4" x14ac:dyDescent="0.25">
      <c r="A358" s="189">
        <v>4275</v>
      </c>
      <c r="B358" s="176">
        <v>589</v>
      </c>
      <c r="C358" s="192">
        <v>4307</v>
      </c>
      <c r="D358" s="177">
        <v>589</v>
      </c>
    </row>
    <row r="359" spans="1:4" x14ac:dyDescent="0.25">
      <c r="A359" s="189">
        <v>4307</v>
      </c>
      <c r="B359" s="176">
        <v>595.95000000000005</v>
      </c>
      <c r="C359" s="192">
        <v>4339</v>
      </c>
      <c r="D359" s="177">
        <v>595.95000000000005</v>
      </c>
    </row>
    <row r="360" spans="1:4" x14ac:dyDescent="0.25">
      <c r="A360" s="189">
        <v>4339</v>
      </c>
      <c r="B360" s="176">
        <v>602.9</v>
      </c>
      <c r="C360" s="192">
        <v>4371</v>
      </c>
      <c r="D360" s="177">
        <v>602.9</v>
      </c>
    </row>
    <row r="361" spans="1:4" x14ac:dyDescent="0.25">
      <c r="A361" s="189">
        <v>4371</v>
      </c>
      <c r="B361" s="176">
        <v>609.85</v>
      </c>
      <c r="C361" s="192">
        <v>4403</v>
      </c>
      <c r="D361" s="177">
        <v>609.85</v>
      </c>
    </row>
    <row r="362" spans="1:4" x14ac:dyDescent="0.25">
      <c r="A362" s="189">
        <v>4403</v>
      </c>
      <c r="B362" s="176">
        <v>616.79999999999995</v>
      </c>
      <c r="C362" s="192">
        <v>4435</v>
      </c>
      <c r="D362" s="177">
        <v>616.79999999999995</v>
      </c>
    </row>
    <row r="363" spans="1:4" x14ac:dyDescent="0.25">
      <c r="A363" s="189">
        <v>4435</v>
      </c>
      <c r="B363" s="176">
        <v>623.75</v>
      </c>
      <c r="C363" s="192">
        <v>4467</v>
      </c>
      <c r="D363" s="177">
        <v>623.75</v>
      </c>
    </row>
    <row r="364" spans="1:4" x14ac:dyDescent="0.25">
      <c r="A364" s="189">
        <v>4467</v>
      </c>
      <c r="B364" s="176">
        <v>630.70000000000005</v>
      </c>
      <c r="C364" s="192">
        <v>4499</v>
      </c>
      <c r="D364" s="177">
        <v>630.70000000000005</v>
      </c>
    </row>
    <row r="365" spans="1:4" x14ac:dyDescent="0.25">
      <c r="A365" s="189">
        <v>4499</v>
      </c>
      <c r="B365" s="176">
        <v>637.65</v>
      </c>
      <c r="C365" s="192">
        <v>4531</v>
      </c>
      <c r="D365" s="177">
        <v>637.65</v>
      </c>
    </row>
    <row r="366" spans="1:4" x14ac:dyDescent="0.25">
      <c r="A366" s="189">
        <v>4531</v>
      </c>
      <c r="B366" s="176">
        <v>644.54999999999995</v>
      </c>
      <c r="C366" s="192">
        <v>4563</v>
      </c>
      <c r="D366" s="177">
        <v>644.54999999999995</v>
      </c>
    </row>
    <row r="367" spans="1:4" x14ac:dyDescent="0.25">
      <c r="A367" s="189">
        <v>4563</v>
      </c>
      <c r="B367" s="176">
        <v>651.5</v>
      </c>
      <c r="C367" s="192">
        <v>4595</v>
      </c>
      <c r="D367" s="177">
        <v>651.5</v>
      </c>
    </row>
    <row r="368" spans="1:4" x14ac:dyDescent="0.25">
      <c r="A368" s="189">
        <v>4595</v>
      </c>
      <c r="B368" s="176">
        <v>658.45</v>
      </c>
      <c r="C368" s="192">
        <v>4627</v>
      </c>
      <c r="D368" s="177">
        <v>658.45</v>
      </c>
    </row>
    <row r="369" spans="1:4" x14ac:dyDescent="0.25">
      <c r="A369" s="189">
        <v>4627</v>
      </c>
      <c r="B369" s="176">
        <v>665.4</v>
      </c>
      <c r="C369" s="192">
        <v>4659</v>
      </c>
      <c r="D369" s="177">
        <v>665.4</v>
      </c>
    </row>
    <row r="370" spans="1:4" x14ac:dyDescent="0.25">
      <c r="A370" s="189">
        <v>4659</v>
      </c>
      <c r="B370" s="176">
        <v>672.35</v>
      </c>
      <c r="C370" s="192">
        <v>4691</v>
      </c>
      <c r="D370" s="177">
        <v>672.35</v>
      </c>
    </row>
    <row r="371" spans="1:4" x14ac:dyDescent="0.25">
      <c r="A371" s="189">
        <v>4691</v>
      </c>
      <c r="B371" s="176">
        <v>679.3</v>
      </c>
      <c r="C371" s="192">
        <v>4723</v>
      </c>
      <c r="D371" s="177">
        <v>679.3</v>
      </c>
    </row>
    <row r="372" spans="1:4" x14ac:dyDescent="0.25">
      <c r="A372" s="189">
        <v>4723</v>
      </c>
      <c r="B372" s="176">
        <v>686.25</v>
      </c>
      <c r="C372" s="192">
        <v>4755</v>
      </c>
      <c r="D372" s="177">
        <v>686.25</v>
      </c>
    </row>
    <row r="373" spans="1:4" x14ac:dyDescent="0.25">
      <c r="A373" s="189">
        <v>4755</v>
      </c>
      <c r="B373" s="176">
        <v>693.2</v>
      </c>
      <c r="C373" s="192">
        <v>4787</v>
      </c>
      <c r="D373" s="177">
        <v>693.2</v>
      </c>
    </row>
    <row r="374" spans="1:4" x14ac:dyDescent="0.25">
      <c r="A374" s="189">
        <v>4787</v>
      </c>
      <c r="B374" s="176">
        <v>700.15</v>
      </c>
      <c r="C374" s="192">
        <v>4819</v>
      </c>
      <c r="D374" s="177">
        <v>700.15</v>
      </c>
    </row>
    <row r="375" spans="1:4" x14ac:dyDescent="0.25">
      <c r="A375" s="189">
        <v>4819</v>
      </c>
      <c r="B375" s="176">
        <v>707.1</v>
      </c>
      <c r="C375" s="192">
        <v>4851</v>
      </c>
      <c r="D375" s="177">
        <v>707.1</v>
      </c>
    </row>
    <row r="376" spans="1:4" x14ac:dyDescent="0.25">
      <c r="A376" s="189">
        <v>4851</v>
      </c>
      <c r="B376" s="176">
        <v>714.05</v>
      </c>
      <c r="C376" s="192">
        <v>4883</v>
      </c>
      <c r="D376" s="177">
        <v>714.05</v>
      </c>
    </row>
    <row r="377" spans="1:4" x14ac:dyDescent="0.25">
      <c r="A377" s="189">
        <v>4883</v>
      </c>
      <c r="B377" s="176">
        <v>721</v>
      </c>
      <c r="C377" s="192">
        <v>4915</v>
      </c>
      <c r="D377" s="177">
        <v>721</v>
      </c>
    </row>
    <row r="378" spans="1:4" x14ac:dyDescent="0.25">
      <c r="A378" s="189">
        <v>4915</v>
      </c>
      <c r="B378" s="176">
        <v>727.95</v>
      </c>
      <c r="C378" s="192">
        <v>4947</v>
      </c>
      <c r="D378" s="177">
        <v>727.95</v>
      </c>
    </row>
    <row r="379" spans="1:4" x14ac:dyDescent="0.25">
      <c r="A379" s="189">
        <v>4947</v>
      </c>
      <c r="B379" s="176">
        <v>734.9</v>
      </c>
      <c r="C379" s="192">
        <v>4979</v>
      </c>
      <c r="D379" s="177">
        <v>734.9</v>
      </c>
    </row>
    <row r="380" spans="1:4" x14ac:dyDescent="0.25">
      <c r="A380" s="189">
        <v>4979</v>
      </c>
      <c r="B380" s="176">
        <v>741.85</v>
      </c>
      <c r="C380" s="192">
        <v>5011</v>
      </c>
      <c r="D380" s="177">
        <v>741.85</v>
      </c>
    </row>
    <row r="381" spans="1:4" x14ac:dyDescent="0.25">
      <c r="A381" s="189">
        <v>5011</v>
      </c>
      <c r="B381" s="176">
        <v>748.8</v>
      </c>
      <c r="C381" s="192">
        <v>5043</v>
      </c>
      <c r="D381" s="177">
        <v>748.8</v>
      </c>
    </row>
    <row r="382" spans="1:4" x14ac:dyDescent="0.25">
      <c r="A382" s="189">
        <v>5043</v>
      </c>
      <c r="B382" s="176">
        <v>755.75</v>
      </c>
      <c r="C382" s="192">
        <v>5075</v>
      </c>
      <c r="D382" s="177">
        <v>755.75</v>
      </c>
    </row>
    <row r="383" spans="1:4" x14ac:dyDescent="0.25">
      <c r="A383" s="189">
        <v>5075</v>
      </c>
      <c r="B383" s="176">
        <v>762.7</v>
      </c>
      <c r="C383" s="192">
        <v>5107</v>
      </c>
      <c r="D383" s="177">
        <v>762.7</v>
      </c>
    </row>
    <row r="384" spans="1:4" x14ac:dyDescent="0.25">
      <c r="A384" s="189">
        <v>5107</v>
      </c>
      <c r="B384" s="176">
        <v>769.6</v>
      </c>
      <c r="C384" s="192">
        <v>5139</v>
      </c>
      <c r="D384" s="177">
        <v>769.6</v>
      </c>
    </row>
    <row r="385" spans="1:4" x14ac:dyDescent="0.25">
      <c r="A385" s="189">
        <v>5139</v>
      </c>
      <c r="B385" s="176">
        <v>776.55</v>
      </c>
      <c r="C385" s="192">
        <v>5171</v>
      </c>
      <c r="D385" s="177">
        <v>776.55</v>
      </c>
    </row>
    <row r="386" spans="1:4" x14ac:dyDescent="0.25">
      <c r="A386" s="189">
        <v>5171</v>
      </c>
      <c r="B386" s="176">
        <v>784.4</v>
      </c>
      <c r="C386" s="192">
        <v>5211</v>
      </c>
      <c r="D386" s="177">
        <v>784.4</v>
      </c>
    </row>
    <row r="387" spans="1:4" x14ac:dyDescent="0.25">
      <c r="A387" s="189">
        <v>5211</v>
      </c>
      <c r="B387" s="176">
        <v>793.05</v>
      </c>
      <c r="C387" s="192">
        <v>5251</v>
      </c>
      <c r="D387" s="177">
        <v>793.05</v>
      </c>
    </row>
    <row r="388" spans="1:4" x14ac:dyDescent="0.25">
      <c r="A388" s="189">
        <v>5251</v>
      </c>
      <c r="B388" s="176">
        <v>801.75</v>
      </c>
      <c r="C388" s="192">
        <v>5291</v>
      </c>
      <c r="D388" s="177">
        <v>801.75</v>
      </c>
    </row>
    <row r="389" spans="1:4" x14ac:dyDescent="0.25">
      <c r="A389" s="189">
        <v>5291</v>
      </c>
      <c r="B389" s="176">
        <v>810.45</v>
      </c>
      <c r="C389" s="192">
        <v>5331</v>
      </c>
      <c r="D389" s="177">
        <v>810.45</v>
      </c>
    </row>
    <row r="390" spans="1:4" x14ac:dyDescent="0.25">
      <c r="A390" s="189">
        <v>5331</v>
      </c>
      <c r="B390" s="176">
        <v>819.1</v>
      </c>
      <c r="C390" s="192">
        <v>5371</v>
      </c>
      <c r="D390" s="177">
        <v>819.1</v>
      </c>
    </row>
    <row r="391" spans="1:4" x14ac:dyDescent="0.25">
      <c r="A391" s="189">
        <v>5371</v>
      </c>
      <c r="B391" s="176">
        <v>827.8</v>
      </c>
      <c r="C391" s="192">
        <v>5411</v>
      </c>
      <c r="D391" s="177">
        <v>827.8</v>
      </c>
    </row>
    <row r="392" spans="1:4" x14ac:dyDescent="0.25">
      <c r="A392" s="189">
        <v>5411</v>
      </c>
      <c r="B392" s="176">
        <v>836.5</v>
      </c>
      <c r="C392" s="192">
        <v>5451</v>
      </c>
      <c r="D392" s="177">
        <v>836.5</v>
      </c>
    </row>
    <row r="393" spans="1:4" x14ac:dyDescent="0.25">
      <c r="A393" s="189">
        <v>5451</v>
      </c>
      <c r="B393" s="176">
        <v>845.15</v>
      </c>
      <c r="C393" s="192">
        <v>5491</v>
      </c>
      <c r="D393" s="177">
        <v>845.15</v>
      </c>
    </row>
    <row r="394" spans="1:4" x14ac:dyDescent="0.25">
      <c r="A394" s="189">
        <v>5491</v>
      </c>
      <c r="B394" s="176">
        <v>853.85</v>
      </c>
      <c r="C394" s="192">
        <v>5531</v>
      </c>
      <c r="D394" s="177">
        <v>853.85</v>
      </c>
    </row>
    <row r="395" spans="1:4" x14ac:dyDescent="0.25">
      <c r="A395" s="189">
        <v>5531</v>
      </c>
      <c r="B395" s="176">
        <v>862.55</v>
      </c>
      <c r="C395" s="192">
        <v>5571</v>
      </c>
      <c r="D395" s="177">
        <v>862.55</v>
      </c>
    </row>
    <row r="396" spans="1:4" x14ac:dyDescent="0.25">
      <c r="A396" s="189">
        <v>5571</v>
      </c>
      <c r="B396" s="176">
        <v>871.25</v>
      </c>
      <c r="C396" s="192">
        <v>5611</v>
      </c>
      <c r="D396" s="177">
        <v>871.25</v>
      </c>
    </row>
    <row r="397" spans="1:4" x14ac:dyDescent="0.25">
      <c r="A397" s="189">
        <v>5611</v>
      </c>
      <c r="B397" s="176">
        <v>879.9</v>
      </c>
      <c r="C397" s="192">
        <v>5651</v>
      </c>
      <c r="D397" s="177">
        <v>879.9</v>
      </c>
    </row>
    <row r="398" spans="1:4" x14ac:dyDescent="0.25">
      <c r="A398" s="189">
        <v>5651</v>
      </c>
      <c r="B398" s="176">
        <v>888.6</v>
      </c>
      <c r="C398" s="192">
        <v>5691</v>
      </c>
      <c r="D398" s="177">
        <v>888.6</v>
      </c>
    </row>
    <row r="399" spans="1:4" x14ac:dyDescent="0.25">
      <c r="A399" s="189">
        <v>5691</v>
      </c>
      <c r="B399" s="176">
        <v>897.3</v>
      </c>
      <c r="C399" s="192">
        <v>5731</v>
      </c>
      <c r="D399" s="177">
        <v>897.3</v>
      </c>
    </row>
    <row r="400" spans="1:4" x14ac:dyDescent="0.25">
      <c r="A400" s="189">
        <v>5731</v>
      </c>
      <c r="B400" s="176">
        <v>905.95</v>
      </c>
      <c r="C400" s="192">
        <v>5771</v>
      </c>
      <c r="D400" s="177">
        <v>905.95</v>
      </c>
    </row>
    <row r="401" spans="1:4" x14ac:dyDescent="0.25">
      <c r="A401" s="189">
        <v>5771</v>
      </c>
      <c r="B401" s="176">
        <v>914.75</v>
      </c>
      <c r="C401" s="192">
        <v>5811</v>
      </c>
      <c r="D401" s="177">
        <v>914.75</v>
      </c>
    </row>
    <row r="402" spans="1:4" x14ac:dyDescent="0.25">
      <c r="A402" s="189">
        <v>5811</v>
      </c>
      <c r="B402" s="176">
        <v>924.45</v>
      </c>
      <c r="C402" s="192">
        <v>5851</v>
      </c>
      <c r="D402" s="177">
        <v>924.45</v>
      </c>
    </row>
    <row r="403" spans="1:4" x14ac:dyDescent="0.25">
      <c r="A403" s="189">
        <v>5851</v>
      </c>
      <c r="B403" s="176">
        <v>934.1</v>
      </c>
      <c r="C403" s="192">
        <v>5891</v>
      </c>
      <c r="D403" s="177">
        <v>934.1</v>
      </c>
    </row>
    <row r="404" spans="1:4" x14ac:dyDescent="0.25">
      <c r="A404" s="189">
        <v>5891</v>
      </c>
      <c r="B404" s="176">
        <v>943.8</v>
      </c>
      <c r="C404" s="192">
        <v>5931</v>
      </c>
      <c r="D404" s="177">
        <v>943.8</v>
      </c>
    </row>
    <row r="405" spans="1:4" x14ac:dyDescent="0.25">
      <c r="A405" s="189">
        <v>5931</v>
      </c>
      <c r="B405" s="176">
        <v>953.5</v>
      </c>
      <c r="C405" s="192">
        <v>5971</v>
      </c>
      <c r="D405" s="177">
        <v>953.5</v>
      </c>
    </row>
    <row r="406" spans="1:4" x14ac:dyDescent="0.25">
      <c r="A406" s="189">
        <v>5971</v>
      </c>
      <c r="B406" s="176">
        <v>963.15</v>
      </c>
      <c r="C406" s="192">
        <v>6011</v>
      </c>
      <c r="D406" s="177">
        <v>963.15</v>
      </c>
    </row>
    <row r="407" spans="1:4" x14ac:dyDescent="0.25">
      <c r="A407" s="189">
        <v>6011</v>
      </c>
      <c r="B407" s="176">
        <v>972.85</v>
      </c>
      <c r="C407" s="192">
        <v>6051</v>
      </c>
      <c r="D407" s="177">
        <v>972.85</v>
      </c>
    </row>
    <row r="408" spans="1:4" x14ac:dyDescent="0.25">
      <c r="A408" s="189">
        <v>6051</v>
      </c>
      <c r="B408" s="176">
        <v>982.55</v>
      </c>
      <c r="C408" s="192">
        <v>6091</v>
      </c>
      <c r="D408" s="177">
        <v>982.55</v>
      </c>
    </row>
    <row r="409" spans="1:4" x14ac:dyDescent="0.25">
      <c r="A409" s="189">
        <v>6091</v>
      </c>
      <c r="B409" s="176">
        <v>992.25</v>
      </c>
      <c r="C409" s="192">
        <v>6131</v>
      </c>
      <c r="D409" s="177">
        <v>992.25</v>
      </c>
    </row>
    <row r="410" spans="1:4" x14ac:dyDescent="0.25">
      <c r="A410" s="189">
        <v>6131</v>
      </c>
      <c r="B410" s="176">
        <v>1001.9</v>
      </c>
      <c r="C410" s="192">
        <v>6171</v>
      </c>
      <c r="D410" s="177">
        <v>1001.9</v>
      </c>
    </row>
    <row r="411" spans="1:4" x14ac:dyDescent="0.25">
      <c r="A411" s="189">
        <v>6171</v>
      </c>
      <c r="B411" s="176">
        <v>1011.6</v>
      </c>
      <c r="C411" s="192">
        <v>6211</v>
      </c>
      <c r="D411" s="177">
        <v>1011.6</v>
      </c>
    </row>
    <row r="412" spans="1:4" x14ac:dyDescent="0.25">
      <c r="A412" s="189">
        <v>6211</v>
      </c>
      <c r="B412" s="176">
        <v>1021.3</v>
      </c>
      <c r="C412" s="192">
        <v>6251</v>
      </c>
      <c r="D412" s="177">
        <v>1021.3</v>
      </c>
    </row>
    <row r="413" spans="1:4" x14ac:dyDescent="0.25">
      <c r="A413" s="189">
        <v>6251</v>
      </c>
      <c r="B413" s="176">
        <v>1030.95</v>
      </c>
      <c r="C413" s="192">
        <v>6291</v>
      </c>
      <c r="D413" s="177">
        <v>1030.95</v>
      </c>
    </row>
    <row r="414" spans="1:4" x14ac:dyDescent="0.25">
      <c r="A414" s="189">
        <v>6291</v>
      </c>
      <c r="B414" s="176">
        <v>1040.6500000000001</v>
      </c>
      <c r="C414" s="192">
        <v>6331</v>
      </c>
      <c r="D414" s="177">
        <v>1040.6500000000001</v>
      </c>
    </row>
    <row r="415" spans="1:4" x14ac:dyDescent="0.25">
      <c r="A415" s="189">
        <v>6331</v>
      </c>
      <c r="B415" s="176">
        <v>1050.3499999999999</v>
      </c>
      <c r="C415" s="192">
        <v>6371</v>
      </c>
      <c r="D415" s="177">
        <v>1050.3499999999999</v>
      </c>
    </row>
    <row r="416" spans="1:4" x14ac:dyDescent="0.25">
      <c r="A416" s="189">
        <v>6371</v>
      </c>
      <c r="B416" s="176">
        <v>1060.05</v>
      </c>
      <c r="C416" s="192">
        <v>6411</v>
      </c>
      <c r="D416" s="177">
        <v>1060.05</v>
      </c>
    </row>
    <row r="417" spans="1:4" x14ac:dyDescent="0.25">
      <c r="A417" s="189">
        <v>6411</v>
      </c>
      <c r="B417" s="176">
        <v>1069.7</v>
      </c>
      <c r="C417" s="192">
        <v>6451</v>
      </c>
      <c r="D417" s="177">
        <v>1069.7</v>
      </c>
    </row>
    <row r="418" spans="1:4" x14ac:dyDescent="0.25">
      <c r="A418" s="189">
        <v>6451</v>
      </c>
      <c r="B418" s="176">
        <v>1079.4000000000001</v>
      </c>
      <c r="C418" s="192">
        <v>6491</v>
      </c>
      <c r="D418" s="177">
        <v>1079.4000000000001</v>
      </c>
    </row>
    <row r="419" spans="1:4" x14ac:dyDescent="0.25">
      <c r="A419" s="189">
        <v>6491</v>
      </c>
      <c r="B419" s="176">
        <v>1089.0999999999999</v>
      </c>
      <c r="C419" s="192">
        <v>6531</v>
      </c>
      <c r="D419" s="177">
        <v>1089.0999999999999</v>
      </c>
    </row>
    <row r="420" spans="1:4" x14ac:dyDescent="0.25">
      <c r="A420" s="189">
        <v>6531</v>
      </c>
      <c r="B420" s="176">
        <v>1098.8</v>
      </c>
      <c r="C420" s="192">
        <v>6571</v>
      </c>
      <c r="D420" s="177">
        <v>1098.8</v>
      </c>
    </row>
    <row r="421" spans="1:4" x14ac:dyDescent="0.25">
      <c r="A421" s="189">
        <v>6571</v>
      </c>
      <c r="B421" s="176">
        <v>1108.45</v>
      </c>
      <c r="C421" s="192">
        <v>6611</v>
      </c>
      <c r="D421" s="177">
        <v>1108.45</v>
      </c>
    </row>
    <row r="422" spans="1:4" x14ac:dyDescent="0.25">
      <c r="A422" s="189">
        <v>6611</v>
      </c>
      <c r="B422" s="176">
        <v>1118.1500000000001</v>
      </c>
      <c r="C422" s="192">
        <v>6651</v>
      </c>
      <c r="D422" s="177">
        <v>1118.1500000000001</v>
      </c>
    </row>
    <row r="423" spans="1:4" x14ac:dyDescent="0.25">
      <c r="A423" s="189">
        <v>6651</v>
      </c>
      <c r="B423" s="176">
        <v>1127.8499999999999</v>
      </c>
      <c r="C423" s="192">
        <v>6691</v>
      </c>
      <c r="D423" s="177">
        <v>1127.8499999999999</v>
      </c>
    </row>
    <row r="424" spans="1:4" x14ac:dyDescent="0.25">
      <c r="A424" s="189">
        <v>6691</v>
      </c>
      <c r="B424" s="176">
        <v>1137.5</v>
      </c>
      <c r="C424" s="192">
        <v>6731</v>
      </c>
      <c r="D424" s="177">
        <v>1137.5</v>
      </c>
    </row>
    <row r="425" spans="1:4" x14ac:dyDescent="0.25">
      <c r="A425" s="189">
        <v>6731</v>
      </c>
      <c r="B425" s="176">
        <v>1147.2</v>
      </c>
      <c r="C425" s="192">
        <v>6771</v>
      </c>
      <c r="D425" s="177">
        <v>1147.2</v>
      </c>
    </row>
    <row r="426" spans="1:4" x14ac:dyDescent="0.25">
      <c r="A426" s="189">
        <v>6771</v>
      </c>
      <c r="B426" s="176">
        <v>1156.9000000000001</v>
      </c>
      <c r="C426" s="192">
        <v>6811</v>
      </c>
      <c r="D426" s="177">
        <v>1156.9000000000001</v>
      </c>
    </row>
    <row r="427" spans="1:4" x14ac:dyDescent="0.25">
      <c r="A427" s="189">
        <v>6811</v>
      </c>
      <c r="B427" s="176">
        <v>1166.5999999999999</v>
      </c>
      <c r="C427" s="192">
        <v>6851</v>
      </c>
      <c r="D427" s="177">
        <v>1166.5999999999999</v>
      </c>
    </row>
    <row r="428" spans="1:4" x14ac:dyDescent="0.25">
      <c r="A428" s="189">
        <v>6851</v>
      </c>
      <c r="B428" s="176">
        <v>1176.25</v>
      </c>
      <c r="C428" s="192">
        <v>6891</v>
      </c>
      <c r="D428" s="177">
        <v>1176.25</v>
      </c>
    </row>
    <row r="429" spans="1:4" x14ac:dyDescent="0.25">
      <c r="A429" s="189">
        <v>6891</v>
      </c>
      <c r="B429" s="176">
        <v>1185.95</v>
      </c>
      <c r="C429" s="192">
        <v>6931</v>
      </c>
      <c r="D429" s="177">
        <v>1185.95</v>
      </c>
    </row>
    <row r="430" spans="1:4" x14ac:dyDescent="0.25">
      <c r="A430" s="189">
        <v>6931</v>
      </c>
      <c r="B430" s="176">
        <v>1195.6500000000001</v>
      </c>
      <c r="C430" s="192">
        <v>6971</v>
      </c>
      <c r="D430" s="177">
        <v>1195.6500000000001</v>
      </c>
    </row>
    <row r="431" spans="1:4" x14ac:dyDescent="0.25">
      <c r="A431" s="189">
        <v>6971</v>
      </c>
      <c r="B431" s="176">
        <v>1205.3</v>
      </c>
      <c r="C431" s="192">
        <v>7011</v>
      </c>
      <c r="D431" s="177">
        <v>1205.3</v>
      </c>
    </row>
    <row r="432" spans="1:4" x14ac:dyDescent="0.25">
      <c r="A432" s="189">
        <v>7011</v>
      </c>
      <c r="B432" s="176">
        <v>1215</v>
      </c>
      <c r="C432" s="192">
        <v>7051</v>
      </c>
      <c r="D432" s="177">
        <v>1215</v>
      </c>
    </row>
    <row r="433" spans="1:4" x14ac:dyDescent="0.25">
      <c r="A433" s="189">
        <v>7051</v>
      </c>
      <c r="B433" s="176">
        <v>1224.7</v>
      </c>
      <c r="C433" s="192">
        <v>7091</v>
      </c>
      <c r="D433" s="177">
        <v>1224.7</v>
      </c>
    </row>
    <row r="434" spans="1:4" x14ac:dyDescent="0.25">
      <c r="A434" s="189">
        <v>7091</v>
      </c>
      <c r="B434" s="176">
        <v>1234.4000000000001</v>
      </c>
      <c r="C434" s="192">
        <v>7131</v>
      </c>
      <c r="D434" s="177">
        <v>1234.4000000000001</v>
      </c>
    </row>
    <row r="435" spans="1:4" x14ac:dyDescent="0.25">
      <c r="A435" s="189">
        <v>7131</v>
      </c>
      <c r="B435" s="176">
        <v>1244.05</v>
      </c>
      <c r="C435" s="192">
        <v>7171</v>
      </c>
      <c r="D435" s="177">
        <v>1244.05</v>
      </c>
    </row>
    <row r="436" spans="1:4" x14ac:dyDescent="0.25">
      <c r="A436" s="189">
        <v>7171</v>
      </c>
      <c r="B436" s="176">
        <v>1253.75</v>
      </c>
      <c r="C436" s="192">
        <v>7211</v>
      </c>
      <c r="D436" s="177">
        <v>1253.75</v>
      </c>
    </row>
    <row r="437" spans="1:4" x14ac:dyDescent="0.25">
      <c r="A437" s="189">
        <v>7211</v>
      </c>
      <c r="B437" s="176">
        <v>1263.45</v>
      </c>
      <c r="C437" s="192">
        <v>7251</v>
      </c>
      <c r="D437" s="177">
        <v>1263.45</v>
      </c>
    </row>
    <row r="438" spans="1:4" x14ac:dyDescent="0.25">
      <c r="A438" s="189">
        <v>7251</v>
      </c>
      <c r="B438" s="176">
        <v>1273.0999999999999</v>
      </c>
      <c r="C438" s="192">
        <v>7291</v>
      </c>
      <c r="D438" s="177">
        <v>1273.0999999999999</v>
      </c>
    </row>
    <row r="439" spans="1:4" x14ac:dyDescent="0.25">
      <c r="A439" s="189">
        <v>7291</v>
      </c>
      <c r="B439" s="176">
        <v>1282.8</v>
      </c>
      <c r="C439" s="192">
        <v>7331</v>
      </c>
      <c r="D439" s="177">
        <v>1282.8</v>
      </c>
    </row>
    <row r="440" spans="1:4" x14ac:dyDescent="0.25">
      <c r="A440" s="190">
        <v>7331</v>
      </c>
      <c r="B440" s="178">
        <v>1292.5</v>
      </c>
      <c r="C440" s="193">
        <v>7371</v>
      </c>
      <c r="D440" s="179">
        <v>1292.5</v>
      </c>
    </row>
    <row r="441" spans="1:4" x14ac:dyDescent="0.25">
      <c r="A441" s="225"/>
      <c r="B441" s="226"/>
      <c r="C441" s="119"/>
    </row>
    <row r="442" spans="1:4" x14ac:dyDescent="0.25">
      <c r="A442" s="225"/>
      <c r="B442" s="226"/>
      <c r="C442" s="119"/>
    </row>
    <row r="443" spans="1:4" x14ac:dyDescent="0.25">
      <c r="A443" s="225"/>
      <c r="B443" s="226"/>
      <c r="C443" s="119"/>
    </row>
    <row r="444" spans="1:4" x14ac:dyDescent="0.25">
      <c r="A444" s="225"/>
      <c r="B444" s="226"/>
      <c r="C444" s="119"/>
    </row>
    <row r="445" spans="1:4" x14ac:dyDescent="0.25">
      <c r="A445" s="225"/>
      <c r="B445" s="226"/>
      <c r="C445" s="119"/>
    </row>
    <row r="446" spans="1:4" x14ac:dyDescent="0.25">
      <c r="A446" s="225"/>
      <c r="B446" s="226"/>
      <c r="C446" s="119"/>
    </row>
    <row r="447" spans="1:4" x14ac:dyDescent="0.25">
      <c r="A447" s="225"/>
      <c r="B447" s="226"/>
      <c r="C447" s="119"/>
    </row>
    <row r="448" spans="1:4" x14ac:dyDescent="0.25">
      <c r="A448" s="225"/>
      <c r="B448" s="226"/>
      <c r="C448" s="119"/>
    </row>
  </sheetData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5">
    <tabColor theme="9" tint="0.59999389629810485"/>
  </sheetPr>
  <dimension ref="A1:H396"/>
  <sheetViews>
    <sheetView workbookViewId="0">
      <selection activeCell="F407" sqref="F407"/>
    </sheetView>
  </sheetViews>
  <sheetFormatPr baseColWidth="10" defaultRowHeight="13.2" x14ac:dyDescent="0.25"/>
  <cols>
    <col min="1" max="1" width="11.44140625" style="99"/>
    <col min="2" max="2" width="11.44140625" style="72"/>
    <col min="3" max="3" width="11.44140625" style="99"/>
    <col min="4" max="4" width="11.44140625" style="72"/>
    <col min="5" max="5" width="11.44140625" style="99"/>
    <col min="6" max="6" width="11.44140625" style="72"/>
    <col min="7" max="7" width="11.44140625" style="99"/>
    <col min="8" max="8" width="11.44140625" style="72"/>
  </cols>
  <sheetData>
    <row r="1" spans="1:8" x14ac:dyDescent="0.25">
      <c r="A1" s="169" t="s">
        <v>188</v>
      </c>
      <c r="B1" s="171"/>
      <c r="C1" s="169" t="s">
        <v>189</v>
      </c>
      <c r="D1" s="171"/>
      <c r="E1" s="170" t="s">
        <v>188</v>
      </c>
      <c r="F1" s="173"/>
      <c r="G1" s="170" t="s">
        <v>189</v>
      </c>
      <c r="H1" s="173"/>
    </row>
    <row r="2" spans="1:8" x14ac:dyDescent="0.25">
      <c r="A2" s="188">
        <v>0</v>
      </c>
      <c r="B2" s="180">
        <v>0</v>
      </c>
      <c r="C2" s="191">
        <v>0</v>
      </c>
      <c r="D2" s="181">
        <v>0</v>
      </c>
      <c r="E2" s="197">
        <v>0</v>
      </c>
      <c r="F2" s="180">
        <v>0</v>
      </c>
      <c r="G2" s="197">
        <v>0</v>
      </c>
      <c r="H2" s="181">
        <v>0</v>
      </c>
    </row>
    <row r="3" spans="1:8" x14ac:dyDescent="0.25">
      <c r="A3" s="189">
        <v>5</v>
      </c>
      <c r="B3" s="182">
        <v>0</v>
      </c>
      <c r="C3" s="192">
        <v>10</v>
      </c>
      <c r="D3" s="183">
        <v>0</v>
      </c>
      <c r="E3" s="198">
        <v>5</v>
      </c>
      <c r="F3" s="182">
        <v>0</v>
      </c>
      <c r="G3" s="198">
        <v>10</v>
      </c>
      <c r="H3" s="183">
        <v>0</v>
      </c>
    </row>
    <row r="4" spans="1:8" x14ac:dyDescent="0.25">
      <c r="A4" s="189">
        <v>10</v>
      </c>
      <c r="B4" s="182">
        <v>0</v>
      </c>
      <c r="C4" s="192">
        <v>15</v>
      </c>
      <c r="D4" s="183">
        <v>0</v>
      </c>
      <c r="E4" s="198">
        <v>10</v>
      </c>
      <c r="F4" s="182">
        <v>0</v>
      </c>
      <c r="G4" s="198">
        <v>15</v>
      </c>
      <c r="H4" s="183">
        <v>0</v>
      </c>
    </row>
    <row r="5" spans="1:8" x14ac:dyDescent="0.25">
      <c r="A5" s="189">
        <v>15</v>
      </c>
      <c r="B5" s="182">
        <v>0</v>
      </c>
      <c r="C5" s="192">
        <v>20</v>
      </c>
      <c r="D5" s="183">
        <v>0</v>
      </c>
      <c r="E5" s="198">
        <v>15</v>
      </c>
      <c r="F5" s="182">
        <v>0</v>
      </c>
      <c r="G5" s="198">
        <v>20</v>
      </c>
      <c r="H5" s="183">
        <v>0</v>
      </c>
    </row>
    <row r="6" spans="1:8" x14ac:dyDescent="0.25">
      <c r="A6" s="189">
        <v>20</v>
      </c>
      <c r="B6" s="182">
        <v>0</v>
      </c>
      <c r="C6" s="192">
        <v>25</v>
      </c>
      <c r="D6" s="183">
        <v>0</v>
      </c>
      <c r="E6" s="198">
        <v>20</v>
      </c>
      <c r="F6" s="182">
        <v>0</v>
      </c>
      <c r="G6" s="198">
        <v>25</v>
      </c>
      <c r="H6" s="183">
        <v>0</v>
      </c>
    </row>
    <row r="7" spans="1:8" x14ac:dyDescent="0.25">
      <c r="A7" s="189">
        <v>25</v>
      </c>
      <c r="B7" s="182">
        <v>0</v>
      </c>
      <c r="C7" s="192">
        <v>30</v>
      </c>
      <c r="D7" s="183">
        <v>0</v>
      </c>
      <c r="E7" s="198">
        <v>25</v>
      </c>
      <c r="F7" s="182">
        <v>0</v>
      </c>
      <c r="G7" s="198">
        <v>30</v>
      </c>
      <c r="H7" s="183">
        <v>0</v>
      </c>
    </row>
    <row r="8" spans="1:8" x14ac:dyDescent="0.25">
      <c r="A8" s="189">
        <v>30</v>
      </c>
      <c r="B8" s="182">
        <v>0</v>
      </c>
      <c r="C8" s="192">
        <v>35</v>
      </c>
      <c r="D8" s="183">
        <v>0</v>
      </c>
      <c r="E8" s="198">
        <v>30</v>
      </c>
      <c r="F8" s="182">
        <v>0</v>
      </c>
      <c r="G8" s="198">
        <v>35</v>
      </c>
      <c r="H8" s="183">
        <v>0</v>
      </c>
    </row>
    <row r="9" spans="1:8" x14ac:dyDescent="0.25">
      <c r="A9" s="189">
        <v>35</v>
      </c>
      <c r="B9" s="182">
        <v>0</v>
      </c>
      <c r="C9" s="192">
        <v>40</v>
      </c>
      <c r="D9" s="183">
        <v>0</v>
      </c>
      <c r="E9" s="198">
        <v>35</v>
      </c>
      <c r="F9" s="182">
        <v>0</v>
      </c>
      <c r="G9" s="198">
        <v>40</v>
      </c>
      <c r="H9" s="183">
        <v>0</v>
      </c>
    </row>
    <row r="10" spans="1:8" x14ac:dyDescent="0.25">
      <c r="A10" s="189">
        <v>40</v>
      </c>
      <c r="B10" s="182">
        <v>0</v>
      </c>
      <c r="C10" s="192">
        <v>45</v>
      </c>
      <c r="D10" s="183">
        <v>0</v>
      </c>
      <c r="E10" s="198">
        <v>40</v>
      </c>
      <c r="F10" s="182">
        <v>0</v>
      </c>
      <c r="G10" s="198">
        <v>45</v>
      </c>
      <c r="H10" s="183">
        <v>0</v>
      </c>
    </row>
    <row r="11" spans="1:8" x14ac:dyDescent="0.25">
      <c r="A11" s="189">
        <v>45</v>
      </c>
      <c r="B11" s="182">
        <v>0</v>
      </c>
      <c r="C11" s="192">
        <v>50</v>
      </c>
      <c r="D11" s="183">
        <v>0</v>
      </c>
      <c r="E11" s="198">
        <v>45</v>
      </c>
      <c r="F11" s="182">
        <v>0</v>
      </c>
      <c r="G11" s="198">
        <v>50</v>
      </c>
      <c r="H11" s="183">
        <v>0</v>
      </c>
    </row>
    <row r="12" spans="1:8" x14ac:dyDescent="0.25">
      <c r="A12" s="189">
        <v>50</v>
      </c>
      <c r="B12" s="182">
        <v>0</v>
      </c>
      <c r="C12" s="192">
        <v>55</v>
      </c>
      <c r="D12" s="183">
        <v>0</v>
      </c>
      <c r="E12" s="198">
        <v>50</v>
      </c>
      <c r="F12" s="182">
        <v>0</v>
      </c>
      <c r="G12" s="198">
        <v>55</v>
      </c>
      <c r="H12" s="183">
        <v>0</v>
      </c>
    </row>
    <row r="13" spans="1:8" x14ac:dyDescent="0.25">
      <c r="A13" s="189">
        <v>55</v>
      </c>
      <c r="B13" s="182">
        <v>0</v>
      </c>
      <c r="C13" s="192">
        <v>60</v>
      </c>
      <c r="D13" s="183">
        <v>0</v>
      </c>
      <c r="E13" s="198">
        <v>55</v>
      </c>
      <c r="F13" s="182">
        <v>0</v>
      </c>
      <c r="G13" s="198">
        <v>60</v>
      </c>
      <c r="H13" s="183">
        <v>0</v>
      </c>
    </row>
    <row r="14" spans="1:8" x14ac:dyDescent="0.25">
      <c r="A14" s="189">
        <v>60</v>
      </c>
      <c r="B14" s="182">
        <v>0</v>
      </c>
      <c r="C14" s="192">
        <v>65</v>
      </c>
      <c r="D14" s="183">
        <v>0</v>
      </c>
      <c r="E14" s="198">
        <v>60</v>
      </c>
      <c r="F14" s="182">
        <v>0</v>
      </c>
      <c r="G14" s="198">
        <v>65</v>
      </c>
      <c r="H14" s="183">
        <v>0</v>
      </c>
    </row>
    <row r="15" spans="1:8" x14ac:dyDescent="0.25">
      <c r="A15" s="189">
        <v>65</v>
      </c>
      <c r="B15" s="182">
        <v>0</v>
      </c>
      <c r="C15" s="192">
        <v>70</v>
      </c>
      <c r="D15" s="183">
        <v>0</v>
      </c>
      <c r="E15" s="198">
        <v>65</v>
      </c>
      <c r="F15" s="182">
        <v>0</v>
      </c>
      <c r="G15" s="198">
        <v>70</v>
      </c>
      <c r="H15" s="183">
        <v>0</v>
      </c>
    </row>
    <row r="16" spans="1:8" x14ac:dyDescent="0.25">
      <c r="A16" s="189">
        <v>70</v>
      </c>
      <c r="B16" s="182">
        <v>0</v>
      </c>
      <c r="C16" s="192">
        <v>75</v>
      </c>
      <c r="D16" s="183">
        <v>0</v>
      </c>
      <c r="E16" s="198">
        <v>70</v>
      </c>
      <c r="F16" s="182">
        <v>0</v>
      </c>
      <c r="G16" s="198">
        <v>75</v>
      </c>
      <c r="H16" s="183">
        <v>0</v>
      </c>
    </row>
    <row r="17" spans="1:8" x14ac:dyDescent="0.25">
      <c r="A17" s="189">
        <v>75</v>
      </c>
      <c r="B17" s="182">
        <v>0</v>
      </c>
      <c r="C17" s="192">
        <v>80</v>
      </c>
      <c r="D17" s="183">
        <v>0</v>
      </c>
      <c r="E17" s="198">
        <v>75</v>
      </c>
      <c r="F17" s="182">
        <v>0</v>
      </c>
      <c r="G17" s="198">
        <v>80</v>
      </c>
      <c r="H17" s="183">
        <v>0</v>
      </c>
    </row>
    <row r="18" spans="1:8" x14ac:dyDescent="0.25">
      <c r="A18" s="189">
        <v>80</v>
      </c>
      <c r="B18" s="182">
        <v>0</v>
      </c>
      <c r="C18" s="192">
        <v>85</v>
      </c>
      <c r="D18" s="183">
        <v>0</v>
      </c>
      <c r="E18" s="198">
        <v>80</v>
      </c>
      <c r="F18" s="182">
        <v>0</v>
      </c>
      <c r="G18" s="198">
        <v>85</v>
      </c>
      <c r="H18" s="183">
        <v>0</v>
      </c>
    </row>
    <row r="19" spans="1:8" x14ac:dyDescent="0.25">
      <c r="A19" s="189">
        <v>85</v>
      </c>
      <c r="B19" s="182">
        <v>0</v>
      </c>
      <c r="C19" s="192">
        <v>90</v>
      </c>
      <c r="D19" s="183">
        <v>0</v>
      </c>
      <c r="E19" s="198">
        <v>85</v>
      </c>
      <c r="F19" s="182">
        <v>0</v>
      </c>
      <c r="G19" s="198">
        <v>90</v>
      </c>
      <c r="H19" s="183">
        <v>0</v>
      </c>
    </row>
    <row r="20" spans="1:8" x14ac:dyDescent="0.25">
      <c r="A20" s="189">
        <v>90</v>
      </c>
      <c r="B20" s="182">
        <v>0</v>
      </c>
      <c r="C20" s="192">
        <v>95</v>
      </c>
      <c r="D20" s="183">
        <v>0</v>
      </c>
      <c r="E20" s="198">
        <v>90</v>
      </c>
      <c r="F20" s="182">
        <v>0</v>
      </c>
      <c r="G20" s="198">
        <v>95</v>
      </c>
      <c r="H20" s="183">
        <v>0</v>
      </c>
    </row>
    <row r="21" spans="1:8" x14ac:dyDescent="0.25">
      <c r="A21" s="189">
        <v>95</v>
      </c>
      <c r="B21" s="182">
        <v>0</v>
      </c>
      <c r="C21" s="192">
        <v>100</v>
      </c>
      <c r="D21" s="183">
        <v>0</v>
      </c>
      <c r="E21" s="198">
        <v>95</v>
      </c>
      <c r="F21" s="182">
        <v>0</v>
      </c>
      <c r="G21" s="198">
        <v>100</v>
      </c>
      <c r="H21" s="183">
        <v>0</v>
      </c>
    </row>
    <row r="22" spans="1:8" x14ac:dyDescent="0.25">
      <c r="A22" s="189">
        <v>100</v>
      </c>
      <c r="B22" s="182">
        <v>0</v>
      </c>
      <c r="C22" s="192">
        <v>105</v>
      </c>
      <c r="D22" s="183">
        <v>0</v>
      </c>
      <c r="E22" s="198">
        <v>100</v>
      </c>
      <c r="F22" s="182">
        <v>0</v>
      </c>
      <c r="G22" s="198">
        <v>105</v>
      </c>
      <c r="H22" s="183">
        <v>0</v>
      </c>
    </row>
    <row r="23" spans="1:8" x14ac:dyDescent="0.25">
      <c r="A23" s="189">
        <v>105</v>
      </c>
      <c r="B23" s="182">
        <v>0</v>
      </c>
      <c r="C23" s="192">
        <v>110</v>
      </c>
      <c r="D23" s="183">
        <v>0</v>
      </c>
      <c r="E23" s="198">
        <v>105</v>
      </c>
      <c r="F23" s="182">
        <v>0</v>
      </c>
      <c r="G23" s="198">
        <v>110</v>
      </c>
      <c r="H23" s="183">
        <v>0</v>
      </c>
    </row>
    <row r="24" spans="1:8" x14ac:dyDescent="0.25">
      <c r="A24" s="189">
        <v>110</v>
      </c>
      <c r="B24" s="182">
        <v>0</v>
      </c>
      <c r="C24" s="192">
        <v>115</v>
      </c>
      <c r="D24" s="183">
        <v>0</v>
      </c>
      <c r="E24" s="198">
        <v>110</v>
      </c>
      <c r="F24" s="182">
        <v>0</v>
      </c>
      <c r="G24" s="198">
        <v>115</v>
      </c>
      <c r="H24" s="183">
        <v>0</v>
      </c>
    </row>
    <row r="25" spans="1:8" x14ac:dyDescent="0.25">
      <c r="A25" s="189">
        <v>115</v>
      </c>
      <c r="B25" s="182">
        <v>0</v>
      </c>
      <c r="C25" s="192">
        <v>120</v>
      </c>
      <c r="D25" s="183">
        <v>0</v>
      </c>
      <c r="E25" s="198">
        <v>115</v>
      </c>
      <c r="F25" s="182">
        <v>0</v>
      </c>
      <c r="G25" s="198">
        <v>120</v>
      </c>
      <c r="H25" s="183">
        <v>0</v>
      </c>
    </row>
    <row r="26" spans="1:8" x14ac:dyDescent="0.25">
      <c r="A26" s="189">
        <v>120</v>
      </c>
      <c r="B26" s="182">
        <v>0</v>
      </c>
      <c r="C26" s="192">
        <v>125</v>
      </c>
      <c r="D26" s="183">
        <v>0</v>
      </c>
      <c r="E26" s="198">
        <v>120</v>
      </c>
      <c r="F26" s="182">
        <v>0</v>
      </c>
      <c r="G26" s="198">
        <v>125</v>
      </c>
      <c r="H26" s="183">
        <v>0</v>
      </c>
    </row>
    <row r="27" spans="1:8" x14ac:dyDescent="0.25">
      <c r="A27" s="189">
        <v>125</v>
      </c>
      <c r="B27" s="182">
        <v>0</v>
      </c>
      <c r="C27" s="192">
        <v>130</v>
      </c>
      <c r="D27" s="183">
        <v>0</v>
      </c>
      <c r="E27" s="198">
        <v>125</v>
      </c>
      <c r="F27" s="182">
        <v>0</v>
      </c>
      <c r="G27" s="198">
        <v>130</v>
      </c>
      <c r="H27" s="183">
        <v>0</v>
      </c>
    </row>
    <row r="28" spans="1:8" x14ac:dyDescent="0.25">
      <c r="A28" s="189">
        <v>130</v>
      </c>
      <c r="B28" s="182">
        <v>0</v>
      </c>
      <c r="C28" s="192">
        <v>135</v>
      </c>
      <c r="D28" s="183">
        <v>0</v>
      </c>
      <c r="E28" s="198">
        <v>130</v>
      </c>
      <c r="F28" s="182">
        <v>0</v>
      </c>
      <c r="G28" s="198">
        <v>135</v>
      </c>
      <c r="H28" s="183">
        <v>0</v>
      </c>
    </row>
    <row r="29" spans="1:8" x14ac:dyDescent="0.25">
      <c r="A29" s="189">
        <v>135</v>
      </c>
      <c r="B29" s="182">
        <v>0</v>
      </c>
      <c r="C29" s="192">
        <v>140</v>
      </c>
      <c r="D29" s="183">
        <v>0</v>
      </c>
      <c r="E29" s="198">
        <v>135</v>
      </c>
      <c r="F29" s="182">
        <v>0</v>
      </c>
      <c r="G29" s="198">
        <v>140</v>
      </c>
      <c r="H29" s="183">
        <v>0</v>
      </c>
    </row>
    <row r="30" spans="1:8" x14ac:dyDescent="0.25">
      <c r="A30" s="189">
        <v>140</v>
      </c>
      <c r="B30" s="182">
        <v>0</v>
      </c>
      <c r="C30" s="192">
        <v>145</v>
      </c>
      <c r="D30" s="183">
        <v>0</v>
      </c>
      <c r="E30" s="198">
        <v>140</v>
      </c>
      <c r="F30" s="182">
        <v>0</v>
      </c>
      <c r="G30" s="198">
        <v>145</v>
      </c>
      <c r="H30" s="183">
        <v>0</v>
      </c>
    </row>
    <row r="31" spans="1:8" x14ac:dyDescent="0.25">
      <c r="A31" s="189">
        <v>145</v>
      </c>
      <c r="B31" s="182">
        <v>0</v>
      </c>
      <c r="C31" s="192">
        <v>150</v>
      </c>
      <c r="D31" s="183">
        <v>0</v>
      </c>
      <c r="E31" s="198">
        <v>145</v>
      </c>
      <c r="F31" s="182">
        <v>0</v>
      </c>
      <c r="G31" s="198">
        <v>150</v>
      </c>
      <c r="H31" s="183">
        <v>0</v>
      </c>
    </row>
    <row r="32" spans="1:8" x14ac:dyDescent="0.25">
      <c r="A32" s="189">
        <v>150</v>
      </c>
      <c r="B32" s="182">
        <v>0</v>
      </c>
      <c r="C32" s="192">
        <v>155</v>
      </c>
      <c r="D32" s="183">
        <v>0</v>
      </c>
      <c r="E32" s="198">
        <v>150</v>
      </c>
      <c r="F32" s="182">
        <v>0</v>
      </c>
      <c r="G32" s="198">
        <v>151.99</v>
      </c>
      <c r="H32" s="183">
        <v>0</v>
      </c>
    </row>
    <row r="33" spans="1:8" x14ac:dyDescent="0.25">
      <c r="A33" s="189">
        <v>155</v>
      </c>
      <c r="B33" s="182">
        <v>0</v>
      </c>
      <c r="C33" s="192">
        <v>160</v>
      </c>
      <c r="D33" s="183">
        <v>0</v>
      </c>
      <c r="E33" s="198">
        <v>152</v>
      </c>
      <c r="F33" s="182">
        <v>0</v>
      </c>
      <c r="G33" s="198">
        <v>153.99</v>
      </c>
      <c r="H33" s="183">
        <v>0</v>
      </c>
    </row>
    <row r="34" spans="1:8" x14ac:dyDescent="0.25">
      <c r="A34" s="189">
        <v>160</v>
      </c>
      <c r="B34" s="182">
        <v>0</v>
      </c>
      <c r="C34" s="192">
        <v>165</v>
      </c>
      <c r="D34" s="183">
        <v>0</v>
      </c>
      <c r="E34" s="198">
        <v>154</v>
      </c>
      <c r="F34" s="182">
        <v>0</v>
      </c>
      <c r="G34" s="198">
        <v>155.99</v>
      </c>
      <c r="H34" s="183">
        <v>0</v>
      </c>
    </row>
    <row r="35" spans="1:8" x14ac:dyDescent="0.25">
      <c r="A35" s="189">
        <v>165</v>
      </c>
      <c r="B35" s="182">
        <v>0</v>
      </c>
      <c r="C35" s="192">
        <v>170</v>
      </c>
      <c r="D35" s="183">
        <v>0</v>
      </c>
      <c r="E35" s="198">
        <v>156</v>
      </c>
      <c r="F35" s="182">
        <v>0</v>
      </c>
      <c r="G35" s="198">
        <v>157.99</v>
      </c>
      <c r="H35" s="183">
        <v>0</v>
      </c>
    </row>
    <row r="36" spans="1:8" x14ac:dyDescent="0.25">
      <c r="A36" s="189">
        <v>170</v>
      </c>
      <c r="B36" s="182">
        <v>0</v>
      </c>
      <c r="C36" s="192">
        <v>175</v>
      </c>
      <c r="D36" s="183">
        <v>0</v>
      </c>
      <c r="E36" s="198">
        <v>158</v>
      </c>
      <c r="F36" s="182">
        <v>0</v>
      </c>
      <c r="G36" s="198">
        <v>159.99</v>
      </c>
      <c r="H36" s="183">
        <v>0</v>
      </c>
    </row>
    <row r="37" spans="1:8" x14ac:dyDescent="0.25">
      <c r="A37" s="189">
        <v>175</v>
      </c>
      <c r="B37" s="182">
        <v>0</v>
      </c>
      <c r="C37" s="192">
        <v>180</v>
      </c>
      <c r="D37" s="183">
        <v>0</v>
      </c>
      <c r="E37" s="198">
        <v>160</v>
      </c>
      <c r="F37" s="182">
        <v>0</v>
      </c>
      <c r="G37" s="198">
        <v>161.99</v>
      </c>
      <c r="H37" s="183">
        <v>0</v>
      </c>
    </row>
    <row r="38" spans="1:8" x14ac:dyDescent="0.25">
      <c r="A38" s="189">
        <v>180</v>
      </c>
      <c r="B38" s="182">
        <v>0</v>
      </c>
      <c r="C38" s="192">
        <v>185</v>
      </c>
      <c r="D38" s="183">
        <v>0</v>
      </c>
      <c r="E38" s="198">
        <v>162</v>
      </c>
      <c r="F38" s="182">
        <v>0</v>
      </c>
      <c r="G38" s="198">
        <v>163.99</v>
      </c>
      <c r="H38" s="183">
        <v>0</v>
      </c>
    </row>
    <row r="39" spans="1:8" x14ac:dyDescent="0.25">
      <c r="A39" s="189">
        <v>185</v>
      </c>
      <c r="B39" s="182">
        <v>0</v>
      </c>
      <c r="C39" s="192">
        <v>190</v>
      </c>
      <c r="D39" s="183">
        <v>0</v>
      </c>
      <c r="E39" s="198">
        <v>164</v>
      </c>
      <c r="F39" s="182">
        <v>0</v>
      </c>
      <c r="G39" s="198">
        <v>165.99</v>
      </c>
      <c r="H39" s="183">
        <v>0</v>
      </c>
    </row>
    <row r="40" spans="1:8" x14ac:dyDescent="0.25">
      <c r="A40" s="189">
        <v>190</v>
      </c>
      <c r="B40" s="182">
        <v>0</v>
      </c>
      <c r="C40" s="192">
        <v>195</v>
      </c>
      <c r="D40" s="183">
        <v>0</v>
      </c>
      <c r="E40" s="198">
        <v>166</v>
      </c>
      <c r="F40" s="182">
        <v>0</v>
      </c>
      <c r="G40" s="198">
        <v>167.99</v>
      </c>
      <c r="H40" s="183">
        <v>0</v>
      </c>
    </row>
    <row r="41" spans="1:8" x14ac:dyDescent="0.25">
      <c r="A41" s="189">
        <v>195</v>
      </c>
      <c r="B41" s="182">
        <v>0</v>
      </c>
      <c r="C41" s="192">
        <v>200</v>
      </c>
      <c r="D41" s="183">
        <v>0</v>
      </c>
      <c r="E41" s="198">
        <v>168</v>
      </c>
      <c r="F41" s="182">
        <v>0</v>
      </c>
      <c r="G41" s="198">
        <v>169.99</v>
      </c>
      <c r="H41" s="183">
        <v>0</v>
      </c>
    </row>
    <row r="42" spans="1:8" x14ac:dyDescent="0.25">
      <c r="A42" s="189">
        <v>200</v>
      </c>
      <c r="B42" s="182">
        <v>0</v>
      </c>
      <c r="C42" s="192">
        <v>205</v>
      </c>
      <c r="D42" s="183">
        <v>0</v>
      </c>
      <c r="E42" s="198">
        <v>170</v>
      </c>
      <c r="F42" s="182">
        <v>0</v>
      </c>
      <c r="G42" s="198">
        <v>171.99</v>
      </c>
      <c r="H42" s="183">
        <v>0</v>
      </c>
    </row>
    <row r="43" spans="1:8" x14ac:dyDescent="0.25">
      <c r="A43" s="189">
        <v>205</v>
      </c>
      <c r="B43" s="182">
        <v>0</v>
      </c>
      <c r="C43" s="192">
        <v>210</v>
      </c>
      <c r="D43" s="183">
        <v>0</v>
      </c>
      <c r="E43" s="198">
        <v>172</v>
      </c>
      <c r="F43" s="182">
        <v>0</v>
      </c>
      <c r="G43" s="198">
        <v>173.99</v>
      </c>
      <c r="H43" s="183">
        <v>0</v>
      </c>
    </row>
    <row r="44" spans="1:8" x14ac:dyDescent="0.25">
      <c r="A44" s="189">
        <v>210</v>
      </c>
      <c r="B44" s="182">
        <v>0</v>
      </c>
      <c r="C44" s="192">
        <v>215</v>
      </c>
      <c r="D44" s="183">
        <v>0</v>
      </c>
      <c r="E44" s="198">
        <v>174</v>
      </c>
      <c r="F44" s="182">
        <v>0</v>
      </c>
      <c r="G44" s="198">
        <v>175.99</v>
      </c>
      <c r="H44" s="183">
        <v>0</v>
      </c>
    </row>
    <row r="45" spans="1:8" x14ac:dyDescent="0.25">
      <c r="A45" s="189">
        <v>215</v>
      </c>
      <c r="B45" s="182">
        <v>0</v>
      </c>
      <c r="C45" s="192">
        <v>220</v>
      </c>
      <c r="D45" s="183">
        <v>0</v>
      </c>
      <c r="E45" s="198">
        <v>176</v>
      </c>
      <c r="F45" s="182">
        <v>0</v>
      </c>
      <c r="G45" s="198">
        <v>177.99</v>
      </c>
      <c r="H45" s="183">
        <v>0</v>
      </c>
    </row>
    <row r="46" spans="1:8" x14ac:dyDescent="0.25">
      <c r="A46" s="189">
        <v>220</v>
      </c>
      <c r="B46" s="182">
        <v>0</v>
      </c>
      <c r="C46" s="192">
        <v>225</v>
      </c>
      <c r="D46" s="183">
        <v>0</v>
      </c>
      <c r="E46" s="198">
        <v>178</v>
      </c>
      <c r="F46" s="182">
        <v>0</v>
      </c>
      <c r="G46" s="198">
        <v>179.99</v>
      </c>
      <c r="H46" s="183">
        <v>0</v>
      </c>
    </row>
    <row r="47" spans="1:8" x14ac:dyDescent="0.25">
      <c r="A47" s="189">
        <v>225</v>
      </c>
      <c r="B47" s="182">
        <v>0</v>
      </c>
      <c r="C47" s="192">
        <v>230</v>
      </c>
      <c r="D47" s="183">
        <v>0</v>
      </c>
      <c r="E47" s="198">
        <v>180</v>
      </c>
      <c r="F47" s="182">
        <v>0</v>
      </c>
      <c r="G47" s="198">
        <v>181.99</v>
      </c>
      <c r="H47" s="183">
        <v>0</v>
      </c>
    </row>
    <row r="48" spans="1:8" x14ac:dyDescent="0.25">
      <c r="A48" s="189">
        <v>230</v>
      </c>
      <c r="B48" s="182">
        <v>0</v>
      </c>
      <c r="C48" s="192">
        <v>235</v>
      </c>
      <c r="D48" s="183">
        <v>0</v>
      </c>
      <c r="E48" s="198">
        <v>182</v>
      </c>
      <c r="F48" s="182">
        <v>0</v>
      </c>
      <c r="G48" s="198">
        <v>183.99</v>
      </c>
      <c r="H48" s="183">
        <v>0</v>
      </c>
    </row>
    <row r="49" spans="1:8" x14ac:dyDescent="0.25">
      <c r="A49" s="189">
        <v>235</v>
      </c>
      <c r="B49" s="182">
        <v>0</v>
      </c>
      <c r="C49" s="192">
        <v>240</v>
      </c>
      <c r="D49" s="183">
        <v>0</v>
      </c>
      <c r="E49" s="198">
        <v>184</v>
      </c>
      <c r="F49" s="182">
        <v>0</v>
      </c>
      <c r="G49" s="198">
        <v>185.99</v>
      </c>
      <c r="H49" s="183">
        <v>0</v>
      </c>
    </row>
    <row r="50" spans="1:8" x14ac:dyDescent="0.25">
      <c r="A50" s="189">
        <v>240</v>
      </c>
      <c r="B50" s="182">
        <v>0</v>
      </c>
      <c r="C50" s="192">
        <v>245</v>
      </c>
      <c r="D50" s="183">
        <v>0</v>
      </c>
      <c r="E50" s="198">
        <v>186</v>
      </c>
      <c r="F50" s="182">
        <v>0</v>
      </c>
      <c r="G50" s="198">
        <v>187.99</v>
      </c>
      <c r="H50" s="183">
        <v>0</v>
      </c>
    </row>
    <row r="51" spans="1:8" x14ac:dyDescent="0.25">
      <c r="A51" s="189">
        <v>245</v>
      </c>
      <c r="B51" s="182">
        <v>0</v>
      </c>
      <c r="C51" s="192">
        <v>250</v>
      </c>
      <c r="D51" s="183">
        <v>0</v>
      </c>
      <c r="E51" s="198">
        <v>188</v>
      </c>
      <c r="F51" s="182">
        <v>0</v>
      </c>
      <c r="G51" s="198">
        <v>189.99</v>
      </c>
      <c r="H51" s="183">
        <v>0</v>
      </c>
    </row>
    <row r="52" spans="1:8" x14ac:dyDescent="0.25">
      <c r="A52" s="189">
        <v>250</v>
      </c>
      <c r="B52" s="182">
        <v>0</v>
      </c>
      <c r="C52" s="192">
        <v>255</v>
      </c>
      <c r="D52" s="183">
        <v>0</v>
      </c>
      <c r="E52" s="198">
        <v>190</v>
      </c>
      <c r="F52" s="182">
        <v>0</v>
      </c>
      <c r="G52" s="198">
        <v>191.99</v>
      </c>
      <c r="H52" s="183">
        <v>0</v>
      </c>
    </row>
    <row r="53" spans="1:8" x14ac:dyDescent="0.25">
      <c r="A53" s="189">
        <v>255</v>
      </c>
      <c r="B53" s="182">
        <v>0</v>
      </c>
      <c r="C53" s="192">
        <v>260</v>
      </c>
      <c r="D53" s="183">
        <v>0</v>
      </c>
      <c r="E53" s="198">
        <v>192</v>
      </c>
      <c r="F53" s="182">
        <v>0</v>
      </c>
      <c r="G53" s="198">
        <v>193.99</v>
      </c>
      <c r="H53" s="183">
        <v>0</v>
      </c>
    </row>
    <row r="54" spans="1:8" x14ac:dyDescent="0.25">
      <c r="A54" s="189">
        <v>260</v>
      </c>
      <c r="B54" s="182">
        <v>0</v>
      </c>
      <c r="C54" s="192">
        <v>265</v>
      </c>
      <c r="D54" s="183">
        <v>0</v>
      </c>
      <c r="E54" s="198">
        <v>194</v>
      </c>
      <c r="F54" s="182">
        <v>0</v>
      </c>
      <c r="G54" s="198">
        <v>195.99</v>
      </c>
      <c r="H54" s="183">
        <v>0</v>
      </c>
    </row>
    <row r="55" spans="1:8" x14ac:dyDescent="0.25">
      <c r="A55" s="189">
        <v>265</v>
      </c>
      <c r="B55" s="182">
        <v>0</v>
      </c>
      <c r="C55" s="192">
        <v>270</v>
      </c>
      <c r="D55" s="183">
        <v>0</v>
      </c>
      <c r="E55" s="198">
        <v>196</v>
      </c>
      <c r="F55" s="182">
        <v>0</v>
      </c>
      <c r="G55" s="198">
        <v>197.99</v>
      </c>
      <c r="H55" s="183">
        <v>0</v>
      </c>
    </row>
    <row r="56" spans="1:8" x14ac:dyDescent="0.25">
      <c r="A56" s="189">
        <v>273</v>
      </c>
      <c r="B56" s="182">
        <v>0.25</v>
      </c>
      <c r="C56" s="192">
        <v>275</v>
      </c>
      <c r="D56" s="183">
        <v>0.25</v>
      </c>
      <c r="E56" s="198">
        <v>198</v>
      </c>
      <c r="F56" s="182">
        <v>0</v>
      </c>
      <c r="G56" s="198">
        <v>199.99</v>
      </c>
      <c r="H56" s="183">
        <v>0</v>
      </c>
    </row>
    <row r="57" spans="1:8" x14ac:dyDescent="0.25">
      <c r="A57" s="189">
        <v>275</v>
      </c>
      <c r="B57" s="184">
        <v>0.5</v>
      </c>
      <c r="C57" s="192">
        <v>277</v>
      </c>
      <c r="D57" s="185">
        <v>0.5</v>
      </c>
      <c r="E57" s="198">
        <v>200</v>
      </c>
      <c r="F57" s="182">
        <v>0</v>
      </c>
      <c r="G57" s="198">
        <v>201.99</v>
      </c>
      <c r="H57" s="183">
        <v>0</v>
      </c>
    </row>
    <row r="58" spans="1:8" x14ac:dyDescent="0.25">
      <c r="A58" s="189">
        <v>277</v>
      </c>
      <c r="B58" s="182">
        <v>0.7</v>
      </c>
      <c r="C58" s="192">
        <v>279</v>
      </c>
      <c r="D58" s="183">
        <v>0.7</v>
      </c>
      <c r="E58" s="198">
        <v>202</v>
      </c>
      <c r="F58" s="182">
        <v>0</v>
      </c>
      <c r="G58" s="198">
        <v>203.99</v>
      </c>
      <c r="H58" s="183">
        <v>0</v>
      </c>
    </row>
    <row r="59" spans="1:8" x14ac:dyDescent="0.25">
      <c r="A59" s="189">
        <v>279</v>
      </c>
      <c r="B59" s="182">
        <v>0.95</v>
      </c>
      <c r="C59" s="192">
        <v>281</v>
      </c>
      <c r="D59" s="183">
        <v>0.95</v>
      </c>
      <c r="E59" s="198">
        <v>204</v>
      </c>
      <c r="F59" s="182">
        <v>0</v>
      </c>
      <c r="G59" s="198">
        <v>205.99</v>
      </c>
      <c r="H59" s="183">
        <v>0</v>
      </c>
    </row>
    <row r="60" spans="1:8" x14ac:dyDescent="0.25">
      <c r="A60" s="189">
        <v>281</v>
      </c>
      <c r="B60" s="182">
        <v>1.2</v>
      </c>
      <c r="C60" s="192">
        <v>283</v>
      </c>
      <c r="D60" s="183">
        <v>1.2</v>
      </c>
      <c r="E60" s="198">
        <v>206</v>
      </c>
      <c r="F60" s="182">
        <v>0</v>
      </c>
      <c r="G60" s="198">
        <v>207.99</v>
      </c>
      <c r="H60" s="183">
        <v>0</v>
      </c>
    </row>
    <row r="61" spans="1:8" x14ac:dyDescent="0.25">
      <c r="A61" s="189">
        <v>283</v>
      </c>
      <c r="B61" s="182">
        <v>1.4</v>
      </c>
      <c r="C61" s="192">
        <v>285</v>
      </c>
      <c r="D61" s="183">
        <v>1.4</v>
      </c>
      <c r="E61" s="198">
        <v>208</v>
      </c>
      <c r="F61" s="182">
        <v>0</v>
      </c>
      <c r="G61" s="198">
        <v>209.99</v>
      </c>
      <c r="H61" s="183">
        <v>0</v>
      </c>
    </row>
    <row r="62" spans="1:8" x14ac:dyDescent="0.25">
      <c r="A62" s="189">
        <v>285</v>
      </c>
      <c r="B62" s="182">
        <v>1.65</v>
      </c>
      <c r="C62" s="192">
        <v>287</v>
      </c>
      <c r="D62" s="183">
        <v>1.65</v>
      </c>
      <c r="E62" s="198">
        <v>210</v>
      </c>
      <c r="F62" s="182">
        <v>0</v>
      </c>
      <c r="G62" s="198">
        <v>211.99</v>
      </c>
      <c r="H62" s="183">
        <v>0</v>
      </c>
    </row>
    <row r="63" spans="1:8" x14ac:dyDescent="0.25">
      <c r="A63" s="189">
        <v>287</v>
      </c>
      <c r="B63" s="182">
        <v>1.9</v>
      </c>
      <c r="C63" s="192">
        <v>289</v>
      </c>
      <c r="D63" s="183">
        <v>1.9</v>
      </c>
      <c r="E63" s="198">
        <v>212</v>
      </c>
      <c r="F63" s="182">
        <v>0</v>
      </c>
      <c r="G63" s="198">
        <v>213.99</v>
      </c>
      <c r="H63" s="183">
        <v>0</v>
      </c>
    </row>
    <row r="64" spans="1:8" x14ac:dyDescent="0.25">
      <c r="A64" s="189">
        <v>289</v>
      </c>
      <c r="B64" s="182">
        <v>2.1</v>
      </c>
      <c r="C64" s="192">
        <v>291</v>
      </c>
      <c r="D64" s="183">
        <v>2.1</v>
      </c>
      <c r="E64" s="198">
        <v>214</v>
      </c>
      <c r="F64" s="182">
        <v>0</v>
      </c>
      <c r="G64" s="198">
        <v>215.99</v>
      </c>
      <c r="H64" s="183">
        <v>0</v>
      </c>
    </row>
    <row r="65" spans="1:8" x14ac:dyDescent="0.25">
      <c r="A65" s="189">
        <v>291</v>
      </c>
      <c r="B65" s="182">
        <v>2.35</v>
      </c>
      <c r="C65" s="192">
        <v>293</v>
      </c>
      <c r="D65" s="183">
        <v>2.35</v>
      </c>
      <c r="E65" s="198">
        <v>216</v>
      </c>
      <c r="F65" s="182">
        <v>0</v>
      </c>
      <c r="G65" s="198">
        <v>217.99</v>
      </c>
      <c r="H65" s="183">
        <v>0</v>
      </c>
    </row>
    <row r="66" spans="1:8" x14ac:dyDescent="0.25">
      <c r="A66" s="189">
        <v>293</v>
      </c>
      <c r="B66" s="182">
        <v>2.6</v>
      </c>
      <c r="C66" s="192">
        <v>295</v>
      </c>
      <c r="D66" s="183">
        <v>2.6</v>
      </c>
      <c r="E66" s="198">
        <v>218</v>
      </c>
      <c r="F66" s="182">
        <v>0</v>
      </c>
      <c r="G66" s="198">
        <v>219.99</v>
      </c>
      <c r="H66" s="183">
        <v>0</v>
      </c>
    </row>
    <row r="67" spans="1:8" x14ac:dyDescent="0.25">
      <c r="A67" s="189">
        <v>295</v>
      </c>
      <c r="B67" s="182">
        <v>0</v>
      </c>
      <c r="C67" s="192">
        <v>297</v>
      </c>
      <c r="D67" s="183">
        <v>0</v>
      </c>
      <c r="E67" s="198">
        <v>220</v>
      </c>
      <c r="F67" s="182">
        <v>0</v>
      </c>
      <c r="G67" s="198">
        <v>221.99</v>
      </c>
      <c r="H67" s="183">
        <v>0</v>
      </c>
    </row>
    <row r="68" spans="1:8" x14ac:dyDescent="0.25">
      <c r="A68" s="189">
        <v>297</v>
      </c>
      <c r="B68" s="182">
        <v>0.2</v>
      </c>
      <c r="C68" s="192">
        <v>299</v>
      </c>
      <c r="D68" s="183">
        <v>0.2</v>
      </c>
      <c r="E68" s="198">
        <v>222</v>
      </c>
      <c r="F68" s="182">
        <v>0</v>
      </c>
      <c r="G68" s="198">
        <v>223.99</v>
      </c>
      <c r="H68" s="183">
        <v>0</v>
      </c>
    </row>
    <row r="69" spans="1:8" x14ac:dyDescent="0.25">
      <c r="A69" s="189">
        <v>299</v>
      </c>
      <c r="B69" s="182">
        <v>0.4</v>
      </c>
      <c r="C69" s="192">
        <v>301</v>
      </c>
      <c r="D69" s="183">
        <v>0.4</v>
      </c>
      <c r="E69" s="198">
        <v>224</v>
      </c>
      <c r="F69" s="182">
        <v>0</v>
      </c>
      <c r="G69" s="198">
        <v>225.99</v>
      </c>
      <c r="H69" s="183">
        <v>0</v>
      </c>
    </row>
    <row r="70" spans="1:8" x14ac:dyDescent="0.25">
      <c r="A70" s="189">
        <v>301</v>
      </c>
      <c r="B70" s="182">
        <v>0.65</v>
      </c>
      <c r="C70" s="192">
        <v>303</v>
      </c>
      <c r="D70" s="183">
        <v>0.65</v>
      </c>
      <c r="E70" s="198">
        <v>226</v>
      </c>
      <c r="F70" s="182">
        <v>0</v>
      </c>
      <c r="G70" s="198">
        <v>227.99</v>
      </c>
      <c r="H70" s="183">
        <v>0</v>
      </c>
    </row>
    <row r="71" spans="1:8" x14ac:dyDescent="0.25">
      <c r="A71" s="189">
        <v>303</v>
      </c>
      <c r="B71" s="182">
        <v>0.9</v>
      </c>
      <c r="C71" s="192">
        <v>305</v>
      </c>
      <c r="D71" s="183">
        <v>0.9</v>
      </c>
      <c r="E71" s="198">
        <v>228</v>
      </c>
      <c r="F71" s="182">
        <v>0</v>
      </c>
      <c r="G71" s="198">
        <v>229.99</v>
      </c>
      <c r="H71" s="183">
        <v>0</v>
      </c>
    </row>
    <row r="72" spans="1:8" x14ac:dyDescent="0.25">
      <c r="A72" s="189">
        <v>305</v>
      </c>
      <c r="B72" s="182">
        <v>1.1000000000000001</v>
      </c>
      <c r="C72" s="192">
        <v>307</v>
      </c>
      <c r="D72" s="183">
        <v>1.1000000000000001</v>
      </c>
      <c r="E72" s="198">
        <v>230</v>
      </c>
      <c r="F72" s="182">
        <v>0</v>
      </c>
      <c r="G72" s="198">
        <v>234.99</v>
      </c>
      <c r="H72" s="183">
        <v>0</v>
      </c>
    </row>
    <row r="73" spans="1:8" x14ac:dyDescent="0.25">
      <c r="A73" s="189">
        <v>307</v>
      </c>
      <c r="B73" s="182">
        <v>1.35</v>
      </c>
      <c r="C73" s="192">
        <v>309</v>
      </c>
      <c r="D73" s="183">
        <v>1.35</v>
      </c>
      <c r="E73" s="198">
        <v>235</v>
      </c>
      <c r="F73" s="182">
        <v>0</v>
      </c>
      <c r="G73" s="198">
        <v>239.99</v>
      </c>
      <c r="H73" s="183">
        <v>0</v>
      </c>
    </row>
    <row r="74" spans="1:8" x14ac:dyDescent="0.25">
      <c r="A74" s="189">
        <v>309</v>
      </c>
      <c r="B74" s="182">
        <v>1.55</v>
      </c>
      <c r="C74" s="192">
        <v>311</v>
      </c>
      <c r="D74" s="183">
        <v>1.55</v>
      </c>
      <c r="E74" s="198">
        <v>240</v>
      </c>
      <c r="F74" s="182">
        <v>0</v>
      </c>
      <c r="G74" s="198">
        <v>244.99</v>
      </c>
      <c r="H74" s="183">
        <v>0</v>
      </c>
    </row>
    <row r="75" spans="1:8" x14ac:dyDescent="0.25">
      <c r="A75" s="189">
        <v>311</v>
      </c>
      <c r="B75" s="182">
        <v>1.8</v>
      </c>
      <c r="C75" s="192">
        <v>313</v>
      </c>
      <c r="D75" s="183">
        <v>1.8</v>
      </c>
      <c r="E75" s="198">
        <v>245</v>
      </c>
      <c r="F75" s="182">
        <v>0</v>
      </c>
      <c r="G75" s="198">
        <v>249.99</v>
      </c>
      <c r="H75" s="183">
        <v>0</v>
      </c>
    </row>
    <row r="76" spans="1:8" x14ac:dyDescent="0.25">
      <c r="A76" s="189">
        <v>313</v>
      </c>
      <c r="B76" s="182">
        <v>2.0499999999999998</v>
      </c>
      <c r="C76" s="192">
        <v>315</v>
      </c>
      <c r="D76" s="183">
        <v>2.0499999999999998</v>
      </c>
      <c r="E76" s="198">
        <v>250</v>
      </c>
      <c r="F76" s="182">
        <v>0</v>
      </c>
      <c r="G76" s="198">
        <v>254.99</v>
      </c>
      <c r="H76" s="183">
        <v>0</v>
      </c>
    </row>
    <row r="77" spans="1:8" x14ac:dyDescent="0.25">
      <c r="A77" s="189">
        <v>315</v>
      </c>
      <c r="B77" s="182">
        <v>2.25</v>
      </c>
      <c r="C77" s="192">
        <v>317</v>
      </c>
      <c r="D77" s="183">
        <v>2.25</v>
      </c>
      <c r="E77" s="198">
        <v>255</v>
      </c>
      <c r="F77" s="182">
        <v>0</v>
      </c>
      <c r="G77" s="198">
        <v>259.99</v>
      </c>
      <c r="H77" s="183">
        <v>0</v>
      </c>
    </row>
    <row r="78" spans="1:8" x14ac:dyDescent="0.25">
      <c r="A78" s="189">
        <v>317</v>
      </c>
      <c r="B78" s="182">
        <v>2.5</v>
      </c>
      <c r="C78" s="192">
        <v>319</v>
      </c>
      <c r="D78" s="183">
        <v>2.5</v>
      </c>
      <c r="E78" s="198">
        <v>260</v>
      </c>
      <c r="F78" s="182">
        <v>0</v>
      </c>
      <c r="G78" s="198">
        <v>264.99</v>
      </c>
      <c r="H78" s="183">
        <v>0</v>
      </c>
    </row>
    <row r="79" spans="1:8" x14ac:dyDescent="0.25">
      <c r="A79" s="189">
        <v>319</v>
      </c>
      <c r="B79" s="182">
        <v>2.75</v>
      </c>
      <c r="C79" s="192">
        <v>321</v>
      </c>
      <c r="D79" s="183">
        <v>2.75</v>
      </c>
      <c r="E79" s="198">
        <v>265</v>
      </c>
      <c r="F79" s="182">
        <v>0</v>
      </c>
      <c r="G79" s="198">
        <v>269.99</v>
      </c>
      <c r="H79" s="183">
        <v>0</v>
      </c>
    </row>
    <row r="80" spans="1:8" x14ac:dyDescent="0.25">
      <c r="A80" s="189">
        <v>321</v>
      </c>
      <c r="B80" s="182">
        <v>2.95</v>
      </c>
      <c r="C80" s="192">
        <v>323</v>
      </c>
      <c r="D80" s="183">
        <v>2.95</v>
      </c>
      <c r="E80" s="198">
        <v>270</v>
      </c>
      <c r="F80" s="182">
        <v>0</v>
      </c>
      <c r="G80" s="198">
        <v>274.99</v>
      </c>
      <c r="H80" s="183">
        <v>0</v>
      </c>
    </row>
    <row r="81" spans="1:8" x14ac:dyDescent="0.25">
      <c r="A81" s="189">
        <v>323</v>
      </c>
      <c r="B81" s="182">
        <v>3.2</v>
      </c>
      <c r="C81" s="192">
        <v>325</v>
      </c>
      <c r="D81" s="183">
        <v>3.2</v>
      </c>
      <c r="E81" s="198">
        <v>275</v>
      </c>
      <c r="F81" s="182">
        <v>0</v>
      </c>
      <c r="G81" s="198">
        <v>279.99</v>
      </c>
      <c r="H81" s="183">
        <v>0</v>
      </c>
    </row>
    <row r="82" spans="1:8" x14ac:dyDescent="0.25">
      <c r="A82" s="189">
        <v>325</v>
      </c>
      <c r="B82" s="182">
        <v>3.45</v>
      </c>
      <c r="C82" s="192">
        <v>327</v>
      </c>
      <c r="D82" s="183">
        <v>3.45</v>
      </c>
      <c r="E82" s="198">
        <v>280</v>
      </c>
      <c r="F82" s="182">
        <v>0</v>
      </c>
      <c r="G82" s="198">
        <v>284.99</v>
      </c>
      <c r="H82" s="183">
        <v>0</v>
      </c>
    </row>
    <row r="83" spans="1:8" x14ac:dyDescent="0.25">
      <c r="A83" s="189">
        <v>327</v>
      </c>
      <c r="B83" s="182">
        <v>3.65</v>
      </c>
      <c r="C83" s="192">
        <v>329</v>
      </c>
      <c r="D83" s="183">
        <v>3.65</v>
      </c>
      <c r="E83" s="198">
        <v>285</v>
      </c>
      <c r="F83" s="182">
        <v>0</v>
      </c>
      <c r="G83" s="198">
        <v>289.99</v>
      </c>
      <c r="H83" s="183">
        <v>0</v>
      </c>
    </row>
    <row r="84" spans="1:8" x14ac:dyDescent="0.25">
      <c r="A84" s="189">
        <v>329</v>
      </c>
      <c r="B84" s="182">
        <v>3.9</v>
      </c>
      <c r="C84" s="192">
        <v>331</v>
      </c>
      <c r="D84" s="183">
        <v>3.9</v>
      </c>
      <c r="E84" s="198">
        <v>290</v>
      </c>
      <c r="F84" s="182">
        <v>0</v>
      </c>
      <c r="G84" s="198">
        <v>294.99</v>
      </c>
      <c r="H84" s="183">
        <v>0</v>
      </c>
    </row>
    <row r="85" spans="1:8" x14ac:dyDescent="0.25">
      <c r="A85" s="189">
        <v>331</v>
      </c>
      <c r="B85" s="182">
        <v>4.1500000000000004</v>
      </c>
      <c r="C85" s="192">
        <v>333</v>
      </c>
      <c r="D85" s="183">
        <v>4.1500000000000004</v>
      </c>
      <c r="E85" s="198">
        <v>295</v>
      </c>
      <c r="F85" s="182">
        <v>0</v>
      </c>
      <c r="G85" s="198">
        <v>299.99</v>
      </c>
      <c r="H85" s="183">
        <v>0</v>
      </c>
    </row>
    <row r="86" spans="1:8" x14ac:dyDescent="0.25">
      <c r="A86" s="189">
        <v>333</v>
      </c>
      <c r="B86" s="182">
        <v>4.3499999999999996</v>
      </c>
      <c r="C86" s="192">
        <v>335</v>
      </c>
      <c r="D86" s="183">
        <v>4.3499999999999996</v>
      </c>
      <c r="E86" s="198">
        <v>300</v>
      </c>
      <c r="F86" s="182">
        <v>0</v>
      </c>
      <c r="G86" s="198">
        <v>304.99</v>
      </c>
      <c r="H86" s="183">
        <v>0</v>
      </c>
    </row>
    <row r="87" spans="1:8" x14ac:dyDescent="0.25">
      <c r="A87" s="189">
        <v>335</v>
      </c>
      <c r="B87" s="182">
        <v>4.5999999999999996</v>
      </c>
      <c r="C87" s="192">
        <v>337</v>
      </c>
      <c r="D87" s="183">
        <v>4.5999999999999996</v>
      </c>
      <c r="E87" s="198">
        <v>305</v>
      </c>
      <c r="F87" s="182">
        <v>0</v>
      </c>
      <c r="G87" s="198">
        <v>309.99</v>
      </c>
      <c r="H87" s="183">
        <v>0</v>
      </c>
    </row>
    <row r="88" spans="1:8" x14ac:dyDescent="0.25">
      <c r="A88" s="189">
        <v>337</v>
      </c>
      <c r="B88" s="182">
        <v>4.8</v>
      </c>
      <c r="C88" s="192">
        <v>339</v>
      </c>
      <c r="D88" s="183">
        <v>4.8</v>
      </c>
      <c r="E88" s="198">
        <v>310</v>
      </c>
      <c r="F88" s="182">
        <v>0</v>
      </c>
      <c r="G88" s="198">
        <v>314.99</v>
      </c>
      <c r="H88" s="183">
        <v>0</v>
      </c>
    </row>
    <row r="89" spans="1:8" x14ac:dyDescent="0.25">
      <c r="A89" s="189">
        <v>339</v>
      </c>
      <c r="B89" s="182">
        <v>5.05</v>
      </c>
      <c r="C89" s="192">
        <v>341</v>
      </c>
      <c r="D89" s="183">
        <v>5.05</v>
      </c>
      <c r="E89" s="198">
        <v>315</v>
      </c>
      <c r="F89" s="182">
        <v>0</v>
      </c>
      <c r="G89" s="198">
        <v>319.99</v>
      </c>
      <c r="H89" s="183">
        <v>0</v>
      </c>
    </row>
    <row r="90" spans="1:8" x14ac:dyDescent="0.25">
      <c r="A90" s="189">
        <v>341</v>
      </c>
      <c r="B90" s="182">
        <v>5.3</v>
      </c>
      <c r="C90" s="192">
        <v>343</v>
      </c>
      <c r="D90" s="183">
        <v>5.3</v>
      </c>
      <c r="E90" s="198">
        <v>320</v>
      </c>
      <c r="F90" s="182">
        <v>0.67</v>
      </c>
      <c r="G90" s="198">
        <v>324.99</v>
      </c>
      <c r="H90" s="183">
        <v>0.67</v>
      </c>
    </row>
    <row r="91" spans="1:8" x14ac:dyDescent="0.25">
      <c r="A91" s="189">
        <v>343</v>
      </c>
      <c r="B91" s="182">
        <v>5.5</v>
      </c>
      <c r="C91" s="192">
        <v>345</v>
      </c>
      <c r="D91" s="183">
        <v>5.5</v>
      </c>
      <c r="E91" s="198">
        <v>325</v>
      </c>
      <c r="F91" s="182">
        <v>1.38</v>
      </c>
      <c r="G91" s="198">
        <v>329.99</v>
      </c>
      <c r="H91" s="183">
        <v>1.38</v>
      </c>
    </row>
    <row r="92" spans="1:8" x14ac:dyDescent="0.25">
      <c r="A92" s="189">
        <v>345</v>
      </c>
      <c r="B92" s="182">
        <v>5.75</v>
      </c>
      <c r="C92" s="192">
        <v>347</v>
      </c>
      <c r="D92" s="183">
        <v>5.75</v>
      </c>
      <c r="E92" s="198">
        <v>330</v>
      </c>
      <c r="F92" s="182">
        <v>2.08</v>
      </c>
      <c r="G92" s="198">
        <v>334.99</v>
      </c>
      <c r="H92" s="183">
        <v>2.08</v>
      </c>
    </row>
    <row r="93" spans="1:8" x14ac:dyDescent="0.25">
      <c r="A93" s="189">
        <v>347</v>
      </c>
      <c r="B93" s="182">
        <v>6</v>
      </c>
      <c r="C93" s="192">
        <v>349</v>
      </c>
      <c r="D93" s="183">
        <v>6</v>
      </c>
      <c r="E93" s="198">
        <v>335</v>
      </c>
      <c r="F93" s="182">
        <v>2.79</v>
      </c>
      <c r="G93" s="198">
        <v>339.99</v>
      </c>
      <c r="H93" s="183">
        <v>2.79</v>
      </c>
    </row>
    <row r="94" spans="1:8" x14ac:dyDescent="0.25">
      <c r="A94" s="189">
        <v>349</v>
      </c>
      <c r="B94" s="182">
        <v>6.2</v>
      </c>
      <c r="C94" s="192">
        <v>351</v>
      </c>
      <c r="D94" s="183">
        <v>6.2</v>
      </c>
      <c r="E94" s="198">
        <v>340</v>
      </c>
      <c r="F94" s="182">
        <v>3.49</v>
      </c>
      <c r="G94" s="198">
        <v>344.99</v>
      </c>
      <c r="H94" s="183">
        <v>3.49</v>
      </c>
    </row>
    <row r="95" spans="1:8" x14ac:dyDescent="0.25">
      <c r="A95" s="189">
        <v>351</v>
      </c>
      <c r="B95" s="182">
        <v>6.45</v>
      </c>
      <c r="C95" s="192">
        <v>353</v>
      </c>
      <c r="D95" s="183">
        <v>6.45</v>
      </c>
      <c r="E95" s="198">
        <v>345</v>
      </c>
      <c r="F95" s="182">
        <v>4.2</v>
      </c>
      <c r="G95" s="198">
        <v>349.99</v>
      </c>
      <c r="H95" s="183">
        <v>4.2</v>
      </c>
    </row>
    <row r="96" spans="1:8" x14ac:dyDescent="0.25">
      <c r="A96" s="189">
        <v>353</v>
      </c>
      <c r="B96" s="182">
        <v>6.7</v>
      </c>
      <c r="C96" s="192">
        <v>355</v>
      </c>
      <c r="D96" s="183">
        <v>6.7</v>
      </c>
      <c r="E96" s="198">
        <v>350</v>
      </c>
      <c r="F96" s="182">
        <v>4.9000000000000004</v>
      </c>
      <c r="G96" s="198">
        <v>354.99</v>
      </c>
      <c r="H96" s="183">
        <v>4.9000000000000004</v>
      </c>
    </row>
    <row r="97" spans="1:8" x14ac:dyDescent="0.25">
      <c r="A97" s="189">
        <v>355</v>
      </c>
      <c r="B97" s="182">
        <v>6.9</v>
      </c>
      <c r="C97" s="192">
        <v>357</v>
      </c>
      <c r="D97" s="183">
        <v>6.9</v>
      </c>
      <c r="E97" s="198">
        <v>355</v>
      </c>
      <c r="F97" s="182">
        <v>5.61</v>
      </c>
      <c r="G97" s="198">
        <v>359.99</v>
      </c>
      <c r="H97" s="183">
        <v>5.61</v>
      </c>
    </row>
    <row r="98" spans="1:8" x14ac:dyDescent="0.25">
      <c r="A98" s="189">
        <v>357</v>
      </c>
      <c r="B98" s="182">
        <v>7.15</v>
      </c>
      <c r="C98" s="192">
        <v>359</v>
      </c>
      <c r="D98" s="183">
        <v>7.15</v>
      </c>
      <c r="E98" s="198">
        <v>360</v>
      </c>
      <c r="F98" s="182">
        <v>6.31</v>
      </c>
      <c r="G98" s="198">
        <v>364.99</v>
      </c>
      <c r="H98" s="183">
        <v>6.31</v>
      </c>
    </row>
    <row r="99" spans="1:8" x14ac:dyDescent="0.25">
      <c r="A99" s="189">
        <v>359</v>
      </c>
      <c r="B99" s="182">
        <v>7.35</v>
      </c>
      <c r="C99" s="192">
        <v>361</v>
      </c>
      <c r="D99" s="183">
        <v>7.35</v>
      </c>
      <c r="E99" s="198">
        <v>365</v>
      </c>
      <c r="F99" s="182">
        <v>7.02</v>
      </c>
      <c r="G99" s="198">
        <v>369.99</v>
      </c>
      <c r="H99" s="183">
        <v>7.02</v>
      </c>
    </row>
    <row r="100" spans="1:8" x14ac:dyDescent="0.25">
      <c r="A100" s="189">
        <v>361</v>
      </c>
      <c r="B100" s="182">
        <v>7.6</v>
      </c>
      <c r="C100" s="192">
        <v>363</v>
      </c>
      <c r="D100" s="183">
        <v>7.6</v>
      </c>
      <c r="E100" s="198">
        <v>370</v>
      </c>
      <c r="F100" s="182">
        <v>7.72</v>
      </c>
      <c r="G100" s="198">
        <v>374.99</v>
      </c>
      <c r="H100" s="183">
        <v>7.72</v>
      </c>
    </row>
    <row r="101" spans="1:8" x14ac:dyDescent="0.25">
      <c r="A101" s="189">
        <v>363</v>
      </c>
      <c r="B101" s="182">
        <v>7.85</v>
      </c>
      <c r="C101" s="192">
        <v>365</v>
      </c>
      <c r="D101" s="183">
        <v>7.85</v>
      </c>
      <c r="E101" s="198">
        <v>375</v>
      </c>
      <c r="F101" s="182">
        <v>8.43</v>
      </c>
      <c r="G101" s="198">
        <v>379.99</v>
      </c>
      <c r="H101" s="183">
        <v>8.43</v>
      </c>
    </row>
    <row r="102" spans="1:8" x14ac:dyDescent="0.25">
      <c r="A102" s="189">
        <v>365</v>
      </c>
      <c r="B102" s="182">
        <v>8.0500000000000007</v>
      </c>
      <c r="C102" s="192">
        <v>367</v>
      </c>
      <c r="D102" s="183">
        <v>8.0500000000000007</v>
      </c>
      <c r="E102" s="198">
        <v>380</v>
      </c>
      <c r="F102" s="182">
        <v>9.14</v>
      </c>
      <c r="G102" s="198">
        <v>384.99</v>
      </c>
      <c r="H102" s="183">
        <v>9.14</v>
      </c>
    </row>
    <row r="103" spans="1:8" x14ac:dyDescent="0.25">
      <c r="A103" s="189">
        <v>367</v>
      </c>
      <c r="B103" s="182">
        <v>8.3000000000000007</v>
      </c>
      <c r="C103" s="192">
        <v>369</v>
      </c>
      <c r="D103" s="183">
        <v>8.3000000000000007</v>
      </c>
      <c r="E103" s="198">
        <v>385</v>
      </c>
      <c r="F103" s="182">
        <v>9.89</v>
      </c>
      <c r="G103" s="198">
        <v>389.99</v>
      </c>
      <c r="H103" s="183">
        <v>9.89</v>
      </c>
    </row>
    <row r="104" spans="1:8" x14ac:dyDescent="0.25">
      <c r="A104" s="189">
        <v>369</v>
      </c>
      <c r="B104" s="182">
        <v>8.5500000000000007</v>
      </c>
      <c r="C104" s="192">
        <v>371</v>
      </c>
      <c r="D104" s="183">
        <v>8.5500000000000007</v>
      </c>
      <c r="E104" s="198">
        <v>390</v>
      </c>
      <c r="F104" s="182">
        <v>10.64</v>
      </c>
      <c r="G104" s="198">
        <v>394.99</v>
      </c>
      <c r="H104" s="183">
        <v>10.64</v>
      </c>
    </row>
    <row r="105" spans="1:8" x14ac:dyDescent="0.25">
      <c r="A105" s="189">
        <v>371</v>
      </c>
      <c r="B105" s="182">
        <v>8.75</v>
      </c>
      <c r="C105" s="192">
        <v>373</v>
      </c>
      <c r="D105" s="183">
        <v>8.75</v>
      </c>
      <c r="E105" s="198">
        <v>395</v>
      </c>
      <c r="F105" s="182">
        <v>11.39</v>
      </c>
      <c r="G105" s="198">
        <v>399.99</v>
      </c>
      <c r="H105" s="183">
        <v>11.39</v>
      </c>
    </row>
    <row r="106" spans="1:8" x14ac:dyDescent="0.25">
      <c r="A106" s="189">
        <v>373</v>
      </c>
      <c r="B106" s="182">
        <v>9</v>
      </c>
      <c r="C106" s="192">
        <v>375</v>
      </c>
      <c r="D106" s="183">
        <v>9</v>
      </c>
      <c r="E106" s="198">
        <v>400</v>
      </c>
      <c r="F106" s="182">
        <v>12.14</v>
      </c>
      <c r="G106" s="198">
        <v>404.99</v>
      </c>
      <c r="H106" s="183">
        <v>12.14</v>
      </c>
    </row>
    <row r="107" spans="1:8" x14ac:dyDescent="0.25">
      <c r="A107" s="189">
        <v>375</v>
      </c>
      <c r="B107" s="182">
        <v>9.25</v>
      </c>
      <c r="C107" s="192">
        <v>377</v>
      </c>
      <c r="D107" s="183">
        <v>9.25</v>
      </c>
      <c r="E107" s="198">
        <v>405</v>
      </c>
      <c r="F107" s="182">
        <v>12.89</v>
      </c>
      <c r="G107" s="198">
        <v>409.99</v>
      </c>
      <c r="H107" s="183">
        <v>12.89</v>
      </c>
    </row>
    <row r="108" spans="1:8" x14ac:dyDescent="0.25">
      <c r="A108" s="189">
        <v>377</v>
      </c>
      <c r="B108" s="182">
        <v>9.4499999999999993</v>
      </c>
      <c r="C108" s="192">
        <v>379</v>
      </c>
      <c r="D108" s="183">
        <v>9.4499999999999993</v>
      </c>
      <c r="E108" s="198">
        <v>410</v>
      </c>
      <c r="F108" s="182">
        <v>13.64</v>
      </c>
      <c r="G108" s="198">
        <v>414.99</v>
      </c>
      <c r="H108" s="183">
        <v>13.64</v>
      </c>
    </row>
    <row r="109" spans="1:8" x14ac:dyDescent="0.25">
      <c r="A109" s="189">
        <v>379</v>
      </c>
      <c r="B109" s="182">
        <v>9.6999999999999993</v>
      </c>
      <c r="C109" s="192">
        <v>381</v>
      </c>
      <c r="D109" s="183">
        <v>9.6999999999999993</v>
      </c>
      <c r="E109" s="198">
        <v>415</v>
      </c>
      <c r="F109" s="182">
        <v>14.39</v>
      </c>
      <c r="G109" s="198">
        <v>419.99</v>
      </c>
      <c r="H109" s="183">
        <v>14.39</v>
      </c>
    </row>
    <row r="110" spans="1:8" x14ac:dyDescent="0.25">
      <c r="A110" s="189">
        <v>381</v>
      </c>
      <c r="B110" s="182">
        <v>9.9499999999999993</v>
      </c>
      <c r="C110" s="192">
        <v>383</v>
      </c>
      <c r="D110" s="183">
        <v>9.9499999999999993</v>
      </c>
      <c r="E110" s="198">
        <v>420</v>
      </c>
      <c r="F110" s="182">
        <v>15.14</v>
      </c>
      <c r="G110" s="198">
        <v>424.99</v>
      </c>
      <c r="H110" s="183">
        <v>15.14</v>
      </c>
    </row>
    <row r="111" spans="1:8" x14ac:dyDescent="0.25">
      <c r="A111" s="189">
        <v>383</v>
      </c>
      <c r="B111" s="182">
        <v>10.15</v>
      </c>
      <c r="C111" s="192">
        <v>385</v>
      </c>
      <c r="D111" s="183">
        <v>10.15</v>
      </c>
      <c r="E111" s="198">
        <v>425</v>
      </c>
      <c r="F111" s="182">
        <v>15.89</v>
      </c>
      <c r="G111" s="198">
        <v>429.99</v>
      </c>
      <c r="H111" s="183">
        <v>15.89</v>
      </c>
    </row>
    <row r="112" spans="1:8" x14ac:dyDescent="0.25">
      <c r="A112" s="189">
        <v>385</v>
      </c>
      <c r="B112" s="182">
        <v>10.4</v>
      </c>
      <c r="C112" s="192">
        <v>387</v>
      </c>
      <c r="D112" s="183">
        <v>10.4</v>
      </c>
      <c r="E112" s="198">
        <v>430</v>
      </c>
      <c r="F112" s="182">
        <v>17.02</v>
      </c>
      <c r="G112" s="198">
        <v>439.99</v>
      </c>
      <c r="H112" s="183">
        <v>17.02</v>
      </c>
    </row>
    <row r="113" spans="1:8" x14ac:dyDescent="0.25">
      <c r="A113" s="189">
        <v>387</v>
      </c>
      <c r="B113" s="182">
        <v>10.6</v>
      </c>
      <c r="C113" s="192">
        <v>389</v>
      </c>
      <c r="D113" s="183">
        <v>10.6</v>
      </c>
      <c r="E113" s="198">
        <v>440</v>
      </c>
      <c r="F113" s="182">
        <v>18.52</v>
      </c>
      <c r="G113" s="198">
        <v>449.99</v>
      </c>
      <c r="H113" s="183">
        <v>18.52</v>
      </c>
    </row>
    <row r="114" spans="1:8" x14ac:dyDescent="0.25">
      <c r="A114" s="189">
        <v>389</v>
      </c>
      <c r="B114" s="182">
        <v>10.85</v>
      </c>
      <c r="C114" s="192">
        <v>391</v>
      </c>
      <c r="D114" s="183">
        <v>10.85</v>
      </c>
      <c r="E114" s="198">
        <v>450</v>
      </c>
      <c r="F114" s="182">
        <v>20.02</v>
      </c>
      <c r="G114" s="198">
        <v>459.99</v>
      </c>
      <c r="H114" s="183">
        <v>20.02</v>
      </c>
    </row>
    <row r="115" spans="1:8" x14ac:dyDescent="0.25">
      <c r="A115" s="189">
        <v>391</v>
      </c>
      <c r="B115" s="182">
        <v>11.1</v>
      </c>
      <c r="C115" s="192">
        <v>393</v>
      </c>
      <c r="D115" s="183">
        <v>11.1</v>
      </c>
      <c r="E115" s="198">
        <v>460</v>
      </c>
      <c r="F115" s="182">
        <v>21.52</v>
      </c>
      <c r="G115" s="198">
        <v>469.99</v>
      </c>
      <c r="H115" s="183">
        <v>21.52</v>
      </c>
    </row>
    <row r="116" spans="1:8" x14ac:dyDescent="0.25">
      <c r="A116" s="189">
        <v>393</v>
      </c>
      <c r="B116" s="182">
        <v>11.3</v>
      </c>
      <c r="C116" s="192">
        <v>395</v>
      </c>
      <c r="D116" s="183">
        <v>11.3</v>
      </c>
      <c r="E116" s="198">
        <v>470</v>
      </c>
      <c r="F116" s="182">
        <v>23.02</v>
      </c>
      <c r="G116" s="198">
        <v>479.99</v>
      </c>
      <c r="H116" s="183">
        <v>23.02</v>
      </c>
    </row>
    <row r="117" spans="1:8" x14ac:dyDescent="0.25">
      <c r="A117" s="189">
        <v>395</v>
      </c>
      <c r="B117" s="182">
        <v>11.55</v>
      </c>
      <c r="C117" s="192">
        <v>397</v>
      </c>
      <c r="D117" s="183">
        <v>11.55</v>
      </c>
      <c r="E117" s="198">
        <v>480</v>
      </c>
      <c r="F117" s="182">
        <v>24.52</v>
      </c>
      <c r="G117" s="198">
        <v>489.99</v>
      </c>
      <c r="H117" s="183">
        <v>24.52</v>
      </c>
    </row>
    <row r="118" spans="1:8" x14ac:dyDescent="0.25">
      <c r="A118" s="189">
        <v>397</v>
      </c>
      <c r="B118" s="182">
        <v>11.8</v>
      </c>
      <c r="C118" s="192">
        <v>399</v>
      </c>
      <c r="D118" s="183">
        <v>11.8</v>
      </c>
      <c r="E118" s="198">
        <v>490</v>
      </c>
      <c r="F118" s="182">
        <v>26.02</v>
      </c>
      <c r="G118" s="198">
        <v>499.99</v>
      </c>
      <c r="H118" s="183">
        <v>26.02</v>
      </c>
    </row>
    <row r="119" spans="1:8" x14ac:dyDescent="0.25">
      <c r="A119" s="189">
        <v>399</v>
      </c>
      <c r="B119" s="182">
        <v>12</v>
      </c>
      <c r="C119" s="192">
        <v>401</v>
      </c>
      <c r="D119" s="183">
        <v>12</v>
      </c>
      <c r="E119" s="198">
        <v>500</v>
      </c>
      <c r="F119" s="182">
        <v>27.52</v>
      </c>
      <c r="G119" s="198">
        <v>509.99</v>
      </c>
      <c r="H119" s="183">
        <v>27.52</v>
      </c>
    </row>
    <row r="120" spans="1:8" x14ac:dyDescent="0.25">
      <c r="A120" s="189">
        <v>401</v>
      </c>
      <c r="B120" s="182">
        <v>12.25</v>
      </c>
      <c r="C120" s="192">
        <v>403</v>
      </c>
      <c r="D120" s="183">
        <v>12.25</v>
      </c>
      <c r="E120" s="198">
        <v>510</v>
      </c>
      <c r="F120" s="182">
        <v>29.02</v>
      </c>
      <c r="G120" s="198">
        <v>519.99</v>
      </c>
      <c r="H120" s="183">
        <v>29.02</v>
      </c>
    </row>
    <row r="121" spans="1:8" x14ac:dyDescent="0.25">
      <c r="A121" s="189">
        <v>403</v>
      </c>
      <c r="B121" s="182">
        <v>12.5</v>
      </c>
      <c r="C121" s="192">
        <v>405</v>
      </c>
      <c r="D121" s="183">
        <v>12.5</v>
      </c>
      <c r="E121" s="198">
        <v>520</v>
      </c>
      <c r="F121" s="182">
        <v>30.52</v>
      </c>
      <c r="G121" s="198">
        <v>529.99</v>
      </c>
      <c r="H121" s="183">
        <v>30.52</v>
      </c>
    </row>
    <row r="122" spans="1:8" x14ac:dyDescent="0.25">
      <c r="A122" s="189">
        <v>405</v>
      </c>
      <c r="B122" s="182">
        <v>12.85</v>
      </c>
      <c r="C122" s="192">
        <v>409</v>
      </c>
      <c r="D122" s="183">
        <v>12.85</v>
      </c>
      <c r="E122" s="198">
        <v>530</v>
      </c>
      <c r="F122" s="182">
        <v>32.020000000000003</v>
      </c>
      <c r="G122" s="198">
        <v>539.99</v>
      </c>
      <c r="H122" s="183">
        <v>32.020000000000003</v>
      </c>
    </row>
    <row r="123" spans="1:8" x14ac:dyDescent="0.25">
      <c r="A123" s="189">
        <v>409</v>
      </c>
      <c r="B123" s="182">
        <v>13.3</v>
      </c>
      <c r="C123" s="192">
        <v>413</v>
      </c>
      <c r="D123" s="183">
        <v>13.3</v>
      </c>
      <c r="E123" s="198">
        <v>540</v>
      </c>
      <c r="F123" s="182">
        <v>33.520000000000003</v>
      </c>
      <c r="G123" s="198">
        <v>549.99</v>
      </c>
      <c r="H123" s="183">
        <v>33.520000000000003</v>
      </c>
    </row>
    <row r="124" spans="1:8" x14ac:dyDescent="0.25">
      <c r="A124" s="189">
        <v>413</v>
      </c>
      <c r="B124" s="182">
        <v>13.75</v>
      </c>
      <c r="C124" s="192">
        <v>417</v>
      </c>
      <c r="D124" s="183">
        <v>13.75</v>
      </c>
      <c r="E124" s="198">
        <v>550</v>
      </c>
      <c r="F124" s="182">
        <v>35.020000000000003</v>
      </c>
      <c r="G124" s="198">
        <v>559.99</v>
      </c>
      <c r="H124" s="183">
        <v>35.020000000000003</v>
      </c>
    </row>
    <row r="125" spans="1:8" x14ac:dyDescent="0.25">
      <c r="A125" s="189">
        <v>417</v>
      </c>
      <c r="B125" s="182">
        <v>14.2</v>
      </c>
      <c r="C125" s="192">
        <v>421</v>
      </c>
      <c r="D125" s="183">
        <v>14.2</v>
      </c>
      <c r="E125" s="198">
        <v>560</v>
      </c>
      <c r="F125" s="182">
        <v>36.520000000000003</v>
      </c>
      <c r="G125" s="198">
        <v>569.99</v>
      </c>
      <c r="H125" s="183">
        <v>36.520000000000003</v>
      </c>
    </row>
    <row r="126" spans="1:8" x14ac:dyDescent="0.25">
      <c r="A126" s="189">
        <v>421</v>
      </c>
      <c r="B126" s="182">
        <v>14.7</v>
      </c>
      <c r="C126" s="192">
        <v>425</v>
      </c>
      <c r="D126" s="183">
        <v>14.7</v>
      </c>
      <c r="E126" s="198">
        <v>570</v>
      </c>
      <c r="F126" s="182">
        <v>38.020000000000003</v>
      </c>
      <c r="G126" s="198">
        <v>579.99</v>
      </c>
      <c r="H126" s="183">
        <v>38.020000000000003</v>
      </c>
    </row>
    <row r="127" spans="1:8" x14ac:dyDescent="0.25">
      <c r="A127" s="189">
        <v>425</v>
      </c>
      <c r="B127" s="182">
        <v>15.15</v>
      </c>
      <c r="C127" s="192">
        <v>429</v>
      </c>
      <c r="D127" s="183">
        <v>15.15</v>
      </c>
      <c r="E127" s="198">
        <v>580</v>
      </c>
      <c r="F127" s="182">
        <v>39.520000000000003</v>
      </c>
      <c r="G127" s="198">
        <v>589.99</v>
      </c>
      <c r="H127" s="183">
        <v>39.520000000000003</v>
      </c>
    </row>
    <row r="128" spans="1:8" x14ac:dyDescent="0.25">
      <c r="A128" s="189">
        <v>429</v>
      </c>
      <c r="B128" s="182">
        <v>15.6</v>
      </c>
      <c r="C128" s="192">
        <v>433</v>
      </c>
      <c r="D128" s="183">
        <v>15.6</v>
      </c>
      <c r="E128" s="198">
        <v>590</v>
      </c>
      <c r="F128" s="182">
        <v>41.02</v>
      </c>
      <c r="G128" s="198">
        <v>599.99</v>
      </c>
      <c r="H128" s="183">
        <v>41.02</v>
      </c>
    </row>
    <row r="129" spans="1:8" x14ac:dyDescent="0.25">
      <c r="A129" s="189">
        <v>433</v>
      </c>
      <c r="B129" s="182">
        <v>16.05</v>
      </c>
      <c r="C129" s="192">
        <v>437</v>
      </c>
      <c r="D129" s="183">
        <v>16.05</v>
      </c>
      <c r="E129" s="198">
        <v>600</v>
      </c>
      <c r="F129" s="182">
        <v>42.52</v>
      </c>
      <c r="G129" s="198">
        <v>609.99</v>
      </c>
      <c r="H129" s="183">
        <v>42.52</v>
      </c>
    </row>
    <row r="130" spans="1:8" x14ac:dyDescent="0.25">
      <c r="A130" s="189">
        <v>437</v>
      </c>
      <c r="B130" s="182">
        <v>16.55</v>
      </c>
      <c r="C130" s="192">
        <v>441</v>
      </c>
      <c r="D130" s="183">
        <v>16.55</v>
      </c>
      <c r="E130" s="198">
        <v>610</v>
      </c>
      <c r="F130" s="182">
        <v>44.02</v>
      </c>
      <c r="G130" s="198">
        <v>619.99</v>
      </c>
      <c r="H130" s="183">
        <v>44.02</v>
      </c>
    </row>
    <row r="131" spans="1:8" x14ac:dyDescent="0.25">
      <c r="A131" s="189">
        <v>441</v>
      </c>
      <c r="B131" s="182">
        <v>17</v>
      </c>
      <c r="C131" s="192">
        <v>445</v>
      </c>
      <c r="D131" s="183">
        <v>17</v>
      </c>
      <c r="E131" s="198">
        <v>620</v>
      </c>
      <c r="F131" s="182">
        <v>45.52</v>
      </c>
      <c r="G131" s="198">
        <v>629.99</v>
      </c>
      <c r="H131" s="183">
        <v>45.52</v>
      </c>
    </row>
    <row r="132" spans="1:8" x14ac:dyDescent="0.25">
      <c r="A132" s="189">
        <v>445</v>
      </c>
      <c r="B132" s="182">
        <v>17.45</v>
      </c>
      <c r="C132" s="192">
        <v>449</v>
      </c>
      <c r="D132" s="183">
        <v>17.45</v>
      </c>
      <c r="E132" s="198">
        <v>630</v>
      </c>
      <c r="F132" s="182">
        <v>47.02</v>
      </c>
      <c r="G132" s="198">
        <v>639.99</v>
      </c>
      <c r="H132" s="183">
        <v>47.02</v>
      </c>
    </row>
    <row r="133" spans="1:8" x14ac:dyDescent="0.25">
      <c r="A133" s="189">
        <v>449</v>
      </c>
      <c r="B133" s="182">
        <v>17.95</v>
      </c>
      <c r="C133" s="192">
        <v>453</v>
      </c>
      <c r="D133" s="183">
        <v>17.95</v>
      </c>
      <c r="E133" s="198">
        <v>640</v>
      </c>
      <c r="F133" s="182">
        <v>48.52</v>
      </c>
      <c r="G133" s="198">
        <v>649.99</v>
      </c>
      <c r="H133" s="183">
        <v>48.52</v>
      </c>
    </row>
    <row r="134" spans="1:8" x14ac:dyDescent="0.25">
      <c r="A134" s="189">
        <v>453</v>
      </c>
      <c r="B134" s="182">
        <v>18.399999999999999</v>
      </c>
      <c r="C134" s="192">
        <v>457</v>
      </c>
      <c r="D134" s="183">
        <v>18.399999999999999</v>
      </c>
      <c r="E134" s="198">
        <v>650</v>
      </c>
      <c r="F134" s="182">
        <v>50.02</v>
      </c>
      <c r="G134" s="198">
        <v>659.99</v>
      </c>
      <c r="H134" s="183">
        <v>50.02</v>
      </c>
    </row>
    <row r="135" spans="1:8" x14ac:dyDescent="0.25">
      <c r="A135" s="189">
        <v>457</v>
      </c>
      <c r="B135" s="182">
        <v>18.850000000000001</v>
      </c>
      <c r="C135" s="192">
        <v>461</v>
      </c>
      <c r="D135" s="183">
        <v>18.850000000000001</v>
      </c>
      <c r="E135" s="198">
        <v>660</v>
      </c>
      <c r="F135" s="182">
        <v>51.52</v>
      </c>
      <c r="G135" s="198">
        <v>669.99</v>
      </c>
      <c r="H135" s="183">
        <v>51.52</v>
      </c>
    </row>
    <row r="136" spans="1:8" x14ac:dyDescent="0.25">
      <c r="A136" s="189">
        <v>461</v>
      </c>
      <c r="B136" s="182">
        <v>19.3</v>
      </c>
      <c r="C136" s="192">
        <v>465</v>
      </c>
      <c r="D136" s="183">
        <v>19.3</v>
      </c>
      <c r="E136" s="198">
        <v>670</v>
      </c>
      <c r="F136" s="182">
        <v>53.02</v>
      </c>
      <c r="G136" s="198">
        <v>679.99</v>
      </c>
      <c r="H136" s="183">
        <v>53.02</v>
      </c>
    </row>
    <row r="137" spans="1:8" x14ac:dyDescent="0.25">
      <c r="A137" s="189">
        <v>465</v>
      </c>
      <c r="B137" s="182">
        <v>19.8</v>
      </c>
      <c r="C137" s="192">
        <v>469</v>
      </c>
      <c r="D137" s="183">
        <v>19.8</v>
      </c>
      <c r="E137" s="198">
        <v>680</v>
      </c>
      <c r="F137" s="182">
        <v>54.52</v>
      </c>
      <c r="G137" s="198">
        <v>689.99</v>
      </c>
      <c r="H137" s="183">
        <v>54.52</v>
      </c>
    </row>
    <row r="138" spans="1:8" x14ac:dyDescent="0.25">
      <c r="A138" s="189">
        <v>469</v>
      </c>
      <c r="B138" s="182">
        <v>20.25</v>
      </c>
      <c r="C138" s="192">
        <v>473</v>
      </c>
      <c r="D138" s="183">
        <v>20.25</v>
      </c>
      <c r="E138" s="198">
        <v>690</v>
      </c>
      <c r="F138" s="182">
        <v>56.02</v>
      </c>
      <c r="G138" s="198">
        <v>699.99</v>
      </c>
      <c r="H138" s="183">
        <v>56.02</v>
      </c>
    </row>
    <row r="139" spans="1:8" x14ac:dyDescent="0.25">
      <c r="A139" s="189">
        <v>473</v>
      </c>
      <c r="B139" s="182">
        <v>20.7</v>
      </c>
      <c r="C139" s="192">
        <v>477</v>
      </c>
      <c r="D139" s="183">
        <v>20.7</v>
      </c>
      <c r="E139" s="198">
        <v>700</v>
      </c>
      <c r="F139" s="182">
        <v>57.52</v>
      </c>
      <c r="G139" s="198">
        <v>709.99</v>
      </c>
      <c r="H139" s="183">
        <v>57.52</v>
      </c>
    </row>
    <row r="140" spans="1:8" x14ac:dyDescent="0.25">
      <c r="A140" s="189">
        <v>477</v>
      </c>
      <c r="B140" s="182">
        <v>21.2</v>
      </c>
      <c r="C140" s="192">
        <v>481</v>
      </c>
      <c r="D140" s="183">
        <v>21.2</v>
      </c>
      <c r="E140" s="198">
        <v>710</v>
      </c>
      <c r="F140" s="182">
        <v>59.02</v>
      </c>
      <c r="G140" s="198">
        <v>719.99</v>
      </c>
      <c r="H140" s="183">
        <v>59.02</v>
      </c>
    </row>
    <row r="141" spans="1:8" x14ac:dyDescent="0.25">
      <c r="A141" s="189">
        <v>481</v>
      </c>
      <c r="B141" s="182">
        <v>21.65</v>
      </c>
      <c r="C141" s="192">
        <v>485</v>
      </c>
      <c r="D141" s="183">
        <v>21.65</v>
      </c>
      <c r="E141" s="198">
        <v>720</v>
      </c>
      <c r="F141" s="182">
        <v>60.52</v>
      </c>
      <c r="G141" s="198">
        <v>729.99</v>
      </c>
      <c r="H141" s="183">
        <v>60.52</v>
      </c>
    </row>
    <row r="142" spans="1:8" x14ac:dyDescent="0.25">
      <c r="A142" s="189">
        <v>485</v>
      </c>
      <c r="B142" s="182">
        <v>22.1</v>
      </c>
      <c r="C142" s="192">
        <v>489</v>
      </c>
      <c r="D142" s="183">
        <v>22.1</v>
      </c>
      <c r="E142" s="198">
        <v>730</v>
      </c>
      <c r="F142" s="182">
        <v>62.02</v>
      </c>
      <c r="G142" s="198">
        <v>739.99</v>
      </c>
      <c r="H142" s="183">
        <v>62.02</v>
      </c>
    </row>
    <row r="143" spans="1:8" x14ac:dyDescent="0.25">
      <c r="A143" s="189">
        <v>489</v>
      </c>
      <c r="B143" s="182">
        <v>22.55</v>
      </c>
      <c r="C143" s="192">
        <v>493</v>
      </c>
      <c r="D143" s="183">
        <v>22.55</v>
      </c>
      <c r="E143" s="198">
        <v>740</v>
      </c>
      <c r="F143" s="182">
        <v>63.52</v>
      </c>
      <c r="G143" s="198">
        <v>749.99</v>
      </c>
      <c r="H143" s="183">
        <v>63.52</v>
      </c>
    </row>
    <row r="144" spans="1:8" x14ac:dyDescent="0.25">
      <c r="A144" s="189">
        <v>493</v>
      </c>
      <c r="B144" s="182">
        <v>23.05</v>
      </c>
      <c r="C144" s="192">
        <v>497</v>
      </c>
      <c r="D144" s="183">
        <v>23.05</v>
      </c>
      <c r="E144" s="198">
        <v>750</v>
      </c>
      <c r="F144" s="182">
        <v>65.02</v>
      </c>
      <c r="G144" s="198">
        <v>759.99</v>
      </c>
      <c r="H144" s="183">
        <v>65.02</v>
      </c>
    </row>
    <row r="145" spans="1:8" x14ac:dyDescent="0.25">
      <c r="A145" s="189">
        <v>497</v>
      </c>
      <c r="B145" s="182">
        <v>23.5</v>
      </c>
      <c r="C145" s="192">
        <v>501</v>
      </c>
      <c r="D145" s="183">
        <v>23.5</v>
      </c>
      <c r="E145" s="198">
        <v>760</v>
      </c>
      <c r="F145" s="182">
        <v>66.52</v>
      </c>
      <c r="G145" s="198">
        <v>769.99</v>
      </c>
      <c r="H145" s="183">
        <v>66.52</v>
      </c>
    </row>
    <row r="146" spans="1:8" x14ac:dyDescent="0.25">
      <c r="A146" s="189">
        <v>501</v>
      </c>
      <c r="B146" s="182">
        <v>23.95</v>
      </c>
      <c r="C146" s="192">
        <v>505</v>
      </c>
      <c r="D146" s="183">
        <v>23.95</v>
      </c>
      <c r="E146" s="198">
        <v>770</v>
      </c>
      <c r="F146" s="182">
        <v>68.02</v>
      </c>
      <c r="G146" s="198">
        <v>779.99</v>
      </c>
      <c r="H146" s="183">
        <v>68.02</v>
      </c>
    </row>
    <row r="147" spans="1:8" x14ac:dyDescent="0.25">
      <c r="A147" s="189">
        <v>505</v>
      </c>
      <c r="B147" s="182">
        <v>24.4</v>
      </c>
      <c r="C147" s="192">
        <v>509</v>
      </c>
      <c r="D147" s="183">
        <v>24.4</v>
      </c>
      <c r="E147" s="198">
        <v>780</v>
      </c>
      <c r="F147" s="182">
        <v>69.52</v>
      </c>
      <c r="G147" s="198">
        <v>789.99</v>
      </c>
      <c r="H147" s="183">
        <v>69.52</v>
      </c>
    </row>
    <row r="148" spans="1:8" x14ac:dyDescent="0.25">
      <c r="A148" s="189">
        <v>509</v>
      </c>
      <c r="B148" s="182">
        <v>24.9</v>
      </c>
      <c r="C148" s="192">
        <v>513</v>
      </c>
      <c r="D148" s="183">
        <v>24.9</v>
      </c>
      <c r="E148" s="198">
        <v>790</v>
      </c>
      <c r="F148" s="182">
        <v>71.02</v>
      </c>
      <c r="G148" s="198">
        <v>799.99</v>
      </c>
      <c r="H148" s="183">
        <v>71.02</v>
      </c>
    </row>
    <row r="149" spans="1:8" x14ac:dyDescent="0.25">
      <c r="A149" s="189">
        <v>513</v>
      </c>
      <c r="B149" s="182">
        <v>25.35</v>
      </c>
      <c r="C149" s="192">
        <v>517</v>
      </c>
      <c r="D149" s="183">
        <v>25.35</v>
      </c>
      <c r="E149" s="198">
        <v>800</v>
      </c>
      <c r="F149" s="182">
        <v>72.52</v>
      </c>
      <c r="G149" s="198">
        <v>809.99</v>
      </c>
      <c r="H149" s="183">
        <v>72.52</v>
      </c>
    </row>
    <row r="150" spans="1:8" x14ac:dyDescent="0.25">
      <c r="A150" s="189">
        <v>517</v>
      </c>
      <c r="B150" s="182">
        <v>25.8</v>
      </c>
      <c r="C150" s="192">
        <v>521</v>
      </c>
      <c r="D150" s="183">
        <v>25.8</v>
      </c>
      <c r="E150" s="198">
        <v>810</v>
      </c>
      <c r="F150" s="182">
        <v>74.02</v>
      </c>
      <c r="G150" s="198">
        <v>819.99</v>
      </c>
      <c r="H150" s="183">
        <v>74.02</v>
      </c>
    </row>
    <row r="151" spans="1:8" x14ac:dyDescent="0.25">
      <c r="A151" s="189">
        <v>521</v>
      </c>
      <c r="B151" s="182">
        <v>26.3</v>
      </c>
      <c r="C151" s="192">
        <v>525</v>
      </c>
      <c r="D151" s="183">
        <v>26.3</v>
      </c>
      <c r="E151" s="198">
        <v>820</v>
      </c>
      <c r="F151" s="182">
        <v>75.52</v>
      </c>
      <c r="G151" s="198">
        <v>829.99</v>
      </c>
      <c r="H151" s="183">
        <v>75.52</v>
      </c>
    </row>
    <row r="152" spans="1:8" x14ac:dyDescent="0.25">
      <c r="A152" s="189">
        <v>525</v>
      </c>
      <c r="B152" s="182">
        <v>26.75</v>
      </c>
      <c r="C152" s="192">
        <v>529</v>
      </c>
      <c r="D152" s="183">
        <v>26.75</v>
      </c>
      <c r="E152" s="198">
        <v>830</v>
      </c>
      <c r="F152" s="182">
        <v>77.02</v>
      </c>
      <c r="G152" s="198">
        <v>839.99</v>
      </c>
      <c r="H152" s="183">
        <v>77.02</v>
      </c>
    </row>
    <row r="153" spans="1:8" x14ac:dyDescent="0.25">
      <c r="A153" s="189">
        <v>529</v>
      </c>
      <c r="B153" s="182">
        <v>27.2</v>
      </c>
      <c r="C153" s="192">
        <v>533</v>
      </c>
      <c r="D153" s="183">
        <v>27.2</v>
      </c>
      <c r="E153" s="198">
        <v>840</v>
      </c>
      <c r="F153" s="182">
        <v>78.52</v>
      </c>
      <c r="G153" s="198">
        <v>849.99</v>
      </c>
      <c r="H153" s="183">
        <v>78.52</v>
      </c>
    </row>
    <row r="154" spans="1:8" x14ac:dyDescent="0.25">
      <c r="A154" s="189">
        <v>533</v>
      </c>
      <c r="B154" s="182">
        <v>27.65</v>
      </c>
      <c r="C154" s="192">
        <v>537</v>
      </c>
      <c r="D154" s="183">
        <v>27.65</v>
      </c>
      <c r="E154" s="198">
        <v>850</v>
      </c>
      <c r="F154" s="182">
        <v>80.02</v>
      </c>
      <c r="G154" s="198">
        <v>859.99</v>
      </c>
      <c r="H154" s="183">
        <v>80.02</v>
      </c>
    </row>
    <row r="155" spans="1:8" x14ac:dyDescent="0.25">
      <c r="A155" s="189">
        <v>537</v>
      </c>
      <c r="B155" s="182">
        <v>28.15</v>
      </c>
      <c r="C155" s="192">
        <v>541</v>
      </c>
      <c r="D155" s="183">
        <v>28.15</v>
      </c>
      <c r="E155" s="198">
        <v>860</v>
      </c>
      <c r="F155" s="182">
        <v>81.52</v>
      </c>
      <c r="G155" s="198">
        <v>869.99</v>
      </c>
      <c r="H155" s="183">
        <v>81.52</v>
      </c>
    </row>
    <row r="156" spans="1:8" x14ac:dyDescent="0.25">
      <c r="A156" s="189">
        <v>541</v>
      </c>
      <c r="B156" s="182">
        <v>28.6</v>
      </c>
      <c r="C156" s="192">
        <v>545</v>
      </c>
      <c r="D156" s="183">
        <v>28.6</v>
      </c>
      <c r="E156" s="198">
        <v>870</v>
      </c>
      <c r="F156" s="182">
        <v>83.02</v>
      </c>
      <c r="G156" s="198">
        <v>879.99</v>
      </c>
      <c r="H156" s="183">
        <v>83.02</v>
      </c>
    </row>
    <row r="157" spans="1:8" x14ac:dyDescent="0.25">
      <c r="A157" s="189">
        <v>545</v>
      </c>
      <c r="B157" s="182">
        <v>29.05</v>
      </c>
      <c r="C157" s="192">
        <v>549</v>
      </c>
      <c r="D157" s="183">
        <v>29.05</v>
      </c>
      <c r="E157" s="198">
        <v>880</v>
      </c>
      <c r="F157" s="182">
        <v>84.79</v>
      </c>
      <c r="G157" s="198">
        <v>889.99</v>
      </c>
      <c r="H157" s="183">
        <v>84.79</v>
      </c>
    </row>
    <row r="158" spans="1:8" x14ac:dyDescent="0.25">
      <c r="A158" s="189">
        <v>549</v>
      </c>
      <c r="B158" s="182">
        <v>29.55</v>
      </c>
      <c r="C158" s="192">
        <v>553</v>
      </c>
      <c r="D158" s="183">
        <v>29.55</v>
      </c>
      <c r="E158" s="198">
        <v>890</v>
      </c>
      <c r="F158" s="182">
        <v>86.79</v>
      </c>
      <c r="G158" s="198">
        <v>899.99</v>
      </c>
      <c r="H158" s="183">
        <v>86.79</v>
      </c>
    </row>
    <row r="159" spans="1:8" x14ac:dyDescent="0.25">
      <c r="A159" s="189">
        <v>553</v>
      </c>
      <c r="B159" s="182">
        <v>30</v>
      </c>
      <c r="C159" s="192">
        <v>557</v>
      </c>
      <c r="D159" s="183">
        <v>30</v>
      </c>
      <c r="E159" s="198">
        <v>900</v>
      </c>
      <c r="F159" s="182">
        <v>88.79</v>
      </c>
      <c r="G159" s="198">
        <v>909.99</v>
      </c>
      <c r="H159" s="183">
        <v>88.79</v>
      </c>
    </row>
    <row r="160" spans="1:8" x14ac:dyDescent="0.25">
      <c r="A160" s="189">
        <v>557</v>
      </c>
      <c r="B160" s="182">
        <v>30.45</v>
      </c>
      <c r="C160" s="192">
        <v>561</v>
      </c>
      <c r="D160" s="183">
        <v>30.45</v>
      </c>
      <c r="E160" s="198">
        <v>910</v>
      </c>
      <c r="F160" s="182">
        <v>90.79</v>
      </c>
      <c r="G160" s="198">
        <v>919.99</v>
      </c>
      <c r="H160" s="183">
        <v>90.79</v>
      </c>
    </row>
    <row r="161" spans="1:8" x14ac:dyDescent="0.25">
      <c r="A161" s="189">
        <v>561</v>
      </c>
      <c r="B161" s="182">
        <v>30.9</v>
      </c>
      <c r="C161" s="192">
        <v>565</v>
      </c>
      <c r="D161" s="183">
        <v>30.9</v>
      </c>
      <c r="E161" s="198">
        <v>920</v>
      </c>
      <c r="F161" s="182">
        <v>92.79</v>
      </c>
      <c r="G161" s="198">
        <v>929.99</v>
      </c>
      <c r="H161" s="183">
        <v>92.79</v>
      </c>
    </row>
    <row r="162" spans="1:8" x14ac:dyDescent="0.25">
      <c r="A162" s="189">
        <v>565</v>
      </c>
      <c r="B162" s="182">
        <v>31.4</v>
      </c>
      <c r="C162" s="192">
        <v>569</v>
      </c>
      <c r="D162" s="183">
        <v>31.4</v>
      </c>
      <c r="E162" s="198">
        <v>930</v>
      </c>
      <c r="F162" s="182">
        <v>94.79</v>
      </c>
      <c r="G162" s="198">
        <v>939.99</v>
      </c>
      <c r="H162" s="183">
        <v>94.79</v>
      </c>
    </row>
    <row r="163" spans="1:8" x14ac:dyDescent="0.25">
      <c r="A163" s="189">
        <v>569</v>
      </c>
      <c r="B163" s="182">
        <v>31.85</v>
      </c>
      <c r="C163" s="192">
        <v>573</v>
      </c>
      <c r="D163" s="183">
        <v>31.85</v>
      </c>
      <c r="E163" s="198">
        <v>940</v>
      </c>
      <c r="F163" s="182">
        <v>96.79</v>
      </c>
      <c r="G163" s="198">
        <v>949.99</v>
      </c>
      <c r="H163" s="183">
        <v>96.79</v>
      </c>
    </row>
    <row r="164" spans="1:8" x14ac:dyDescent="0.25">
      <c r="A164" s="189">
        <v>573</v>
      </c>
      <c r="B164" s="182">
        <v>32.299999999999997</v>
      </c>
      <c r="C164" s="192">
        <v>577</v>
      </c>
      <c r="D164" s="183">
        <v>32.299999999999997</v>
      </c>
      <c r="E164" s="198">
        <v>950</v>
      </c>
      <c r="F164" s="182">
        <v>98.79</v>
      </c>
      <c r="G164" s="198">
        <v>959.99</v>
      </c>
      <c r="H164" s="183">
        <v>98.79</v>
      </c>
    </row>
    <row r="165" spans="1:8" x14ac:dyDescent="0.25">
      <c r="A165" s="189">
        <v>577</v>
      </c>
      <c r="B165" s="182">
        <v>32.799999999999997</v>
      </c>
      <c r="C165" s="192">
        <v>581</v>
      </c>
      <c r="D165" s="183">
        <v>32.799999999999997</v>
      </c>
      <c r="E165" s="198">
        <v>960</v>
      </c>
      <c r="F165" s="182">
        <v>100.79</v>
      </c>
      <c r="G165" s="198">
        <v>969.99</v>
      </c>
      <c r="H165" s="183">
        <v>100.79</v>
      </c>
    </row>
    <row r="166" spans="1:8" x14ac:dyDescent="0.25">
      <c r="A166" s="189">
        <v>581</v>
      </c>
      <c r="B166" s="182">
        <v>33.25</v>
      </c>
      <c r="C166" s="192">
        <v>585</v>
      </c>
      <c r="D166" s="183">
        <v>33.25</v>
      </c>
      <c r="E166" s="198">
        <v>970</v>
      </c>
      <c r="F166" s="182">
        <v>102.79</v>
      </c>
      <c r="G166" s="198">
        <v>979.99</v>
      </c>
      <c r="H166" s="183">
        <v>102.79</v>
      </c>
    </row>
    <row r="167" spans="1:8" x14ac:dyDescent="0.25">
      <c r="A167" s="189">
        <v>585</v>
      </c>
      <c r="B167" s="182">
        <v>33.700000000000003</v>
      </c>
      <c r="C167" s="192">
        <v>589</v>
      </c>
      <c r="D167" s="183">
        <v>33.700000000000003</v>
      </c>
      <c r="E167" s="198">
        <v>980</v>
      </c>
      <c r="F167" s="182">
        <v>104.79</v>
      </c>
      <c r="G167" s="198">
        <v>989.99</v>
      </c>
      <c r="H167" s="183">
        <v>104.79</v>
      </c>
    </row>
    <row r="168" spans="1:8" x14ac:dyDescent="0.25">
      <c r="A168" s="189">
        <v>589</v>
      </c>
      <c r="B168" s="182">
        <v>34.15</v>
      </c>
      <c r="C168" s="192">
        <v>593</v>
      </c>
      <c r="D168" s="183">
        <v>34.15</v>
      </c>
      <c r="E168" s="198">
        <v>990</v>
      </c>
      <c r="F168" s="182">
        <v>106.79</v>
      </c>
      <c r="G168" s="198">
        <v>999.99</v>
      </c>
      <c r="H168" s="183">
        <v>106.79</v>
      </c>
    </row>
    <row r="169" spans="1:8" x14ac:dyDescent="0.25">
      <c r="A169" s="189">
        <v>593</v>
      </c>
      <c r="B169" s="182">
        <v>34.65</v>
      </c>
      <c r="C169" s="192">
        <v>597</v>
      </c>
      <c r="D169" s="183">
        <v>34.65</v>
      </c>
      <c r="E169" s="198">
        <v>1000</v>
      </c>
      <c r="F169" s="182">
        <v>108.79</v>
      </c>
      <c r="G169" s="198">
        <v>1009.99</v>
      </c>
      <c r="H169" s="183">
        <v>108.79</v>
      </c>
    </row>
    <row r="170" spans="1:8" x14ac:dyDescent="0.25">
      <c r="A170" s="189">
        <v>597</v>
      </c>
      <c r="B170" s="182">
        <v>35.1</v>
      </c>
      <c r="C170" s="192">
        <v>601</v>
      </c>
      <c r="D170" s="183">
        <v>35.1</v>
      </c>
      <c r="E170" s="198">
        <v>1010</v>
      </c>
      <c r="F170" s="182">
        <v>110.79</v>
      </c>
      <c r="G170" s="198">
        <v>1019.99</v>
      </c>
      <c r="H170" s="183">
        <v>110.79</v>
      </c>
    </row>
    <row r="171" spans="1:8" x14ac:dyDescent="0.25">
      <c r="A171" s="189">
        <v>601</v>
      </c>
      <c r="B171" s="182">
        <v>35.549999999999997</v>
      </c>
      <c r="C171" s="192">
        <v>605</v>
      </c>
      <c r="D171" s="183">
        <v>35.549999999999997</v>
      </c>
      <c r="E171" s="198">
        <v>1020</v>
      </c>
      <c r="F171" s="182">
        <v>112.79</v>
      </c>
      <c r="G171" s="198">
        <v>1029.99</v>
      </c>
      <c r="H171" s="183">
        <v>112.79</v>
      </c>
    </row>
    <row r="172" spans="1:8" x14ac:dyDescent="0.25">
      <c r="A172" s="189">
        <v>605</v>
      </c>
      <c r="B172" s="182">
        <v>36</v>
      </c>
      <c r="C172" s="192">
        <v>609</v>
      </c>
      <c r="D172" s="183">
        <v>36</v>
      </c>
      <c r="E172" s="198">
        <v>1030</v>
      </c>
      <c r="F172" s="182">
        <v>114.79</v>
      </c>
      <c r="G172" s="198">
        <v>1039.99</v>
      </c>
      <c r="H172" s="183">
        <v>114.79</v>
      </c>
    </row>
    <row r="173" spans="1:8" x14ac:dyDescent="0.25">
      <c r="A173" s="189">
        <v>609</v>
      </c>
      <c r="B173" s="182">
        <v>36.5</v>
      </c>
      <c r="C173" s="192">
        <v>613</v>
      </c>
      <c r="D173" s="183">
        <v>36.5</v>
      </c>
      <c r="E173" s="198">
        <v>1040</v>
      </c>
      <c r="F173" s="182">
        <v>116.79</v>
      </c>
      <c r="G173" s="198">
        <v>1049.99</v>
      </c>
      <c r="H173" s="183">
        <v>116.79</v>
      </c>
    </row>
    <row r="174" spans="1:8" x14ac:dyDescent="0.25">
      <c r="A174" s="189">
        <v>613</v>
      </c>
      <c r="B174" s="182">
        <v>36.950000000000003</v>
      </c>
      <c r="C174" s="192">
        <v>617</v>
      </c>
      <c r="D174" s="183">
        <v>36.950000000000003</v>
      </c>
      <c r="E174" s="198">
        <v>1050</v>
      </c>
      <c r="F174" s="182">
        <v>118.79</v>
      </c>
      <c r="G174" s="198">
        <v>1059.99</v>
      </c>
      <c r="H174" s="183">
        <v>118.79</v>
      </c>
    </row>
    <row r="175" spans="1:8" x14ac:dyDescent="0.25">
      <c r="A175" s="189">
        <v>617</v>
      </c>
      <c r="B175" s="182">
        <v>37.4</v>
      </c>
      <c r="C175" s="192">
        <v>621</v>
      </c>
      <c r="D175" s="183">
        <v>37.4</v>
      </c>
      <c r="E175" s="198">
        <v>1060</v>
      </c>
      <c r="F175" s="182">
        <v>120.79</v>
      </c>
      <c r="G175" s="198">
        <v>1069.99</v>
      </c>
      <c r="H175" s="183">
        <v>120.79</v>
      </c>
    </row>
    <row r="176" spans="1:8" x14ac:dyDescent="0.25">
      <c r="A176" s="189">
        <v>621</v>
      </c>
      <c r="B176" s="182">
        <v>37.9</v>
      </c>
      <c r="C176" s="192">
        <v>625</v>
      </c>
      <c r="D176" s="183">
        <v>37.9</v>
      </c>
      <c r="E176" s="198">
        <v>1070</v>
      </c>
      <c r="F176" s="182">
        <v>122.79</v>
      </c>
      <c r="G176" s="198">
        <v>1079.99</v>
      </c>
      <c r="H176" s="183">
        <v>122.79</v>
      </c>
    </row>
    <row r="177" spans="1:8" x14ac:dyDescent="0.25">
      <c r="A177" s="189">
        <v>625</v>
      </c>
      <c r="B177" s="182">
        <v>38.549999999999997</v>
      </c>
      <c r="C177" s="192">
        <v>633</v>
      </c>
      <c r="D177" s="183">
        <v>38.549999999999997</v>
      </c>
      <c r="E177" s="198">
        <v>1080</v>
      </c>
      <c r="F177" s="182">
        <v>124.79</v>
      </c>
      <c r="G177" s="198">
        <v>1089.99</v>
      </c>
      <c r="H177" s="183">
        <v>124.79</v>
      </c>
    </row>
    <row r="178" spans="1:8" x14ac:dyDescent="0.25">
      <c r="A178" s="189">
        <v>633</v>
      </c>
      <c r="B178" s="182">
        <v>39.5</v>
      </c>
      <c r="C178" s="192">
        <v>641</v>
      </c>
      <c r="D178" s="183">
        <v>39.5</v>
      </c>
      <c r="E178" s="198">
        <v>1090</v>
      </c>
      <c r="F178" s="182">
        <v>126.79</v>
      </c>
      <c r="G178" s="198">
        <v>1099.99</v>
      </c>
      <c r="H178" s="183">
        <v>126.79</v>
      </c>
    </row>
    <row r="179" spans="1:8" x14ac:dyDescent="0.25">
      <c r="A179" s="189">
        <v>641</v>
      </c>
      <c r="B179" s="182">
        <v>40.450000000000003</v>
      </c>
      <c r="C179" s="192">
        <v>649</v>
      </c>
      <c r="D179" s="183">
        <v>40.450000000000003</v>
      </c>
      <c r="E179" s="198">
        <v>1100</v>
      </c>
      <c r="F179" s="182">
        <v>128.79</v>
      </c>
      <c r="G179" s="198">
        <v>1109.99</v>
      </c>
      <c r="H179" s="183">
        <v>128.79</v>
      </c>
    </row>
    <row r="180" spans="1:8" x14ac:dyDescent="0.25">
      <c r="A180" s="189">
        <v>649</v>
      </c>
      <c r="B180" s="182">
        <v>41.35</v>
      </c>
      <c r="C180" s="192">
        <v>657</v>
      </c>
      <c r="D180" s="183">
        <v>41.35</v>
      </c>
      <c r="E180" s="198">
        <v>1110</v>
      </c>
      <c r="F180" s="182">
        <v>130.79</v>
      </c>
      <c r="G180" s="198">
        <v>1119.99</v>
      </c>
      <c r="H180" s="183">
        <v>130.79</v>
      </c>
    </row>
    <row r="181" spans="1:8" x14ac:dyDescent="0.25">
      <c r="A181" s="189">
        <v>657</v>
      </c>
      <c r="B181" s="182">
        <v>42.3</v>
      </c>
      <c r="C181" s="192">
        <v>665</v>
      </c>
      <c r="D181" s="183">
        <v>42.3</v>
      </c>
      <c r="E181" s="198">
        <v>1120</v>
      </c>
      <c r="F181" s="182">
        <v>132.79</v>
      </c>
      <c r="G181" s="198">
        <v>1129.99</v>
      </c>
      <c r="H181" s="183">
        <v>132.79</v>
      </c>
    </row>
    <row r="182" spans="1:8" x14ac:dyDescent="0.25">
      <c r="A182" s="189">
        <v>665</v>
      </c>
      <c r="B182" s="182">
        <v>43.2</v>
      </c>
      <c r="C182" s="192">
        <v>673</v>
      </c>
      <c r="D182" s="183">
        <v>43.2</v>
      </c>
      <c r="E182" s="198">
        <v>1130</v>
      </c>
      <c r="F182" s="182">
        <v>134.79</v>
      </c>
      <c r="G182" s="198">
        <v>1139.99</v>
      </c>
      <c r="H182" s="183">
        <v>134.79</v>
      </c>
    </row>
    <row r="183" spans="1:8" x14ac:dyDescent="0.25">
      <c r="A183" s="189">
        <v>673</v>
      </c>
      <c r="B183" s="182">
        <v>44.15</v>
      </c>
      <c r="C183" s="192">
        <v>681</v>
      </c>
      <c r="D183" s="183">
        <v>44.15</v>
      </c>
      <c r="E183" s="198">
        <v>1140</v>
      </c>
      <c r="F183" s="182">
        <v>136.79</v>
      </c>
      <c r="G183" s="198">
        <v>1149.99</v>
      </c>
      <c r="H183" s="183">
        <v>136.79</v>
      </c>
    </row>
    <row r="184" spans="1:8" x14ac:dyDescent="0.25">
      <c r="A184" s="189">
        <v>681</v>
      </c>
      <c r="B184" s="182">
        <v>45.05</v>
      </c>
      <c r="C184" s="192">
        <v>689</v>
      </c>
      <c r="D184" s="183">
        <v>45.05</v>
      </c>
      <c r="E184" s="198">
        <v>1150</v>
      </c>
      <c r="F184" s="182">
        <v>138.79</v>
      </c>
      <c r="G184" s="198">
        <v>1159.99</v>
      </c>
      <c r="H184" s="183">
        <v>138.79</v>
      </c>
    </row>
    <row r="185" spans="1:8" x14ac:dyDescent="0.25">
      <c r="A185" s="189">
        <v>689</v>
      </c>
      <c r="B185" s="182">
        <v>46</v>
      </c>
      <c r="C185" s="192">
        <v>697</v>
      </c>
      <c r="D185" s="183">
        <v>46</v>
      </c>
      <c r="E185" s="198">
        <v>1160</v>
      </c>
      <c r="F185" s="182">
        <v>140.79</v>
      </c>
      <c r="G185" s="198">
        <v>1169.99</v>
      </c>
      <c r="H185" s="183">
        <v>140.79</v>
      </c>
    </row>
    <row r="186" spans="1:8" x14ac:dyDescent="0.25">
      <c r="A186" s="189">
        <v>697</v>
      </c>
      <c r="B186" s="182">
        <v>46.95</v>
      </c>
      <c r="C186" s="192">
        <v>705</v>
      </c>
      <c r="D186" s="183">
        <v>46.95</v>
      </c>
      <c r="E186" s="198">
        <v>1170</v>
      </c>
      <c r="F186" s="182">
        <v>142.79</v>
      </c>
      <c r="G186" s="198">
        <v>1179.99</v>
      </c>
      <c r="H186" s="183">
        <v>142.79</v>
      </c>
    </row>
    <row r="187" spans="1:8" x14ac:dyDescent="0.25">
      <c r="A187" s="189">
        <v>705</v>
      </c>
      <c r="B187" s="182">
        <v>47.85</v>
      </c>
      <c r="C187" s="192">
        <v>713</v>
      </c>
      <c r="D187" s="183">
        <v>47.85</v>
      </c>
      <c r="E187" s="198">
        <v>1180</v>
      </c>
      <c r="F187" s="182">
        <v>144.79</v>
      </c>
      <c r="G187" s="198">
        <v>1189.99</v>
      </c>
      <c r="H187" s="183">
        <v>144.79</v>
      </c>
    </row>
    <row r="188" spans="1:8" x14ac:dyDescent="0.25">
      <c r="A188" s="189">
        <v>713</v>
      </c>
      <c r="B188" s="182">
        <v>48.8</v>
      </c>
      <c r="C188" s="192">
        <v>721</v>
      </c>
      <c r="D188" s="183">
        <v>48.8</v>
      </c>
      <c r="E188" s="198">
        <v>1190</v>
      </c>
      <c r="F188" s="182">
        <v>146.79</v>
      </c>
      <c r="G188" s="198">
        <v>1199.99</v>
      </c>
      <c r="H188" s="183">
        <v>146.79</v>
      </c>
    </row>
    <row r="189" spans="1:8" x14ac:dyDescent="0.25">
      <c r="A189" s="189">
        <v>721</v>
      </c>
      <c r="B189" s="182">
        <v>49.7</v>
      </c>
      <c r="C189" s="192">
        <v>729</v>
      </c>
      <c r="D189" s="183">
        <v>49.7</v>
      </c>
      <c r="E189" s="198">
        <v>1200</v>
      </c>
      <c r="F189" s="182">
        <v>148.79</v>
      </c>
      <c r="G189" s="198">
        <v>1209.99</v>
      </c>
      <c r="H189" s="183">
        <v>148.79</v>
      </c>
    </row>
    <row r="190" spans="1:8" x14ac:dyDescent="0.25">
      <c r="A190" s="189">
        <v>729</v>
      </c>
      <c r="B190" s="182">
        <v>50.65</v>
      </c>
      <c r="C190" s="192">
        <v>737</v>
      </c>
      <c r="D190" s="183">
        <v>50.65</v>
      </c>
      <c r="E190" s="198">
        <v>1210</v>
      </c>
      <c r="F190" s="182">
        <v>150.79</v>
      </c>
      <c r="G190" s="198">
        <v>1219.99</v>
      </c>
      <c r="H190" s="183">
        <v>150.79</v>
      </c>
    </row>
    <row r="191" spans="1:8" x14ac:dyDescent="0.25">
      <c r="A191" s="189">
        <v>737</v>
      </c>
      <c r="B191" s="182">
        <v>51.55</v>
      </c>
      <c r="C191" s="192">
        <v>745</v>
      </c>
      <c r="D191" s="183">
        <v>51.55</v>
      </c>
      <c r="E191" s="198">
        <v>1220</v>
      </c>
      <c r="F191" s="182">
        <v>152.79</v>
      </c>
      <c r="G191" s="198">
        <v>1229.99</v>
      </c>
      <c r="H191" s="183">
        <v>152.79</v>
      </c>
    </row>
    <row r="192" spans="1:8" x14ac:dyDescent="0.25">
      <c r="A192" s="189">
        <v>745</v>
      </c>
      <c r="B192" s="182">
        <v>52.5</v>
      </c>
      <c r="C192" s="192">
        <v>753</v>
      </c>
      <c r="D192" s="183">
        <v>52.5</v>
      </c>
      <c r="E192" s="198">
        <v>1230</v>
      </c>
      <c r="F192" s="182">
        <v>155.79</v>
      </c>
      <c r="G192" s="198">
        <v>1249.99</v>
      </c>
      <c r="H192" s="183">
        <v>155.79</v>
      </c>
    </row>
    <row r="193" spans="1:8" x14ac:dyDescent="0.25">
      <c r="A193" s="189">
        <v>753</v>
      </c>
      <c r="B193" s="182">
        <v>53.4</v>
      </c>
      <c r="C193" s="192">
        <v>761</v>
      </c>
      <c r="D193" s="183">
        <v>53.4</v>
      </c>
      <c r="E193" s="198">
        <v>1250</v>
      </c>
      <c r="F193" s="182">
        <v>159.79</v>
      </c>
      <c r="G193" s="198">
        <v>1269.99</v>
      </c>
      <c r="H193" s="183">
        <v>159.79</v>
      </c>
    </row>
    <row r="194" spans="1:8" x14ac:dyDescent="0.25">
      <c r="A194" s="189">
        <v>761</v>
      </c>
      <c r="B194" s="182">
        <v>54.35</v>
      </c>
      <c r="C194" s="192">
        <v>769</v>
      </c>
      <c r="D194" s="183">
        <v>54.35</v>
      </c>
      <c r="E194" s="198">
        <v>1270</v>
      </c>
      <c r="F194" s="182">
        <v>163.79</v>
      </c>
      <c r="G194" s="198">
        <v>1289.99</v>
      </c>
      <c r="H194" s="183">
        <v>163.79</v>
      </c>
    </row>
    <row r="195" spans="1:8" x14ac:dyDescent="0.25">
      <c r="A195" s="189">
        <v>769</v>
      </c>
      <c r="B195" s="182">
        <v>55.3</v>
      </c>
      <c r="C195" s="192">
        <v>777</v>
      </c>
      <c r="D195" s="183">
        <v>55.3</v>
      </c>
      <c r="E195" s="198">
        <v>1290</v>
      </c>
      <c r="F195" s="182">
        <v>167.79</v>
      </c>
      <c r="G195" s="198">
        <v>1309.99</v>
      </c>
      <c r="H195" s="183">
        <v>167.79</v>
      </c>
    </row>
    <row r="196" spans="1:8" x14ac:dyDescent="0.25">
      <c r="A196" s="189">
        <v>777</v>
      </c>
      <c r="B196" s="182">
        <v>56.2</v>
      </c>
      <c r="C196" s="192">
        <v>785</v>
      </c>
      <c r="D196" s="183">
        <v>56.2</v>
      </c>
      <c r="E196" s="198">
        <v>1310</v>
      </c>
      <c r="F196" s="182">
        <v>171.79</v>
      </c>
      <c r="G196" s="198">
        <v>1329.99</v>
      </c>
      <c r="H196" s="183">
        <v>171.79</v>
      </c>
    </row>
    <row r="197" spans="1:8" x14ac:dyDescent="0.25">
      <c r="A197" s="189">
        <v>785</v>
      </c>
      <c r="B197" s="182">
        <v>57.15</v>
      </c>
      <c r="C197" s="192">
        <v>793</v>
      </c>
      <c r="D197" s="183">
        <v>57.15</v>
      </c>
      <c r="E197" s="198">
        <v>1330</v>
      </c>
      <c r="F197" s="182">
        <v>175.79</v>
      </c>
      <c r="G197" s="198">
        <v>1349.99</v>
      </c>
      <c r="H197" s="183">
        <v>175.79</v>
      </c>
    </row>
    <row r="198" spans="1:8" x14ac:dyDescent="0.25">
      <c r="A198" s="189">
        <v>793</v>
      </c>
      <c r="B198" s="182">
        <v>58.05</v>
      </c>
      <c r="C198" s="192">
        <v>801</v>
      </c>
      <c r="D198" s="183">
        <v>58.05</v>
      </c>
      <c r="E198" s="198">
        <v>1350</v>
      </c>
      <c r="F198" s="182">
        <v>179.79</v>
      </c>
      <c r="G198" s="198">
        <v>1369.99</v>
      </c>
      <c r="H198" s="183">
        <v>179.79</v>
      </c>
    </row>
    <row r="199" spans="1:8" x14ac:dyDescent="0.25">
      <c r="A199" s="189">
        <v>801</v>
      </c>
      <c r="B199" s="182">
        <v>59</v>
      </c>
      <c r="C199" s="192">
        <v>809</v>
      </c>
      <c r="D199" s="183">
        <v>59</v>
      </c>
      <c r="E199" s="198">
        <v>1370</v>
      </c>
      <c r="F199" s="182">
        <v>183.79</v>
      </c>
      <c r="G199" s="198">
        <v>1389.99</v>
      </c>
      <c r="H199" s="183">
        <v>183.79</v>
      </c>
    </row>
    <row r="200" spans="1:8" x14ac:dyDescent="0.25">
      <c r="A200" s="189">
        <v>809</v>
      </c>
      <c r="B200" s="182">
        <v>59.9</v>
      </c>
      <c r="C200" s="192">
        <v>817</v>
      </c>
      <c r="D200" s="183">
        <v>59.9</v>
      </c>
      <c r="E200" s="198">
        <v>1390</v>
      </c>
      <c r="F200" s="182">
        <v>187.79</v>
      </c>
      <c r="G200" s="198">
        <v>1409.99</v>
      </c>
      <c r="H200" s="183">
        <v>187.79</v>
      </c>
    </row>
    <row r="201" spans="1:8" x14ac:dyDescent="0.25">
      <c r="A201" s="189">
        <v>817</v>
      </c>
      <c r="B201" s="182">
        <v>60.85</v>
      </c>
      <c r="C201" s="192">
        <v>825</v>
      </c>
      <c r="D201" s="183">
        <v>60.85</v>
      </c>
      <c r="E201" s="198">
        <v>1410</v>
      </c>
      <c r="F201" s="182">
        <v>191.79</v>
      </c>
      <c r="G201" s="198">
        <v>1429.99</v>
      </c>
      <c r="H201" s="183">
        <v>191.79</v>
      </c>
    </row>
    <row r="202" spans="1:8" x14ac:dyDescent="0.25">
      <c r="A202" s="189">
        <v>825</v>
      </c>
      <c r="B202" s="182">
        <v>61.75</v>
      </c>
      <c r="C202" s="192">
        <v>833</v>
      </c>
      <c r="D202" s="183">
        <v>61.75</v>
      </c>
      <c r="E202" s="198">
        <v>1430</v>
      </c>
      <c r="F202" s="182">
        <v>195.79</v>
      </c>
      <c r="G202" s="198">
        <v>1449.99</v>
      </c>
      <c r="H202" s="183">
        <v>195.79</v>
      </c>
    </row>
    <row r="203" spans="1:8" x14ac:dyDescent="0.25">
      <c r="A203" s="189">
        <v>833</v>
      </c>
      <c r="B203" s="182">
        <v>62.7</v>
      </c>
      <c r="C203" s="192">
        <v>841</v>
      </c>
      <c r="D203" s="183">
        <v>62.7</v>
      </c>
      <c r="E203" s="198">
        <v>1450</v>
      </c>
      <c r="F203" s="182">
        <v>199.79</v>
      </c>
      <c r="G203" s="198">
        <v>1469.99</v>
      </c>
      <c r="H203" s="183">
        <v>199.79</v>
      </c>
    </row>
    <row r="204" spans="1:8" x14ac:dyDescent="0.25">
      <c r="A204" s="189">
        <v>841</v>
      </c>
      <c r="B204" s="182">
        <v>63.65</v>
      </c>
      <c r="C204" s="192">
        <v>849</v>
      </c>
      <c r="D204" s="183">
        <v>63.65</v>
      </c>
      <c r="E204" s="198">
        <v>1470</v>
      </c>
      <c r="F204" s="182">
        <v>203.79</v>
      </c>
      <c r="G204" s="198">
        <v>1489.99</v>
      </c>
      <c r="H204" s="183">
        <v>203.79</v>
      </c>
    </row>
    <row r="205" spans="1:8" x14ac:dyDescent="0.25">
      <c r="A205" s="189">
        <v>849</v>
      </c>
      <c r="B205" s="182">
        <v>64.55</v>
      </c>
      <c r="C205" s="192">
        <v>857</v>
      </c>
      <c r="D205" s="183">
        <v>64.55</v>
      </c>
      <c r="E205" s="198">
        <v>1490</v>
      </c>
      <c r="F205" s="182">
        <v>207.79</v>
      </c>
      <c r="G205" s="198">
        <v>1509.99</v>
      </c>
      <c r="H205" s="183">
        <v>207.79</v>
      </c>
    </row>
    <row r="206" spans="1:8" x14ac:dyDescent="0.25">
      <c r="A206" s="189">
        <v>857</v>
      </c>
      <c r="B206" s="182">
        <v>65.5</v>
      </c>
      <c r="C206" s="192">
        <v>865</v>
      </c>
      <c r="D206" s="183">
        <v>65.5</v>
      </c>
      <c r="E206" s="198">
        <v>1510</v>
      </c>
      <c r="F206" s="182">
        <v>211.79</v>
      </c>
      <c r="G206" s="198">
        <v>1529.99</v>
      </c>
      <c r="H206" s="183">
        <v>211.79</v>
      </c>
    </row>
    <row r="207" spans="1:8" x14ac:dyDescent="0.25">
      <c r="A207" s="189">
        <v>865</v>
      </c>
      <c r="B207" s="182">
        <v>66.400000000000006</v>
      </c>
      <c r="C207" s="192">
        <v>873</v>
      </c>
      <c r="D207" s="183">
        <v>66.400000000000006</v>
      </c>
      <c r="E207" s="198">
        <v>1530</v>
      </c>
      <c r="F207" s="182">
        <v>215.79</v>
      </c>
      <c r="G207" s="198">
        <v>1549.99</v>
      </c>
      <c r="H207" s="183">
        <v>215.79</v>
      </c>
    </row>
    <row r="208" spans="1:8" x14ac:dyDescent="0.25">
      <c r="A208" s="189">
        <v>873</v>
      </c>
      <c r="B208" s="182">
        <v>67.349999999999994</v>
      </c>
      <c r="C208" s="192">
        <v>881</v>
      </c>
      <c r="D208" s="183">
        <v>67.349999999999994</v>
      </c>
      <c r="E208" s="198">
        <v>1550</v>
      </c>
      <c r="F208" s="182">
        <v>219.79</v>
      </c>
      <c r="G208" s="198">
        <v>1569.99</v>
      </c>
      <c r="H208" s="183">
        <v>219.79</v>
      </c>
    </row>
    <row r="209" spans="1:8" x14ac:dyDescent="0.25">
      <c r="A209" s="189">
        <v>881</v>
      </c>
      <c r="B209" s="182">
        <v>68.25</v>
      </c>
      <c r="C209" s="192">
        <v>889</v>
      </c>
      <c r="D209" s="183">
        <v>68.25</v>
      </c>
      <c r="E209" s="198">
        <v>1570</v>
      </c>
      <c r="F209" s="182">
        <v>223.79</v>
      </c>
      <c r="G209" s="198">
        <v>1589.99</v>
      </c>
      <c r="H209" s="183">
        <v>223.79</v>
      </c>
    </row>
    <row r="210" spans="1:8" x14ac:dyDescent="0.25">
      <c r="A210" s="189">
        <v>889</v>
      </c>
      <c r="B210" s="182">
        <v>69.2</v>
      </c>
      <c r="C210" s="192">
        <v>897</v>
      </c>
      <c r="D210" s="183">
        <v>69.2</v>
      </c>
      <c r="E210" s="198">
        <v>1590</v>
      </c>
      <c r="F210" s="182">
        <v>227.79</v>
      </c>
      <c r="G210" s="198">
        <v>1609.99</v>
      </c>
      <c r="H210" s="183">
        <v>227.79</v>
      </c>
    </row>
    <row r="211" spans="1:8" x14ac:dyDescent="0.25">
      <c r="A211" s="189">
        <v>897</v>
      </c>
      <c r="B211" s="182">
        <v>70.099999999999994</v>
      </c>
      <c r="C211" s="192">
        <v>905</v>
      </c>
      <c r="D211" s="183">
        <v>70.099999999999994</v>
      </c>
      <c r="E211" s="198">
        <v>1610</v>
      </c>
      <c r="F211" s="182">
        <v>231.79</v>
      </c>
      <c r="G211" s="198">
        <v>1629.99</v>
      </c>
      <c r="H211" s="183">
        <v>231.79</v>
      </c>
    </row>
    <row r="212" spans="1:8" x14ac:dyDescent="0.25">
      <c r="A212" s="189">
        <v>905</v>
      </c>
      <c r="B212" s="182">
        <v>71.05</v>
      </c>
      <c r="C212" s="192">
        <v>913</v>
      </c>
      <c r="D212" s="183">
        <v>71.05</v>
      </c>
      <c r="E212" s="198">
        <v>1630</v>
      </c>
      <c r="F212" s="182">
        <v>235.79</v>
      </c>
      <c r="G212" s="198">
        <v>1649.99</v>
      </c>
      <c r="H212" s="183">
        <v>235.79</v>
      </c>
    </row>
    <row r="213" spans="1:8" x14ac:dyDescent="0.25">
      <c r="A213" s="189">
        <v>913</v>
      </c>
      <c r="B213" s="182">
        <v>72</v>
      </c>
      <c r="C213" s="192">
        <v>921</v>
      </c>
      <c r="D213" s="183">
        <v>72</v>
      </c>
      <c r="E213" s="198">
        <v>1650</v>
      </c>
      <c r="F213" s="182">
        <v>239.79</v>
      </c>
      <c r="G213" s="198">
        <v>1669.99</v>
      </c>
      <c r="H213" s="183">
        <v>239.79</v>
      </c>
    </row>
    <row r="214" spans="1:8" x14ac:dyDescent="0.25">
      <c r="A214" s="189">
        <v>921</v>
      </c>
      <c r="B214" s="182">
        <v>72.900000000000006</v>
      </c>
      <c r="C214" s="192">
        <v>929</v>
      </c>
      <c r="D214" s="183">
        <v>72.900000000000006</v>
      </c>
      <c r="E214" s="198">
        <v>1670</v>
      </c>
      <c r="F214" s="182">
        <v>243.79</v>
      </c>
      <c r="G214" s="198">
        <v>1689.99</v>
      </c>
      <c r="H214" s="183">
        <v>243.79</v>
      </c>
    </row>
    <row r="215" spans="1:8" x14ac:dyDescent="0.25">
      <c r="A215" s="189">
        <v>929</v>
      </c>
      <c r="B215" s="182">
        <v>73.849999999999994</v>
      </c>
      <c r="C215" s="192">
        <v>937</v>
      </c>
      <c r="D215" s="183">
        <v>73.849999999999994</v>
      </c>
      <c r="E215" s="198">
        <v>1690</v>
      </c>
      <c r="F215" s="182">
        <v>247.79</v>
      </c>
      <c r="G215" s="198">
        <v>1709.99</v>
      </c>
      <c r="H215" s="183">
        <v>247.79</v>
      </c>
    </row>
    <row r="216" spans="1:8" x14ac:dyDescent="0.25">
      <c r="A216" s="189">
        <v>937</v>
      </c>
      <c r="B216" s="182">
        <v>75.099999999999994</v>
      </c>
      <c r="C216" s="192">
        <v>945</v>
      </c>
      <c r="D216" s="183">
        <v>75.099999999999994</v>
      </c>
      <c r="E216" s="198">
        <v>1710</v>
      </c>
      <c r="F216" s="182">
        <v>251.79</v>
      </c>
      <c r="G216" s="198">
        <v>1729.99</v>
      </c>
      <c r="H216" s="183">
        <v>251.79</v>
      </c>
    </row>
    <row r="217" spans="1:8" x14ac:dyDescent="0.25">
      <c r="A217" s="189">
        <v>945</v>
      </c>
      <c r="B217" s="182">
        <v>76.400000000000006</v>
      </c>
      <c r="C217" s="192">
        <v>953</v>
      </c>
      <c r="D217" s="183">
        <v>76.400000000000006</v>
      </c>
      <c r="E217" s="198">
        <v>1730</v>
      </c>
      <c r="F217" s="182">
        <v>255.95</v>
      </c>
      <c r="G217" s="198">
        <v>1749.99</v>
      </c>
      <c r="H217" s="183">
        <v>255.95</v>
      </c>
    </row>
    <row r="218" spans="1:8" x14ac:dyDescent="0.25">
      <c r="A218" s="189">
        <v>953</v>
      </c>
      <c r="B218" s="182">
        <v>77.7</v>
      </c>
      <c r="C218" s="192">
        <v>961</v>
      </c>
      <c r="D218" s="183">
        <v>77.7</v>
      </c>
      <c r="E218" s="198">
        <v>1750</v>
      </c>
      <c r="F218" s="182">
        <v>260.75</v>
      </c>
      <c r="G218" s="198">
        <v>1769.99</v>
      </c>
      <c r="H218" s="183">
        <v>260.75</v>
      </c>
    </row>
    <row r="219" spans="1:8" x14ac:dyDescent="0.25">
      <c r="A219" s="189">
        <v>961</v>
      </c>
      <c r="B219" s="182">
        <v>79</v>
      </c>
      <c r="C219" s="192">
        <v>969</v>
      </c>
      <c r="D219" s="183">
        <v>79</v>
      </c>
      <c r="E219" s="198">
        <v>1770</v>
      </c>
      <c r="F219" s="182">
        <v>265.55</v>
      </c>
      <c r="G219" s="198">
        <v>1789.99</v>
      </c>
      <c r="H219" s="183">
        <v>265.55</v>
      </c>
    </row>
    <row r="220" spans="1:8" x14ac:dyDescent="0.25">
      <c r="A220" s="189">
        <v>969</v>
      </c>
      <c r="B220" s="182">
        <v>80.3</v>
      </c>
      <c r="C220" s="192">
        <v>977</v>
      </c>
      <c r="D220" s="183">
        <v>80.3</v>
      </c>
      <c r="E220" s="198">
        <v>1790</v>
      </c>
      <c r="F220" s="182">
        <v>270.35000000000002</v>
      </c>
      <c r="G220" s="198">
        <v>1809.99</v>
      </c>
      <c r="H220" s="183">
        <v>270.35000000000002</v>
      </c>
    </row>
    <row r="221" spans="1:8" x14ac:dyDescent="0.25">
      <c r="A221" s="189">
        <v>977</v>
      </c>
      <c r="B221" s="182">
        <v>81.599999999999994</v>
      </c>
      <c r="C221" s="192">
        <v>985</v>
      </c>
      <c r="D221" s="183">
        <v>81.599999999999994</v>
      </c>
      <c r="E221" s="198">
        <v>1810</v>
      </c>
      <c r="F221" s="182">
        <v>275.14999999999998</v>
      </c>
      <c r="G221" s="198">
        <v>1829.99</v>
      </c>
      <c r="H221" s="183">
        <v>275.14999999999998</v>
      </c>
    </row>
    <row r="222" spans="1:8" x14ac:dyDescent="0.25">
      <c r="A222" s="189">
        <v>985</v>
      </c>
      <c r="B222" s="182">
        <v>82.9</v>
      </c>
      <c r="C222" s="192">
        <v>993</v>
      </c>
      <c r="D222" s="183">
        <v>82.9</v>
      </c>
      <c r="E222" s="198">
        <v>1830</v>
      </c>
      <c r="F222" s="182">
        <v>279.95</v>
      </c>
      <c r="G222" s="198">
        <v>1849.99</v>
      </c>
      <c r="H222" s="183">
        <v>279.95</v>
      </c>
    </row>
    <row r="223" spans="1:8" x14ac:dyDescent="0.25">
      <c r="A223" s="189">
        <v>993</v>
      </c>
      <c r="B223" s="182">
        <v>84.2</v>
      </c>
      <c r="C223" s="192">
        <v>1001</v>
      </c>
      <c r="D223" s="183">
        <v>84.2</v>
      </c>
      <c r="E223" s="198">
        <v>1850</v>
      </c>
      <c r="F223" s="182">
        <v>284.75</v>
      </c>
      <c r="G223" s="198">
        <v>1869.99</v>
      </c>
      <c r="H223" s="183">
        <v>284.75</v>
      </c>
    </row>
    <row r="224" spans="1:8" x14ac:dyDescent="0.25">
      <c r="A224" s="189">
        <v>1001</v>
      </c>
      <c r="B224" s="182">
        <v>85.5</v>
      </c>
      <c r="C224" s="192">
        <v>1009</v>
      </c>
      <c r="D224" s="183">
        <v>85.5</v>
      </c>
      <c r="E224" s="198">
        <v>1870</v>
      </c>
      <c r="F224" s="182">
        <v>289.55</v>
      </c>
      <c r="G224" s="198">
        <v>1889.99</v>
      </c>
      <c r="H224" s="183">
        <v>289.55</v>
      </c>
    </row>
    <row r="225" spans="1:8" x14ac:dyDescent="0.25">
      <c r="A225" s="189">
        <v>1009</v>
      </c>
      <c r="B225" s="182">
        <v>86.8</v>
      </c>
      <c r="C225" s="192">
        <v>1017</v>
      </c>
      <c r="D225" s="183">
        <v>86.8</v>
      </c>
      <c r="E225" s="198">
        <v>1890</v>
      </c>
      <c r="F225" s="182">
        <v>294.35000000000002</v>
      </c>
      <c r="G225" s="198">
        <v>1909.99</v>
      </c>
      <c r="H225" s="183">
        <v>294.35000000000002</v>
      </c>
    </row>
    <row r="226" spans="1:8" x14ac:dyDescent="0.25">
      <c r="A226" s="189">
        <v>1017</v>
      </c>
      <c r="B226" s="182">
        <v>88.05</v>
      </c>
      <c r="C226" s="192">
        <v>1025</v>
      </c>
      <c r="D226" s="183">
        <v>88.05</v>
      </c>
      <c r="E226" s="198">
        <v>1910</v>
      </c>
      <c r="F226" s="182">
        <v>299.14999999999998</v>
      </c>
      <c r="G226" s="198">
        <v>1929.99</v>
      </c>
      <c r="H226" s="183">
        <v>299.14999999999998</v>
      </c>
    </row>
    <row r="227" spans="1:8" x14ac:dyDescent="0.25">
      <c r="A227" s="189">
        <v>1025</v>
      </c>
      <c r="B227" s="182">
        <v>89.35</v>
      </c>
      <c r="C227" s="192">
        <v>1033</v>
      </c>
      <c r="D227" s="183">
        <v>89.35</v>
      </c>
      <c r="E227" s="198">
        <v>1930</v>
      </c>
      <c r="F227" s="182">
        <v>303.95</v>
      </c>
      <c r="G227" s="198">
        <v>1949.99</v>
      </c>
      <c r="H227" s="183">
        <v>303.95</v>
      </c>
    </row>
    <row r="228" spans="1:8" x14ac:dyDescent="0.25">
      <c r="A228" s="189">
        <v>1033</v>
      </c>
      <c r="B228" s="182">
        <v>90.65</v>
      </c>
      <c r="C228" s="192">
        <v>1041</v>
      </c>
      <c r="D228" s="183">
        <v>90.65</v>
      </c>
      <c r="E228" s="198">
        <v>1950</v>
      </c>
      <c r="F228" s="182">
        <v>308.75</v>
      </c>
      <c r="G228" s="198">
        <v>1969.99</v>
      </c>
      <c r="H228" s="183">
        <v>308.75</v>
      </c>
    </row>
    <row r="229" spans="1:8" x14ac:dyDescent="0.25">
      <c r="A229" s="189">
        <v>1041</v>
      </c>
      <c r="B229" s="182">
        <v>91.95</v>
      </c>
      <c r="C229" s="192">
        <v>1049</v>
      </c>
      <c r="D229" s="183">
        <v>91.95</v>
      </c>
      <c r="E229" s="198">
        <v>1970</v>
      </c>
      <c r="F229" s="182">
        <v>313.55</v>
      </c>
      <c r="G229" s="198">
        <v>1989.99</v>
      </c>
      <c r="H229" s="183">
        <v>313.55</v>
      </c>
    </row>
    <row r="230" spans="1:8" x14ac:dyDescent="0.25">
      <c r="A230" s="189">
        <v>1049</v>
      </c>
      <c r="B230" s="182">
        <v>93.25</v>
      </c>
      <c r="C230" s="192">
        <v>1057</v>
      </c>
      <c r="D230" s="183">
        <v>93.25</v>
      </c>
      <c r="E230" s="198">
        <v>1990</v>
      </c>
      <c r="F230" s="182">
        <v>318.35000000000002</v>
      </c>
      <c r="G230" s="198">
        <v>2009.99</v>
      </c>
      <c r="H230" s="183">
        <v>318.35000000000002</v>
      </c>
    </row>
    <row r="231" spans="1:8" x14ac:dyDescent="0.25">
      <c r="A231" s="189">
        <v>1057</v>
      </c>
      <c r="B231" s="182">
        <v>94.6</v>
      </c>
      <c r="C231" s="192">
        <v>1065</v>
      </c>
      <c r="D231" s="183">
        <v>94.6</v>
      </c>
      <c r="E231" s="198">
        <v>2010</v>
      </c>
      <c r="F231" s="182">
        <v>323.14999999999998</v>
      </c>
      <c r="G231" s="198">
        <v>2029.99</v>
      </c>
      <c r="H231" s="183">
        <v>323.14999999999998</v>
      </c>
    </row>
    <row r="232" spans="1:8" x14ac:dyDescent="0.25">
      <c r="A232" s="189">
        <v>1065</v>
      </c>
      <c r="B232" s="182">
        <v>96.2</v>
      </c>
      <c r="C232" s="192">
        <v>1077</v>
      </c>
      <c r="D232" s="183">
        <v>96.2</v>
      </c>
      <c r="E232" s="198">
        <v>2030</v>
      </c>
      <c r="F232" s="182">
        <v>330.35</v>
      </c>
      <c r="G232" s="198">
        <v>2069.9899999999998</v>
      </c>
      <c r="H232" s="183">
        <v>330.35</v>
      </c>
    </row>
    <row r="233" spans="1:8" x14ac:dyDescent="0.25">
      <c r="A233" s="189">
        <v>1077</v>
      </c>
      <c r="B233" s="182">
        <v>98.15</v>
      </c>
      <c r="C233" s="192">
        <v>1089</v>
      </c>
      <c r="D233" s="183">
        <v>98.15</v>
      </c>
      <c r="E233" s="198">
        <v>2070</v>
      </c>
      <c r="F233" s="182">
        <v>339.95</v>
      </c>
      <c r="G233" s="198">
        <v>2109.9899999999998</v>
      </c>
      <c r="H233" s="183">
        <v>339.95</v>
      </c>
    </row>
    <row r="234" spans="1:8" x14ac:dyDescent="0.25">
      <c r="A234" s="189">
        <v>1089</v>
      </c>
      <c r="B234" s="182">
        <v>100.15</v>
      </c>
      <c r="C234" s="192">
        <v>1101</v>
      </c>
      <c r="D234" s="183">
        <v>100.15</v>
      </c>
      <c r="E234" s="198">
        <v>2110</v>
      </c>
      <c r="F234" s="182">
        <v>349.95</v>
      </c>
      <c r="G234" s="198">
        <v>2149.9899999999998</v>
      </c>
      <c r="H234" s="183">
        <v>349.95</v>
      </c>
    </row>
    <row r="235" spans="1:8" x14ac:dyDescent="0.25">
      <c r="A235" s="189">
        <v>1101</v>
      </c>
      <c r="B235" s="182">
        <v>102.1</v>
      </c>
      <c r="C235" s="192">
        <v>1113</v>
      </c>
      <c r="D235" s="183">
        <v>102.1</v>
      </c>
      <c r="E235" s="198">
        <v>2150</v>
      </c>
      <c r="F235" s="182">
        <v>360.25</v>
      </c>
      <c r="G235" s="198">
        <v>2189.9899999999998</v>
      </c>
      <c r="H235" s="183">
        <v>360.25</v>
      </c>
    </row>
    <row r="236" spans="1:8" x14ac:dyDescent="0.25">
      <c r="A236" s="189">
        <v>1113</v>
      </c>
      <c r="B236" s="182">
        <v>104.05</v>
      </c>
      <c r="C236" s="192">
        <v>1125</v>
      </c>
      <c r="D236" s="183">
        <v>104.05</v>
      </c>
      <c r="E236" s="198">
        <v>2190</v>
      </c>
      <c r="F236" s="182">
        <v>370.55</v>
      </c>
      <c r="G236" s="198">
        <v>2229.9899999999998</v>
      </c>
      <c r="H236" s="183">
        <v>370.55</v>
      </c>
    </row>
    <row r="237" spans="1:8" x14ac:dyDescent="0.25">
      <c r="A237" s="189">
        <v>1125</v>
      </c>
      <c r="B237" s="182">
        <v>106.05</v>
      </c>
      <c r="C237" s="192">
        <v>1137</v>
      </c>
      <c r="D237" s="183">
        <v>106.05</v>
      </c>
      <c r="E237" s="198">
        <v>2230</v>
      </c>
      <c r="F237" s="182">
        <v>380.85</v>
      </c>
      <c r="G237" s="198">
        <v>2269.9899999999998</v>
      </c>
      <c r="H237" s="183">
        <v>380.85</v>
      </c>
    </row>
    <row r="238" spans="1:8" x14ac:dyDescent="0.25">
      <c r="A238" s="189">
        <v>1137</v>
      </c>
      <c r="B238" s="182">
        <v>108.1</v>
      </c>
      <c r="C238" s="192">
        <v>1149</v>
      </c>
      <c r="D238" s="183">
        <v>108.1</v>
      </c>
      <c r="E238" s="198">
        <v>2270</v>
      </c>
      <c r="F238" s="182">
        <v>391.15</v>
      </c>
      <c r="G238" s="198">
        <v>2309.9899999999998</v>
      </c>
      <c r="H238" s="183">
        <v>391.15</v>
      </c>
    </row>
    <row r="239" spans="1:8" x14ac:dyDescent="0.25">
      <c r="A239" s="189">
        <v>1149</v>
      </c>
      <c r="B239" s="182">
        <v>110.15</v>
      </c>
      <c r="C239" s="192">
        <v>1161</v>
      </c>
      <c r="D239" s="183">
        <v>110.15</v>
      </c>
      <c r="E239" s="198">
        <v>2310</v>
      </c>
      <c r="F239" s="182">
        <v>401.45</v>
      </c>
      <c r="G239" s="198">
        <v>2349.9899999999998</v>
      </c>
      <c r="H239" s="183">
        <v>401.45</v>
      </c>
    </row>
    <row r="240" spans="1:8" x14ac:dyDescent="0.25">
      <c r="A240" s="189">
        <v>1161</v>
      </c>
      <c r="B240" s="182">
        <v>112.15</v>
      </c>
      <c r="C240" s="192">
        <v>1173</v>
      </c>
      <c r="D240" s="183">
        <v>112.15</v>
      </c>
      <c r="E240" s="198">
        <v>2350</v>
      </c>
      <c r="F240" s="182">
        <v>411.75</v>
      </c>
      <c r="G240" s="198">
        <v>2389.9899999999998</v>
      </c>
      <c r="H240" s="183">
        <v>411.75</v>
      </c>
    </row>
    <row r="241" spans="1:8" x14ac:dyDescent="0.25">
      <c r="A241" s="189">
        <v>1173</v>
      </c>
      <c r="B241" s="182">
        <v>114.2</v>
      </c>
      <c r="C241" s="192">
        <v>1185</v>
      </c>
      <c r="D241" s="183">
        <v>114.2</v>
      </c>
      <c r="E241" s="198">
        <v>2390</v>
      </c>
      <c r="F241" s="182">
        <v>422.05</v>
      </c>
      <c r="G241" s="198">
        <v>2429.9899999999998</v>
      </c>
      <c r="H241" s="183">
        <v>422.05</v>
      </c>
    </row>
    <row r="242" spans="1:8" x14ac:dyDescent="0.25">
      <c r="A242" s="189">
        <v>1185</v>
      </c>
      <c r="B242" s="182">
        <v>116.25</v>
      </c>
      <c r="C242" s="192">
        <v>1197</v>
      </c>
      <c r="D242" s="183">
        <v>116.25</v>
      </c>
      <c r="E242" s="198">
        <v>2430</v>
      </c>
      <c r="F242" s="182">
        <v>432.35</v>
      </c>
      <c r="G242" s="198">
        <v>2469.9899999999998</v>
      </c>
      <c r="H242" s="183">
        <v>432.35</v>
      </c>
    </row>
    <row r="243" spans="1:8" x14ac:dyDescent="0.25">
      <c r="A243" s="189">
        <v>1197</v>
      </c>
      <c r="B243" s="182">
        <v>118.3</v>
      </c>
      <c r="C243" s="192">
        <v>1209</v>
      </c>
      <c r="D243" s="183">
        <v>118.3</v>
      </c>
      <c r="E243" s="198">
        <v>2470</v>
      </c>
      <c r="F243" s="182">
        <v>442.65</v>
      </c>
      <c r="G243" s="198">
        <v>2509.9899999999998</v>
      </c>
      <c r="H243" s="183">
        <v>442.65</v>
      </c>
    </row>
    <row r="244" spans="1:8" x14ac:dyDescent="0.25">
      <c r="A244" s="189">
        <v>1209</v>
      </c>
      <c r="B244" s="182">
        <v>120.35</v>
      </c>
      <c r="C244" s="192">
        <v>1221</v>
      </c>
      <c r="D244" s="183">
        <v>120.35</v>
      </c>
      <c r="E244" s="198">
        <v>2510</v>
      </c>
      <c r="F244" s="182">
        <v>452.95</v>
      </c>
      <c r="G244" s="198">
        <v>2549.9899999999998</v>
      </c>
      <c r="H244" s="183">
        <v>452.95</v>
      </c>
    </row>
    <row r="245" spans="1:8" x14ac:dyDescent="0.25">
      <c r="A245" s="189">
        <v>1221</v>
      </c>
      <c r="B245" s="182">
        <v>122.4</v>
      </c>
      <c r="C245" s="192">
        <v>1233</v>
      </c>
      <c r="D245" s="183">
        <v>122.4</v>
      </c>
      <c r="E245" s="198">
        <v>2550</v>
      </c>
      <c r="F245" s="182">
        <v>463.25</v>
      </c>
      <c r="G245" s="198">
        <v>2589.9899999999998</v>
      </c>
      <c r="H245" s="183">
        <v>463.25</v>
      </c>
    </row>
    <row r="246" spans="1:8" x14ac:dyDescent="0.25">
      <c r="A246" s="189">
        <v>1233</v>
      </c>
      <c r="B246" s="182">
        <v>124.45</v>
      </c>
      <c r="C246" s="192">
        <v>1245</v>
      </c>
      <c r="D246" s="183">
        <v>124.45</v>
      </c>
      <c r="E246" s="198">
        <v>2590</v>
      </c>
      <c r="F246" s="182">
        <v>473.55</v>
      </c>
      <c r="G246" s="198">
        <v>2629.99</v>
      </c>
      <c r="H246" s="183">
        <v>473.55</v>
      </c>
    </row>
    <row r="247" spans="1:8" x14ac:dyDescent="0.25">
      <c r="A247" s="189">
        <v>1245</v>
      </c>
      <c r="B247" s="182">
        <v>126.5</v>
      </c>
      <c r="C247" s="192">
        <v>1257</v>
      </c>
      <c r="D247" s="183">
        <v>126.5</v>
      </c>
      <c r="E247" s="198">
        <v>2630</v>
      </c>
      <c r="F247" s="182">
        <v>483.85</v>
      </c>
      <c r="G247" s="198">
        <v>2669.99</v>
      </c>
      <c r="H247" s="183">
        <v>483.85</v>
      </c>
    </row>
    <row r="248" spans="1:8" x14ac:dyDescent="0.25">
      <c r="A248" s="189">
        <v>1257</v>
      </c>
      <c r="B248" s="182">
        <v>128.55000000000001</v>
      </c>
      <c r="C248" s="192">
        <v>1269</v>
      </c>
      <c r="D248" s="183">
        <v>128.55000000000001</v>
      </c>
      <c r="E248" s="198">
        <v>2670</v>
      </c>
      <c r="F248" s="182">
        <v>494.15</v>
      </c>
      <c r="G248" s="198">
        <v>2709.99</v>
      </c>
      <c r="H248" s="183">
        <v>494.15</v>
      </c>
    </row>
    <row r="249" spans="1:8" x14ac:dyDescent="0.25">
      <c r="A249" s="189">
        <v>1269</v>
      </c>
      <c r="B249" s="182">
        <v>130.6</v>
      </c>
      <c r="C249" s="192">
        <v>1281</v>
      </c>
      <c r="D249" s="183">
        <v>130.6</v>
      </c>
      <c r="E249" s="198">
        <v>2710</v>
      </c>
      <c r="F249" s="182">
        <v>504.45</v>
      </c>
      <c r="G249" s="198">
        <v>2749.99</v>
      </c>
      <c r="H249" s="183">
        <v>504.45</v>
      </c>
    </row>
    <row r="250" spans="1:8" x14ac:dyDescent="0.25">
      <c r="A250" s="189">
        <v>1281</v>
      </c>
      <c r="B250" s="182">
        <v>132.65</v>
      </c>
      <c r="C250" s="192">
        <v>1293</v>
      </c>
      <c r="D250" s="183">
        <v>132.65</v>
      </c>
      <c r="E250" s="198">
        <v>2750</v>
      </c>
      <c r="F250" s="182">
        <v>514.75</v>
      </c>
      <c r="G250" s="198">
        <v>2789.99</v>
      </c>
      <c r="H250" s="183">
        <v>514.75</v>
      </c>
    </row>
    <row r="251" spans="1:8" x14ac:dyDescent="0.25">
      <c r="A251" s="189">
        <v>1293</v>
      </c>
      <c r="B251" s="182">
        <v>134.69999999999999</v>
      </c>
      <c r="C251" s="192">
        <v>1305</v>
      </c>
      <c r="D251" s="183">
        <v>134.69999999999999</v>
      </c>
      <c r="E251" s="198">
        <v>2790</v>
      </c>
      <c r="F251" s="182">
        <v>525.04999999999995</v>
      </c>
      <c r="G251" s="198">
        <v>2829.99</v>
      </c>
      <c r="H251" s="183">
        <v>525.04999999999995</v>
      </c>
    </row>
    <row r="252" spans="1:8" x14ac:dyDescent="0.25">
      <c r="A252" s="189">
        <v>1305</v>
      </c>
      <c r="B252" s="182">
        <v>136.75</v>
      </c>
      <c r="C252" s="192">
        <v>1317</v>
      </c>
      <c r="D252" s="183">
        <v>136.75</v>
      </c>
      <c r="E252" s="198">
        <v>2830</v>
      </c>
      <c r="F252" s="182">
        <v>535.35</v>
      </c>
      <c r="G252" s="198">
        <v>2869.99</v>
      </c>
      <c r="H252" s="183">
        <v>535.35</v>
      </c>
    </row>
    <row r="253" spans="1:8" x14ac:dyDescent="0.25">
      <c r="A253" s="189">
        <v>1317</v>
      </c>
      <c r="B253" s="182">
        <v>138.80000000000001</v>
      </c>
      <c r="C253" s="192">
        <v>1329</v>
      </c>
      <c r="D253" s="183">
        <v>138.80000000000001</v>
      </c>
      <c r="E253" s="198">
        <v>2870</v>
      </c>
      <c r="F253" s="182">
        <v>545.65</v>
      </c>
      <c r="G253" s="198">
        <v>2909.99</v>
      </c>
      <c r="H253" s="183">
        <v>545.65</v>
      </c>
    </row>
    <row r="254" spans="1:8" x14ac:dyDescent="0.25">
      <c r="A254" s="189">
        <v>1329</v>
      </c>
      <c r="B254" s="182">
        <v>140.85</v>
      </c>
      <c r="C254" s="192">
        <v>1341</v>
      </c>
      <c r="D254" s="183">
        <v>140.85</v>
      </c>
      <c r="E254" s="198">
        <v>2910</v>
      </c>
      <c r="F254" s="182">
        <v>555.95000000000005</v>
      </c>
      <c r="G254" s="198">
        <v>2949.99</v>
      </c>
      <c r="H254" s="183">
        <v>555.95000000000005</v>
      </c>
    </row>
    <row r="255" spans="1:8" x14ac:dyDescent="0.25">
      <c r="A255" s="189">
        <v>1341</v>
      </c>
      <c r="B255" s="182">
        <v>142.85</v>
      </c>
      <c r="C255" s="192">
        <v>1353</v>
      </c>
      <c r="D255" s="183">
        <v>142.85</v>
      </c>
      <c r="E255" s="198">
        <v>2950</v>
      </c>
      <c r="F255" s="182">
        <v>566.25</v>
      </c>
      <c r="G255" s="198">
        <v>2989.99</v>
      </c>
      <c r="H255" s="183">
        <v>566.25</v>
      </c>
    </row>
    <row r="256" spans="1:8" x14ac:dyDescent="0.25">
      <c r="A256" s="189">
        <v>1353</v>
      </c>
      <c r="B256" s="182">
        <v>144.9</v>
      </c>
      <c r="C256" s="192">
        <v>1365</v>
      </c>
      <c r="D256" s="183">
        <v>144.9</v>
      </c>
      <c r="E256" s="198">
        <v>2990</v>
      </c>
      <c r="F256" s="182">
        <v>576.54999999999995</v>
      </c>
      <c r="G256" s="198">
        <v>3029.99</v>
      </c>
      <c r="H256" s="183">
        <v>576.54999999999995</v>
      </c>
    </row>
    <row r="257" spans="1:8" x14ac:dyDescent="0.25">
      <c r="A257" s="189">
        <v>1365</v>
      </c>
      <c r="B257" s="182">
        <v>146.94999999999999</v>
      </c>
      <c r="C257" s="192">
        <v>1377</v>
      </c>
      <c r="D257" s="183">
        <v>146.94999999999999</v>
      </c>
      <c r="E257" s="198">
        <v>3030</v>
      </c>
      <c r="F257" s="182">
        <v>586.85</v>
      </c>
      <c r="G257" s="198">
        <v>3069.99</v>
      </c>
      <c r="H257" s="183">
        <v>586.85</v>
      </c>
    </row>
    <row r="258" spans="1:8" x14ac:dyDescent="0.25">
      <c r="A258" s="189">
        <v>1377</v>
      </c>
      <c r="B258" s="182">
        <v>149</v>
      </c>
      <c r="C258" s="192">
        <v>1389</v>
      </c>
      <c r="D258" s="183">
        <v>149</v>
      </c>
      <c r="E258" s="198">
        <v>3070</v>
      </c>
      <c r="F258" s="182">
        <v>597.15</v>
      </c>
      <c r="G258" s="198">
        <v>3109.99</v>
      </c>
      <c r="H258" s="183">
        <v>597.15</v>
      </c>
    </row>
    <row r="259" spans="1:8" x14ac:dyDescent="0.25">
      <c r="A259" s="189">
        <v>1389</v>
      </c>
      <c r="B259" s="182">
        <v>151.05000000000001</v>
      </c>
      <c r="C259" s="192">
        <v>1401</v>
      </c>
      <c r="D259" s="183">
        <v>151.05000000000001</v>
      </c>
      <c r="E259" s="198">
        <v>3110</v>
      </c>
      <c r="F259" s="182">
        <v>607.45000000000005</v>
      </c>
      <c r="G259" s="198">
        <v>3149.99</v>
      </c>
      <c r="H259" s="183">
        <v>607.45000000000005</v>
      </c>
    </row>
    <row r="260" spans="1:8" x14ac:dyDescent="0.25">
      <c r="A260" s="189">
        <v>1401</v>
      </c>
      <c r="B260" s="182">
        <v>153.1</v>
      </c>
      <c r="C260" s="192">
        <v>1413</v>
      </c>
      <c r="D260" s="183">
        <v>153.1</v>
      </c>
      <c r="E260" s="198">
        <v>3150</v>
      </c>
      <c r="F260" s="182">
        <v>617.75</v>
      </c>
      <c r="G260" s="198">
        <v>3189.99</v>
      </c>
      <c r="H260" s="183">
        <v>617.75</v>
      </c>
    </row>
    <row r="261" spans="1:8" x14ac:dyDescent="0.25">
      <c r="A261" s="189">
        <v>1413</v>
      </c>
      <c r="B261" s="182">
        <v>155.15</v>
      </c>
      <c r="C261" s="192">
        <v>1425</v>
      </c>
      <c r="D261" s="183">
        <v>155.15</v>
      </c>
      <c r="E261" s="198">
        <v>3190</v>
      </c>
      <c r="F261" s="182">
        <v>628.04999999999995</v>
      </c>
      <c r="G261" s="198">
        <v>3229.99</v>
      </c>
      <c r="H261" s="183">
        <v>628.04999999999995</v>
      </c>
    </row>
    <row r="262" spans="1:8" x14ac:dyDescent="0.25">
      <c r="A262" s="189">
        <v>1425</v>
      </c>
      <c r="B262" s="182">
        <v>157.19999999999999</v>
      </c>
      <c r="C262" s="192">
        <v>1437</v>
      </c>
      <c r="D262" s="183">
        <v>157.19999999999999</v>
      </c>
      <c r="E262" s="198">
        <v>3230</v>
      </c>
      <c r="F262" s="182">
        <v>638.35</v>
      </c>
      <c r="G262" s="198">
        <v>3269.99</v>
      </c>
      <c r="H262" s="183">
        <v>638.35</v>
      </c>
    </row>
    <row r="263" spans="1:8" x14ac:dyDescent="0.25">
      <c r="A263" s="189">
        <v>1437</v>
      </c>
      <c r="B263" s="182">
        <v>159.25</v>
      </c>
      <c r="C263" s="192">
        <v>1449</v>
      </c>
      <c r="D263" s="183">
        <v>159.25</v>
      </c>
      <c r="E263" s="198">
        <v>3270</v>
      </c>
      <c r="F263" s="182">
        <v>648.65</v>
      </c>
      <c r="G263" s="198">
        <v>3309.99</v>
      </c>
      <c r="H263" s="183">
        <v>648.65</v>
      </c>
    </row>
    <row r="264" spans="1:8" x14ac:dyDescent="0.25">
      <c r="A264" s="189">
        <v>1449</v>
      </c>
      <c r="B264" s="182">
        <v>161.30000000000001</v>
      </c>
      <c r="C264" s="192">
        <v>1461</v>
      </c>
      <c r="D264" s="183">
        <v>161.30000000000001</v>
      </c>
      <c r="E264" s="198">
        <v>3310</v>
      </c>
      <c r="F264" s="182">
        <v>658.95</v>
      </c>
      <c r="G264" s="198">
        <v>3349.99</v>
      </c>
      <c r="H264" s="183">
        <v>658.95</v>
      </c>
    </row>
    <row r="265" spans="1:8" x14ac:dyDescent="0.25">
      <c r="A265" s="189">
        <v>1461</v>
      </c>
      <c r="B265" s="182">
        <v>163.35</v>
      </c>
      <c r="C265" s="192">
        <v>1473</v>
      </c>
      <c r="D265" s="183">
        <v>163.35</v>
      </c>
      <c r="E265" s="198">
        <v>3350</v>
      </c>
      <c r="F265" s="182">
        <v>669.25</v>
      </c>
      <c r="G265" s="198">
        <v>3389.99</v>
      </c>
      <c r="H265" s="183">
        <v>669.25</v>
      </c>
    </row>
    <row r="266" spans="1:8" x14ac:dyDescent="0.25">
      <c r="A266" s="189">
        <v>1473</v>
      </c>
      <c r="B266" s="182">
        <v>165.4</v>
      </c>
      <c r="C266" s="192">
        <v>1485</v>
      </c>
      <c r="D266" s="183">
        <v>165.4</v>
      </c>
      <c r="E266" s="198">
        <v>3390</v>
      </c>
      <c r="F266" s="182">
        <v>679.55</v>
      </c>
      <c r="G266" s="198">
        <v>3429.99</v>
      </c>
      <c r="H266" s="183">
        <v>679.55</v>
      </c>
    </row>
    <row r="267" spans="1:8" x14ac:dyDescent="0.25">
      <c r="A267" s="189">
        <v>1485</v>
      </c>
      <c r="B267" s="182">
        <v>167.45</v>
      </c>
      <c r="C267" s="192">
        <v>1497</v>
      </c>
      <c r="D267" s="183">
        <v>167.45</v>
      </c>
      <c r="E267" s="198">
        <v>3430</v>
      </c>
      <c r="F267" s="182">
        <v>689.85</v>
      </c>
      <c r="G267" s="198">
        <v>3469.99</v>
      </c>
      <c r="H267" s="183">
        <v>689.85</v>
      </c>
    </row>
    <row r="268" spans="1:8" x14ac:dyDescent="0.25">
      <c r="A268" s="189">
        <v>1497</v>
      </c>
      <c r="B268" s="182">
        <v>169.5</v>
      </c>
      <c r="C268" s="192">
        <v>1509</v>
      </c>
      <c r="D268" s="183">
        <v>169.5</v>
      </c>
      <c r="E268" s="198">
        <v>3470</v>
      </c>
      <c r="F268" s="182">
        <v>700.15</v>
      </c>
      <c r="G268" s="198">
        <v>3509.99</v>
      </c>
      <c r="H268" s="183">
        <v>700.15</v>
      </c>
    </row>
    <row r="269" spans="1:8" x14ac:dyDescent="0.25">
      <c r="A269" s="189">
        <v>1509</v>
      </c>
      <c r="B269" s="182">
        <v>171.55</v>
      </c>
      <c r="C269" s="192">
        <v>1521</v>
      </c>
      <c r="D269" s="183">
        <v>171.55</v>
      </c>
      <c r="E269" s="198">
        <v>3510</v>
      </c>
      <c r="F269" s="182">
        <v>710.45</v>
      </c>
      <c r="G269" s="198">
        <v>3549.99</v>
      </c>
      <c r="H269" s="183">
        <v>710.45</v>
      </c>
    </row>
    <row r="270" spans="1:8" x14ac:dyDescent="0.25">
      <c r="A270" s="189">
        <v>1521</v>
      </c>
      <c r="B270" s="182">
        <v>173.6</v>
      </c>
      <c r="C270" s="192">
        <v>1533</v>
      </c>
      <c r="D270" s="183">
        <v>173.6</v>
      </c>
      <c r="E270" s="198">
        <v>3550</v>
      </c>
      <c r="F270" s="182">
        <v>720.75</v>
      </c>
      <c r="G270" s="198">
        <v>3589.99</v>
      </c>
      <c r="H270" s="183">
        <v>720.75</v>
      </c>
    </row>
    <row r="271" spans="1:8" x14ac:dyDescent="0.25">
      <c r="A271" s="189">
        <v>1533</v>
      </c>
      <c r="B271" s="182">
        <v>175.65</v>
      </c>
      <c r="C271" s="192">
        <v>1545</v>
      </c>
      <c r="D271" s="183">
        <v>175.65</v>
      </c>
      <c r="E271" s="198">
        <v>3590</v>
      </c>
      <c r="F271" s="182">
        <v>731.05</v>
      </c>
      <c r="G271" s="198">
        <v>3629.99</v>
      </c>
      <c r="H271" s="183">
        <v>731.05</v>
      </c>
    </row>
    <row r="272" spans="1:8" x14ac:dyDescent="0.25">
      <c r="A272" s="189">
        <v>1545</v>
      </c>
      <c r="B272" s="182">
        <v>177.7</v>
      </c>
      <c r="C272" s="192">
        <v>1557</v>
      </c>
      <c r="D272" s="183">
        <v>177.7</v>
      </c>
      <c r="E272" s="198">
        <v>3630</v>
      </c>
      <c r="F272" s="182">
        <v>741.35</v>
      </c>
      <c r="G272" s="198">
        <v>3669.99</v>
      </c>
      <c r="H272" s="183">
        <v>741.35</v>
      </c>
    </row>
    <row r="273" spans="1:8" x14ac:dyDescent="0.25">
      <c r="A273" s="189">
        <v>1557</v>
      </c>
      <c r="B273" s="182">
        <v>179.75</v>
      </c>
      <c r="C273" s="192">
        <v>1569</v>
      </c>
      <c r="D273" s="183">
        <v>179.75</v>
      </c>
      <c r="E273" s="198">
        <v>3670</v>
      </c>
      <c r="F273" s="182">
        <v>751.65</v>
      </c>
      <c r="G273" s="198">
        <v>3709.99</v>
      </c>
      <c r="H273" s="183">
        <v>751.65</v>
      </c>
    </row>
    <row r="274" spans="1:8" x14ac:dyDescent="0.25">
      <c r="A274" s="189">
        <v>1569</v>
      </c>
      <c r="B274" s="182">
        <v>181.8</v>
      </c>
      <c r="C274" s="192">
        <v>1581</v>
      </c>
      <c r="D274" s="183">
        <v>181.8</v>
      </c>
      <c r="E274" s="198">
        <v>3710</v>
      </c>
      <c r="F274" s="182">
        <v>761.95</v>
      </c>
      <c r="G274" s="198">
        <v>3749.99</v>
      </c>
      <c r="H274" s="183">
        <v>761.95</v>
      </c>
    </row>
    <row r="275" spans="1:8" x14ac:dyDescent="0.25">
      <c r="A275" s="189">
        <v>1581</v>
      </c>
      <c r="B275" s="182">
        <v>183.85</v>
      </c>
      <c r="C275" s="192">
        <v>1593</v>
      </c>
      <c r="D275" s="183">
        <v>183.85</v>
      </c>
      <c r="E275" s="198">
        <v>3750</v>
      </c>
      <c r="F275" s="182">
        <v>772.25</v>
      </c>
      <c r="G275" s="198">
        <v>3789.99</v>
      </c>
      <c r="H275" s="183">
        <v>772.25</v>
      </c>
    </row>
    <row r="276" spans="1:8" x14ac:dyDescent="0.25">
      <c r="A276" s="189">
        <v>1593</v>
      </c>
      <c r="B276" s="182">
        <v>185.9</v>
      </c>
      <c r="C276" s="192">
        <v>1605</v>
      </c>
      <c r="D276" s="183">
        <v>185.9</v>
      </c>
      <c r="E276" s="199">
        <v>3790</v>
      </c>
      <c r="F276" s="186">
        <v>782.55</v>
      </c>
      <c r="G276" s="199">
        <v>3829.99</v>
      </c>
      <c r="H276" s="187">
        <v>782.55</v>
      </c>
    </row>
    <row r="277" spans="1:8" x14ac:dyDescent="0.25">
      <c r="A277" s="189">
        <v>1605</v>
      </c>
      <c r="B277" s="182">
        <v>187.95</v>
      </c>
      <c r="C277" s="192">
        <v>1617</v>
      </c>
      <c r="D277" s="183">
        <v>187.95</v>
      </c>
    </row>
    <row r="278" spans="1:8" x14ac:dyDescent="0.25">
      <c r="A278" s="189">
        <v>1617</v>
      </c>
      <c r="B278" s="182">
        <v>190</v>
      </c>
      <c r="C278" s="192">
        <v>1629</v>
      </c>
      <c r="D278" s="183">
        <v>190</v>
      </c>
    </row>
    <row r="279" spans="1:8" x14ac:dyDescent="0.25">
      <c r="A279" s="189">
        <v>1629</v>
      </c>
      <c r="B279" s="182">
        <v>192.05</v>
      </c>
      <c r="C279" s="192">
        <v>1641</v>
      </c>
      <c r="D279" s="183">
        <v>192.05</v>
      </c>
    </row>
    <row r="280" spans="1:8" x14ac:dyDescent="0.25">
      <c r="A280" s="189">
        <v>1641</v>
      </c>
      <c r="B280" s="182">
        <v>194.15</v>
      </c>
      <c r="C280" s="192">
        <v>1653</v>
      </c>
      <c r="D280" s="183">
        <v>194.15</v>
      </c>
    </row>
    <row r="281" spans="1:8" x14ac:dyDescent="0.25">
      <c r="A281" s="189">
        <v>1653</v>
      </c>
      <c r="B281" s="182">
        <v>196.2</v>
      </c>
      <c r="C281" s="192">
        <v>1665</v>
      </c>
      <c r="D281" s="183">
        <v>196.2</v>
      </c>
    </row>
    <row r="282" spans="1:8" x14ac:dyDescent="0.25">
      <c r="A282" s="189">
        <v>1665</v>
      </c>
      <c r="B282" s="182">
        <v>198.25</v>
      </c>
      <c r="C282" s="192">
        <v>1677</v>
      </c>
      <c r="D282" s="183">
        <v>198.25</v>
      </c>
    </row>
    <row r="283" spans="1:8" x14ac:dyDescent="0.25">
      <c r="A283" s="189">
        <v>1677</v>
      </c>
      <c r="B283" s="182">
        <v>200.3</v>
      </c>
      <c r="C283" s="192">
        <v>1689</v>
      </c>
      <c r="D283" s="183">
        <v>200.3</v>
      </c>
    </row>
    <row r="284" spans="1:8" x14ac:dyDescent="0.25">
      <c r="A284" s="189">
        <v>1689</v>
      </c>
      <c r="B284" s="182">
        <v>202.35</v>
      </c>
      <c r="C284" s="192">
        <v>1701</v>
      </c>
      <c r="D284" s="183">
        <v>202.35</v>
      </c>
    </row>
    <row r="285" spans="1:8" x14ac:dyDescent="0.25">
      <c r="A285" s="189">
        <v>1701</v>
      </c>
      <c r="B285" s="182">
        <v>204.4</v>
      </c>
      <c r="C285" s="192">
        <v>1713</v>
      </c>
      <c r="D285" s="183">
        <v>204.4</v>
      </c>
    </row>
    <row r="286" spans="1:8" x14ac:dyDescent="0.25">
      <c r="A286" s="189">
        <v>1713</v>
      </c>
      <c r="B286" s="182">
        <v>206.45</v>
      </c>
      <c r="C286" s="192">
        <v>1725</v>
      </c>
      <c r="D286" s="183">
        <v>206.45</v>
      </c>
    </row>
    <row r="287" spans="1:8" x14ac:dyDescent="0.25">
      <c r="A287" s="189">
        <v>1725</v>
      </c>
      <c r="B287" s="182">
        <v>208.85</v>
      </c>
      <c r="C287" s="192">
        <v>1741</v>
      </c>
      <c r="D287" s="183">
        <v>208.85</v>
      </c>
    </row>
    <row r="288" spans="1:8" x14ac:dyDescent="0.25">
      <c r="A288" s="189">
        <v>1741</v>
      </c>
      <c r="B288" s="182">
        <v>211.6</v>
      </c>
      <c r="C288" s="192">
        <v>1757</v>
      </c>
      <c r="D288" s="183">
        <v>211.6</v>
      </c>
    </row>
    <row r="289" spans="1:4" x14ac:dyDescent="0.25">
      <c r="A289" s="189">
        <v>1757</v>
      </c>
      <c r="B289" s="182">
        <v>214.3</v>
      </c>
      <c r="C289" s="192">
        <v>1773</v>
      </c>
      <c r="D289" s="183">
        <v>214.3</v>
      </c>
    </row>
    <row r="290" spans="1:4" x14ac:dyDescent="0.25">
      <c r="A290" s="189">
        <v>1773</v>
      </c>
      <c r="B290" s="182">
        <v>217.05</v>
      </c>
      <c r="C290" s="192">
        <v>1789</v>
      </c>
      <c r="D290" s="183">
        <v>217.05</v>
      </c>
    </row>
    <row r="291" spans="1:4" x14ac:dyDescent="0.25">
      <c r="A291" s="189">
        <v>1789</v>
      </c>
      <c r="B291" s="182">
        <v>219.8</v>
      </c>
      <c r="C291" s="192">
        <v>1805</v>
      </c>
      <c r="D291" s="183">
        <v>219.8</v>
      </c>
    </row>
    <row r="292" spans="1:4" x14ac:dyDescent="0.25">
      <c r="A292" s="189">
        <v>1805</v>
      </c>
      <c r="B292" s="182">
        <v>222.55</v>
      </c>
      <c r="C292" s="192">
        <v>1821</v>
      </c>
      <c r="D292" s="183">
        <v>222.55</v>
      </c>
    </row>
    <row r="293" spans="1:4" x14ac:dyDescent="0.25">
      <c r="A293" s="189">
        <v>1821</v>
      </c>
      <c r="B293" s="182">
        <v>225.3</v>
      </c>
      <c r="C293" s="192">
        <v>1837</v>
      </c>
      <c r="D293" s="183">
        <v>225.3</v>
      </c>
    </row>
    <row r="294" spans="1:4" x14ac:dyDescent="0.25">
      <c r="A294" s="189">
        <v>1837</v>
      </c>
      <c r="B294" s="182">
        <v>228</v>
      </c>
      <c r="C294" s="192">
        <v>1853</v>
      </c>
      <c r="D294" s="183">
        <v>228</v>
      </c>
    </row>
    <row r="295" spans="1:4" x14ac:dyDescent="0.25">
      <c r="A295" s="189">
        <v>1853</v>
      </c>
      <c r="B295" s="182">
        <v>230.75</v>
      </c>
      <c r="C295" s="192">
        <v>1869</v>
      </c>
      <c r="D295" s="183">
        <v>230.75</v>
      </c>
    </row>
    <row r="296" spans="1:4" x14ac:dyDescent="0.25">
      <c r="A296" s="189">
        <v>1869</v>
      </c>
      <c r="B296" s="182">
        <v>233.95</v>
      </c>
      <c r="C296" s="192">
        <v>1885</v>
      </c>
      <c r="D296" s="183">
        <v>233.95</v>
      </c>
    </row>
    <row r="297" spans="1:4" x14ac:dyDescent="0.25">
      <c r="A297" s="189">
        <v>1885</v>
      </c>
      <c r="B297" s="182">
        <v>237.45</v>
      </c>
      <c r="C297" s="192">
        <v>1901</v>
      </c>
      <c r="D297" s="183">
        <v>237.45</v>
      </c>
    </row>
    <row r="298" spans="1:4" x14ac:dyDescent="0.25">
      <c r="A298" s="189">
        <v>1901</v>
      </c>
      <c r="B298" s="182">
        <v>240.9</v>
      </c>
      <c r="C298" s="192">
        <v>1917</v>
      </c>
      <c r="D298" s="183">
        <v>240.9</v>
      </c>
    </row>
    <row r="299" spans="1:4" x14ac:dyDescent="0.25">
      <c r="A299" s="189">
        <v>1917</v>
      </c>
      <c r="B299" s="182">
        <v>244.4</v>
      </c>
      <c r="C299" s="192">
        <v>1933</v>
      </c>
      <c r="D299" s="183">
        <v>244.4</v>
      </c>
    </row>
    <row r="300" spans="1:4" x14ac:dyDescent="0.25">
      <c r="A300" s="189">
        <v>1933</v>
      </c>
      <c r="B300" s="182">
        <v>247.85</v>
      </c>
      <c r="C300" s="192">
        <v>1949</v>
      </c>
      <c r="D300" s="183">
        <v>247.85</v>
      </c>
    </row>
    <row r="301" spans="1:4" x14ac:dyDescent="0.25">
      <c r="A301" s="189">
        <v>1949</v>
      </c>
      <c r="B301" s="182">
        <v>251.35</v>
      </c>
      <c r="C301" s="192">
        <v>1965</v>
      </c>
      <c r="D301" s="183">
        <v>251.35</v>
      </c>
    </row>
    <row r="302" spans="1:4" x14ac:dyDescent="0.25">
      <c r="A302" s="189">
        <v>1965</v>
      </c>
      <c r="B302" s="182">
        <v>254.8</v>
      </c>
      <c r="C302" s="192">
        <v>1981</v>
      </c>
      <c r="D302" s="183">
        <v>254.8</v>
      </c>
    </row>
    <row r="303" spans="1:4" x14ac:dyDescent="0.25">
      <c r="A303" s="189">
        <v>1981</v>
      </c>
      <c r="B303" s="182">
        <v>258.3</v>
      </c>
      <c r="C303" s="192">
        <v>1997</v>
      </c>
      <c r="D303" s="183">
        <v>258.3</v>
      </c>
    </row>
    <row r="304" spans="1:4" x14ac:dyDescent="0.25">
      <c r="A304" s="189">
        <v>1997</v>
      </c>
      <c r="B304" s="182">
        <v>261.75</v>
      </c>
      <c r="C304" s="192">
        <v>2013</v>
      </c>
      <c r="D304" s="183">
        <v>261.75</v>
      </c>
    </row>
    <row r="305" spans="1:4" x14ac:dyDescent="0.25">
      <c r="A305" s="189">
        <v>2013</v>
      </c>
      <c r="B305" s="182">
        <v>265.25</v>
      </c>
      <c r="C305" s="192">
        <v>2029</v>
      </c>
      <c r="D305" s="183">
        <v>265.25</v>
      </c>
    </row>
    <row r="306" spans="1:4" x14ac:dyDescent="0.25">
      <c r="A306" s="189">
        <v>2029</v>
      </c>
      <c r="B306" s="182">
        <v>268.7</v>
      </c>
      <c r="C306" s="192">
        <v>2045</v>
      </c>
      <c r="D306" s="183">
        <v>268.7</v>
      </c>
    </row>
    <row r="307" spans="1:4" x14ac:dyDescent="0.25">
      <c r="A307" s="189">
        <v>2045</v>
      </c>
      <c r="B307" s="182">
        <v>272.14999999999998</v>
      </c>
      <c r="C307" s="192">
        <v>2061</v>
      </c>
      <c r="D307" s="183">
        <v>272.14999999999998</v>
      </c>
    </row>
    <row r="308" spans="1:4" x14ac:dyDescent="0.25">
      <c r="A308" s="189">
        <v>2061</v>
      </c>
      <c r="B308" s="182">
        <v>275.64999999999998</v>
      </c>
      <c r="C308" s="192">
        <v>2077</v>
      </c>
      <c r="D308" s="183">
        <v>275.64999999999998</v>
      </c>
    </row>
    <row r="309" spans="1:4" x14ac:dyDescent="0.25">
      <c r="A309" s="189">
        <v>2077</v>
      </c>
      <c r="B309" s="182">
        <v>279.10000000000002</v>
      </c>
      <c r="C309" s="192">
        <v>2093</v>
      </c>
      <c r="D309" s="183">
        <v>279.10000000000002</v>
      </c>
    </row>
    <row r="310" spans="1:4" x14ac:dyDescent="0.25">
      <c r="A310" s="189">
        <v>2093</v>
      </c>
      <c r="B310" s="182">
        <v>282.60000000000002</v>
      </c>
      <c r="C310" s="192">
        <v>2109</v>
      </c>
      <c r="D310" s="183">
        <v>282.60000000000002</v>
      </c>
    </row>
    <row r="311" spans="1:4" x14ac:dyDescent="0.25">
      <c r="A311" s="189">
        <v>2109</v>
      </c>
      <c r="B311" s="182">
        <v>286.05</v>
      </c>
      <c r="C311" s="192">
        <v>2125</v>
      </c>
      <c r="D311" s="183">
        <v>286.05</v>
      </c>
    </row>
    <row r="312" spans="1:4" x14ac:dyDescent="0.25">
      <c r="A312" s="189">
        <v>2125</v>
      </c>
      <c r="B312" s="182">
        <v>289.55</v>
      </c>
      <c r="C312" s="192">
        <v>2141</v>
      </c>
      <c r="D312" s="183">
        <v>289.55</v>
      </c>
    </row>
    <row r="313" spans="1:4" x14ac:dyDescent="0.25">
      <c r="A313" s="189">
        <v>2141</v>
      </c>
      <c r="B313" s="182">
        <v>293</v>
      </c>
      <c r="C313" s="192">
        <v>2157</v>
      </c>
      <c r="D313" s="183">
        <v>293</v>
      </c>
    </row>
    <row r="314" spans="1:4" x14ac:dyDescent="0.25">
      <c r="A314" s="189">
        <v>2157</v>
      </c>
      <c r="B314" s="182">
        <v>296.5</v>
      </c>
      <c r="C314" s="192">
        <v>2173</v>
      </c>
      <c r="D314" s="183">
        <v>296.5</v>
      </c>
    </row>
    <row r="315" spans="1:4" x14ac:dyDescent="0.25">
      <c r="A315" s="189">
        <v>2173</v>
      </c>
      <c r="B315" s="182">
        <v>299.95</v>
      </c>
      <c r="C315" s="192">
        <v>2189</v>
      </c>
      <c r="D315" s="183">
        <v>299.95</v>
      </c>
    </row>
    <row r="316" spans="1:4" x14ac:dyDescent="0.25">
      <c r="A316" s="189">
        <v>2189</v>
      </c>
      <c r="B316" s="182">
        <v>303.45</v>
      </c>
      <c r="C316" s="192">
        <v>2205</v>
      </c>
      <c r="D316" s="183">
        <v>303.45</v>
      </c>
    </row>
    <row r="317" spans="1:4" x14ac:dyDescent="0.25">
      <c r="A317" s="189">
        <v>2205</v>
      </c>
      <c r="B317" s="182">
        <v>306.89999999999998</v>
      </c>
      <c r="C317" s="192">
        <v>2221</v>
      </c>
      <c r="D317" s="183">
        <v>306.89999999999998</v>
      </c>
    </row>
    <row r="318" spans="1:4" x14ac:dyDescent="0.25">
      <c r="A318" s="189">
        <v>2221</v>
      </c>
      <c r="B318" s="182">
        <v>310.39999999999998</v>
      </c>
      <c r="C318" s="192">
        <v>2237</v>
      </c>
      <c r="D318" s="183">
        <v>310.39999999999998</v>
      </c>
    </row>
    <row r="319" spans="1:4" x14ac:dyDescent="0.25">
      <c r="A319" s="189">
        <v>2237</v>
      </c>
      <c r="B319" s="182">
        <v>313.85000000000002</v>
      </c>
      <c r="C319" s="192">
        <v>2253</v>
      </c>
      <c r="D319" s="183">
        <v>313.85000000000002</v>
      </c>
    </row>
    <row r="320" spans="1:4" x14ac:dyDescent="0.25">
      <c r="A320" s="189">
        <v>2253</v>
      </c>
      <c r="B320" s="182">
        <v>317.35000000000002</v>
      </c>
      <c r="C320" s="192">
        <v>2269</v>
      </c>
      <c r="D320" s="183">
        <v>317.35000000000002</v>
      </c>
    </row>
    <row r="321" spans="1:4" x14ac:dyDescent="0.25">
      <c r="A321" s="189">
        <v>2269</v>
      </c>
      <c r="B321" s="182">
        <v>320.8</v>
      </c>
      <c r="C321" s="192">
        <v>2285</v>
      </c>
      <c r="D321" s="183">
        <v>320.8</v>
      </c>
    </row>
    <row r="322" spans="1:4" x14ac:dyDescent="0.25">
      <c r="A322" s="189">
        <v>2285</v>
      </c>
      <c r="B322" s="182">
        <v>324.3</v>
      </c>
      <c r="C322" s="192">
        <v>2301</v>
      </c>
      <c r="D322" s="183">
        <v>324.3</v>
      </c>
    </row>
    <row r="323" spans="1:4" x14ac:dyDescent="0.25">
      <c r="A323" s="189">
        <v>2301</v>
      </c>
      <c r="B323" s="182">
        <v>327.75</v>
      </c>
      <c r="C323" s="192">
        <v>2317</v>
      </c>
      <c r="D323" s="183">
        <v>327.75</v>
      </c>
    </row>
    <row r="324" spans="1:4" x14ac:dyDescent="0.25">
      <c r="A324" s="189">
        <v>2317</v>
      </c>
      <c r="B324" s="182">
        <v>331.25</v>
      </c>
      <c r="C324" s="192">
        <v>2333</v>
      </c>
      <c r="D324" s="183">
        <v>331.25</v>
      </c>
    </row>
    <row r="325" spans="1:4" x14ac:dyDescent="0.25">
      <c r="A325" s="189">
        <v>2333</v>
      </c>
      <c r="B325" s="182">
        <v>334.7</v>
      </c>
      <c r="C325" s="192">
        <v>2349</v>
      </c>
      <c r="D325" s="183">
        <v>334.7</v>
      </c>
    </row>
    <row r="326" spans="1:4" x14ac:dyDescent="0.25">
      <c r="A326" s="189">
        <v>2349</v>
      </c>
      <c r="B326" s="182">
        <v>338.15</v>
      </c>
      <c r="C326" s="192">
        <v>2365</v>
      </c>
      <c r="D326" s="183">
        <v>338.15</v>
      </c>
    </row>
    <row r="327" spans="1:4" x14ac:dyDescent="0.25">
      <c r="A327" s="189">
        <v>2365</v>
      </c>
      <c r="B327" s="182">
        <v>341.65</v>
      </c>
      <c r="C327" s="192">
        <v>2381</v>
      </c>
      <c r="D327" s="183">
        <v>341.65</v>
      </c>
    </row>
    <row r="328" spans="1:4" x14ac:dyDescent="0.25">
      <c r="A328" s="189">
        <v>2381</v>
      </c>
      <c r="B328" s="182">
        <v>345.1</v>
      </c>
      <c r="C328" s="192">
        <v>2397</v>
      </c>
      <c r="D328" s="183">
        <v>345.1</v>
      </c>
    </row>
    <row r="329" spans="1:4" x14ac:dyDescent="0.25">
      <c r="A329" s="189">
        <v>2397</v>
      </c>
      <c r="B329" s="182">
        <v>348.6</v>
      </c>
      <c r="C329" s="192">
        <v>2413</v>
      </c>
      <c r="D329" s="183">
        <v>348.6</v>
      </c>
    </row>
    <row r="330" spans="1:4" x14ac:dyDescent="0.25">
      <c r="A330" s="189">
        <v>2413</v>
      </c>
      <c r="B330" s="182">
        <v>352.05</v>
      </c>
      <c r="C330" s="192">
        <v>2429</v>
      </c>
      <c r="D330" s="183">
        <v>352.05</v>
      </c>
    </row>
    <row r="331" spans="1:4" x14ac:dyDescent="0.25">
      <c r="A331" s="189">
        <v>2429</v>
      </c>
      <c r="B331" s="182">
        <v>355.55</v>
      </c>
      <c r="C331" s="192">
        <v>2445</v>
      </c>
      <c r="D331" s="183">
        <v>355.55</v>
      </c>
    </row>
    <row r="332" spans="1:4" x14ac:dyDescent="0.25">
      <c r="A332" s="189">
        <v>2445</v>
      </c>
      <c r="B332" s="182">
        <v>359</v>
      </c>
      <c r="C332" s="192">
        <v>2461</v>
      </c>
      <c r="D332" s="183">
        <v>359</v>
      </c>
    </row>
    <row r="333" spans="1:4" x14ac:dyDescent="0.25">
      <c r="A333" s="189">
        <v>2461</v>
      </c>
      <c r="B333" s="182">
        <v>362.5</v>
      </c>
      <c r="C333" s="192">
        <v>2477</v>
      </c>
      <c r="D333" s="183">
        <v>362.5</v>
      </c>
    </row>
    <row r="334" spans="1:4" x14ac:dyDescent="0.25">
      <c r="A334" s="189">
        <v>2477</v>
      </c>
      <c r="B334" s="182">
        <v>365.95</v>
      </c>
      <c r="C334" s="192">
        <v>2493</v>
      </c>
      <c r="D334" s="183">
        <v>365.95</v>
      </c>
    </row>
    <row r="335" spans="1:4" x14ac:dyDescent="0.25">
      <c r="A335" s="189">
        <v>2493</v>
      </c>
      <c r="B335" s="182">
        <v>369.45</v>
      </c>
      <c r="C335" s="192">
        <v>2509</v>
      </c>
      <c r="D335" s="183">
        <v>369.45</v>
      </c>
    </row>
    <row r="336" spans="1:4" x14ac:dyDescent="0.25">
      <c r="A336" s="189">
        <v>2509</v>
      </c>
      <c r="B336" s="182">
        <v>372.9</v>
      </c>
      <c r="C336" s="192">
        <v>2525</v>
      </c>
      <c r="D336" s="183">
        <v>372.9</v>
      </c>
    </row>
    <row r="337" spans="1:4" x14ac:dyDescent="0.25">
      <c r="A337" s="189">
        <v>2525</v>
      </c>
      <c r="B337" s="182">
        <v>376.4</v>
      </c>
      <c r="C337" s="192">
        <v>2541</v>
      </c>
      <c r="D337" s="183">
        <v>376.4</v>
      </c>
    </row>
    <row r="338" spans="1:4" x14ac:dyDescent="0.25">
      <c r="A338" s="189">
        <v>2541</v>
      </c>
      <c r="B338" s="182">
        <v>379.85</v>
      </c>
      <c r="C338" s="192">
        <v>2557</v>
      </c>
      <c r="D338" s="183">
        <v>379.85</v>
      </c>
    </row>
    <row r="339" spans="1:4" x14ac:dyDescent="0.25">
      <c r="A339" s="189">
        <v>2557</v>
      </c>
      <c r="B339" s="182">
        <v>383.35</v>
      </c>
      <c r="C339" s="192">
        <v>2573</v>
      </c>
      <c r="D339" s="183">
        <v>383.35</v>
      </c>
    </row>
    <row r="340" spans="1:4" x14ac:dyDescent="0.25">
      <c r="A340" s="189">
        <v>2573</v>
      </c>
      <c r="B340" s="182">
        <v>386.8</v>
      </c>
      <c r="C340" s="192">
        <v>2589</v>
      </c>
      <c r="D340" s="183">
        <v>386.8</v>
      </c>
    </row>
    <row r="341" spans="1:4" x14ac:dyDescent="0.25">
      <c r="A341" s="189">
        <v>2589</v>
      </c>
      <c r="B341" s="182">
        <v>390.3</v>
      </c>
      <c r="C341" s="192">
        <v>2605</v>
      </c>
      <c r="D341" s="183">
        <v>390.3</v>
      </c>
    </row>
    <row r="342" spans="1:4" x14ac:dyDescent="0.25">
      <c r="A342" s="189">
        <v>2605</v>
      </c>
      <c r="B342" s="182">
        <v>394.2</v>
      </c>
      <c r="C342" s="192">
        <v>2625</v>
      </c>
      <c r="D342" s="183">
        <v>394.2</v>
      </c>
    </row>
    <row r="343" spans="1:4" x14ac:dyDescent="0.25">
      <c r="A343" s="189">
        <v>2625</v>
      </c>
      <c r="B343" s="182">
        <v>398.55</v>
      </c>
      <c r="C343" s="192">
        <v>2645</v>
      </c>
      <c r="D343" s="183">
        <v>398.55</v>
      </c>
    </row>
    <row r="344" spans="1:4" x14ac:dyDescent="0.25">
      <c r="A344" s="189">
        <v>2645</v>
      </c>
      <c r="B344" s="182">
        <v>402.85</v>
      </c>
      <c r="C344" s="192">
        <v>2665</v>
      </c>
      <c r="D344" s="183">
        <v>402.85</v>
      </c>
    </row>
    <row r="345" spans="1:4" x14ac:dyDescent="0.25">
      <c r="A345" s="189">
        <v>2665</v>
      </c>
      <c r="B345" s="182">
        <v>407.2</v>
      </c>
      <c r="C345" s="192">
        <v>2685</v>
      </c>
      <c r="D345" s="183">
        <v>407.2</v>
      </c>
    </row>
    <row r="346" spans="1:4" x14ac:dyDescent="0.25">
      <c r="A346" s="189">
        <v>2685</v>
      </c>
      <c r="B346" s="182">
        <v>411.55</v>
      </c>
      <c r="C346" s="192">
        <v>2705</v>
      </c>
      <c r="D346" s="183">
        <v>411.55</v>
      </c>
    </row>
    <row r="347" spans="1:4" x14ac:dyDescent="0.25">
      <c r="A347" s="189">
        <v>2705</v>
      </c>
      <c r="B347" s="182">
        <v>415.9</v>
      </c>
      <c r="C347" s="192">
        <v>2725</v>
      </c>
      <c r="D347" s="183">
        <v>415.9</v>
      </c>
    </row>
    <row r="348" spans="1:4" x14ac:dyDescent="0.25">
      <c r="A348" s="189">
        <v>2725</v>
      </c>
      <c r="B348" s="182">
        <v>420.25</v>
      </c>
      <c r="C348" s="192">
        <v>2745</v>
      </c>
      <c r="D348" s="183">
        <v>420.25</v>
      </c>
    </row>
    <row r="349" spans="1:4" x14ac:dyDescent="0.25">
      <c r="A349" s="189">
        <v>2745</v>
      </c>
      <c r="B349" s="182">
        <v>424.6</v>
      </c>
      <c r="C349" s="192">
        <v>2765</v>
      </c>
      <c r="D349" s="183">
        <v>424.6</v>
      </c>
    </row>
    <row r="350" spans="1:4" x14ac:dyDescent="0.25">
      <c r="A350" s="189">
        <v>2765</v>
      </c>
      <c r="B350" s="182">
        <v>428.9</v>
      </c>
      <c r="C350" s="192">
        <v>2785</v>
      </c>
      <c r="D350" s="183">
        <v>428.9</v>
      </c>
    </row>
    <row r="351" spans="1:4" x14ac:dyDescent="0.25">
      <c r="A351" s="189">
        <v>2785</v>
      </c>
      <c r="B351" s="182">
        <v>433.25</v>
      </c>
      <c r="C351" s="192">
        <v>2805</v>
      </c>
      <c r="D351" s="183">
        <v>433.25</v>
      </c>
    </row>
    <row r="352" spans="1:4" x14ac:dyDescent="0.25">
      <c r="A352" s="189">
        <v>2805</v>
      </c>
      <c r="B352" s="182">
        <v>437.6</v>
      </c>
      <c r="C352" s="192">
        <v>2825</v>
      </c>
      <c r="D352" s="183">
        <v>437.6</v>
      </c>
    </row>
    <row r="353" spans="1:4" x14ac:dyDescent="0.25">
      <c r="A353" s="189">
        <v>2825</v>
      </c>
      <c r="B353" s="182">
        <v>441.95</v>
      </c>
      <c r="C353" s="192">
        <v>2845</v>
      </c>
      <c r="D353" s="183">
        <v>441.95</v>
      </c>
    </row>
    <row r="354" spans="1:4" x14ac:dyDescent="0.25">
      <c r="A354" s="189">
        <v>2845</v>
      </c>
      <c r="B354" s="182">
        <v>446.3</v>
      </c>
      <c r="C354" s="192">
        <v>2865</v>
      </c>
      <c r="D354" s="183">
        <v>446.3</v>
      </c>
    </row>
    <row r="355" spans="1:4" x14ac:dyDescent="0.25">
      <c r="A355" s="189">
        <v>2865</v>
      </c>
      <c r="B355" s="182">
        <v>450.65</v>
      </c>
      <c r="C355" s="192">
        <v>2885</v>
      </c>
      <c r="D355" s="183">
        <v>450.65</v>
      </c>
    </row>
    <row r="356" spans="1:4" x14ac:dyDescent="0.25">
      <c r="A356" s="189">
        <v>2885</v>
      </c>
      <c r="B356" s="182">
        <v>455</v>
      </c>
      <c r="C356" s="192">
        <v>2905</v>
      </c>
      <c r="D356" s="183">
        <v>455</v>
      </c>
    </row>
    <row r="357" spans="1:4" x14ac:dyDescent="0.25">
      <c r="A357" s="189">
        <v>2905</v>
      </c>
      <c r="B357" s="182">
        <v>459.9</v>
      </c>
      <c r="C357" s="192">
        <v>2925</v>
      </c>
      <c r="D357" s="183">
        <v>459.9</v>
      </c>
    </row>
    <row r="358" spans="1:4" x14ac:dyDescent="0.25">
      <c r="A358" s="189">
        <v>2925</v>
      </c>
      <c r="B358" s="182">
        <v>464.75</v>
      </c>
      <c r="C358" s="192">
        <v>2945</v>
      </c>
      <c r="D358" s="183">
        <v>464.75</v>
      </c>
    </row>
    <row r="359" spans="1:4" x14ac:dyDescent="0.25">
      <c r="A359" s="189">
        <v>2945</v>
      </c>
      <c r="B359" s="182">
        <v>469.65</v>
      </c>
      <c r="C359" s="192">
        <v>2965</v>
      </c>
      <c r="D359" s="183">
        <v>469.65</v>
      </c>
    </row>
    <row r="360" spans="1:4" x14ac:dyDescent="0.25">
      <c r="A360" s="189">
        <v>2965</v>
      </c>
      <c r="B360" s="182">
        <v>474.55</v>
      </c>
      <c r="C360" s="192">
        <v>2985</v>
      </c>
      <c r="D360" s="183">
        <v>474.55</v>
      </c>
    </row>
    <row r="361" spans="1:4" x14ac:dyDescent="0.25">
      <c r="A361" s="189">
        <v>2985</v>
      </c>
      <c r="B361" s="182">
        <v>479.4</v>
      </c>
      <c r="C361" s="192">
        <v>3005</v>
      </c>
      <c r="D361" s="183">
        <v>479.4</v>
      </c>
    </row>
    <row r="362" spans="1:4" x14ac:dyDescent="0.25">
      <c r="A362" s="189">
        <v>3005</v>
      </c>
      <c r="B362" s="182">
        <v>484.3</v>
      </c>
      <c r="C362" s="192">
        <v>3025</v>
      </c>
      <c r="D362" s="183">
        <v>484.3</v>
      </c>
    </row>
    <row r="363" spans="1:4" x14ac:dyDescent="0.25">
      <c r="A363" s="189">
        <v>3025</v>
      </c>
      <c r="B363" s="182">
        <v>489.15</v>
      </c>
      <c r="C363" s="192">
        <v>3045</v>
      </c>
      <c r="D363" s="183">
        <v>489.15</v>
      </c>
    </row>
    <row r="364" spans="1:4" x14ac:dyDescent="0.25">
      <c r="A364" s="189">
        <v>3045</v>
      </c>
      <c r="B364" s="182">
        <v>494.05</v>
      </c>
      <c r="C364" s="192">
        <v>3065</v>
      </c>
      <c r="D364" s="183">
        <v>494.05</v>
      </c>
    </row>
    <row r="365" spans="1:4" x14ac:dyDescent="0.25">
      <c r="A365" s="189">
        <v>3065</v>
      </c>
      <c r="B365" s="182">
        <v>498.95</v>
      </c>
      <c r="C365" s="192">
        <v>3085</v>
      </c>
      <c r="D365" s="183">
        <v>498.95</v>
      </c>
    </row>
    <row r="366" spans="1:4" x14ac:dyDescent="0.25">
      <c r="A366" s="189">
        <v>3085</v>
      </c>
      <c r="B366" s="182">
        <v>503.8</v>
      </c>
      <c r="C366" s="192">
        <v>3105</v>
      </c>
      <c r="D366" s="183">
        <v>503.8</v>
      </c>
    </row>
    <row r="367" spans="1:4" x14ac:dyDescent="0.25">
      <c r="A367" s="189">
        <v>3105</v>
      </c>
      <c r="B367" s="182">
        <v>508.7</v>
      </c>
      <c r="C367" s="192">
        <v>3125</v>
      </c>
      <c r="D367" s="183">
        <v>508.7</v>
      </c>
    </row>
    <row r="368" spans="1:4" x14ac:dyDescent="0.25">
      <c r="A368" s="189">
        <v>3125</v>
      </c>
      <c r="B368" s="182">
        <v>513.54999999999995</v>
      </c>
      <c r="C368" s="192">
        <v>3145</v>
      </c>
      <c r="D368" s="183">
        <v>513.54999999999995</v>
      </c>
    </row>
    <row r="369" spans="1:4" x14ac:dyDescent="0.25">
      <c r="A369" s="189">
        <v>3145</v>
      </c>
      <c r="B369" s="182">
        <v>518.45000000000005</v>
      </c>
      <c r="C369" s="192">
        <v>3165</v>
      </c>
      <c r="D369" s="183">
        <v>518.45000000000005</v>
      </c>
    </row>
    <row r="370" spans="1:4" x14ac:dyDescent="0.25">
      <c r="A370" s="189">
        <v>3165</v>
      </c>
      <c r="B370" s="182">
        <v>523.29999999999995</v>
      </c>
      <c r="C370" s="192">
        <v>3185</v>
      </c>
      <c r="D370" s="183">
        <v>523.29999999999995</v>
      </c>
    </row>
    <row r="371" spans="1:4" x14ac:dyDescent="0.25">
      <c r="A371" s="189">
        <v>3185</v>
      </c>
      <c r="B371" s="182">
        <v>528.20000000000005</v>
      </c>
      <c r="C371" s="192">
        <v>3205</v>
      </c>
      <c r="D371" s="183">
        <v>528.20000000000005</v>
      </c>
    </row>
    <row r="372" spans="1:4" x14ac:dyDescent="0.25">
      <c r="A372" s="189">
        <v>3205</v>
      </c>
      <c r="B372" s="182">
        <v>533.1</v>
      </c>
      <c r="C372" s="192">
        <v>3225</v>
      </c>
      <c r="D372" s="183">
        <v>533.1</v>
      </c>
    </row>
    <row r="373" spans="1:4" x14ac:dyDescent="0.25">
      <c r="A373" s="189">
        <v>3225</v>
      </c>
      <c r="B373" s="182">
        <v>537.95000000000005</v>
      </c>
      <c r="C373" s="192">
        <v>3245</v>
      </c>
      <c r="D373" s="183">
        <v>537.95000000000005</v>
      </c>
    </row>
    <row r="374" spans="1:4" x14ac:dyDescent="0.25">
      <c r="A374" s="189">
        <v>3245</v>
      </c>
      <c r="B374" s="182">
        <v>542.85</v>
      </c>
      <c r="C374" s="192">
        <v>3265</v>
      </c>
      <c r="D374" s="183">
        <v>542.85</v>
      </c>
    </row>
    <row r="375" spans="1:4" x14ac:dyDescent="0.25">
      <c r="A375" s="189">
        <v>3265</v>
      </c>
      <c r="B375" s="182">
        <v>547.70000000000005</v>
      </c>
      <c r="C375" s="192">
        <v>3285</v>
      </c>
      <c r="D375" s="183">
        <v>547.70000000000005</v>
      </c>
    </row>
    <row r="376" spans="1:4" x14ac:dyDescent="0.25">
      <c r="A376" s="189">
        <v>3285</v>
      </c>
      <c r="B376" s="182">
        <v>552.6</v>
      </c>
      <c r="C376" s="192">
        <v>3305</v>
      </c>
      <c r="D376" s="183">
        <v>552.6</v>
      </c>
    </row>
    <row r="377" spans="1:4" x14ac:dyDescent="0.25">
      <c r="A377" s="189">
        <v>3305</v>
      </c>
      <c r="B377" s="182">
        <v>557.5</v>
      </c>
      <c r="C377" s="192">
        <v>3325</v>
      </c>
      <c r="D377" s="183">
        <v>557.5</v>
      </c>
    </row>
    <row r="378" spans="1:4" x14ac:dyDescent="0.25">
      <c r="A378" s="189">
        <v>3325</v>
      </c>
      <c r="B378" s="182">
        <v>562.35</v>
      </c>
      <c r="C378" s="192">
        <v>3345</v>
      </c>
      <c r="D378" s="183">
        <v>562.35</v>
      </c>
    </row>
    <row r="379" spans="1:4" x14ac:dyDescent="0.25">
      <c r="A379" s="189">
        <v>3345</v>
      </c>
      <c r="B379" s="182">
        <v>567.25</v>
      </c>
      <c r="C379" s="192">
        <v>3365</v>
      </c>
      <c r="D379" s="183">
        <v>567.25</v>
      </c>
    </row>
    <row r="380" spans="1:4" x14ac:dyDescent="0.25">
      <c r="A380" s="189">
        <v>3365</v>
      </c>
      <c r="B380" s="182">
        <v>572.1</v>
      </c>
      <c r="C380" s="192">
        <v>3385</v>
      </c>
      <c r="D380" s="183">
        <v>572.1</v>
      </c>
    </row>
    <row r="381" spans="1:4" x14ac:dyDescent="0.25">
      <c r="A381" s="189">
        <v>3385</v>
      </c>
      <c r="B381" s="182">
        <v>577</v>
      </c>
      <c r="C381" s="192">
        <v>3405</v>
      </c>
      <c r="D381" s="183">
        <v>577</v>
      </c>
    </row>
    <row r="382" spans="1:4" x14ac:dyDescent="0.25">
      <c r="A382" s="189">
        <v>3405</v>
      </c>
      <c r="B382" s="182">
        <v>581.9</v>
      </c>
      <c r="C382" s="192">
        <v>3425</v>
      </c>
      <c r="D382" s="183">
        <v>581.9</v>
      </c>
    </row>
    <row r="383" spans="1:4" x14ac:dyDescent="0.25">
      <c r="A383" s="189">
        <v>3425</v>
      </c>
      <c r="B383" s="182">
        <v>586.75</v>
      </c>
      <c r="C383" s="192">
        <v>3445</v>
      </c>
      <c r="D383" s="183">
        <v>586.75</v>
      </c>
    </row>
    <row r="384" spans="1:4" x14ac:dyDescent="0.25">
      <c r="A384" s="189">
        <v>3445</v>
      </c>
      <c r="B384" s="182">
        <v>591.65</v>
      </c>
      <c r="C384" s="192">
        <v>3465</v>
      </c>
      <c r="D384" s="183">
        <v>591.65</v>
      </c>
    </row>
    <row r="385" spans="1:4" x14ac:dyDescent="0.25">
      <c r="A385" s="189">
        <v>3465</v>
      </c>
      <c r="B385" s="182">
        <v>596.5</v>
      </c>
      <c r="C385" s="192">
        <v>3485</v>
      </c>
      <c r="D385" s="183">
        <v>596.5</v>
      </c>
    </row>
    <row r="386" spans="1:4" x14ac:dyDescent="0.25">
      <c r="A386" s="189">
        <v>3485</v>
      </c>
      <c r="B386" s="182">
        <v>601.4</v>
      </c>
      <c r="C386" s="192">
        <v>3505</v>
      </c>
      <c r="D386" s="183">
        <v>601.4</v>
      </c>
    </row>
    <row r="387" spans="1:4" x14ac:dyDescent="0.25">
      <c r="A387" s="189">
        <v>3505</v>
      </c>
      <c r="B387" s="182">
        <v>606.25</v>
      </c>
      <c r="C387" s="192">
        <v>3525</v>
      </c>
      <c r="D387" s="183">
        <v>606.25</v>
      </c>
    </row>
    <row r="388" spans="1:4" x14ac:dyDescent="0.25">
      <c r="A388" s="189">
        <v>3525</v>
      </c>
      <c r="B388" s="182">
        <v>611.15</v>
      </c>
      <c r="C388" s="192">
        <v>3545</v>
      </c>
      <c r="D388" s="183">
        <v>611.15</v>
      </c>
    </row>
    <row r="389" spans="1:4" x14ac:dyDescent="0.25">
      <c r="A389" s="189">
        <v>3545</v>
      </c>
      <c r="B389" s="182">
        <v>616.04999999999995</v>
      </c>
      <c r="C389" s="192">
        <v>3565</v>
      </c>
      <c r="D389" s="183">
        <v>616.04999999999995</v>
      </c>
    </row>
    <row r="390" spans="1:4" x14ac:dyDescent="0.25">
      <c r="A390" s="189">
        <v>3565</v>
      </c>
      <c r="B390" s="182">
        <v>620.9</v>
      </c>
      <c r="C390" s="192">
        <v>3585</v>
      </c>
      <c r="D390" s="183">
        <v>620.9</v>
      </c>
    </row>
    <row r="391" spans="1:4" x14ac:dyDescent="0.25">
      <c r="A391" s="189">
        <v>3585</v>
      </c>
      <c r="B391" s="182">
        <v>625.79999999999995</v>
      </c>
      <c r="C391" s="192">
        <v>3605</v>
      </c>
      <c r="D391" s="183">
        <v>625.79999999999995</v>
      </c>
    </row>
    <row r="392" spans="1:4" x14ac:dyDescent="0.25">
      <c r="A392" s="189">
        <v>3605</v>
      </c>
      <c r="B392" s="182">
        <v>630.65</v>
      </c>
      <c r="C392" s="192">
        <v>3625</v>
      </c>
      <c r="D392" s="183">
        <v>630.65</v>
      </c>
    </row>
    <row r="393" spans="1:4" x14ac:dyDescent="0.25">
      <c r="A393" s="189">
        <v>3625</v>
      </c>
      <c r="B393" s="182">
        <v>635.54999999999995</v>
      </c>
      <c r="C393" s="192">
        <v>3645</v>
      </c>
      <c r="D393" s="183">
        <v>635.54999999999995</v>
      </c>
    </row>
    <row r="394" spans="1:4" x14ac:dyDescent="0.25">
      <c r="A394" s="189">
        <v>3645</v>
      </c>
      <c r="B394" s="182">
        <v>640.45000000000005</v>
      </c>
      <c r="C394" s="192">
        <v>3665</v>
      </c>
      <c r="D394" s="183">
        <v>640.45000000000005</v>
      </c>
    </row>
    <row r="395" spans="1:4" x14ac:dyDescent="0.25">
      <c r="A395" s="189">
        <v>3665</v>
      </c>
      <c r="B395" s="182">
        <v>645.29999999999995</v>
      </c>
      <c r="C395" s="192">
        <v>3685</v>
      </c>
      <c r="D395" s="183">
        <v>645.29999999999995</v>
      </c>
    </row>
    <row r="396" spans="1:4" x14ac:dyDescent="0.25">
      <c r="A396" s="190">
        <v>3685</v>
      </c>
      <c r="B396" s="186">
        <v>650.20000000000005</v>
      </c>
      <c r="C396" s="193">
        <v>3705</v>
      </c>
      <c r="D396" s="187">
        <v>650.20000000000005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Emp.1</vt:lpstr>
      <vt:lpstr>Empl.2</vt:lpstr>
      <vt:lpstr>TP E2</vt:lpstr>
      <vt:lpstr>Empl.3</vt:lpstr>
      <vt:lpstr>TP E3</vt:lpstr>
      <vt:lpstr>employé3</vt:lpstr>
      <vt:lpstr>employé4</vt:lpstr>
      <vt:lpstr>employé5</vt:lpstr>
      <vt:lpstr>employé6</vt:lpstr>
      <vt:lpstr>employé7</vt:lpstr>
      <vt:lpstr>employé8</vt:lpstr>
      <vt:lpstr>sommaire</vt:lpstr>
      <vt:lpstr>remise</vt:lpstr>
      <vt:lpstr>Table 26</vt:lpstr>
      <vt:lpstr>Table 52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Dubois</dc:creator>
  <cp:lastModifiedBy>Esther Forcier</cp:lastModifiedBy>
  <cp:lastPrinted>2020-02-08T21:13:35Z</cp:lastPrinted>
  <dcterms:created xsi:type="dcterms:W3CDTF">2008-07-10T15:38:14Z</dcterms:created>
  <dcterms:modified xsi:type="dcterms:W3CDTF">2020-02-09T13:35:58Z</dcterms:modified>
</cp:coreProperties>
</file>