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TAMO\Desktop\"/>
    </mc:Choice>
  </mc:AlternateContent>
  <bookViews>
    <workbookView xWindow="240" yWindow="225" windowWidth="20115" windowHeight="7560"/>
  </bookViews>
  <sheets>
    <sheet name="2020" sheetId="1" r:id="rId1"/>
    <sheet name="Feuil1" sheetId="2" r:id="rId2"/>
  </sheets>
  <externalReferences>
    <externalReference r:id="rId3"/>
  </externalReferences>
  <definedNames>
    <definedName name="BL_en_attente_de_facturation_valeur_atélier___de_2_mois">[1]Feuil1!#REF!</definedName>
    <definedName name="Délais_moyen_Daily_Stock">[1]Feuil1!#REF!</definedName>
    <definedName name="Délais_moyen_Express">[1]Feuil1!#REF!</definedName>
    <definedName name="Délais_moyen_Mer">[1]Feuil1!#REF!</definedName>
    <definedName name="Dépannage_avion">[1]Feuil1!#REF!</definedName>
    <definedName name="Dépannage_Express">[1]Feuil1!#REF!</definedName>
    <definedName name="Ecart_supputé_réel">[1]Feuil1!#REF!</definedName>
    <definedName name="Efficacité_stock_global">[1]Feuil1!#REF!</definedName>
    <definedName name="Efficacité_stock_pièces_gérées_CAT">[1]Feuil1!#REF!</definedName>
    <definedName name="graph" localSheetId="0">INDEX('2020'!$C$23:$N$28,,'2020'!#REF!)</definedName>
    <definedName name="graph">INDEX('[1]2013'!$C$6:$N$25,,'[1]2013'!$B$30)</definedName>
    <definedName name="GRAPHIQUE">[1]Feuil1!#REF!</definedName>
    <definedName name="Nombre_d_avoirs">[1]Feuil1!#REF!</definedName>
    <definedName name="Rotation_stock_CAT_sur_12__mois_glissants">[1]Feuil1!#REF!</definedName>
    <definedName name="Rotation_stock_Global_sur_12__mois_glissants">[1]Feuil1!#REF!</definedName>
    <definedName name="service_territorial_Pièce_gerées_et_non_gèrées_CAT">[1]Feuil1!#REF!</definedName>
    <definedName name="STOCK">[1]Feuil1!#REF!</definedName>
    <definedName name="Stock_air">[1]Feuil1!#REF!</definedName>
    <definedName name="Stock_CAT____12_mois">[1]Feuil1!#REF!</definedName>
    <definedName name="Stock_mer">[1]Feuil1!#REF!</definedName>
    <definedName name="Stock_tout_constructeur____12_mois">[1]Feuil1!#REF!</definedName>
    <definedName name="Z_0AF593B2_D43D_45EA_A4F5_7FC19F1009E0_.wvu.PrintArea" localSheetId="0" hidden="1">'2020'!$A$1:$O$20</definedName>
    <definedName name="Z_C5E332C5_EB66_4843_8A48_6F3F7DE5E94B_.wvu.PrintArea" localSheetId="0" hidden="1">'2020'!$A$21:$O$21</definedName>
    <definedName name="_xlnm.Print_Area" localSheetId="0">'2020'!$A$21:$N$21</definedName>
  </definedNames>
  <calcPr calcId="152511"/>
</workbook>
</file>

<file path=xl/calcChain.xml><?xml version="1.0" encoding="utf-8"?>
<calcChain xmlns="http://schemas.openxmlformats.org/spreadsheetml/2006/main">
  <c r="Q4" i="1" l="1"/>
  <c r="O23" i="1" l="1"/>
  <c r="P32" i="1" l="1"/>
  <c r="P25" i="1"/>
  <c r="Q24" i="1"/>
  <c r="P28" i="1" l="1"/>
  <c r="O29" i="2"/>
  <c r="N28" i="2"/>
  <c r="M28" i="2"/>
  <c r="L28" i="2"/>
  <c r="K28" i="2"/>
  <c r="J28" i="2"/>
  <c r="I28" i="2"/>
  <c r="H28" i="2"/>
  <c r="G28" i="2"/>
  <c r="F28" i="2"/>
  <c r="E28" i="2"/>
  <c r="D28" i="2"/>
  <c r="C28" i="2"/>
  <c r="O27" i="2"/>
  <c r="N26" i="2"/>
  <c r="M26" i="2"/>
  <c r="L26" i="2"/>
  <c r="K26" i="2"/>
  <c r="J26" i="2"/>
  <c r="I26" i="2"/>
  <c r="H26" i="2"/>
  <c r="G26" i="2"/>
  <c r="F26" i="2"/>
  <c r="E26" i="2"/>
  <c r="D26" i="2"/>
  <c r="C26" i="2"/>
  <c r="N25" i="2"/>
  <c r="M25" i="2"/>
  <c r="L25" i="2"/>
  <c r="K25" i="2"/>
  <c r="J25" i="2"/>
  <c r="I25" i="2"/>
  <c r="H25" i="2"/>
  <c r="G25" i="2"/>
  <c r="F25" i="2"/>
  <c r="E25" i="2"/>
  <c r="D25" i="2"/>
  <c r="C25" i="2"/>
  <c r="O24" i="2"/>
  <c r="O23" i="2"/>
  <c r="O22" i="2"/>
  <c r="O21" i="2"/>
  <c r="O20" i="2"/>
  <c r="O19" i="2"/>
  <c r="O18" i="2"/>
  <c r="O17" i="2"/>
  <c r="O16" i="2"/>
  <c r="N15" i="2"/>
  <c r="M15" i="2"/>
  <c r="L15" i="2"/>
  <c r="K15" i="2"/>
  <c r="J15" i="2"/>
  <c r="I15" i="2"/>
  <c r="H15" i="2"/>
  <c r="G15" i="2"/>
  <c r="F15" i="2"/>
  <c r="E15" i="2"/>
  <c r="D15" i="2"/>
  <c r="C15" i="2"/>
  <c r="N14" i="2"/>
  <c r="M14" i="2"/>
  <c r="L14" i="2"/>
  <c r="K14" i="2"/>
  <c r="J14" i="2"/>
  <c r="I14" i="2"/>
  <c r="H14" i="2"/>
  <c r="G14" i="2"/>
  <c r="F14" i="2"/>
  <c r="E14" i="2"/>
  <c r="D14" i="2"/>
  <c r="C14" i="2"/>
  <c r="O13" i="2"/>
  <c r="O12" i="2"/>
  <c r="O11" i="2"/>
  <c r="N10" i="2"/>
  <c r="L10" i="2"/>
  <c r="J10" i="2"/>
  <c r="I10" i="2"/>
  <c r="G10" i="2"/>
  <c r="F10" i="2"/>
  <c r="D10" i="2"/>
  <c r="C10" i="2"/>
  <c r="M9" i="2"/>
  <c r="K9" i="2"/>
  <c r="H9" i="2"/>
  <c r="E9" i="2"/>
  <c r="M8" i="2"/>
  <c r="K8" i="2"/>
  <c r="K10" i="2" s="1"/>
  <c r="H8" i="2"/>
  <c r="E8" i="2"/>
  <c r="N7" i="2"/>
  <c r="L7" i="2"/>
  <c r="J7" i="2"/>
  <c r="I7" i="2"/>
  <c r="G7" i="2"/>
  <c r="F7" i="2"/>
  <c r="D7" i="2"/>
  <c r="C7" i="2"/>
  <c r="M6" i="2"/>
  <c r="K6" i="2"/>
  <c r="H6" i="2"/>
  <c r="E6" i="2"/>
  <c r="M5" i="2"/>
  <c r="K5" i="2"/>
  <c r="K7" i="2" s="1"/>
  <c r="H5" i="2"/>
  <c r="E5" i="2"/>
  <c r="O4" i="2"/>
  <c r="O3" i="2"/>
  <c r="O14" i="2" l="1"/>
  <c r="O15" i="2"/>
  <c r="H7" i="2"/>
  <c r="H10" i="2"/>
  <c r="O28" i="2"/>
  <c r="M7" i="2"/>
  <c r="M10" i="2"/>
  <c r="O5" i="2"/>
  <c r="E7" i="2"/>
  <c r="O8" i="2"/>
  <c r="O9" i="2"/>
  <c r="O25" i="2"/>
  <c r="O26" i="2"/>
  <c r="E10" i="2"/>
  <c r="O6" i="2"/>
  <c r="N32" i="1"/>
  <c r="M32" i="1"/>
  <c r="L32" i="1"/>
  <c r="F30" i="1"/>
  <c r="G28" i="1"/>
  <c r="E28" i="1"/>
  <c r="D28" i="1"/>
  <c r="C28" i="1"/>
  <c r="F27" i="1"/>
  <c r="F26" i="1"/>
  <c r="K32" i="1"/>
  <c r="J32" i="1"/>
  <c r="I32" i="1"/>
  <c r="H32" i="1"/>
  <c r="G25" i="1"/>
  <c r="G32" i="1" s="1"/>
  <c r="F25" i="1"/>
  <c r="F32" i="1" s="1"/>
  <c r="E25" i="1"/>
  <c r="E32" i="1" s="1"/>
  <c r="D25" i="1"/>
  <c r="C25" i="1"/>
  <c r="T24" i="1"/>
  <c r="U24" i="1" s="1"/>
  <c r="R24" i="1"/>
  <c r="S24" i="1" s="1"/>
  <c r="O24" i="1"/>
  <c r="T23" i="1"/>
  <c r="U23" i="1" s="1"/>
  <c r="R23" i="1"/>
  <c r="S23" i="1" s="1"/>
  <c r="Q23" i="1"/>
  <c r="X28" i="1" s="1"/>
  <c r="O10" i="2" l="1"/>
  <c r="C32" i="1"/>
  <c r="O7" i="2"/>
  <c r="D32" i="1"/>
  <c r="R27" i="1"/>
  <c r="S27" i="1" s="1"/>
  <c r="T26" i="1"/>
  <c r="U26" i="1" s="1"/>
  <c r="R26" i="1"/>
  <c r="S26" i="1" s="1"/>
  <c r="O27" i="1"/>
  <c r="Q27" i="1" s="1"/>
  <c r="O26" i="1"/>
  <c r="Q26" i="1" s="1"/>
  <c r="F28" i="1"/>
  <c r="T25" i="1"/>
  <c r="T27" i="1"/>
  <c r="U27" i="1" s="1"/>
  <c r="O25" i="1"/>
  <c r="Q25" i="1" s="1"/>
  <c r="R25" i="1"/>
  <c r="O32" i="1" l="1"/>
  <c r="Q32" i="1"/>
  <c r="O5" i="1" s="1"/>
  <c r="O6" i="1" s="1"/>
  <c r="O28" i="1"/>
  <c r="Q28" i="1" s="1"/>
  <c r="R28" i="1"/>
  <c r="S28" i="1" s="1"/>
  <c r="V32" i="1"/>
  <c r="S25" i="1"/>
  <c r="T28" i="1"/>
  <c r="U28" i="1" s="1"/>
  <c r="U25" i="1"/>
  <c r="S32" i="1"/>
  <c r="T32" i="1" l="1"/>
  <c r="U32" i="1"/>
  <c r="R32" i="1"/>
</calcChain>
</file>

<file path=xl/comments1.xml><?xml version="1.0" encoding="utf-8"?>
<comments xmlns="http://schemas.openxmlformats.org/spreadsheetml/2006/main">
  <authors>
    <author>Esther NDONDA</author>
    <author>Erick TAMO</author>
  </authors>
  <commentList>
    <comment ref="B23" authorId="0" shapeId="0">
      <text>
        <r>
          <rPr>
            <b/>
            <sz val="9"/>
            <color indexed="81"/>
            <rFont val="Tahoma"/>
            <family val="2"/>
          </rPr>
          <t>etat chiffre affaire client MPR et ATT</t>
        </r>
      </text>
    </comment>
    <comment ref="B24" authorId="0" shapeId="0">
      <text>
        <r>
          <rPr>
            <b/>
            <sz val="9"/>
            <color indexed="81"/>
            <rFont val="Tahoma"/>
            <family val="2"/>
          </rPr>
          <t xml:space="preserve">etat chiffre affaire client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6" authorId="0" shapeId="0">
      <text>
        <r>
          <rPr>
            <b/>
            <sz val="12"/>
            <color indexed="81"/>
            <rFont val="Tahoma"/>
            <family val="2"/>
          </rPr>
          <t>Esther NDONDA:</t>
        </r>
        <r>
          <rPr>
            <sz val="12"/>
            <color indexed="81"/>
            <rFont val="Tahoma"/>
            <family val="2"/>
          </rPr>
          <t xml:space="preserve">
Etat references inventoriées</t>
        </r>
      </text>
    </comment>
    <comment ref="B27" authorId="1" shapeId="0">
      <text>
        <r>
          <rPr>
            <b/>
            <sz val="9"/>
            <color indexed="81"/>
            <rFont val="Tahoma"/>
            <family val="2"/>
          </rPr>
          <t>Nbre de refs ayant 
fait l'objet d'une diffetance d'inventaire (en + ou en -)</t>
        </r>
      </text>
    </comment>
    <comment ref="B28" authorId="1" shapeId="0">
      <text>
        <r>
          <rPr>
            <b/>
            <sz val="9"/>
            <color indexed="81"/>
            <rFont val="Tahoma"/>
            <family val="2"/>
          </rPr>
          <t>Anomalie global / nbre de reference inventorié</t>
        </r>
      </text>
    </comment>
  </commentList>
</comments>
</file>

<file path=xl/comments2.xml><?xml version="1.0" encoding="utf-8"?>
<comments xmlns="http://schemas.openxmlformats.org/spreadsheetml/2006/main">
  <authors>
    <author>Esther NDONDA</author>
    <author>Erick TAMO</author>
    <author>TAMO</author>
  </authors>
  <commentList>
    <comment ref="B3" authorId="0" shapeId="0">
      <text>
        <r>
          <rPr>
            <b/>
            <sz val="9"/>
            <color indexed="81"/>
            <rFont val="Tahoma"/>
            <family val="2"/>
          </rPr>
          <t>etat chiffre affaire client MPR et ATT</t>
        </r>
      </text>
    </comment>
    <comment ref="B4" authorId="0" shapeId="0">
      <text>
        <r>
          <rPr>
            <b/>
            <sz val="9"/>
            <color indexed="81"/>
            <rFont val="Tahoma"/>
            <family val="2"/>
          </rPr>
          <t xml:space="preserve">etat chiffre affaire client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5" authorId="0" shapeId="0">
      <text>
        <r>
          <rPr>
            <b/>
            <sz val="12"/>
            <color indexed="81"/>
            <rFont val="Tahoma"/>
            <family val="2"/>
          </rPr>
          <t>Esther NDONDA:</t>
        </r>
        <r>
          <rPr>
            <sz val="12"/>
            <color indexed="81"/>
            <rFont val="Tahoma"/>
            <family val="2"/>
          </rPr>
          <t xml:space="preserve">
Etat references inventoriées</t>
        </r>
      </text>
    </comment>
    <comment ref="B6" authorId="1" shapeId="0">
      <text>
        <r>
          <rPr>
            <b/>
            <sz val="9"/>
            <color indexed="81"/>
            <rFont val="Tahoma"/>
            <family val="2"/>
          </rPr>
          <t>Nbre de refs ayant 
fait l'objet d'une diffetance d'inventaire (en + ou en -)</t>
        </r>
      </text>
    </comment>
    <comment ref="B7" authorId="1" shapeId="0">
      <text>
        <r>
          <rPr>
            <b/>
            <sz val="9"/>
            <color indexed="81"/>
            <rFont val="Tahoma"/>
            <family val="2"/>
          </rPr>
          <t>Anomalie global / nbre de reference inventorié</t>
        </r>
      </text>
    </comment>
    <comment ref="B8" authorId="1" shapeId="0">
      <text>
        <r>
          <rPr>
            <b/>
            <sz val="9"/>
            <color indexed="81"/>
            <rFont val="Tahoma"/>
            <family val="2"/>
          </rPr>
          <t>valeur stock inventorié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9" authorId="0" shapeId="0">
      <text>
        <r>
          <rPr>
            <b/>
            <sz val="12"/>
            <color indexed="81"/>
            <rFont val="Tahoma"/>
            <family val="2"/>
          </rPr>
          <t>Esther NDONDA:</t>
        </r>
        <r>
          <rPr>
            <sz val="12"/>
            <color indexed="81"/>
            <rFont val="Tahoma"/>
            <family val="2"/>
          </rPr>
          <t xml:space="preserve">
Etat references inventoriées</t>
        </r>
      </text>
    </comment>
    <comment ref="B10" authorId="2" shapeId="0">
      <text>
        <r>
          <rPr>
            <b/>
            <sz val="8"/>
            <color indexed="81"/>
            <rFont val="Tahoma"/>
            <family val="2"/>
          </rPr>
          <t>TAMO: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Tahoma"/>
            <family val="2"/>
          </rPr>
          <t>dift inventaire en valeur/ valeur initial</t>
        </r>
      </text>
    </comment>
    <comment ref="B11" authorId="2" shapeId="0">
      <text>
        <r>
          <rPr>
            <b/>
            <sz val="8"/>
            <color indexed="81"/>
            <rFont val="Tahoma"/>
            <family val="2"/>
          </rPr>
          <t>nbre de ligne de plus de 2 mois en valeur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2" authorId="2" shapeId="0">
      <text>
        <r>
          <rPr>
            <b/>
            <sz val="8"/>
            <color indexed="81"/>
            <rFont val="Tahoma"/>
            <family val="2"/>
          </rPr>
          <t>nbre de ligne de plus de 2 mois en valeur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3" authorId="2" shapeId="0">
      <text>
        <r>
          <rPr>
            <b/>
            <sz val="8"/>
            <color indexed="81"/>
            <rFont val="Tahoma"/>
            <family val="2"/>
          </rPr>
          <t xml:space="preserve">RecapInventaire
(total Inventaire)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5" authorId="2" shapeId="0">
      <text>
        <r>
          <rPr>
            <b/>
            <sz val="8"/>
            <color indexed="81"/>
            <rFont val="Tahoma"/>
            <family val="2"/>
          </rPr>
          <t>Recapinventaire
(Mtinventair-12moi/Mtinventair)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6" authorId="0" shapeId="0">
      <text>
        <r>
          <rPr>
            <b/>
            <sz val="10"/>
            <color indexed="81"/>
            <rFont val="Tahoma"/>
            <family val="2"/>
          </rPr>
          <t>Etat Excel Stats de ventes</t>
        </r>
      </text>
    </comment>
    <comment ref="C16" authorId="1" shapeId="0">
      <text>
        <r>
          <rPr>
            <b/>
            <sz val="12"/>
            <color indexed="81"/>
            <rFont val="Tahoma"/>
            <family val="2"/>
          </rPr>
          <t>-10 329 741</t>
        </r>
      </text>
    </comment>
    <comment ref="D16" authorId="1" shapeId="0">
      <text>
        <r>
          <rPr>
            <b/>
            <sz val="9"/>
            <color indexed="81"/>
            <rFont val="Tahoma"/>
            <family val="2"/>
          </rPr>
          <t>-24 584 204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6" authorId="1" shapeId="0">
      <text>
        <r>
          <rPr>
            <b/>
            <sz val="9"/>
            <color indexed="81"/>
            <rFont val="Tahoma"/>
            <family val="2"/>
          </rPr>
          <t>-11 089 620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6" authorId="1" shapeId="0">
      <text>
        <r>
          <rPr>
            <b/>
            <sz val="9"/>
            <color indexed="81"/>
            <rFont val="Tahoma"/>
            <family val="2"/>
          </rPr>
          <t>-10 145 615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6" authorId="1" shapeId="0">
      <text>
        <r>
          <rPr>
            <b/>
            <sz val="11"/>
            <color indexed="81"/>
            <rFont val="Tahoma"/>
            <family val="2"/>
          </rPr>
          <t>-29 811 567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6" authorId="1" shapeId="0">
      <text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12"/>
            <color indexed="81"/>
            <rFont val="Tahoma"/>
            <family val="2"/>
          </rPr>
          <t>4 433 782</t>
        </r>
      </text>
    </comment>
    <comment ref="I16" authorId="1" shapeId="0">
      <text>
        <r>
          <rPr>
            <b/>
            <sz val="12"/>
            <color indexed="81"/>
            <rFont val="Tahoma"/>
            <family val="2"/>
          </rPr>
          <t>-26 102 903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6" authorId="1" shapeId="0">
      <text>
        <r>
          <rPr>
            <b/>
            <sz val="12"/>
            <color indexed="81"/>
            <rFont val="Tahoma"/>
            <family val="2"/>
          </rPr>
          <t>-65 435 585</t>
        </r>
      </text>
    </comment>
    <comment ref="K16" authorId="1" shapeId="0">
      <text>
        <r>
          <rPr>
            <b/>
            <sz val="12"/>
            <color indexed="81"/>
            <rFont val="Tahoma"/>
            <family val="2"/>
          </rPr>
          <t>-35 963 166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6" authorId="1" shapeId="0">
      <text>
        <r>
          <rPr>
            <b/>
            <sz val="12"/>
            <color indexed="81"/>
            <rFont val="Tahoma"/>
            <family val="2"/>
          </rPr>
          <t>-14 138 174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6" authorId="1" shapeId="0">
      <text>
        <r>
          <rPr>
            <b/>
            <sz val="9"/>
            <color indexed="81"/>
            <rFont val="Tahoma"/>
            <family val="2"/>
          </rPr>
          <t>-22 484 145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6" authorId="1" shapeId="0">
      <text>
        <r>
          <rPr>
            <b/>
            <sz val="12"/>
            <color indexed="81"/>
            <rFont val="Tahoma"/>
            <family val="2"/>
          </rPr>
          <t>-16 622 254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7" authorId="2" shapeId="0">
      <text>
        <r>
          <rPr>
            <b/>
            <sz val="8"/>
            <color indexed="81"/>
            <rFont val="Tahoma"/>
            <family val="2"/>
          </rPr>
          <t>SUIVI COMMANDE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8" authorId="2" shapeId="0">
      <text>
        <r>
          <rPr>
            <b/>
            <sz val="8"/>
            <color indexed="81"/>
            <rFont val="Tahoma"/>
            <family val="2"/>
          </rPr>
          <t>SUIVI COMMANDE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9" authorId="2" shapeId="0">
      <text>
        <r>
          <rPr>
            <b/>
            <sz val="8"/>
            <color indexed="81"/>
            <rFont val="Tahoma"/>
            <family val="2"/>
          </rPr>
          <t>SUIVI COMMANDE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0" authorId="0" shapeId="0">
      <text>
        <r>
          <rPr>
            <b/>
            <sz val="8"/>
            <color indexed="81"/>
            <rFont val="Tahoma"/>
            <family val="2"/>
          </rPr>
          <t>Esther NDONDA: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 xml:space="preserve">Journal prix de revient
 ecart/ total revient
</t>
        </r>
      </text>
    </comment>
    <comment ref="B21" authorId="2" shapeId="0">
      <text>
        <r>
          <rPr>
            <b/>
            <sz val="8"/>
            <color indexed="81"/>
            <rFont val="Tahoma"/>
            <family val="2"/>
          </rPr>
          <t xml:space="preserve">RecapABR(fr2)
</t>
        </r>
      </text>
    </comment>
    <comment ref="B22" authorId="2" shapeId="0">
      <text>
        <r>
          <rPr>
            <b/>
            <sz val="8"/>
            <color indexed="81"/>
            <rFont val="Tahoma"/>
            <family val="2"/>
          </rPr>
          <t xml:space="preserve">RecapABR(fr2)
</t>
        </r>
      </text>
    </comment>
    <comment ref="B23" authorId="2" shapeId="0">
      <text>
        <r>
          <rPr>
            <b/>
            <sz val="8"/>
            <color indexed="81"/>
            <rFont val="Tahoma"/>
            <family val="2"/>
          </rPr>
          <t xml:space="preserve">RecapABR(fr2)
</t>
        </r>
      </text>
    </comment>
    <comment ref="B24" authorId="2" shapeId="0">
      <text>
        <r>
          <rPr>
            <b/>
            <sz val="8"/>
            <color indexed="81"/>
            <rFont val="Tahoma"/>
            <family val="2"/>
          </rPr>
          <t xml:space="preserve">RecapABR(fr2)
</t>
        </r>
      </text>
    </comment>
    <comment ref="B25" authorId="0" shapeId="0">
      <text>
        <r>
          <rPr>
            <b/>
            <sz val="12"/>
            <color indexed="81"/>
            <rFont val="Tahoma"/>
            <family val="2"/>
          </rPr>
          <t>Esther NDONDA:</t>
        </r>
        <r>
          <rPr>
            <sz val="12"/>
            <color indexed="81"/>
            <rFont val="Tahoma"/>
            <family val="2"/>
          </rPr>
          <t xml:space="preserve">
Etat Excel: BO KPI
</t>
        </r>
      </text>
    </comment>
    <comment ref="B26" authorId="0" shapeId="0">
      <text>
        <r>
          <rPr>
            <b/>
            <sz val="12"/>
            <color indexed="81"/>
            <rFont val="Tahoma"/>
            <family val="2"/>
          </rPr>
          <t>Esther NDONDA:</t>
        </r>
        <r>
          <rPr>
            <sz val="12"/>
            <color indexed="81"/>
            <rFont val="Tahoma"/>
            <family val="2"/>
          </rPr>
          <t xml:space="preserve">
Etat Excel: BO KPI
</t>
        </r>
      </text>
    </comment>
    <comment ref="B27" authorId="2" shapeId="0">
      <text>
        <r>
          <rPr>
            <b/>
            <sz val="8"/>
            <color indexed="81"/>
            <rFont val="Tahoma"/>
            <family val="2"/>
          </rPr>
          <t>TAMO: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taux annuel</t>
        </r>
      </text>
    </comment>
    <comment ref="B28" authorId="1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Etat Excel :BO KPI</t>
        </r>
      </text>
    </comment>
    <comment ref="B29" authorId="2" shapeId="0">
      <text>
        <r>
          <rPr>
            <b/>
            <sz val="8"/>
            <color indexed="81"/>
            <rFont val="Tahoma"/>
            <family val="2"/>
          </rPr>
          <t>TAMO: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taux annuel</t>
        </r>
      </text>
    </comment>
  </commentList>
</comments>
</file>

<file path=xl/sharedStrings.xml><?xml version="1.0" encoding="utf-8"?>
<sst xmlns="http://schemas.openxmlformats.org/spreadsheetml/2006/main" count="104" uniqueCount="64">
  <si>
    <t>TABLEAU DE BORD</t>
  </si>
  <si>
    <t xml:space="preserve">Aller à la présentation </t>
  </si>
  <si>
    <t>GRAPHIQUE</t>
  </si>
  <si>
    <t>CLIQUEZ POUR CHOISIR UN CHAMP</t>
  </si>
  <si>
    <t>MARGE en valeur</t>
  </si>
  <si>
    <t>MODULE</t>
  </si>
  <si>
    <t>Rubrique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</si>
  <si>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</si>
  <si>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</si>
  <si>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</si>
  <si>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</si>
  <si>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</si>
  <si>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</si>
  <si>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</si>
  <si>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</si>
  <si>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</si>
  <si>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</si>
  <si>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</si>
  <si>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</si>
  <si>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RESULTAT</t>
  </si>
  <si>
    <t>Max</t>
  </si>
  <si>
    <t>moi max</t>
  </si>
  <si>
    <t>min</t>
  </si>
  <si>
    <t>moi Min</t>
  </si>
  <si>
    <t>CA</t>
  </si>
  <si>
    <t>C.A</t>
  </si>
  <si>
    <t>MARGE</t>
  </si>
  <si>
    <t>STOCK</t>
  </si>
  <si>
    <t xml:space="preserve">Inventaire Tournant en nbre de references </t>
  </si>
  <si>
    <t>Anomalie Globale en nbre de references</t>
  </si>
  <si>
    <t>% anomalie en nbre de reference</t>
  </si>
  <si>
    <t>Valeur initial</t>
  </si>
  <si>
    <t xml:space="preserve">Resultat inventaire en valeur </t>
  </si>
  <si>
    <t>Resultat inventaire en %</t>
  </si>
  <si>
    <t>BL en attente de facturation valeur magasin + de 2 mois</t>
  </si>
  <si>
    <t>BL en attente de facturation valeur atélier + de 2 mois</t>
  </si>
  <si>
    <t>% Stock CAT   -12 mois</t>
  </si>
  <si>
    <t>% Stock tout constructeur   -12 mois</t>
  </si>
  <si>
    <t>Nombre d'avoirs</t>
  </si>
  <si>
    <t>DELAIS MOYEN PAR EXPEDITION (CAT)</t>
  </si>
  <si>
    <t>Délais moyen Express</t>
  </si>
  <si>
    <t>Délais moyen Daily Stock</t>
  </si>
  <si>
    <t>Délais moyen Mer</t>
  </si>
  <si>
    <t>REVIENT</t>
  </si>
  <si>
    <t>Ecart supputé réel</t>
  </si>
  <si>
    <t>Frais d'approche  CAT   en %         (sur 6 mois)</t>
  </si>
  <si>
    <t>Dépannage avion</t>
  </si>
  <si>
    <t xml:space="preserve">Dépannage Express </t>
  </si>
  <si>
    <t>Stock air</t>
  </si>
  <si>
    <t>Stock mer</t>
  </si>
  <si>
    <t>KPI</t>
  </si>
  <si>
    <t>Efficacité stock pièces gérées CAT</t>
  </si>
  <si>
    <t>% service territorial Pièce gerées et non gèrées CAT</t>
  </si>
  <si>
    <t>Rotation stock CAT sur 12  mois glissants</t>
  </si>
  <si>
    <t>Efficacité stock global</t>
  </si>
  <si>
    <t>Rotation stock Global sur 12  mois glissants</t>
  </si>
  <si>
    <t>Ecart</t>
  </si>
  <si>
    <t>Objectif</t>
  </si>
  <si>
    <t>Realisation</t>
  </si>
  <si>
    <t>Bon</t>
  </si>
  <si>
    <t>Moyen</t>
  </si>
  <si>
    <t>Mauvais</t>
  </si>
  <si>
    <t>Vide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</si>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</sst>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8"/>
      <color indexed="81"/>
      <name val="Tahoma"/>
      <family val="2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  <font>
      <b/>
      <sz val="10"/>
      <color indexed="81"/>
      <name val="Tahoma"/>
      <family val="2"/>
    </font>
    <font>
      <sz val="11"/>
      <color indexed="81"/>
      <name val="Tahoma"/>
      <family val="2"/>
    </font>
    <font>
      <b/>
      <sz val="11"/>
      <color indexed="81"/>
      <name val="Tahoma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i/>
      <sz val="36"/>
      <color theme="0"/>
      <name val="Calibri"/>
      <family val="2"/>
      <scheme val="minor"/>
    </font>
    <font>
      <b/>
      <i/>
      <sz val="36"/>
      <color rgb="FFFFC000"/>
      <name val="Calibri"/>
      <family val="2"/>
      <scheme val="minor"/>
    </font>
    <font>
      <b/>
      <sz val="14"/>
      <color rgb="FF66FF33"/>
      <name val="Calibri"/>
      <family val="2"/>
      <scheme val="minor"/>
    </font>
    <font>
      <b/>
      <u/>
      <sz val="14"/>
      <color rgb="FF66FF33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gradientFill degree="90">
        <stop position="0">
          <color rgb="FFFFFFCC"/>
        </stop>
        <stop position="1">
          <color rgb="FF666633"/>
        </stop>
      </gradientFill>
    </fill>
    <fill>
      <patternFill patternType="solid">
        <fgColor rgb="FFCC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rgb="FF6AAEDC"/>
        </stop>
      </gradientFill>
    </fill>
    <fill>
      <patternFill patternType="solid">
        <fgColor theme="3" tint="0.39997558519241921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theme="4" tint="0.79998168889431442"/>
        <bgColor indexed="64"/>
      </patternFill>
    </fill>
    <fill>
      <gradientFill degree="135">
        <stop position="0">
          <color rgb="FF0070C0"/>
        </stop>
        <stop position="1">
          <color rgb="FF00B0F0"/>
        </stop>
      </gradientFill>
    </fill>
    <fill>
      <patternFill patternType="solid">
        <fgColor theme="0"/>
        <bgColor auto="1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81">
    <xf numFmtId="0" fontId="0" fillId="0" borderId="0" xfId="0"/>
    <xf numFmtId="0" fontId="4" fillId="0" borderId="0" xfId="0" applyFont="1"/>
    <xf numFmtId="0" fontId="0" fillId="0" borderId="0" xfId="0" applyAlignment="1"/>
    <xf numFmtId="0" fontId="0" fillId="0" borderId="0" xfId="0" applyAlignment="1">
      <alignment horizontal="right"/>
    </xf>
    <xf numFmtId="0" fontId="0" fillId="0" borderId="0" xfId="0" applyFill="1"/>
    <xf numFmtId="0" fontId="4" fillId="0" borderId="0" xfId="0" applyFont="1" applyFill="1"/>
    <xf numFmtId="0" fontId="0" fillId="0" borderId="0" xfId="0" applyFill="1"/>
    <xf numFmtId="0" fontId="0" fillId="0" borderId="3" xfId="0" applyFill="1" applyBorder="1"/>
    <xf numFmtId="0" fontId="0" fillId="0" borderId="0" xfId="0" applyFill="1" applyBorder="1"/>
    <xf numFmtId="0" fontId="0" fillId="0" borderId="0" xfId="0" applyFill="1" applyBorder="1" applyAlignment="1"/>
    <xf numFmtId="0" fontId="0" fillId="0" borderId="0" xfId="0" applyFill="1" applyBorder="1" applyAlignment="1">
      <alignment horizontal="right"/>
    </xf>
    <xf numFmtId="0" fontId="3" fillId="0" borderId="0" xfId="0" applyFont="1" applyFill="1" applyBorder="1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3" fontId="2" fillId="6" borderId="1" xfId="0" applyNumberFormat="1" applyFont="1" applyFill="1" applyBorder="1" applyAlignment="1">
      <alignment horizontal="center" vertical="center"/>
    </xf>
    <xf numFmtId="3" fontId="6" fillId="3" borderId="5" xfId="0" applyNumberFormat="1" applyFont="1" applyFill="1" applyBorder="1" applyAlignment="1">
      <alignment horizontal="center" vertical="center"/>
    </xf>
    <xf numFmtId="10" fontId="2" fillId="0" borderId="1" xfId="1" applyNumberFormat="1" applyFont="1" applyBorder="1" applyAlignment="1">
      <alignment horizontal="center" vertical="center"/>
    </xf>
    <xf numFmtId="10" fontId="6" fillId="3" borderId="5" xfId="1" applyNumberFormat="1" applyFont="1" applyFill="1" applyBorder="1" applyAlignment="1">
      <alignment horizontal="center" vertical="center"/>
    </xf>
    <xf numFmtId="3" fontId="2" fillId="7" borderId="1" xfId="1" applyNumberFormat="1" applyFont="1" applyFill="1" applyBorder="1" applyAlignment="1">
      <alignment horizontal="center" vertical="center"/>
    </xf>
    <xf numFmtId="3" fontId="6" fillId="3" borderId="5" xfId="1" applyNumberFormat="1" applyFont="1" applyFill="1" applyBorder="1" applyAlignment="1">
      <alignment horizontal="center" vertical="center"/>
    </xf>
    <xf numFmtId="3" fontId="2" fillId="8" borderId="1" xfId="0" applyNumberFormat="1" applyFont="1" applyFill="1" applyBorder="1" applyAlignment="1">
      <alignment horizontal="center" vertical="center"/>
    </xf>
    <xf numFmtId="10" fontId="2" fillId="9" borderId="1" xfId="1" applyNumberFormat="1" applyFont="1" applyFill="1" applyBorder="1" applyAlignment="1">
      <alignment horizontal="center" vertical="center"/>
    </xf>
    <xf numFmtId="10" fontId="2" fillId="6" borderId="1" xfId="1" applyNumberFormat="1" applyFont="1" applyFill="1" applyBorder="1" applyAlignment="1">
      <alignment horizontal="center" vertical="center"/>
    </xf>
    <xf numFmtId="10" fontId="2" fillId="8" borderId="1" xfId="1" applyNumberFormat="1" applyFont="1" applyFill="1" applyBorder="1" applyAlignment="1">
      <alignment horizontal="center" vertical="center"/>
    </xf>
    <xf numFmtId="10" fontId="2" fillId="0" borderId="1" xfId="1" applyNumberFormat="1" applyFont="1" applyFill="1" applyBorder="1" applyAlignment="1">
      <alignment horizontal="center" vertical="center"/>
    </xf>
    <xf numFmtId="3" fontId="2" fillId="7" borderId="1" xfId="0" applyNumberFormat="1" applyFont="1" applyFill="1" applyBorder="1" applyAlignment="1">
      <alignment horizontal="center" vertical="center"/>
    </xf>
    <xf numFmtId="10" fontId="2" fillId="7" borderId="1" xfId="1" applyNumberFormat="1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3" fontId="6" fillId="10" borderId="7" xfId="0" applyNumberFormat="1" applyFont="1" applyFill="1" applyBorder="1" applyAlignment="1">
      <alignment horizontal="center" vertical="center"/>
    </xf>
    <xf numFmtId="10" fontId="6" fillId="10" borderId="7" xfId="1" applyNumberFormat="1" applyFont="1" applyFill="1" applyBorder="1" applyAlignment="1">
      <alignment horizontal="center" vertical="center"/>
    </xf>
    <xf numFmtId="4" fontId="6" fillId="10" borderId="7" xfId="0" applyNumberFormat="1" applyFont="1" applyFill="1" applyBorder="1" applyAlignment="1">
      <alignment horizontal="center" vertical="center"/>
    </xf>
    <xf numFmtId="0" fontId="18" fillId="11" borderId="0" xfId="0" applyFont="1" applyFill="1" applyBorder="1" applyAlignment="1"/>
    <xf numFmtId="0" fontId="19" fillId="11" borderId="0" xfId="0" applyFont="1" applyFill="1" applyBorder="1" applyAlignment="1"/>
    <xf numFmtId="0" fontId="0" fillId="11" borderId="0" xfId="0" applyFill="1" applyAlignment="1">
      <alignment horizontal="right"/>
    </xf>
    <xf numFmtId="0" fontId="21" fillId="11" borderId="0" xfId="6" applyFont="1" applyFill="1"/>
    <xf numFmtId="0" fontId="0" fillId="11" borderId="0" xfId="0" applyFill="1"/>
    <xf numFmtId="0" fontId="2" fillId="13" borderId="1" xfId="0" applyFont="1" applyFill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1" fontId="2" fillId="0" borderId="1" xfId="1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vertical="center" wrapText="1"/>
    </xf>
    <xf numFmtId="4" fontId="2" fillId="7" borderId="1" xfId="0" applyNumberFormat="1" applyFont="1" applyFill="1" applyBorder="1" applyAlignment="1">
      <alignment horizontal="center" vertical="center"/>
    </xf>
    <xf numFmtId="4" fontId="2" fillId="6" borderId="1" xfId="0" applyNumberFormat="1" applyFont="1" applyFill="1" applyBorder="1" applyAlignment="1">
      <alignment horizontal="center" vertical="center"/>
    </xf>
    <xf numFmtId="9" fontId="3" fillId="0" borderId="0" xfId="0" applyNumberFormat="1" applyFont="1"/>
    <xf numFmtId="0" fontId="22" fillId="9" borderId="0" xfId="0" applyFont="1" applyFill="1" applyBorder="1" applyAlignment="1"/>
    <xf numFmtId="0" fontId="3" fillId="0" borderId="0" xfId="0" applyFont="1"/>
    <xf numFmtId="0" fontId="3" fillId="0" borderId="0" xfId="0" applyFont="1" applyFill="1"/>
    <xf numFmtId="0" fontId="24" fillId="0" borderId="0" xfId="0" applyFont="1" applyFill="1" applyBorder="1" applyAlignment="1">
      <alignment horizontal="center" vertical="center"/>
    </xf>
    <xf numFmtId="3" fontId="25" fillId="0" borderId="0" xfId="0" applyNumberFormat="1" applyFont="1" applyFill="1" applyBorder="1" applyAlignment="1">
      <alignment horizontal="center" vertical="center"/>
    </xf>
    <xf numFmtId="10" fontId="25" fillId="0" borderId="0" xfId="1" applyNumberFormat="1" applyFont="1" applyFill="1" applyBorder="1" applyAlignment="1">
      <alignment horizontal="center" vertical="center"/>
    </xf>
    <xf numFmtId="0" fontId="3" fillId="9" borderId="0" xfId="0" applyFont="1" applyFill="1"/>
    <xf numFmtId="0" fontId="3" fillId="9" borderId="0" xfId="0" applyFont="1" applyFill="1" applyBorder="1"/>
    <xf numFmtId="0" fontId="22" fillId="9" borderId="0" xfId="0" applyFont="1" applyFill="1" applyBorder="1" applyAlignment="1">
      <alignment horizontal="center" vertical="center"/>
    </xf>
    <xf numFmtId="0" fontId="22" fillId="15" borderId="0" xfId="0" applyFont="1" applyFill="1" applyBorder="1" applyAlignment="1">
      <alignment horizontal="center" vertical="center"/>
    </xf>
    <xf numFmtId="2" fontId="22" fillId="9" borderId="0" xfId="0" applyNumberFormat="1" applyFont="1" applyFill="1" applyBorder="1" applyAlignment="1"/>
    <xf numFmtId="9" fontId="22" fillId="9" borderId="0" xfId="1" applyFont="1" applyFill="1" applyBorder="1" applyAlignment="1"/>
    <xf numFmtId="4" fontId="22" fillId="9" borderId="0" xfId="0" applyNumberFormat="1" applyFont="1" applyFill="1" applyBorder="1" applyAlignment="1"/>
    <xf numFmtId="4" fontId="24" fillId="9" borderId="0" xfId="0" applyNumberFormat="1" applyFont="1" applyFill="1" applyBorder="1"/>
    <xf numFmtId="0" fontId="3" fillId="9" borderId="3" xfId="0" applyFont="1" applyFill="1" applyBorder="1"/>
    <xf numFmtId="0" fontId="3" fillId="9" borderId="0" xfId="0" applyFont="1" applyFill="1" applyAlignment="1"/>
    <xf numFmtId="0" fontId="3" fillId="9" borderId="0" xfId="0" applyFont="1" applyFill="1" applyAlignment="1">
      <alignment horizontal="right"/>
    </xf>
    <xf numFmtId="9" fontId="6" fillId="16" borderId="0" xfId="1" applyFont="1" applyFill="1" applyBorder="1" applyAlignment="1">
      <alignment horizontal="center" vertical="center"/>
    </xf>
    <xf numFmtId="0" fontId="22" fillId="15" borderId="0" xfId="0" applyFont="1" applyFill="1" applyBorder="1" applyAlignment="1">
      <alignment vertical="center"/>
    </xf>
    <xf numFmtId="0" fontId="22" fillId="15" borderId="0" xfId="0" applyFont="1" applyFill="1" applyBorder="1" applyAlignment="1">
      <alignment horizontal="right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23" fillId="14" borderId="1" xfId="0" applyFont="1" applyFill="1" applyBorder="1" applyAlignment="1">
      <alignment horizontal="center"/>
    </xf>
    <xf numFmtId="0" fontId="23" fillId="14" borderId="2" xfId="0" applyFont="1" applyFill="1" applyBorder="1" applyAlignment="1">
      <alignment horizontal="center"/>
    </xf>
    <xf numFmtId="0" fontId="22" fillId="2" borderId="1" xfId="0" applyFont="1" applyFill="1" applyBorder="1" applyAlignment="1" applyProtection="1">
      <alignment horizontal="center"/>
      <protection locked="0"/>
    </xf>
    <xf numFmtId="0" fontId="5" fillId="4" borderId="7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 wrapText="1"/>
    </xf>
    <xf numFmtId="0" fontId="5" fillId="12" borderId="6" xfId="0" applyFont="1" applyFill="1" applyBorder="1" applyAlignment="1">
      <alignment horizontal="center" vertical="center" wrapText="1"/>
    </xf>
    <xf numFmtId="0" fontId="5" fillId="12" borderId="7" xfId="0" applyFont="1" applyFill="1" applyBorder="1" applyAlignment="1">
      <alignment horizontal="center" vertical="center" wrapText="1"/>
    </xf>
    <xf numFmtId="0" fontId="20" fillId="11" borderId="0" xfId="0" applyFont="1" applyFill="1" applyAlignment="1">
      <alignment horizontal="right"/>
    </xf>
    <xf numFmtId="0" fontId="5" fillId="12" borderId="1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12" borderId="6" xfId="0" applyFont="1" applyFill="1" applyBorder="1" applyAlignment="1">
      <alignment horizontal="center" vertical="center"/>
    </xf>
    <xf numFmtId="0" fontId="5" fillId="12" borderId="7" xfId="0" applyFont="1" applyFill="1" applyBorder="1" applyAlignment="1">
      <alignment horizontal="center" vertical="center"/>
    </xf>
    <xf numFmtId="0" fontId="6" fillId="12" borderId="1" xfId="0" applyFont="1" applyFill="1" applyBorder="1" applyAlignment="1">
      <alignment horizontal="center" vertical="center" wrapText="1"/>
    </xf>
  </cellXfs>
  <cellStyles count="7">
    <cellStyle name="Lien hypertexte" xfId="6" builtinId="8"/>
    <cellStyle name="Normal" xfId="0" builtinId="0"/>
    <cellStyle name="Normal 2" xfId="2"/>
    <cellStyle name="Normal 3" xfId="3"/>
    <cellStyle name="Pourcentage" xfId="1" builtinId="5"/>
    <cellStyle name="Pourcentage 2" xfId="4"/>
    <cellStyle name="Pourcentage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>
              <a:gsLst>
                <a:gs pos="0">
                  <a:srgbClr val="0070C0"/>
                </a:gs>
                <a:gs pos="100000">
                  <a:srgbClr val="00B0F0"/>
                </a:gs>
              </a:gsLst>
              <a:lin ang="5400000" scaled="0"/>
            </a:gradFill>
            <a:ln>
              <a:solidFill>
                <a:schemeClr val="bg1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'2020'!$C$31:$N$31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'2020'!$C$32:$N$32</c:f>
              <c:numCache>
                <c:formatCode>0.00</c:formatCode>
                <c:ptCount val="12"/>
                <c:pt idx="0">
                  <c:v>0.35709999999999997</c:v>
                </c:pt>
                <c:pt idx="1">
                  <c:v>0.34739999999999999</c:v>
                </c:pt>
                <c:pt idx="2">
                  <c:v>0.37309999999999999</c:v>
                </c:pt>
                <c:pt idx="3">
                  <c:v>0.37159999999999999</c:v>
                </c:pt>
                <c:pt idx="4">
                  <c:v>0.35589999999999999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"/>
        <c:axId val="546562272"/>
        <c:axId val="546561880"/>
      </c:barChart>
      <c:catAx>
        <c:axId val="54656227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  <c:crossAx val="546561880"/>
        <c:crosses val="autoZero"/>
        <c:auto val="1"/>
        <c:lblAlgn val="ctr"/>
        <c:lblOffset val="100"/>
        <c:noMultiLvlLbl val="0"/>
      </c:catAx>
      <c:valAx>
        <c:axId val="546561880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  <c:crossAx val="546562272"/>
        <c:crosses val="autoZero"/>
        <c:crossBetween val="between"/>
      </c:valAx>
      <c:spPr>
        <a:noFill/>
        <a:ln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7"/>
    </mc:Choice>
    <mc:Fallback>
      <c:style val="47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"/>
          <c:y val="0.10185185185185185"/>
          <c:w val="0.53888888888888886"/>
          <c:h val="0.89814814814814814"/>
        </c:manualLayout>
      </c:layout>
      <c:doughnutChart>
        <c:varyColors val="1"/>
        <c:ser>
          <c:idx val="0"/>
          <c:order val="0"/>
          <c:dPt>
            <c:idx val="1"/>
            <c:bubble3D val="0"/>
            <c:spPr>
              <a:noFill/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val>
            <c:numRef>
              <c:f>'2020'!$O$5:$O$6</c:f>
              <c:numCache>
                <c:formatCode>0%</c:formatCode>
                <c:ptCount val="2"/>
                <c:pt idx="0">
                  <c:v>0.4</c:v>
                </c:pt>
                <c:pt idx="1">
                  <c:v>0.6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110"/>
        <c:holeSize val="50"/>
      </c:doughnutChart>
    </c:plotArea>
    <c:plotVisOnly val="1"/>
    <c:dispBlanksAs val="gap"/>
    <c:showDLblsOverMax val="0"/>
  </c:chart>
  <c:spPr>
    <a:noFill/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62000">
                    <a:schemeClr val="accent1">
                      <a:shade val="93000"/>
                      <a:satMod val="130000"/>
                    </a:schemeClr>
                  </a:gs>
                  <a:gs pos="63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54000">
                    <a:schemeClr val="accent5">
                      <a:shade val="93000"/>
                      <a:satMod val="130000"/>
                    </a:schemeClr>
                  </a:gs>
                  <a:gs pos="53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flat" cmpd="sng" algn="ctr">
                <a:solidFill>
                  <a:schemeClr val="accent5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62000">
                    <a:schemeClr val="accent3">
                      <a:shade val="93000"/>
                      <a:satMod val="130000"/>
                    </a:schemeClr>
                  </a:gs>
                  <a:gs pos="6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flat" cmpd="sng" algn="ctr">
                <a:solidFill>
                  <a:schemeClr val="accent3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dPt>
          <c:dPt>
            <c:idx val="3"/>
            <c:bubble3D val="0"/>
            <c:spPr>
              <a:noFill/>
              <a:ln>
                <a:noFill/>
              </a:ln>
            </c:spPr>
          </c:dPt>
          <c:cat>
            <c:strRef>
              <c:f>'2020'!$W$23:$W$26</c:f>
              <c:strCache>
                <c:ptCount val="4"/>
                <c:pt idx="0">
                  <c:v>Bon</c:v>
                </c:pt>
                <c:pt idx="1">
                  <c:v>Moyen</c:v>
                </c:pt>
                <c:pt idx="2">
                  <c:v>Mauvais</c:v>
                </c:pt>
                <c:pt idx="3">
                  <c:v>Vide</c:v>
                </c:pt>
              </c:strCache>
            </c:strRef>
          </c:cat>
          <c:val>
            <c:numRef>
              <c:f>'2020'!$X$23:$X$26</c:f>
              <c:numCache>
                <c:formatCode>0%</c:formatCode>
                <c:ptCount val="4"/>
                <c:pt idx="0">
                  <c:v>0.33</c:v>
                </c:pt>
                <c:pt idx="1">
                  <c:v>0.33</c:v>
                </c:pt>
                <c:pt idx="2">
                  <c:v>0.33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tx>
            <c:strRef>
              <c:f>'2020'!$W$28:$W$28</c:f>
              <c:strCache>
                <c:ptCount val="1"/>
                <c:pt idx="0">
                  <c:v>Valeur</c:v>
                </c:pt>
              </c:strCache>
            </c:strRef>
          </c:tx>
          <c:spPr>
            <a:noFill/>
            <a:ln>
              <a:noFill/>
            </a:ln>
          </c:spPr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1"/>
              <c:layout>
                <c:manualLayout>
                  <c:x val="-5.3917733324467781E-2"/>
                  <c:y val="-0.11972790825831173"/>
                </c:manualLayout>
              </c:layout>
              <c:tx>
                <c:strRef>
                  <c:f>'2020'!$Q$23</c:f>
                  <c:strCache>
                    <c:ptCount val="1"/>
                    <c:pt idx="0">
                      <c:v>42%</c:v>
                    </c:pt>
                  </c:strCache>
                </c:strRef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{D71F188E-A0AA-40EF-A748-F400CBE1B7DB}</c15:txfldGUID>
                      <c15:f>'2020'!$Q$23</c15:f>
                      <c15:dlblFieldTableCache>
                        <c:ptCount val="1"/>
                        <c:pt idx="0">
                          <c:v>42%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2400"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'2020'!$X$28:$X$28</c:f>
              <c:numCache>
                <c:formatCode>0%</c:formatCode>
                <c:ptCount val="1"/>
                <c:pt idx="0">
                  <c:v>0.42380543785714286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jpeg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20</xdr:row>
      <xdr:rowOff>1</xdr:rowOff>
    </xdr:from>
    <xdr:to>
      <xdr:col>1</xdr:col>
      <xdr:colOff>1583531</xdr:colOff>
      <xdr:row>24</xdr:row>
      <xdr:rowOff>214312</xdr:rowOff>
    </xdr:to>
    <xdr:pic>
      <xdr:nvPicPr>
        <xdr:cNvPr id="2" name="Image 1">
          <a:extLst>
            <a:ext uri="{FF2B5EF4-FFF2-40B4-BE49-F238E27FC236}"/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839451"/>
          <a:ext cx="2745581" cy="1243011"/>
        </a:xfrm>
        <a:prstGeom prst="rect">
          <a:avLst/>
        </a:prstGeom>
        <a:effectLst>
          <a:softEdge rad="635000"/>
        </a:effectLst>
      </xdr:spPr>
    </xdr:pic>
    <xdr:clientData/>
  </xdr:twoCellAnchor>
  <xdr:twoCellAnchor>
    <xdr:from>
      <xdr:col>0</xdr:col>
      <xdr:colOff>59532</xdr:colOff>
      <xdr:row>0</xdr:row>
      <xdr:rowOff>0</xdr:rowOff>
    </xdr:from>
    <xdr:to>
      <xdr:col>14</xdr:col>
      <xdr:colOff>107157</xdr:colOff>
      <xdr:row>22</xdr:row>
      <xdr:rowOff>130969</xdr:rowOff>
    </xdr:to>
    <xdr:grpSp>
      <xdr:nvGrpSpPr>
        <xdr:cNvPr id="19" name="Groupe 18"/>
        <xdr:cNvGrpSpPr/>
      </xdr:nvGrpSpPr>
      <xdr:grpSpPr>
        <a:xfrm>
          <a:off x="59532" y="0"/>
          <a:ext cx="16478250" cy="6607969"/>
          <a:chOff x="0" y="11906"/>
          <a:chExt cx="16525875" cy="6858000"/>
        </a:xfrm>
      </xdr:grpSpPr>
      <xdr:grpSp>
        <xdr:nvGrpSpPr>
          <xdr:cNvPr id="17" name="Groupe 16"/>
          <xdr:cNvGrpSpPr/>
        </xdr:nvGrpSpPr>
        <xdr:grpSpPr>
          <a:xfrm>
            <a:off x="0" y="11906"/>
            <a:ext cx="16525875" cy="5845968"/>
            <a:chOff x="0" y="500064"/>
            <a:chExt cx="16085342" cy="5845968"/>
          </a:xfrm>
        </xdr:grpSpPr>
        <xdr:grpSp>
          <xdr:nvGrpSpPr>
            <xdr:cNvPr id="10" name="Groupe 9"/>
            <xdr:cNvGrpSpPr/>
          </xdr:nvGrpSpPr>
          <xdr:grpSpPr>
            <a:xfrm>
              <a:off x="0" y="801291"/>
              <a:ext cx="16085342" cy="5544741"/>
              <a:chOff x="321469" y="1134665"/>
              <a:chExt cx="16085342" cy="5544741"/>
            </a:xfrm>
          </xdr:grpSpPr>
          <xdr:sp macro="" textlink="">
            <xdr:nvSpPr>
              <xdr:cNvPr id="16" name="Rectangle 15"/>
              <xdr:cNvSpPr/>
            </xdr:nvSpPr>
            <xdr:spPr>
              <a:xfrm>
                <a:off x="321469" y="1369219"/>
                <a:ext cx="15478125" cy="5298281"/>
              </a:xfrm>
              <a:prstGeom prst="rect">
                <a:avLst/>
              </a:prstGeom>
              <a:gradFill>
                <a:gsLst>
                  <a:gs pos="28000">
                    <a:srgbClr val="0070C0"/>
                  </a:gs>
                  <a:gs pos="55000">
                    <a:schemeClr val="bg1">
                      <a:lumMod val="85000"/>
                    </a:schemeClr>
                  </a:gs>
                  <a:gs pos="78000">
                    <a:srgbClr val="00B0F0"/>
                  </a:gs>
                </a:gsLst>
                <a:lin ang="4500000" scaled="0"/>
              </a:gradFill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  <xdr:grpSp>
            <xdr:nvGrpSpPr>
              <xdr:cNvPr id="6" name="Groupe 5"/>
              <xdr:cNvGrpSpPr/>
            </xdr:nvGrpSpPr>
            <xdr:grpSpPr>
              <a:xfrm>
                <a:off x="357188" y="1375172"/>
                <a:ext cx="2488406" cy="1809750"/>
                <a:chOff x="357188" y="1381125"/>
                <a:chExt cx="2250281" cy="1809750"/>
              </a:xfrm>
              <a:solidFill>
                <a:schemeClr val="tx1">
                  <a:lumMod val="65000"/>
                  <a:lumOff val="35000"/>
                  <a:alpha val="60000"/>
                </a:schemeClr>
              </a:solidFill>
            </xdr:grpSpPr>
            <xdr:sp macro="" textlink="">
              <xdr:nvSpPr>
                <xdr:cNvPr id="3" name="Rectangle 2"/>
                <xdr:cNvSpPr/>
              </xdr:nvSpPr>
              <xdr:spPr>
                <a:xfrm>
                  <a:off x="357188" y="1381125"/>
                  <a:ext cx="2250281" cy="1809750"/>
                </a:xfrm>
                <a:prstGeom prst="rect">
                  <a:avLst/>
                </a:prstGeom>
                <a:grp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fr-FR" sz="1100"/>
                </a:p>
              </xdr:txBody>
            </xdr:sp>
            <xdr:sp macro="" textlink="$R$32">
              <xdr:nvSpPr>
                <xdr:cNvPr id="4" name="ZoneTexte 3"/>
                <xdr:cNvSpPr txBox="1"/>
              </xdr:nvSpPr>
              <xdr:spPr>
                <a:xfrm>
                  <a:off x="540288" y="1569823"/>
                  <a:ext cx="1800000" cy="595313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fld id="{55465DE4-5CFE-4DF7-B7B5-24E26A737B6B}" type="TxLink">
                    <a:rPr lang="en-US" sz="3200" b="1" i="0" u="none" strike="noStrike">
                      <a:solidFill>
                        <a:schemeClr val="bg1"/>
                      </a:solidFill>
                      <a:latin typeface="Calibri"/>
                    </a:rPr>
                    <a:pPr algn="ctr"/>
                    <a:t>Mars</a:t>
                  </a:fld>
                  <a:endParaRPr lang="fr-FR" sz="3200" b="1">
                    <a:solidFill>
                      <a:schemeClr val="bg1"/>
                    </a:solidFill>
                  </a:endParaRPr>
                </a:p>
              </xdr:txBody>
            </xdr:sp>
            <xdr:sp macro="" textlink="$V$32">
              <xdr:nvSpPr>
                <xdr:cNvPr id="5" name="ZoneTexte 4"/>
                <xdr:cNvSpPr txBox="1"/>
              </xdr:nvSpPr>
              <xdr:spPr>
                <a:xfrm>
                  <a:off x="582328" y="2345532"/>
                  <a:ext cx="1800000" cy="595313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fld id="{CC541CBA-FD6E-45E5-9C96-47F71DE0E8B1}" type="TxLink">
                    <a:rPr lang="en-US" sz="2000" b="1" i="0" u="none" strike="noStrike">
                      <a:solidFill>
                        <a:schemeClr val="bg1"/>
                      </a:solidFill>
                      <a:latin typeface="Calibri"/>
                    </a:rPr>
                    <a:pPr algn="ctr"/>
                    <a:t>0,37</a:t>
                  </a:fld>
                  <a:endParaRPr lang="fr-FR" sz="2000" b="1">
                    <a:solidFill>
                      <a:schemeClr val="bg1"/>
                    </a:solidFill>
                  </a:endParaRPr>
                </a:p>
              </xdr:txBody>
            </xdr:sp>
          </xdr:grpSp>
          <xdr:grpSp>
            <xdr:nvGrpSpPr>
              <xdr:cNvPr id="25" name="Groupe 24"/>
              <xdr:cNvGrpSpPr/>
            </xdr:nvGrpSpPr>
            <xdr:grpSpPr>
              <a:xfrm>
                <a:off x="3008313" y="1375172"/>
                <a:ext cx="2488406" cy="1809750"/>
                <a:chOff x="357188" y="1381125"/>
                <a:chExt cx="2250281" cy="1809750"/>
              </a:xfrm>
            </xdr:grpSpPr>
            <xdr:sp macro="" textlink="">
              <xdr:nvSpPr>
                <xdr:cNvPr id="26" name="Rectangle 25"/>
                <xdr:cNvSpPr/>
              </xdr:nvSpPr>
              <xdr:spPr>
                <a:xfrm>
                  <a:off x="357188" y="1381125"/>
                  <a:ext cx="2250281" cy="1809750"/>
                </a:xfrm>
                <a:prstGeom prst="rect">
                  <a:avLst/>
                </a:prstGeom>
                <a:solidFill>
                  <a:schemeClr val="bg2">
                    <a:lumMod val="25000"/>
                    <a:alpha val="60000"/>
                  </a:schemeClr>
                </a:solidFill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fr-FR" sz="1100"/>
                </a:p>
              </xdr:txBody>
            </xdr:sp>
            <xdr:sp macro="" textlink="$T$32">
              <xdr:nvSpPr>
                <xdr:cNvPr id="27" name="ZoneTexte 26"/>
                <xdr:cNvSpPr txBox="1"/>
              </xdr:nvSpPr>
              <xdr:spPr>
                <a:xfrm>
                  <a:off x="582328" y="1619250"/>
                  <a:ext cx="1800000" cy="595313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fld id="{F4F1A93D-724B-4328-8EBC-D68D865BB412}" type="TxLink">
                    <a:rPr lang="en-US" sz="3200" b="1" i="0" u="none" strike="noStrike">
                      <a:solidFill>
                        <a:schemeClr val="bg1"/>
                      </a:solidFill>
                      <a:latin typeface="Calibri"/>
                    </a:rPr>
                    <a:pPr algn="ctr"/>
                    <a:t>Février</a:t>
                  </a:fld>
                  <a:endParaRPr lang="fr-FR" sz="3200" b="1">
                    <a:solidFill>
                      <a:schemeClr val="bg1"/>
                    </a:solidFill>
                  </a:endParaRPr>
                </a:p>
              </xdr:txBody>
            </xdr:sp>
            <xdr:sp macro="" textlink="$S$32">
              <xdr:nvSpPr>
                <xdr:cNvPr id="28" name="ZoneTexte 27"/>
                <xdr:cNvSpPr txBox="1"/>
              </xdr:nvSpPr>
              <xdr:spPr>
                <a:xfrm>
                  <a:off x="582328" y="2345532"/>
                  <a:ext cx="1800000" cy="595313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fld id="{3F3FF527-6EFE-41F1-9B58-3AD4393A03E4}" type="TxLink">
                    <a:rPr lang="en-US" sz="2000" b="1" i="0" u="none" strike="noStrike">
                      <a:solidFill>
                        <a:schemeClr val="bg1"/>
                      </a:solidFill>
                      <a:latin typeface="Calibri"/>
                    </a:rPr>
                    <a:pPr algn="ctr"/>
                    <a:t>0,35</a:t>
                  </a:fld>
                  <a:endParaRPr lang="fr-FR" sz="2000" b="1">
                    <a:solidFill>
                      <a:schemeClr val="bg1"/>
                    </a:solidFill>
                  </a:endParaRPr>
                </a:p>
              </xdr:txBody>
            </xdr:sp>
          </xdr:grpSp>
          <xdr:grpSp>
            <xdr:nvGrpSpPr>
              <xdr:cNvPr id="29" name="Groupe 28"/>
              <xdr:cNvGrpSpPr/>
            </xdr:nvGrpSpPr>
            <xdr:grpSpPr>
              <a:xfrm>
                <a:off x="5659438" y="1375172"/>
                <a:ext cx="2488406" cy="1809750"/>
                <a:chOff x="357188" y="1381125"/>
                <a:chExt cx="2250281" cy="1809750"/>
              </a:xfrm>
              <a:solidFill>
                <a:schemeClr val="accent1"/>
              </a:solidFill>
            </xdr:grpSpPr>
            <xdr:sp macro="" textlink="">
              <xdr:nvSpPr>
                <xdr:cNvPr id="30" name="Rectangle 29"/>
                <xdr:cNvSpPr/>
              </xdr:nvSpPr>
              <xdr:spPr>
                <a:xfrm>
                  <a:off x="357188" y="1381125"/>
                  <a:ext cx="2250281" cy="1809750"/>
                </a:xfrm>
                <a:prstGeom prst="rect">
                  <a:avLst/>
                </a:prstGeom>
                <a:solidFill>
                  <a:schemeClr val="bg2">
                    <a:lumMod val="50000"/>
                    <a:alpha val="60000"/>
                  </a:schemeClr>
                </a:solidFill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fr-FR" sz="1100"/>
                </a:p>
              </xdr:txBody>
            </xdr:sp>
            <xdr:sp macro="" textlink="">
              <xdr:nvSpPr>
                <xdr:cNvPr id="31" name="ZoneTexte 30"/>
                <xdr:cNvSpPr txBox="1"/>
              </xdr:nvSpPr>
              <xdr:spPr>
                <a:xfrm>
                  <a:off x="582328" y="1619250"/>
                  <a:ext cx="1800000" cy="595313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r>
                    <a:rPr lang="en-US" sz="3200" b="1" i="0" u="none" strike="noStrike">
                      <a:solidFill>
                        <a:schemeClr val="bg1"/>
                      </a:solidFill>
                      <a:latin typeface="Calibri"/>
                    </a:rPr>
                    <a:t>ECART</a:t>
                  </a:r>
                </a:p>
              </xdr:txBody>
            </xdr:sp>
            <xdr:sp macro="" textlink="$U$32">
              <xdr:nvSpPr>
                <xdr:cNvPr id="32" name="ZoneTexte 31"/>
                <xdr:cNvSpPr txBox="1"/>
              </xdr:nvSpPr>
              <xdr:spPr>
                <a:xfrm>
                  <a:off x="582328" y="2345532"/>
                  <a:ext cx="1800000" cy="595313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fld id="{FC830037-A250-47AF-B6B5-AAC0426CDD3F}" type="TxLink">
                    <a:rPr lang="en-US" sz="2000" b="1" i="0" u="none" strike="noStrike">
                      <a:solidFill>
                        <a:schemeClr val="bg1"/>
                      </a:solidFill>
                      <a:latin typeface="Calibri"/>
                    </a:rPr>
                    <a:pPr algn="ctr"/>
                    <a:t>0,03</a:t>
                  </a:fld>
                  <a:endParaRPr lang="fr-FR" sz="2000" b="1">
                    <a:solidFill>
                      <a:schemeClr val="bg1"/>
                    </a:solidFill>
                  </a:endParaRPr>
                </a:p>
              </xdr:txBody>
            </xdr:sp>
          </xdr:grpSp>
          <xdr:grpSp>
            <xdr:nvGrpSpPr>
              <xdr:cNvPr id="33" name="Groupe 32"/>
              <xdr:cNvGrpSpPr/>
            </xdr:nvGrpSpPr>
            <xdr:grpSpPr>
              <a:xfrm>
                <a:off x="8286752" y="1363266"/>
                <a:ext cx="2488406" cy="1809750"/>
                <a:chOff x="324888" y="1297782"/>
                <a:chExt cx="2250281" cy="1809750"/>
              </a:xfrm>
              <a:effectLst/>
            </xdr:grpSpPr>
            <xdr:sp macro="" textlink="">
              <xdr:nvSpPr>
                <xdr:cNvPr id="34" name="Rectangle 33"/>
                <xdr:cNvSpPr/>
              </xdr:nvSpPr>
              <xdr:spPr>
                <a:xfrm>
                  <a:off x="324888" y="1297782"/>
                  <a:ext cx="2250281" cy="1809750"/>
                </a:xfrm>
                <a:prstGeom prst="rect">
                  <a:avLst/>
                </a:prstGeom>
                <a:solidFill>
                  <a:schemeClr val="accent1">
                    <a:lumMod val="50000"/>
                    <a:alpha val="60000"/>
                  </a:schemeClr>
                </a:solidFill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fr-FR" sz="1100"/>
                </a:p>
              </xdr:txBody>
            </xdr:sp>
            <xdr:sp macro="" textlink="">
              <xdr:nvSpPr>
                <xdr:cNvPr id="35" name="ZoneTexte 34"/>
                <xdr:cNvSpPr txBox="1"/>
              </xdr:nvSpPr>
              <xdr:spPr>
                <a:xfrm>
                  <a:off x="582328" y="1619250"/>
                  <a:ext cx="1800000" cy="595313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r>
                    <a:rPr lang="en-US" sz="3200" b="1" i="0" u="none" strike="noStrike">
                      <a:solidFill>
                        <a:schemeClr val="bg1"/>
                      </a:solidFill>
                      <a:latin typeface="Calibri"/>
                    </a:rPr>
                    <a:t>RESULTAT</a:t>
                  </a:r>
                </a:p>
              </xdr:txBody>
            </xdr:sp>
            <xdr:sp macro="" textlink="$O$32">
              <xdr:nvSpPr>
                <xdr:cNvPr id="36" name="ZoneTexte 35"/>
                <xdr:cNvSpPr txBox="1"/>
              </xdr:nvSpPr>
              <xdr:spPr>
                <a:xfrm>
                  <a:off x="582328" y="2345532"/>
                  <a:ext cx="1800000" cy="595313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fld id="{66173287-5905-4B0A-AB03-303FF4D53D37}" type="TxLink">
                    <a:rPr lang="en-US" sz="2000" b="1" i="0" u="none" strike="noStrike">
                      <a:solidFill>
                        <a:schemeClr val="bg1"/>
                      </a:solidFill>
                      <a:latin typeface="Calibri"/>
                    </a:rPr>
                    <a:pPr algn="ctr"/>
                    <a:t>0,36</a:t>
                  </a:fld>
                  <a:endParaRPr lang="en-US" sz="2000" b="1" i="0" u="none" strike="noStrike">
                    <a:solidFill>
                      <a:schemeClr val="bg1"/>
                    </a:solidFill>
                    <a:latin typeface="Calibri"/>
                  </a:endParaRPr>
                </a:p>
              </xdr:txBody>
            </xdr:sp>
          </xdr:grpSp>
          <xdr:grpSp>
            <xdr:nvGrpSpPr>
              <xdr:cNvPr id="41" name="Groupe 40"/>
              <xdr:cNvGrpSpPr/>
            </xdr:nvGrpSpPr>
            <xdr:grpSpPr>
              <a:xfrm>
                <a:off x="333375" y="3309938"/>
                <a:ext cx="10541194" cy="3369468"/>
                <a:chOff x="333375" y="3309938"/>
                <a:chExt cx="10541194" cy="3369468"/>
              </a:xfrm>
              <a:solidFill>
                <a:schemeClr val="bg2">
                  <a:lumMod val="75000"/>
                  <a:alpha val="60000"/>
                </a:schemeClr>
              </a:solidFill>
            </xdr:grpSpPr>
            <xdr:sp macro="" textlink="">
              <xdr:nvSpPr>
                <xdr:cNvPr id="37" name="Rectangle 36"/>
                <xdr:cNvSpPr/>
              </xdr:nvSpPr>
              <xdr:spPr>
                <a:xfrm>
                  <a:off x="333375" y="3309938"/>
                  <a:ext cx="10441781" cy="3369468"/>
                </a:xfrm>
                <a:prstGeom prst="rect">
                  <a:avLst/>
                </a:prstGeom>
                <a:solidFill>
                  <a:schemeClr val="bg2">
                    <a:lumMod val="25000"/>
                    <a:alpha val="60000"/>
                  </a:schemeClr>
                </a:solidFill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fr-FR" sz="1100"/>
                </a:p>
              </xdr:txBody>
            </xdr:sp>
            <xdr:graphicFrame macro="">
              <xdr:nvGraphicFramePr>
                <xdr:cNvPr id="39" name="Graphique 38"/>
                <xdr:cNvGraphicFramePr>
                  <a:graphicFrameLocks/>
                </xdr:cNvGraphicFramePr>
              </xdr:nvGraphicFramePr>
              <xdr:xfrm>
                <a:off x="2053199" y="3369469"/>
                <a:ext cx="8821370" cy="3274219"/>
              </xdr:xfrm>
              <a:graphic>
                <a:graphicData uri="http://schemas.openxmlformats.org/drawingml/2006/chart">
                  <c:chart xmlns:c="http://schemas.openxmlformats.org/drawingml/2006/chart" xmlns:r="http://schemas.openxmlformats.org/officeDocument/2006/relationships" r:id="rId2"/>
                </a:graphicData>
              </a:graphic>
            </xdr:graphicFrame>
            <xdr:sp macro="" textlink="$F$30">
              <xdr:nvSpPr>
                <xdr:cNvPr id="40" name="Rectangle 39"/>
                <xdr:cNvSpPr/>
              </xdr:nvSpPr>
              <xdr:spPr>
                <a:xfrm>
                  <a:off x="333376" y="3500438"/>
                  <a:ext cx="1754691" cy="295275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fld id="{EE7C35C9-D921-4B90-896A-E9B4E5F65B66}" type="TxLink">
                    <a:rPr lang="en-US" sz="2000" b="1" i="0" u="none" strike="noStrike">
                      <a:solidFill>
                        <a:schemeClr val="bg1"/>
                      </a:solidFill>
                      <a:latin typeface="Calibri"/>
                    </a:rPr>
                    <a:pPr algn="l"/>
                    <a:t>PROGRESSION MENSUELLE :      MARGE</a:t>
                  </a:fld>
                  <a:endParaRPr lang="fr-FR" sz="2000">
                    <a:solidFill>
                      <a:schemeClr val="bg1"/>
                    </a:solidFill>
                  </a:endParaRPr>
                </a:p>
              </xdr:txBody>
            </xdr:sp>
          </xdr:grpSp>
          <xdr:grpSp>
            <xdr:nvGrpSpPr>
              <xdr:cNvPr id="14" name="Groupe 13"/>
              <xdr:cNvGrpSpPr/>
            </xdr:nvGrpSpPr>
            <xdr:grpSpPr>
              <a:xfrm>
                <a:off x="10977563" y="1134665"/>
                <a:ext cx="5429248" cy="2818210"/>
                <a:chOff x="10977563" y="1134665"/>
                <a:chExt cx="5429248" cy="2818210"/>
              </a:xfrm>
              <a:solidFill>
                <a:schemeClr val="accent1">
                  <a:alpha val="60000"/>
                </a:schemeClr>
              </a:solidFill>
            </xdr:grpSpPr>
            <xdr:grpSp>
              <xdr:nvGrpSpPr>
                <xdr:cNvPr id="13" name="Groupe 12"/>
                <xdr:cNvGrpSpPr/>
              </xdr:nvGrpSpPr>
              <xdr:grpSpPr>
                <a:xfrm>
                  <a:off x="10977563" y="1369220"/>
                  <a:ext cx="4798218" cy="2583655"/>
                  <a:chOff x="10977563" y="1369220"/>
                  <a:chExt cx="4798218" cy="2583655"/>
                </a:xfrm>
                <a:grpFill/>
              </xdr:grpSpPr>
              <xdr:grpSp>
                <xdr:nvGrpSpPr>
                  <xdr:cNvPr id="7" name="Groupe 6"/>
                  <xdr:cNvGrpSpPr/>
                </xdr:nvGrpSpPr>
                <xdr:grpSpPr>
                  <a:xfrm>
                    <a:off x="10977563" y="1369220"/>
                    <a:ext cx="4798218" cy="2583655"/>
                    <a:chOff x="10977563" y="1369220"/>
                    <a:chExt cx="4798218" cy="2583655"/>
                  </a:xfrm>
                  <a:grpFill/>
                </xdr:grpSpPr>
                <xdr:sp macro="" textlink="">
                  <xdr:nvSpPr>
                    <xdr:cNvPr id="42" name="Rectangle 41"/>
                    <xdr:cNvSpPr/>
                  </xdr:nvSpPr>
                  <xdr:spPr>
                    <a:xfrm>
                      <a:off x="10977563" y="1369220"/>
                      <a:ext cx="4798218" cy="2583655"/>
                    </a:xfrm>
                    <a:prstGeom prst="rect">
                      <a:avLst/>
                    </a:prstGeom>
                    <a:solidFill>
                      <a:schemeClr val="tx2">
                        <a:lumMod val="75000"/>
                        <a:alpha val="60000"/>
                      </a:schemeClr>
                    </a:solidFill>
                    <a:ln>
                      <a:noFill/>
                    </a:ln>
                  </xdr:spPr>
                  <xdr:style>
                    <a:lnRef idx="2">
                      <a:schemeClr val="accent1">
                        <a:shade val="50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vertOverflow="clip" horzOverflow="clip" rtlCol="0" anchor="t"/>
                    <a:lstStyle/>
                    <a:p>
                      <a:pPr algn="l"/>
                      <a:endParaRPr lang="fr-FR" sz="1100"/>
                    </a:p>
                  </xdr:txBody>
                </xdr:sp>
                <xdr:grpSp>
                  <xdr:nvGrpSpPr>
                    <xdr:cNvPr id="58" name="Groupe 57"/>
                    <xdr:cNvGrpSpPr/>
                  </xdr:nvGrpSpPr>
                  <xdr:grpSpPr>
                    <a:xfrm>
                      <a:off x="11001377" y="1476375"/>
                      <a:ext cx="1571623" cy="2428875"/>
                      <a:chOff x="11433573" y="2469358"/>
                      <a:chExt cx="1571623" cy="2428875"/>
                    </a:xfrm>
                    <a:grpFill/>
                  </xdr:grpSpPr>
                  <xdr:sp macro="" textlink="$Q$4">
                    <xdr:nvSpPr>
                      <xdr:cNvPr id="59" name="Rectangle 58"/>
                      <xdr:cNvSpPr/>
                    </xdr:nvSpPr>
                    <xdr:spPr>
                      <a:xfrm>
                        <a:off x="11457385" y="2469358"/>
                        <a:ext cx="1547811" cy="2405062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vertOverflow="clip" horzOverflow="clip" rtlCol="0" anchor="t"/>
                      <a:lstStyle/>
                      <a:p>
                        <a:pPr algn="l"/>
                        <a:fld id="{0345A7B7-936B-499C-9AB0-4FA2C58EEB07}" type="TxLink">
                          <a:rPr lang="en-US" sz="1600" b="1" i="0" u="none" strike="noStrike">
                            <a:solidFill>
                              <a:schemeClr val="bg1"/>
                            </a:solidFill>
                            <a:latin typeface="Calibri"/>
                          </a:rPr>
                          <a:pPr algn="l"/>
                          <a:t>TAUX DE REALISATION :      MARGE</a:t>
                        </a:fld>
                        <a:endParaRPr lang="fr-FR" sz="1600" b="1">
                          <a:solidFill>
                            <a:schemeClr val="bg1"/>
                          </a:solidFill>
                        </a:endParaRPr>
                      </a:p>
                    </xdr:txBody>
                  </xdr:sp>
                  <xdr:sp macro="" textlink="$Q$32">
                    <xdr:nvSpPr>
                      <xdr:cNvPr id="60" name="Rectangle 59"/>
                      <xdr:cNvSpPr/>
                    </xdr:nvSpPr>
                    <xdr:spPr>
                      <a:xfrm>
                        <a:off x="11433573" y="4622007"/>
                        <a:ext cx="1404936" cy="276226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vertOverflow="clip" horzOverflow="clip" rtlCol="0" anchor="t"/>
                      <a:lstStyle/>
                      <a:p>
                        <a:pPr algn="ctr"/>
                        <a:fld id="{4B7D54FD-D7DC-457A-95B7-C55C3BB1B07B}" type="TxLink">
                          <a:rPr lang="en-US" sz="1400" b="1" i="0" u="none" strike="noStrike">
                            <a:noFill/>
                            <a:latin typeface="Calibri"/>
                          </a:rPr>
                          <a:pPr algn="ctr"/>
                          <a:t>40%</a:t>
                        </a:fld>
                        <a:endParaRPr lang="fr-FR" sz="1100">
                          <a:noFill/>
                        </a:endParaRPr>
                      </a:p>
                    </xdr:txBody>
                  </xdr:sp>
                </xdr:grpSp>
              </xdr:grpSp>
              <xdr:sp macro="" textlink="$Q$32">
                <xdr:nvSpPr>
                  <xdr:cNvPr id="8" name="Rectangle 7"/>
                  <xdr:cNvSpPr/>
                </xdr:nvSpPr>
                <xdr:spPr>
                  <a:xfrm>
                    <a:off x="13537406" y="2452688"/>
                    <a:ext cx="952500" cy="619125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ctr"/>
                  <a:lstStyle/>
                  <a:p>
                    <a:pPr algn="ctr"/>
                    <a:fld id="{3C1ED6D2-6792-473E-8A52-C8673C5DA339}" type="TxLink">
                      <a:rPr lang="en-US" sz="3200" b="1" i="0" u="none" strike="noStrike">
                        <a:solidFill>
                          <a:schemeClr val="bg1"/>
                        </a:solidFill>
                        <a:latin typeface="Calibri"/>
                      </a:rPr>
                      <a:pPr algn="ctr"/>
                      <a:t>40%</a:t>
                    </a:fld>
                    <a:endParaRPr lang="fr-FR" sz="3200">
                      <a:solidFill>
                        <a:schemeClr val="bg1"/>
                      </a:solidFill>
                    </a:endParaRPr>
                  </a:p>
                </xdr:txBody>
              </xdr:sp>
            </xdr:grpSp>
            <xdr:graphicFrame macro="">
              <xdr:nvGraphicFramePr>
                <xdr:cNvPr id="11" name="Graphique 10"/>
                <xdr:cNvGraphicFramePr/>
              </xdr:nvGraphicFramePr>
              <xdr:xfrm>
                <a:off x="11834811" y="1134665"/>
                <a:ext cx="4572000" cy="2743200"/>
              </xdr:xfrm>
              <a:graphic>
                <a:graphicData uri="http://schemas.openxmlformats.org/drawingml/2006/chart">
                  <c:chart xmlns:c="http://schemas.openxmlformats.org/drawingml/2006/chart" xmlns:r="http://schemas.openxmlformats.org/officeDocument/2006/relationships" r:id="rId3"/>
                </a:graphicData>
              </a:graphic>
            </xdr:graphicFrame>
          </xdr:grpSp>
          <xdr:grpSp>
            <xdr:nvGrpSpPr>
              <xdr:cNvPr id="43" name="Groupe 42"/>
              <xdr:cNvGrpSpPr/>
            </xdr:nvGrpSpPr>
            <xdr:grpSpPr>
              <a:xfrm>
                <a:off x="11001375" y="4071938"/>
                <a:ext cx="4798218" cy="2595561"/>
                <a:chOff x="10977563" y="1357314"/>
                <a:chExt cx="4798218" cy="2595561"/>
              </a:xfrm>
              <a:solidFill>
                <a:schemeClr val="bg1">
                  <a:lumMod val="75000"/>
                  <a:alpha val="60000"/>
                </a:schemeClr>
              </a:solidFill>
            </xdr:grpSpPr>
            <xdr:sp macro="" textlink="">
              <xdr:nvSpPr>
                <xdr:cNvPr id="44" name="Rectangle 43"/>
                <xdr:cNvSpPr/>
              </xdr:nvSpPr>
              <xdr:spPr>
                <a:xfrm>
                  <a:off x="10977563" y="1369220"/>
                  <a:ext cx="4798218" cy="2583655"/>
                </a:xfrm>
                <a:prstGeom prst="rect">
                  <a:avLst/>
                </a:prstGeom>
                <a:solidFill>
                  <a:schemeClr val="bg2">
                    <a:lumMod val="25000"/>
                    <a:alpha val="60000"/>
                  </a:schemeClr>
                </a:solidFill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fr-FR" sz="1100"/>
                </a:p>
              </xdr:txBody>
            </xdr:sp>
            <xdr:sp macro="" textlink="">
              <xdr:nvSpPr>
                <xdr:cNvPr id="54" name="Rectangle 53"/>
                <xdr:cNvSpPr/>
              </xdr:nvSpPr>
              <xdr:spPr>
                <a:xfrm>
                  <a:off x="10989470" y="1357314"/>
                  <a:ext cx="2119312" cy="380999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r>
                    <a:rPr lang="fr-FR" sz="1800" b="1"/>
                    <a:t>KPI</a:t>
                  </a:r>
                  <a:r>
                    <a:rPr lang="fr-FR" sz="1800" b="1" baseline="0"/>
                    <a:t> GLOBAL SUR CA</a:t>
                  </a:r>
                  <a:endParaRPr lang="fr-FR" sz="1800" b="1"/>
                </a:p>
              </xdr:txBody>
            </xdr:sp>
          </xdr:grpSp>
        </xdr:grpSp>
        <xdr:sp macro="" textlink="">
          <xdr:nvSpPr>
            <xdr:cNvPr id="15" name="Rectangle 14"/>
            <xdr:cNvSpPr/>
          </xdr:nvSpPr>
          <xdr:spPr>
            <a:xfrm>
              <a:off x="4948446" y="500064"/>
              <a:ext cx="10529681" cy="547686"/>
            </a:xfrm>
            <a:prstGeom prst="rect">
              <a:avLst/>
            </a:prstGeom>
            <a:gradFill flip="none" rotWithShape="1">
              <a:gsLst>
                <a:gs pos="0">
                  <a:srgbClr val="00B0F0"/>
                </a:gs>
                <a:gs pos="31000">
                  <a:schemeClr val="accent1">
                    <a:tint val="44500"/>
                    <a:satMod val="160000"/>
                  </a:schemeClr>
                </a:gs>
                <a:gs pos="100000">
                  <a:srgbClr val="0070C0"/>
                </a:gs>
              </a:gsLst>
              <a:path path="circle">
                <a:fillToRect l="100000" t="100000"/>
              </a:path>
              <a:tileRect r="-100000" b="-100000"/>
            </a:gra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4000" b="1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 Black" panose="020B0A04020102020204" pitchFamily="34" charset="0"/>
                </a:rPr>
                <a:t>TABLEAU DE BORD</a:t>
              </a:r>
              <a:r>
                <a:rPr lang="fr-FR" sz="4000" b="1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 Black" panose="020B0A04020102020204" pitchFamily="34" charset="0"/>
                </a:rPr>
                <a:t> MPR 2020</a:t>
              </a:r>
              <a:endParaRPr lang="fr-FR" sz="4000" b="1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</a:endParaRPr>
            </a:p>
          </xdr:txBody>
        </xdr:sp>
      </xdr:grpSp>
      <xdr:graphicFrame macro="">
        <xdr:nvGraphicFramePr>
          <xdr:cNvPr id="9" name="Graphique 8"/>
          <xdr:cNvGraphicFramePr/>
        </xdr:nvGraphicFramePr>
        <xdr:xfrm>
          <a:off x="11376065" y="3595688"/>
          <a:ext cx="4513731" cy="3274218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sp macro="" textlink="">
        <xdr:nvSpPr>
          <xdr:cNvPr id="12" name="Ellipse 11"/>
          <xdr:cNvSpPr/>
        </xdr:nvSpPr>
        <xdr:spPr>
          <a:xfrm>
            <a:off x="13590118" y="5048249"/>
            <a:ext cx="195717" cy="178594"/>
          </a:xfrm>
          <a:prstGeom prst="ellipse">
            <a:avLst/>
          </a:prstGeom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LOGISTIQUE\ERIC\TABLEAU%20DE%20BOR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3"/>
      <sheetName val="2014 "/>
      <sheetName val="2015"/>
      <sheetName val="2016"/>
      <sheetName val="2017"/>
      <sheetName val="2018"/>
      <sheetName val="2019"/>
      <sheetName val="Feuil2"/>
      <sheetName val="SYNTHESE"/>
      <sheetName val="légende"/>
      <sheetName val="Feuil1"/>
    </sheetNames>
    <sheetDataSet>
      <sheetData sheetId="0">
        <row r="6">
          <cell r="C6">
            <v>919435816</v>
          </cell>
          <cell r="D6">
            <v>841743424</v>
          </cell>
          <cell r="E6">
            <v>1907812851</v>
          </cell>
          <cell r="F6">
            <v>952413982</v>
          </cell>
          <cell r="G6">
            <v>825335311</v>
          </cell>
          <cell r="H6">
            <v>857860299</v>
          </cell>
          <cell r="I6">
            <v>817203468</v>
          </cell>
          <cell r="J6">
            <v>910898951</v>
          </cell>
          <cell r="K6">
            <v>834336856</v>
          </cell>
          <cell r="L6">
            <v>1086060298</v>
          </cell>
          <cell r="M6">
            <v>941610145</v>
          </cell>
          <cell r="N6">
            <v>888246354</v>
          </cell>
        </row>
        <row r="7">
          <cell r="C7">
            <v>0.43169999999999997</v>
          </cell>
          <cell r="D7">
            <v>0.42599999999999999</v>
          </cell>
          <cell r="E7">
            <v>0.41760000000000003</v>
          </cell>
          <cell r="F7">
            <v>0.39129999999999998</v>
          </cell>
          <cell r="G7">
            <v>0.37369999999999998</v>
          </cell>
          <cell r="H7">
            <v>0.36830000000000002</v>
          </cell>
          <cell r="I7">
            <v>0.40860000000000002</v>
          </cell>
          <cell r="J7">
            <v>0.39169999999999999</v>
          </cell>
          <cell r="K7">
            <v>0.41139999999999999</v>
          </cell>
          <cell r="L7">
            <v>0.39450000000000002</v>
          </cell>
          <cell r="M7">
            <v>0.3866</v>
          </cell>
          <cell r="N7">
            <v>0.35239999999999999</v>
          </cell>
        </row>
        <row r="8">
          <cell r="C8">
            <v>0</v>
          </cell>
          <cell r="D8">
            <v>581</v>
          </cell>
          <cell r="E8">
            <v>3761</v>
          </cell>
          <cell r="F8">
            <v>2581</v>
          </cell>
          <cell r="G8">
            <v>4375</v>
          </cell>
          <cell r="H8">
            <v>3301</v>
          </cell>
          <cell r="I8">
            <v>287</v>
          </cell>
          <cell r="J8">
            <v>1364</v>
          </cell>
          <cell r="K8">
            <v>1764</v>
          </cell>
          <cell r="L8">
            <v>1680</v>
          </cell>
          <cell r="M8">
            <v>0</v>
          </cell>
          <cell r="N8">
            <v>11973</v>
          </cell>
        </row>
        <row r="9">
          <cell r="C9">
            <v>0</v>
          </cell>
          <cell r="D9">
            <v>4300000</v>
          </cell>
          <cell r="E9">
            <v>-2438000</v>
          </cell>
          <cell r="F9">
            <v>-1525000</v>
          </cell>
          <cell r="G9">
            <v>122745</v>
          </cell>
          <cell r="H9">
            <v>343500</v>
          </cell>
          <cell r="I9">
            <v>-216000</v>
          </cell>
          <cell r="J9">
            <v>-583000</v>
          </cell>
          <cell r="K9">
            <v>-2243000</v>
          </cell>
          <cell r="L9">
            <v>27000</v>
          </cell>
          <cell r="M9">
            <v>0</v>
          </cell>
          <cell r="N9">
            <v>-4422874</v>
          </cell>
        </row>
        <row r="10">
          <cell r="D10">
            <v>17335159</v>
          </cell>
          <cell r="E10">
            <v>13077593</v>
          </cell>
          <cell r="F10">
            <v>4408494</v>
          </cell>
          <cell r="G10">
            <v>3292798</v>
          </cell>
          <cell r="H10">
            <v>9990649</v>
          </cell>
          <cell r="I10">
            <v>9888127</v>
          </cell>
          <cell r="J10">
            <v>5677734</v>
          </cell>
          <cell r="K10">
            <v>5240974</v>
          </cell>
          <cell r="L10">
            <v>2023105</v>
          </cell>
          <cell r="M10">
            <v>9369420</v>
          </cell>
          <cell r="N10">
            <v>1612438</v>
          </cell>
        </row>
        <row r="11">
          <cell r="D11">
            <v>87085133</v>
          </cell>
          <cell r="E11">
            <v>86317177</v>
          </cell>
          <cell r="F11">
            <v>103604260</v>
          </cell>
          <cell r="G11">
            <v>83083234</v>
          </cell>
          <cell r="H11">
            <v>95216021</v>
          </cell>
          <cell r="I11">
            <v>79749492</v>
          </cell>
          <cell r="J11">
            <v>78732937</v>
          </cell>
          <cell r="K11">
            <v>102887791</v>
          </cell>
          <cell r="L11">
            <v>48377085</v>
          </cell>
          <cell r="M11">
            <v>59005647</v>
          </cell>
          <cell r="N11">
            <v>88010335</v>
          </cell>
        </row>
        <row r="12">
          <cell r="C12">
            <v>1687125555</v>
          </cell>
          <cell r="D12">
            <v>2084786164</v>
          </cell>
          <cell r="E12">
            <v>1676892022</v>
          </cell>
          <cell r="F12">
            <v>1788366485</v>
          </cell>
          <cell r="G12">
            <v>1778704631</v>
          </cell>
          <cell r="H12">
            <v>1918937949</v>
          </cell>
          <cell r="I12">
            <v>1828696217</v>
          </cell>
          <cell r="J12">
            <v>2053381040</v>
          </cell>
          <cell r="K12">
            <v>2100843779</v>
          </cell>
          <cell r="L12">
            <v>1972954840</v>
          </cell>
          <cell r="M12">
            <v>1756347718</v>
          </cell>
          <cell r="N12">
            <v>1798342328</v>
          </cell>
        </row>
        <row r="13">
          <cell r="C13">
            <v>25</v>
          </cell>
          <cell r="D13">
            <v>26</v>
          </cell>
          <cell r="E13">
            <v>33</v>
          </cell>
          <cell r="F13">
            <v>28</v>
          </cell>
          <cell r="G13">
            <v>24</v>
          </cell>
          <cell r="H13">
            <v>34</v>
          </cell>
          <cell r="I13">
            <v>32</v>
          </cell>
          <cell r="J13">
            <v>39</v>
          </cell>
          <cell r="K13">
            <v>65</v>
          </cell>
          <cell r="L13">
            <v>28</v>
          </cell>
          <cell r="M13">
            <v>54</v>
          </cell>
          <cell r="N13">
            <v>47</v>
          </cell>
        </row>
        <row r="14">
          <cell r="D14">
            <v>0.80249999999999999</v>
          </cell>
          <cell r="E14">
            <v>0.76690000000000003</v>
          </cell>
          <cell r="F14">
            <v>0.77649999999999997</v>
          </cell>
          <cell r="G14">
            <v>0.76929999999999998</v>
          </cell>
          <cell r="H14">
            <v>0.77700000000000002</v>
          </cell>
          <cell r="I14">
            <v>0.73650000000000004</v>
          </cell>
          <cell r="J14">
            <v>0.75960000000000005</v>
          </cell>
          <cell r="K14">
            <v>0.76139999999999997</v>
          </cell>
          <cell r="L14">
            <v>0.73440000000000005</v>
          </cell>
          <cell r="M14">
            <v>0.75270000000000004</v>
          </cell>
          <cell r="N14">
            <v>0.78590000000000004</v>
          </cell>
        </row>
        <row r="15">
          <cell r="C15">
            <v>5.64</v>
          </cell>
          <cell r="D15">
            <v>5.39</v>
          </cell>
          <cell r="E15">
            <v>4.95</v>
          </cell>
          <cell r="F15">
            <v>4.6500000000000004</v>
          </cell>
          <cell r="G15">
            <v>5.76</v>
          </cell>
          <cell r="H15">
            <v>4.71</v>
          </cell>
          <cell r="I15">
            <v>5.05</v>
          </cell>
          <cell r="J15">
            <v>5</v>
          </cell>
          <cell r="K15">
            <v>4.5999999999999996</v>
          </cell>
          <cell r="L15">
            <v>5.17</v>
          </cell>
          <cell r="M15">
            <v>4.92</v>
          </cell>
          <cell r="N15">
            <v>5.24</v>
          </cell>
        </row>
        <row r="16">
          <cell r="C16">
            <v>10.66</v>
          </cell>
          <cell r="D16">
            <v>10.77</v>
          </cell>
          <cell r="E16">
            <v>11.37</v>
          </cell>
          <cell r="F16">
            <v>10.45</v>
          </cell>
          <cell r="G16">
            <v>11.1</v>
          </cell>
          <cell r="H16">
            <v>12.1</v>
          </cell>
          <cell r="I16">
            <v>11.83</v>
          </cell>
          <cell r="J16">
            <v>12.06</v>
          </cell>
          <cell r="K16">
            <v>10.66</v>
          </cell>
          <cell r="L16">
            <v>10.66</v>
          </cell>
          <cell r="M16">
            <v>7.6</v>
          </cell>
          <cell r="N16">
            <v>11</v>
          </cell>
        </row>
        <row r="17">
          <cell r="C17">
            <v>65</v>
          </cell>
          <cell r="D17">
            <v>79.33</v>
          </cell>
          <cell r="E17">
            <v>117</v>
          </cell>
          <cell r="F17">
            <v>60</v>
          </cell>
          <cell r="G17">
            <v>96.8</v>
          </cell>
          <cell r="H17">
            <v>63</v>
          </cell>
          <cell r="I17">
            <v>63</v>
          </cell>
          <cell r="J17">
            <v>73.099999999999994</v>
          </cell>
          <cell r="K17">
            <v>73.25</v>
          </cell>
          <cell r="L17">
            <v>60</v>
          </cell>
          <cell r="M17">
            <v>69</v>
          </cell>
          <cell r="N17">
            <v>69</v>
          </cell>
        </row>
        <row r="18">
          <cell r="N18">
            <v>2406.88</v>
          </cell>
        </row>
        <row r="19">
          <cell r="C19">
            <v>1.6719879755772354E-2</v>
          </cell>
          <cell r="D19">
            <v>-1.862138580230327E-2</v>
          </cell>
          <cell r="E19">
            <v>4.114525203191991E-3</v>
          </cell>
          <cell r="F19">
            <v>-1.9244322283174416E-2</v>
          </cell>
          <cell r="G19">
            <v>-1.1129450913790683E-2</v>
          </cell>
          <cell r="H19">
            <v>3.8579424406244366E-2</v>
          </cell>
          <cell r="I19">
            <v>-7.1895258384032656E-2</v>
          </cell>
          <cell r="J19">
            <v>4.3854838456069155E-2</v>
          </cell>
          <cell r="K19">
            <v>4.2175711102216927E-2</v>
          </cell>
          <cell r="L19">
            <v>4.2695385326595846E-3</v>
          </cell>
          <cell r="M19">
            <v>1.2177680304010773E-2</v>
          </cell>
          <cell r="N19">
            <v>9.9697383883349065E-3</v>
          </cell>
        </row>
        <row r="20">
          <cell r="C20">
            <v>0.7359</v>
          </cell>
          <cell r="D20">
            <v>0.72170000000000001</v>
          </cell>
          <cell r="E20">
            <v>0.56220000000000003</v>
          </cell>
          <cell r="F20">
            <v>0.55769999999999997</v>
          </cell>
          <cell r="G20">
            <v>0.59450000000000003</v>
          </cell>
          <cell r="H20">
            <v>0.61140000000000005</v>
          </cell>
          <cell r="I20">
            <v>0.57489999999999997</v>
          </cell>
          <cell r="J20">
            <v>0.58660000000000001</v>
          </cell>
          <cell r="K20">
            <v>0.74890000000000001</v>
          </cell>
          <cell r="L20">
            <v>0.73629999999999995</v>
          </cell>
          <cell r="M20">
            <v>0.71450000000000002</v>
          </cell>
          <cell r="N20">
            <v>0.73089999999999999</v>
          </cell>
        </row>
        <row r="21">
          <cell r="C21">
            <v>0.57709999999999995</v>
          </cell>
          <cell r="D21">
            <v>0.57869999999999999</v>
          </cell>
          <cell r="E21">
            <v>0.57979999999999998</v>
          </cell>
          <cell r="F21">
            <v>0.57999999999999996</v>
          </cell>
          <cell r="G21">
            <v>0.58160000000000001</v>
          </cell>
          <cell r="H21">
            <v>0.57050000000000001</v>
          </cell>
          <cell r="I21">
            <v>0.57110000000000005</v>
          </cell>
          <cell r="J21">
            <v>0.56930000000000003</v>
          </cell>
          <cell r="K21">
            <v>0.58069999999999999</v>
          </cell>
          <cell r="L21">
            <v>0.59889999999999999</v>
          </cell>
          <cell r="M21">
            <v>0.61140000000000005</v>
          </cell>
          <cell r="N21">
            <v>0.63360000000000005</v>
          </cell>
        </row>
        <row r="22">
          <cell r="C22">
            <v>0.42230000000000001</v>
          </cell>
          <cell r="D22">
            <v>0.41320000000000001</v>
          </cell>
          <cell r="E22">
            <v>0.41320000000000001</v>
          </cell>
          <cell r="F22">
            <v>0.3947</v>
          </cell>
          <cell r="G22">
            <v>0.3977</v>
          </cell>
          <cell r="H22">
            <v>0.38329999999999997</v>
          </cell>
          <cell r="I22">
            <v>0.37630000000000002</v>
          </cell>
          <cell r="J22">
            <v>0.39989999999999998</v>
          </cell>
          <cell r="K22">
            <v>0.3886</v>
          </cell>
          <cell r="L22">
            <v>0.3846</v>
          </cell>
          <cell r="M22">
            <v>0.37290000000000001</v>
          </cell>
          <cell r="N22">
            <v>0.38629999999999998</v>
          </cell>
        </row>
        <row r="23">
          <cell r="C23">
            <v>0.24</v>
          </cell>
          <cell r="D23">
            <v>0.25180000000000002</v>
          </cell>
          <cell r="E23">
            <v>0.25609999999999999</v>
          </cell>
          <cell r="F23">
            <v>0.26290000000000002</v>
          </cell>
          <cell r="G23">
            <v>0.26279999999999998</v>
          </cell>
          <cell r="H23">
            <v>0.2606</v>
          </cell>
          <cell r="I23">
            <v>0.25879999999999997</v>
          </cell>
          <cell r="J23">
            <v>0.25969999999999999</v>
          </cell>
          <cell r="K23">
            <v>0.25719999999999998</v>
          </cell>
          <cell r="L23">
            <v>0.25309999999999999</v>
          </cell>
          <cell r="M23">
            <v>0.245</v>
          </cell>
          <cell r="N23">
            <v>0.24510000000000001</v>
          </cell>
        </row>
        <row r="24">
          <cell r="C24">
            <v>0.76</v>
          </cell>
          <cell r="D24">
            <v>0.77</v>
          </cell>
          <cell r="E24">
            <v>0.8</v>
          </cell>
          <cell r="F24">
            <v>0.82</v>
          </cell>
          <cell r="G24">
            <v>0.85</v>
          </cell>
          <cell r="H24">
            <v>0.76</v>
          </cell>
          <cell r="I24">
            <v>0.83</v>
          </cell>
          <cell r="J24">
            <v>0.85996955859969559</v>
          </cell>
          <cell r="K24">
            <v>0.86180000000000001</v>
          </cell>
          <cell r="L24">
            <v>0.84789999999999999</v>
          </cell>
          <cell r="M24">
            <v>0.84140000000000004</v>
          </cell>
          <cell r="N24">
            <v>0.88119999999999998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808000"/>
  </sheetPr>
  <dimension ref="A1:Y33"/>
  <sheetViews>
    <sheetView tabSelected="1" zoomScale="80" zoomScaleNormal="80" zoomScaleSheetLayoutView="75" workbookViewId="0">
      <selection activeCell="L36" sqref="L36"/>
    </sheetView>
  </sheetViews>
  <sheetFormatPr baseColWidth="10" defaultRowHeight="15" x14ac:dyDescent="0.25"/>
  <cols>
    <col min="1" max="1" width="17.42578125" customWidth="1"/>
    <col min="2" max="2" width="24" customWidth="1"/>
    <col min="3" max="3" width="18" style="2" customWidth="1"/>
    <col min="4" max="4" width="16.85546875" style="3" customWidth="1"/>
    <col min="5" max="5" width="19.28515625" customWidth="1"/>
    <col min="6" max="6" width="18.140625" customWidth="1"/>
    <col min="7" max="7" width="17.140625" customWidth="1"/>
    <col min="8" max="8" width="16.85546875" customWidth="1"/>
    <col min="9" max="9" width="17.42578125" customWidth="1"/>
    <col min="10" max="10" width="18.85546875" customWidth="1"/>
    <col min="11" max="11" width="17.7109375" customWidth="1"/>
    <col min="12" max="13" width="14.85546875" customWidth="1"/>
    <col min="14" max="14" width="15" customWidth="1"/>
    <col min="15" max="15" width="18.42578125" customWidth="1"/>
    <col min="16" max="17" width="18.42578125" style="6" customWidth="1"/>
    <col min="18" max="21" width="18.42578125" style="11" customWidth="1"/>
    <col min="22" max="22" width="21" style="47" bestFit="1" customWidth="1"/>
    <col min="23" max="24" width="11.42578125" style="47"/>
    <col min="25" max="25" width="11.42578125" style="1"/>
  </cols>
  <sheetData>
    <row r="1" spans="1:17" ht="20.25" customHeight="1" x14ac:dyDescent="0.35">
      <c r="A1" s="68" t="s">
        <v>3</v>
      </c>
      <c r="B1" s="68"/>
      <c r="C1" s="68"/>
      <c r="D1" s="69"/>
    </row>
    <row r="2" spans="1:17" ht="21" customHeight="1" x14ac:dyDescent="0.3">
      <c r="A2" s="70" t="s">
        <v>26</v>
      </c>
      <c r="B2" s="70"/>
      <c r="C2" s="70"/>
      <c r="D2" s="70"/>
    </row>
    <row r="3" spans="1:17" ht="21" customHeight="1" x14ac:dyDescent="0.25"/>
    <row r="4" spans="1:17" ht="21" customHeight="1" x14ac:dyDescent="0.3">
      <c r="P4" s="5"/>
      <c r="Q4" s="46" t="str">
        <f>"TAUX DE REALISATION :"&amp;"      "&amp;A2</f>
        <v>TAUX DE REALISATION :      MARGE</v>
      </c>
    </row>
    <row r="5" spans="1:17" ht="29.25" customHeight="1" x14ac:dyDescent="0.25">
      <c r="O5" s="45">
        <f>Q32</f>
        <v>0.4</v>
      </c>
    </row>
    <row r="6" spans="1:17" ht="26.25" customHeight="1" x14ac:dyDescent="0.25">
      <c r="O6" s="45">
        <f>O7-O5</f>
        <v>0.6</v>
      </c>
    </row>
    <row r="7" spans="1:17" ht="27" customHeight="1" x14ac:dyDescent="0.25">
      <c r="O7" s="45">
        <v>1</v>
      </c>
    </row>
    <row r="8" spans="1:17" ht="19.5" customHeight="1" x14ac:dyDescent="0.25">
      <c r="O8" s="1"/>
      <c r="P8" s="5"/>
      <c r="Q8" s="5"/>
    </row>
    <row r="9" spans="1:17" ht="27" customHeight="1" x14ac:dyDescent="0.25">
      <c r="O9" s="1"/>
      <c r="P9" s="5"/>
      <c r="Q9" s="5"/>
    </row>
    <row r="10" spans="1:17" ht="21.75" customHeight="1" x14ac:dyDescent="0.25">
      <c r="O10" s="1"/>
      <c r="P10" s="5"/>
      <c r="Q10" s="5"/>
    </row>
    <row r="11" spans="1:17" ht="30.75" customHeight="1" x14ac:dyDescent="0.25">
      <c r="O11" s="1"/>
      <c r="P11" s="5"/>
      <c r="Q11" s="5"/>
    </row>
    <row r="12" spans="1:17" ht="30.75" customHeight="1" x14ac:dyDescent="0.25">
      <c r="O12" s="1"/>
      <c r="P12" s="5"/>
      <c r="Q12" s="5"/>
    </row>
    <row r="13" spans="1:17" ht="21" customHeight="1" x14ac:dyDescent="0.25">
      <c r="O13" s="1"/>
      <c r="P13" s="5"/>
      <c r="Q13" s="5"/>
    </row>
    <row r="14" spans="1:17" ht="23.25" customHeight="1" x14ac:dyDescent="0.25">
      <c r="O14" s="1"/>
      <c r="P14" s="5"/>
      <c r="Q14" s="5"/>
    </row>
    <row r="15" spans="1:17" x14ac:dyDescent="0.25">
      <c r="O15" s="1"/>
      <c r="P15" s="5"/>
      <c r="Q15" s="5"/>
    </row>
    <row r="16" spans="1:17" ht="21" customHeight="1" x14ac:dyDescent="0.25">
      <c r="O16" s="1"/>
      <c r="P16" s="5"/>
      <c r="Q16" s="5"/>
    </row>
    <row r="17" spans="1:25" ht="21.75" customHeight="1" x14ac:dyDescent="0.25">
      <c r="O17" s="1"/>
      <c r="P17" s="5"/>
      <c r="Q17" s="5"/>
    </row>
    <row r="18" spans="1:25" ht="28.5" customHeight="1" x14ac:dyDescent="0.25">
      <c r="O18" s="1"/>
      <c r="P18" s="5"/>
      <c r="Q18" s="5"/>
    </row>
    <row r="19" spans="1:25" ht="22.5" customHeight="1" x14ac:dyDescent="0.25">
      <c r="O19" s="1"/>
      <c r="P19" s="5"/>
      <c r="Q19" s="5"/>
    </row>
    <row r="20" spans="1:25" ht="21" customHeight="1" x14ac:dyDescent="0.25">
      <c r="O20" s="1"/>
      <c r="P20" s="5"/>
      <c r="Q20" s="5"/>
    </row>
    <row r="21" spans="1:25" s="4" customFormat="1" x14ac:dyDescent="0.25">
      <c r="A21" s="7"/>
      <c r="B21" s="8"/>
      <c r="C21" s="9"/>
      <c r="D21" s="10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11"/>
      <c r="S21" s="11"/>
      <c r="T21" s="11"/>
      <c r="U21" s="11"/>
      <c r="V21" s="48"/>
      <c r="W21" s="48"/>
      <c r="X21" s="48"/>
      <c r="Y21" s="5"/>
    </row>
    <row r="22" spans="1:25" ht="27" customHeight="1" x14ac:dyDescent="0.25">
      <c r="A22" s="12" t="s">
        <v>5</v>
      </c>
      <c r="B22" s="12" t="s">
        <v>6</v>
      </c>
      <c r="C22" s="12" t="s">
        <v>7</v>
      </c>
      <c r="D22" s="12" t="s">
        <v>8</v>
      </c>
      <c r="E22" s="12" t="s">
        <v>9</v>
      </c>
      <c r="F22" s="12" t="s">
        <v>10</v>
      </c>
      <c r="G22" s="12" t="s">
        <v>11</v>
      </c>
      <c r="H22" s="12" t="s">
        <v>12</v>
      </c>
      <c r="I22" s="12" t="s">
        <v>13</v>
      </c>
      <c r="J22" s="12" t="s">
        <v>14</v>
      </c>
      <c r="K22" s="12" t="s">
        <v>15</v>
      </c>
      <c r="L22" s="12" t="s">
        <v>16</v>
      </c>
      <c r="M22" s="12" t="s">
        <v>17</v>
      </c>
      <c r="N22" s="12" t="s">
        <v>18</v>
      </c>
      <c r="O22" s="13" t="s">
        <v>19</v>
      </c>
      <c r="P22" s="13" t="s">
        <v>57</v>
      </c>
      <c r="Q22" s="13" t="s">
        <v>58</v>
      </c>
      <c r="R22" s="49" t="s">
        <v>20</v>
      </c>
      <c r="S22" s="49" t="s">
        <v>21</v>
      </c>
      <c r="T22" s="49" t="s">
        <v>22</v>
      </c>
      <c r="U22" s="49" t="s">
        <v>23</v>
      </c>
    </row>
    <row r="23" spans="1:25" ht="19.5" customHeight="1" x14ac:dyDescent="0.25">
      <c r="A23" s="66" t="s">
        <v>24</v>
      </c>
      <c r="B23" s="14" t="s">
        <v>25</v>
      </c>
      <c r="C23" s="15">
        <v>1168328423</v>
      </c>
      <c r="D23" s="15">
        <v>1193030721</v>
      </c>
      <c r="E23" s="15">
        <v>1249526857</v>
      </c>
      <c r="F23" s="15">
        <v>1295190508</v>
      </c>
      <c r="G23" s="15">
        <v>1027199621</v>
      </c>
      <c r="H23" s="15"/>
      <c r="I23" s="15"/>
      <c r="J23" s="15"/>
      <c r="K23" s="15"/>
      <c r="L23" s="15"/>
      <c r="M23" s="15"/>
      <c r="N23" s="15"/>
      <c r="O23" s="16">
        <f>SUM(C23:N23)</f>
        <v>5933276130</v>
      </c>
      <c r="P23" s="16">
        <v>14000000000</v>
      </c>
      <c r="Q23" s="63">
        <f>O23/P23</f>
        <v>0.42380543785714286</v>
      </c>
      <c r="R23" s="50">
        <f>MAX(C23:N23)</f>
        <v>1295190508</v>
      </c>
      <c r="S23" s="50" t="str">
        <f>INDEX(C22:N22,,MATCH($R$23,C23:N23,0))</f>
        <v>Avril</v>
      </c>
      <c r="T23" s="50">
        <f>MIN(C23:N23)</f>
        <v>1027199621</v>
      </c>
      <c r="U23" s="50" t="str">
        <f t="shared" ref="U23:U28" si="0">INDEX($C$22:$N$22,,MATCH($T23,C23:N23,0))</f>
        <v>Mai</v>
      </c>
      <c r="W23" s="45" t="s">
        <v>59</v>
      </c>
      <c r="X23" s="45">
        <v>0.33</v>
      </c>
    </row>
    <row r="24" spans="1:25" ht="19.5" customHeight="1" x14ac:dyDescent="0.25">
      <c r="A24" s="67"/>
      <c r="B24" s="14" t="s">
        <v>26</v>
      </c>
      <c r="C24" s="17">
        <v>0.35709999999999997</v>
      </c>
      <c r="D24" s="17">
        <v>0.34739999999999999</v>
      </c>
      <c r="E24" s="17">
        <v>0.37309999999999999</v>
      </c>
      <c r="F24" s="17">
        <v>0.37159999999999999</v>
      </c>
      <c r="G24" s="17">
        <v>0.35589999999999999</v>
      </c>
      <c r="H24" s="17"/>
      <c r="I24" s="17"/>
      <c r="J24" s="17"/>
      <c r="K24" s="17"/>
      <c r="L24" s="17"/>
      <c r="M24" s="17"/>
      <c r="N24" s="17"/>
      <c r="O24" s="18">
        <f>AVERAGE(C24:N24)</f>
        <v>0.36102000000000001</v>
      </c>
      <c r="P24" s="18">
        <v>0.4</v>
      </c>
      <c r="Q24" s="63">
        <f>P24</f>
        <v>0.4</v>
      </c>
      <c r="R24" s="51">
        <f t="shared" ref="R24:R28" si="1">MAX(C24:N24)</f>
        <v>0.37309999999999999</v>
      </c>
      <c r="S24" s="51" t="str">
        <f>INDEX(C22:N22,,MATCH($R24,C24:N24,0))</f>
        <v>Mars</v>
      </c>
      <c r="T24" s="51">
        <f t="shared" ref="T24:T28" si="2">MIN(C24:N24)</f>
        <v>0.34739999999999999</v>
      </c>
      <c r="U24" s="50" t="str">
        <f t="shared" si="0"/>
        <v>Février</v>
      </c>
      <c r="W24" s="45" t="s">
        <v>60</v>
      </c>
      <c r="X24" s="45">
        <v>0.33</v>
      </c>
    </row>
    <row r="25" spans="1:25" ht="19.5" customHeight="1" x14ac:dyDescent="0.25">
      <c r="A25" s="71"/>
      <c r="B25" s="14" t="s">
        <v>4</v>
      </c>
      <c r="C25" s="19">
        <f t="shared" ref="C25:G25" si="3">C23*C24</f>
        <v>417210079.85329998</v>
      </c>
      <c r="D25" s="19">
        <f t="shared" si="3"/>
        <v>414458872.47539997</v>
      </c>
      <c r="E25" s="19">
        <f t="shared" si="3"/>
        <v>466198470.34670001</v>
      </c>
      <c r="F25" s="19">
        <f t="shared" si="3"/>
        <v>481292792.77279997</v>
      </c>
      <c r="G25" s="19">
        <f t="shared" si="3"/>
        <v>365580345.11390001</v>
      </c>
      <c r="H25" s="19"/>
      <c r="I25" s="19"/>
      <c r="J25" s="19"/>
      <c r="K25" s="19"/>
      <c r="L25" s="19"/>
      <c r="M25" s="19"/>
      <c r="N25" s="19"/>
      <c r="O25" s="20">
        <f>SUM(C25:N25)</f>
        <v>2144740560.5620999</v>
      </c>
      <c r="P25" s="20">
        <f>P23*P24</f>
        <v>5600000000</v>
      </c>
      <c r="Q25" s="63">
        <f>O25/P25</f>
        <v>0.38298938581466069</v>
      </c>
      <c r="R25" s="50">
        <f t="shared" si="1"/>
        <v>481292792.77279997</v>
      </c>
      <c r="S25" s="51" t="str">
        <f t="shared" ref="S25:S28" si="4">INDEX($C$22:$N$22,,MATCH($R25,C25:N25,0))</f>
        <v>Avril</v>
      </c>
      <c r="T25" s="50">
        <f t="shared" si="2"/>
        <v>365580345.11390001</v>
      </c>
      <c r="U25" s="50" t="str">
        <f t="shared" si="0"/>
        <v>Mai</v>
      </c>
      <c r="W25" s="47" t="s">
        <v>61</v>
      </c>
      <c r="X25" s="45">
        <v>0.33</v>
      </c>
    </row>
    <row r="26" spans="1:25" ht="30" x14ac:dyDescent="0.25">
      <c r="A26" s="66" t="s">
        <v>27</v>
      </c>
      <c r="B26" s="14" t="s">
        <v>28</v>
      </c>
      <c r="C26" s="21">
        <v>1155</v>
      </c>
      <c r="D26" s="21">
        <v>3391</v>
      </c>
      <c r="E26" s="21">
        <v>2369</v>
      </c>
      <c r="F26" s="21">
        <f>2136+670</f>
        <v>2806</v>
      </c>
      <c r="G26" s="21">
        <v>120</v>
      </c>
      <c r="H26" s="21"/>
      <c r="I26" s="21"/>
      <c r="J26" s="21"/>
      <c r="K26" s="21"/>
      <c r="L26" s="21"/>
      <c r="M26" s="21"/>
      <c r="N26" s="21"/>
      <c r="O26" s="16">
        <f>SUM(C26:N26)</f>
        <v>9841</v>
      </c>
      <c r="P26" s="16">
        <v>20000</v>
      </c>
      <c r="Q26" s="63">
        <f>O26/P26</f>
        <v>0.49204999999999999</v>
      </c>
      <c r="R26" s="50">
        <f t="shared" si="1"/>
        <v>3391</v>
      </c>
      <c r="S26" s="51" t="str">
        <f t="shared" si="4"/>
        <v>Février</v>
      </c>
      <c r="T26" s="50">
        <f t="shared" si="2"/>
        <v>120</v>
      </c>
      <c r="U26" s="50" t="str">
        <f t="shared" si="0"/>
        <v>Mai</v>
      </c>
      <c r="W26" s="47" t="s">
        <v>62</v>
      </c>
      <c r="X26" s="45">
        <v>1</v>
      </c>
    </row>
    <row r="27" spans="1:25" ht="30" x14ac:dyDescent="0.25">
      <c r="A27" s="67"/>
      <c r="B27" s="14" t="s">
        <v>29</v>
      </c>
      <c r="C27" s="15">
        <v>34</v>
      </c>
      <c r="D27" s="15">
        <v>215</v>
      </c>
      <c r="E27" s="15">
        <v>154</v>
      </c>
      <c r="F27" s="15">
        <f>201+40</f>
        <v>241</v>
      </c>
      <c r="G27" s="15">
        <v>21</v>
      </c>
      <c r="H27" s="15"/>
      <c r="I27" s="15"/>
      <c r="J27" s="15"/>
      <c r="K27" s="15"/>
      <c r="L27" s="15"/>
      <c r="M27" s="15"/>
      <c r="N27" s="15"/>
      <c r="O27" s="16">
        <f>SUM(C27:N27)</f>
        <v>665</v>
      </c>
      <c r="P27" s="16">
        <v>1000</v>
      </c>
      <c r="Q27" s="63">
        <f>O27/P27</f>
        <v>0.66500000000000004</v>
      </c>
      <c r="R27" s="50">
        <f t="shared" si="1"/>
        <v>241</v>
      </c>
      <c r="S27" s="51" t="str">
        <f t="shared" si="4"/>
        <v>Avril</v>
      </c>
      <c r="T27" s="50">
        <f t="shared" si="2"/>
        <v>21</v>
      </c>
      <c r="U27" s="50" t="str">
        <f t="shared" si="0"/>
        <v>Mai</v>
      </c>
    </row>
    <row r="28" spans="1:25" ht="30" x14ac:dyDescent="0.25">
      <c r="A28" s="67"/>
      <c r="B28" s="14" t="s">
        <v>30</v>
      </c>
      <c r="C28" s="22">
        <f t="shared" ref="C28:G28" si="5">C27/C26</f>
        <v>2.9437229437229439E-2</v>
      </c>
      <c r="D28" s="22">
        <f t="shared" si="5"/>
        <v>6.3403125921557058E-2</v>
      </c>
      <c r="E28" s="22">
        <f t="shared" si="5"/>
        <v>6.5006331785563531E-2</v>
      </c>
      <c r="F28" s="22">
        <f t="shared" si="5"/>
        <v>8.5887384176764073E-2</v>
      </c>
      <c r="G28" s="22">
        <f t="shared" si="5"/>
        <v>0.17499999999999999</v>
      </c>
      <c r="H28" s="22"/>
      <c r="I28" s="22"/>
      <c r="J28" s="22"/>
      <c r="K28" s="22"/>
      <c r="L28" s="22"/>
      <c r="M28" s="22"/>
      <c r="N28" s="22"/>
      <c r="O28" s="18">
        <f>O27/O26</f>
        <v>6.7574433492531241E-2</v>
      </c>
      <c r="P28" s="18">
        <f>P27/P26</f>
        <v>0.05</v>
      </c>
      <c r="Q28" s="63">
        <f>P28/O28</f>
        <v>0.73992481203007532</v>
      </c>
      <c r="R28" s="51">
        <f t="shared" si="1"/>
        <v>0.17499999999999999</v>
      </c>
      <c r="S28" s="51" t="str">
        <f t="shared" si="4"/>
        <v>Mai</v>
      </c>
      <c r="T28" s="51">
        <f t="shared" si="2"/>
        <v>2.9437229437229439E-2</v>
      </c>
      <c r="U28" s="50" t="str">
        <f t="shared" si="0"/>
        <v>Janvier</v>
      </c>
      <c r="W28" s="47" t="s">
        <v>63</v>
      </c>
      <c r="X28" s="45">
        <f>Q23</f>
        <v>0.42380543785714286</v>
      </c>
    </row>
    <row r="30" spans="1:25" s="52" customFormat="1" ht="18.75" customHeight="1" x14ac:dyDescent="0.3">
      <c r="A30" s="60"/>
      <c r="B30" s="53"/>
      <c r="F30" s="46" t="str">
        <f>"PROGRESSION MENSUELLE :"&amp;"      "&amp;A2</f>
        <v>PROGRESSION MENSUELLE :      MARGE</v>
      </c>
      <c r="G30" s="46"/>
      <c r="H30" s="46"/>
      <c r="I30" s="46"/>
      <c r="J30" s="46"/>
      <c r="O30" s="53"/>
      <c r="P30" s="53"/>
      <c r="Q30" s="53"/>
      <c r="R30" s="53"/>
      <c r="S30" s="53"/>
      <c r="T30" s="53"/>
      <c r="U30" s="53"/>
    </row>
    <row r="31" spans="1:25" s="53" customFormat="1" ht="18.75" x14ac:dyDescent="0.25">
      <c r="C31" s="64" t="s">
        <v>7</v>
      </c>
      <c r="D31" s="65" t="s">
        <v>8</v>
      </c>
      <c r="E31" s="55" t="s">
        <v>9</v>
      </c>
      <c r="F31" s="55" t="s">
        <v>10</v>
      </c>
      <c r="G31" s="55" t="s">
        <v>11</v>
      </c>
      <c r="H31" s="55" t="s">
        <v>12</v>
      </c>
      <c r="I31" s="55" t="s">
        <v>13</v>
      </c>
      <c r="J31" s="55" t="s">
        <v>14</v>
      </c>
      <c r="K31" s="55" t="s">
        <v>15</v>
      </c>
      <c r="L31" s="55" t="s">
        <v>16</v>
      </c>
      <c r="M31" s="55" t="s">
        <v>17</v>
      </c>
      <c r="N31" s="55" t="s">
        <v>18</v>
      </c>
      <c r="P31" s="54"/>
      <c r="Q31" s="54"/>
      <c r="R31" s="55" t="s">
        <v>21</v>
      </c>
      <c r="S31" s="55" t="s">
        <v>22</v>
      </c>
      <c r="T31" s="55" t="s">
        <v>23</v>
      </c>
      <c r="U31" s="55" t="s">
        <v>56</v>
      </c>
      <c r="V31" s="55" t="s">
        <v>20</v>
      </c>
    </row>
    <row r="32" spans="1:25" s="53" customFormat="1" ht="20.25" customHeight="1" x14ac:dyDescent="0.3">
      <c r="C32" s="56">
        <f t="shared" ref="C32:Q32" si="6">SUMIF($B:$B,$A$2,C:C)</f>
        <v>0.35709999999999997</v>
      </c>
      <c r="D32" s="56">
        <f t="shared" si="6"/>
        <v>0.34739999999999999</v>
      </c>
      <c r="E32" s="56">
        <f t="shared" si="6"/>
        <v>0.37309999999999999</v>
      </c>
      <c r="F32" s="56">
        <f t="shared" si="6"/>
        <v>0.37159999999999999</v>
      </c>
      <c r="G32" s="56">
        <f t="shared" si="6"/>
        <v>0.35589999999999999</v>
      </c>
      <c r="H32" s="56">
        <f t="shared" si="6"/>
        <v>0</v>
      </c>
      <c r="I32" s="56">
        <f t="shared" si="6"/>
        <v>0</v>
      </c>
      <c r="J32" s="56">
        <f t="shared" si="6"/>
        <v>0</v>
      </c>
      <c r="K32" s="56">
        <f t="shared" si="6"/>
        <v>0</v>
      </c>
      <c r="L32" s="56">
        <f t="shared" si="6"/>
        <v>0</v>
      </c>
      <c r="M32" s="56">
        <f t="shared" si="6"/>
        <v>0</v>
      </c>
      <c r="N32" s="56">
        <f t="shared" si="6"/>
        <v>0</v>
      </c>
      <c r="O32" s="58">
        <f t="shared" si="6"/>
        <v>0.36102000000000001</v>
      </c>
      <c r="P32" s="56">
        <f t="shared" si="6"/>
        <v>0.4</v>
      </c>
      <c r="Q32" s="57">
        <f t="shared" si="6"/>
        <v>0.4</v>
      </c>
      <c r="R32" s="56" t="str">
        <f>VLOOKUP(V32,R22:S28,2,0)</f>
        <v>Mars</v>
      </c>
      <c r="S32" s="58">
        <f>SUMIF($B:$B,$A$2,T:T)</f>
        <v>0.34739999999999999</v>
      </c>
      <c r="T32" s="56" t="str">
        <f>VLOOKUP(S32,T23:U28,2,0)</f>
        <v>Février</v>
      </c>
      <c r="U32" s="59">
        <f>V32-S32</f>
        <v>2.5700000000000001E-2</v>
      </c>
      <c r="V32" s="58">
        <f>SUMIF($B:$B,$A$2,R:R)</f>
        <v>0.37309999999999999</v>
      </c>
    </row>
    <row r="33" spans="3:21" s="52" customFormat="1" x14ac:dyDescent="0.25">
      <c r="C33" s="61"/>
      <c r="D33" s="62"/>
      <c r="R33" s="53"/>
      <c r="S33" s="53"/>
      <c r="T33" s="53"/>
      <c r="U33" s="53"/>
    </row>
  </sheetData>
  <sheetProtection sort="0" autoFilter="0" pivotTables="0"/>
  <mergeCells count="4">
    <mergeCell ref="A26:A28"/>
    <mergeCell ref="A1:D1"/>
    <mergeCell ref="A2:D2"/>
    <mergeCell ref="A23:A25"/>
  </mergeCells>
  <dataValidations count="1">
    <dataValidation type="list" allowBlank="1" showInputMessage="1" showErrorMessage="1" sqref="A2">
      <formula1>$B$23:$B$28</formula1>
    </dataValidation>
  </dataValidations>
  <printOptions horizontalCentered="1" verticalCentered="1"/>
  <pageMargins left="0.19685039370078741" right="0.19685039370078741" top="0.47244094488188981" bottom="0.27559055118110237" header="0.19685039370078741" footer="0.23622047244094491"/>
  <pageSetup paperSize="9" scale="65" orientation="landscape" r:id="rId1"/>
  <headerFooter>
    <oddHeader>&amp;L&amp;"-,Gras"TRACTAFRIC EQUIPMENT  CAMEROUN&amp;C&amp;"-,Gras"&amp;18TABLEAU DE BORD MPR AU &amp;D</oddHeader>
    <oddFooter>&amp;R&amp;14&amp;T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29"/>
  <sheetViews>
    <sheetView topLeftCell="A15" workbookViewId="0">
      <selection activeCell="O22" sqref="O22:O29"/>
    </sheetView>
  </sheetViews>
  <sheetFormatPr baseColWidth="10" defaultRowHeight="15" x14ac:dyDescent="0.25"/>
  <cols>
    <col min="15" max="15" width="15.28515625" bestFit="1" customWidth="1"/>
  </cols>
  <sheetData>
    <row r="1" spans="1:15" ht="46.5" x14ac:dyDescent="0.7">
      <c r="A1" s="32" t="s">
        <v>0</v>
      </c>
      <c r="B1" s="33"/>
      <c r="C1" s="33"/>
      <c r="D1" s="34"/>
      <c r="E1" s="75" t="s">
        <v>1</v>
      </c>
      <c r="F1" s="75"/>
      <c r="G1" s="75"/>
      <c r="H1" s="35" t="s">
        <v>2</v>
      </c>
      <c r="I1" s="36"/>
      <c r="J1" s="36"/>
      <c r="K1" s="36"/>
      <c r="L1" s="36"/>
      <c r="M1" s="36"/>
      <c r="N1" s="36"/>
      <c r="O1" s="36"/>
    </row>
    <row r="2" spans="1:15" x14ac:dyDescent="0.25">
      <c r="A2" s="28" t="s">
        <v>5</v>
      </c>
      <c r="B2" s="28" t="s">
        <v>6</v>
      </c>
      <c r="C2" s="28" t="s">
        <v>7</v>
      </c>
      <c r="D2" s="28" t="s">
        <v>8</v>
      </c>
      <c r="E2" s="28" t="s">
        <v>9</v>
      </c>
      <c r="F2" s="28" t="s">
        <v>10</v>
      </c>
      <c r="G2" s="28" t="s">
        <v>11</v>
      </c>
      <c r="H2" s="28" t="s">
        <v>12</v>
      </c>
      <c r="I2" s="28" t="s">
        <v>13</v>
      </c>
      <c r="J2" s="28" t="s">
        <v>14</v>
      </c>
      <c r="K2" s="28" t="s">
        <v>15</v>
      </c>
      <c r="L2" s="28" t="s">
        <v>16</v>
      </c>
      <c r="M2" s="28" t="s">
        <v>17</v>
      </c>
      <c r="N2" s="28" t="s">
        <v>18</v>
      </c>
      <c r="O2" s="28" t="s">
        <v>19</v>
      </c>
    </row>
    <row r="3" spans="1:15" ht="15.75" x14ac:dyDescent="0.25">
      <c r="A3" s="76" t="s">
        <v>24</v>
      </c>
      <c r="B3" s="37" t="s">
        <v>25</v>
      </c>
      <c r="C3" s="15">
        <v>1080242123</v>
      </c>
      <c r="D3" s="15">
        <v>1107940319</v>
      </c>
      <c r="E3" s="15">
        <v>1249521572</v>
      </c>
      <c r="F3" s="15">
        <v>1168298646</v>
      </c>
      <c r="G3" s="15">
        <v>1154121310</v>
      </c>
      <c r="H3" s="15">
        <v>1158957576</v>
      </c>
      <c r="I3" s="15">
        <v>1133914277</v>
      </c>
      <c r="J3" s="15">
        <v>1069142999</v>
      </c>
      <c r="K3" s="15">
        <v>1091521121</v>
      </c>
      <c r="L3" s="15">
        <v>1169829675</v>
      </c>
      <c r="M3" s="15">
        <v>1040710360</v>
      </c>
      <c r="N3" s="15">
        <v>1172316574</v>
      </c>
      <c r="O3" s="29">
        <f>SUM(C3:N3)</f>
        <v>13596516552</v>
      </c>
    </row>
    <row r="4" spans="1:15" ht="15.75" x14ac:dyDescent="0.25">
      <c r="A4" s="76"/>
      <c r="B4" s="37" t="s">
        <v>26</v>
      </c>
      <c r="C4" s="17">
        <v>0.42899999999999999</v>
      </c>
      <c r="D4" s="17">
        <v>0.42330000000000001</v>
      </c>
      <c r="E4" s="17">
        <v>0.40870000000000001</v>
      </c>
      <c r="F4" s="17">
        <v>0.43</v>
      </c>
      <c r="G4" s="17">
        <v>0.40539999999999998</v>
      </c>
      <c r="H4" s="17">
        <v>0.42049999999999998</v>
      </c>
      <c r="I4" s="17">
        <v>0.42699999999999999</v>
      </c>
      <c r="J4" s="17">
        <v>0.41749999999999998</v>
      </c>
      <c r="K4" s="17">
        <v>0.39219999999999999</v>
      </c>
      <c r="L4" s="17">
        <v>0.38500000000000001</v>
      </c>
      <c r="M4" s="17">
        <v>0.3967</v>
      </c>
      <c r="N4" s="17">
        <v>0.38219999999999998</v>
      </c>
      <c r="O4" s="30">
        <f>AVERAGE(C4:N4)</f>
        <v>0.40979166666666672</v>
      </c>
    </row>
    <row r="5" spans="1:15" ht="60" x14ac:dyDescent="0.25">
      <c r="A5" s="77" t="s">
        <v>27</v>
      </c>
      <c r="B5" s="37" t="s">
        <v>28</v>
      </c>
      <c r="C5" s="15">
        <v>407</v>
      </c>
      <c r="D5" s="15">
        <v>1582</v>
      </c>
      <c r="E5" s="15">
        <f>2559+822</f>
        <v>3381</v>
      </c>
      <c r="F5" s="15">
        <v>1091</v>
      </c>
      <c r="G5" s="15">
        <v>3123</v>
      </c>
      <c r="H5" s="15">
        <f>1159+801</f>
        <v>1960</v>
      </c>
      <c r="I5" s="15">
        <v>485</v>
      </c>
      <c r="J5" s="15">
        <v>2555</v>
      </c>
      <c r="K5" s="15">
        <f>4436+803</f>
        <v>5239</v>
      </c>
      <c r="L5" s="15">
        <v>2653</v>
      </c>
      <c r="M5" s="15">
        <f>267+811</f>
        <v>1078</v>
      </c>
      <c r="N5" s="15">
        <v>8906</v>
      </c>
      <c r="O5" s="29">
        <f>SUM(C5:N5)</f>
        <v>32460</v>
      </c>
    </row>
    <row r="6" spans="1:15" ht="60" x14ac:dyDescent="0.25">
      <c r="A6" s="78"/>
      <c r="B6" s="37" t="s">
        <v>29</v>
      </c>
      <c r="C6" s="21">
        <v>99</v>
      </c>
      <c r="D6" s="21">
        <v>116</v>
      </c>
      <c r="E6" s="21">
        <f>130+19</f>
        <v>149</v>
      </c>
      <c r="F6" s="21">
        <v>60</v>
      </c>
      <c r="G6" s="21">
        <v>139</v>
      </c>
      <c r="H6" s="21">
        <f>63+24</f>
        <v>87</v>
      </c>
      <c r="I6" s="21">
        <v>32</v>
      </c>
      <c r="J6" s="21">
        <v>163</v>
      </c>
      <c r="K6" s="21">
        <f>214+14</f>
        <v>228</v>
      </c>
      <c r="L6" s="21">
        <v>180</v>
      </c>
      <c r="M6" s="21">
        <f>105+28</f>
        <v>133</v>
      </c>
      <c r="N6" s="21">
        <v>477</v>
      </c>
      <c r="O6" s="29">
        <f>SUM(C6:N6)</f>
        <v>1863</v>
      </c>
    </row>
    <row r="7" spans="1:15" ht="45" x14ac:dyDescent="0.25">
      <c r="A7" s="78"/>
      <c r="B7" s="37" t="s">
        <v>30</v>
      </c>
      <c r="C7" s="27">
        <f t="shared" ref="C7:N7" si="0">C6/C5</f>
        <v>0.24324324324324326</v>
      </c>
      <c r="D7" s="27">
        <f t="shared" si="0"/>
        <v>7.3324905183312264E-2</v>
      </c>
      <c r="E7" s="27">
        <f t="shared" si="0"/>
        <v>4.4069801833776991E-2</v>
      </c>
      <c r="F7" s="27">
        <f t="shared" si="0"/>
        <v>5.4995417048579284E-2</v>
      </c>
      <c r="G7" s="27">
        <f t="shared" si="0"/>
        <v>4.4508485430675634E-2</v>
      </c>
      <c r="H7" s="27">
        <f t="shared" si="0"/>
        <v>4.4387755102040814E-2</v>
      </c>
      <c r="I7" s="27">
        <f t="shared" si="0"/>
        <v>6.5979381443298971E-2</v>
      </c>
      <c r="J7" s="27">
        <f t="shared" si="0"/>
        <v>6.3796477495107626E-2</v>
      </c>
      <c r="K7" s="27">
        <f t="shared" si="0"/>
        <v>4.3519755678564614E-2</v>
      </c>
      <c r="L7" s="27">
        <f t="shared" si="0"/>
        <v>6.7847719562759146E-2</v>
      </c>
      <c r="M7" s="27">
        <f t="shared" si="0"/>
        <v>0.12337662337662338</v>
      </c>
      <c r="N7" s="27">
        <f t="shared" si="0"/>
        <v>5.3559398158544803E-2</v>
      </c>
      <c r="O7" s="30">
        <f>O6/O5</f>
        <v>5.7393715341959334E-2</v>
      </c>
    </row>
    <row r="8" spans="1:15" ht="30" x14ac:dyDescent="0.25">
      <c r="A8" s="78"/>
      <c r="B8" s="37" t="s">
        <v>31</v>
      </c>
      <c r="C8" s="21">
        <v>149523698</v>
      </c>
      <c r="D8" s="21">
        <v>1177836923</v>
      </c>
      <c r="E8" s="21">
        <f>1319573995+45727993</f>
        <v>1365301988</v>
      </c>
      <c r="F8" s="21">
        <v>216061043</v>
      </c>
      <c r="G8" s="21">
        <v>1440163350</v>
      </c>
      <c r="H8" s="21">
        <f>2134860960+86719367</f>
        <v>2221580327</v>
      </c>
      <c r="I8" s="21">
        <v>932921057</v>
      </c>
      <c r="J8" s="21">
        <v>1628038638</v>
      </c>
      <c r="K8" s="21">
        <f>1750569577+90190357</f>
        <v>1840759934</v>
      </c>
      <c r="L8" s="21">
        <v>279052732</v>
      </c>
      <c r="M8" s="21">
        <f>524573156+82462321</f>
        <v>607035477</v>
      </c>
      <c r="N8" s="21">
        <v>2085208288</v>
      </c>
      <c r="O8" s="29">
        <f>SUM(C8:N8)</f>
        <v>13943483455</v>
      </c>
    </row>
    <row r="9" spans="1:15" ht="45" x14ac:dyDescent="0.25">
      <c r="A9" s="78"/>
      <c r="B9" s="37" t="s">
        <v>32</v>
      </c>
      <c r="C9" s="19">
        <v>126378</v>
      </c>
      <c r="D9" s="19">
        <v>-431757</v>
      </c>
      <c r="E9" s="15">
        <f>-288560+65475</f>
        <v>-223085</v>
      </c>
      <c r="F9" s="19">
        <v>-159439</v>
      </c>
      <c r="G9" s="19">
        <v>-138462</v>
      </c>
      <c r="H9" s="19">
        <f>-128386+112691</f>
        <v>-15695</v>
      </c>
      <c r="I9" s="19">
        <v>691215</v>
      </c>
      <c r="J9" s="19">
        <v>-226470</v>
      </c>
      <c r="K9" s="19">
        <f>415871+34177</f>
        <v>450048</v>
      </c>
      <c r="L9" s="19">
        <v>-232436</v>
      </c>
      <c r="M9" s="19">
        <f>615809+35305</f>
        <v>651114</v>
      </c>
      <c r="N9" s="19">
        <v>-454019</v>
      </c>
      <c r="O9" s="29">
        <f>SUM(C9:N9)</f>
        <v>37392</v>
      </c>
    </row>
    <row r="10" spans="1:15" ht="45" x14ac:dyDescent="0.25">
      <c r="A10" s="78"/>
      <c r="B10" s="37" t="s">
        <v>33</v>
      </c>
      <c r="C10" s="24">
        <f t="shared" ref="C10:N10" si="1">C9/C8</f>
        <v>8.4520381511698562E-4</v>
      </c>
      <c r="D10" s="24">
        <f t="shared" si="1"/>
        <v>-3.6656772390892352E-4</v>
      </c>
      <c r="E10" s="24">
        <f t="shared" si="1"/>
        <v>-1.6339608523297631E-4</v>
      </c>
      <c r="F10" s="24">
        <f t="shared" si="1"/>
        <v>-7.3793497331214864E-4</v>
      </c>
      <c r="G10" s="24">
        <f t="shared" si="1"/>
        <v>-9.6143260415563277E-5</v>
      </c>
      <c r="H10" s="24">
        <f t="shared" si="1"/>
        <v>-7.0647906849239937E-6</v>
      </c>
      <c r="I10" s="24">
        <f>I9/I8</f>
        <v>7.4091478031672298E-4</v>
      </c>
      <c r="J10" s="24">
        <f t="shared" si="1"/>
        <v>-1.3910603514804296E-4</v>
      </c>
      <c r="K10" s="24">
        <f t="shared" si="1"/>
        <v>2.4449032798211698E-4</v>
      </c>
      <c r="L10" s="24">
        <f t="shared" si="1"/>
        <v>-8.3294651277594377E-4</v>
      </c>
      <c r="M10" s="24">
        <f t="shared" si="1"/>
        <v>1.0726127626310051E-3</v>
      </c>
      <c r="N10" s="24">
        <f t="shared" si="1"/>
        <v>-2.1773316488947315E-4</v>
      </c>
      <c r="O10" s="30">
        <f>O9/O8</f>
        <v>2.6816828176886877E-6</v>
      </c>
    </row>
    <row r="11" spans="1:15" ht="90" x14ac:dyDescent="0.25">
      <c r="A11" s="78"/>
      <c r="B11" s="37" t="s">
        <v>34</v>
      </c>
      <c r="C11" s="26">
        <v>26562067</v>
      </c>
      <c r="D11" s="26">
        <v>2573086</v>
      </c>
      <c r="E11" s="26">
        <v>4374594</v>
      </c>
      <c r="F11" s="26">
        <v>15914589</v>
      </c>
      <c r="G11" s="26">
        <v>5232865</v>
      </c>
      <c r="H11" s="26">
        <v>25359422</v>
      </c>
      <c r="I11" s="26">
        <v>7023406</v>
      </c>
      <c r="J11" s="26">
        <v>15053142</v>
      </c>
      <c r="K11" s="26">
        <v>7154620</v>
      </c>
      <c r="L11" s="26">
        <v>6301029</v>
      </c>
      <c r="M11" s="26">
        <v>5771964</v>
      </c>
      <c r="N11" s="26">
        <v>14417524</v>
      </c>
      <c r="O11" s="29">
        <f>AVERAGE(C11:N11)</f>
        <v>11311525.666666666</v>
      </c>
    </row>
    <row r="12" spans="1:15" ht="90" x14ac:dyDescent="0.25">
      <c r="A12" s="78"/>
      <c r="B12" s="37" t="s">
        <v>35</v>
      </c>
      <c r="C12" s="21">
        <v>46579280</v>
      </c>
      <c r="D12" s="21">
        <v>39062344</v>
      </c>
      <c r="E12" s="21">
        <v>64977065</v>
      </c>
      <c r="F12" s="21">
        <v>73285352</v>
      </c>
      <c r="G12" s="21">
        <v>96639084</v>
      </c>
      <c r="H12" s="21">
        <v>79901445</v>
      </c>
      <c r="I12" s="21">
        <v>92461831</v>
      </c>
      <c r="J12" s="21">
        <v>104627522</v>
      </c>
      <c r="K12" s="21">
        <v>118142552</v>
      </c>
      <c r="L12" s="21">
        <v>100202374</v>
      </c>
      <c r="M12" s="21">
        <v>115768413</v>
      </c>
      <c r="N12" s="21">
        <v>130141999</v>
      </c>
      <c r="O12" s="29">
        <f>AVERAGE(C12:N12)</f>
        <v>88482438.416666672</v>
      </c>
    </row>
    <row r="13" spans="1:15" ht="15.75" x14ac:dyDescent="0.25">
      <c r="A13" s="78"/>
      <c r="B13" s="37" t="s">
        <v>27</v>
      </c>
      <c r="C13" s="26">
        <v>2342258388</v>
      </c>
      <c r="D13" s="26">
        <v>2392361442</v>
      </c>
      <c r="E13" s="26">
        <v>2160666251</v>
      </c>
      <c r="F13" s="26">
        <v>2358299742</v>
      </c>
      <c r="G13" s="26">
        <v>2408471130</v>
      </c>
      <c r="H13" s="26">
        <v>2591712295</v>
      </c>
      <c r="I13" s="26">
        <v>2812323731</v>
      </c>
      <c r="J13" s="26">
        <v>2725241732</v>
      </c>
      <c r="K13" s="26">
        <v>2634201981</v>
      </c>
      <c r="L13" s="26">
        <v>2584277960</v>
      </c>
      <c r="M13" s="26">
        <v>2322997553</v>
      </c>
      <c r="N13" s="26">
        <v>2185143657</v>
      </c>
      <c r="O13" s="29">
        <f>AVERAGE(C13:N13)</f>
        <v>2459829655.1666665</v>
      </c>
    </row>
    <row r="14" spans="1:15" ht="45" x14ac:dyDescent="0.25">
      <c r="A14" s="78"/>
      <c r="B14" s="37" t="s">
        <v>36</v>
      </c>
      <c r="C14" s="24">
        <f>1736162098/2058728868</f>
        <v>0.84331750770398195</v>
      </c>
      <c r="D14" s="24">
        <f>1647444952/2046693983</f>
        <v>0.80492978710242291</v>
      </c>
      <c r="E14" s="24">
        <f>1426486564/1814353469</f>
        <v>0.78622307525678725</v>
      </c>
      <c r="F14" s="24">
        <f>1558190982/1996113469</f>
        <v>0.7806124282005934</v>
      </c>
      <c r="G14" s="24">
        <f>1597136081/2034925931</f>
        <v>0.78486202208605105</v>
      </c>
      <c r="H14" s="24">
        <f>1797399407/2235432637</f>
        <v>0.80404990839363866</v>
      </c>
      <c r="I14" s="24">
        <f>1975539016/2412501197</f>
        <v>0.81887586976397264</v>
      </c>
      <c r="J14" s="24">
        <f>1903360323/2357522466</f>
        <v>0.80735617600685039</v>
      </c>
      <c r="K14" s="24">
        <f>1809448958/2266243991</f>
        <v>0.79843519285033593</v>
      </c>
      <c r="L14" s="24">
        <f>1724932125/2212244656</f>
        <v>0.77972032628564747</v>
      </c>
      <c r="M14" s="24">
        <f>1677154400/2063384597</f>
        <v>0.81281715606409555</v>
      </c>
      <c r="N14" s="24">
        <f>1512118873/1884035732</f>
        <v>0.80259564471996969</v>
      </c>
      <c r="O14" s="30">
        <f>AVERAGE(C14:N14)</f>
        <v>0.80198292453619568</v>
      </c>
    </row>
    <row r="15" spans="1:15" ht="60" x14ac:dyDescent="0.25">
      <c r="A15" s="78"/>
      <c r="B15" s="37" t="s">
        <v>37</v>
      </c>
      <c r="C15" s="23">
        <f>1905779239/2342258388</f>
        <v>0.81365029954158929</v>
      </c>
      <c r="D15" s="23">
        <f>1641352585/2160666251</f>
        <v>0.75965114197546657</v>
      </c>
      <c r="E15" s="23">
        <f>1852936534/2392361442</f>
        <v>0.77452198546176032</v>
      </c>
      <c r="F15" s="23">
        <f>1788296653/2358299742</f>
        <v>0.75829913439391794</v>
      </c>
      <c r="G15" s="23">
        <f>1837679552/2408471130</f>
        <v>0.76300667635571784</v>
      </c>
      <c r="H15" s="23">
        <f>2027706885/2591712295</f>
        <v>0.78238116511308209</v>
      </c>
      <c r="I15" s="23">
        <f>2242041657/2812323731</f>
        <v>0.797220331459771</v>
      </c>
      <c r="J15" s="23">
        <f>2140193900/2715241732</f>
        <v>0.7882148667564749</v>
      </c>
      <c r="K15" s="23">
        <f>2044983851/2634201981</f>
        <v>0.77632006419784105</v>
      </c>
      <c r="L15" s="23">
        <f>1970418180/2584277960</f>
        <v>0.76246371733170681</v>
      </c>
      <c r="M15" s="23">
        <f>1862386304/2322997553</f>
        <v>0.80171686000910736</v>
      </c>
      <c r="N15" s="23">
        <f>1732992066/2185143657</f>
        <v>0.79307923781049605</v>
      </c>
      <c r="O15" s="30">
        <f>AVERAGE(C15:N15)</f>
        <v>0.78087712336724413</v>
      </c>
    </row>
    <row r="16" spans="1:15" ht="30" x14ac:dyDescent="0.25">
      <c r="A16" s="79"/>
      <c r="B16" s="37" t="s">
        <v>38</v>
      </c>
      <c r="C16" s="38">
        <v>25</v>
      </c>
      <c r="D16" s="38">
        <v>34</v>
      </c>
      <c r="E16" s="39">
        <v>24</v>
      </c>
      <c r="F16" s="38">
        <v>20</v>
      </c>
      <c r="G16" s="38">
        <v>29</v>
      </c>
      <c r="H16" s="39">
        <v>11</v>
      </c>
      <c r="I16" s="39">
        <v>39</v>
      </c>
      <c r="J16" s="39">
        <v>55</v>
      </c>
      <c r="K16" s="39">
        <v>32</v>
      </c>
      <c r="L16" s="39">
        <v>29</v>
      </c>
      <c r="M16" s="39">
        <v>31</v>
      </c>
      <c r="N16" s="39">
        <v>36</v>
      </c>
      <c r="O16" s="29">
        <f>SUM(C16:N16)</f>
        <v>365</v>
      </c>
    </row>
    <row r="17" spans="1:15" ht="45" x14ac:dyDescent="0.25">
      <c r="A17" s="80" t="s">
        <v>39</v>
      </c>
      <c r="B17" s="37" t="s">
        <v>40</v>
      </c>
      <c r="C17" s="26">
        <v>5</v>
      </c>
      <c r="D17" s="26">
        <v>4.9000000000000004</v>
      </c>
      <c r="E17" s="26">
        <v>5.14</v>
      </c>
      <c r="F17" s="26">
        <v>6</v>
      </c>
      <c r="G17" s="26">
        <v>5.9</v>
      </c>
      <c r="H17" s="26">
        <v>5.68</v>
      </c>
      <c r="I17" s="26">
        <v>4.59</v>
      </c>
      <c r="J17" s="26">
        <v>5.6</v>
      </c>
      <c r="K17" s="26">
        <v>5.9</v>
      </c>
      <c r="L17" s="26">
        <v>5.31</v>
      </c>
      <c r="M17" s="26">
        <v>5.61</v>
      </c>
      <c r="N17" s="26">
        <v>7.6</v>
      </c>
      <c r="O17" s="29">
        <f>AVERAGE(C17:N17)</f>
        <v>5.6024999999999991</v>
      </c>
    </row>
    <row r="18" spans="1:15" ht="45" x14ac:dyDescent="0.25">
      <c r="A18" s="80"/>
      <c r="B18" s="37" t="s">
        <v>41</v>
      </c>
      <c r="C18" s="40">
        <v>7.58</v>
      </c>
      <c r="D18" s="40">
        <v>7.38</v>
      </c>
      <c r="E18" s="41">
        <v>8.6</v>
      </c>
      <c r="F18" s="41">
        <v>8.42</v>
      </c>
      <c r="G18" s="41">
        <v>8.8800000000000008</v>
      </c>
      <c r="H18" s="41">
        <v>7.7</v>
      </c>
      <c r="I18" s="41">
        <v>7.94</v>
      </c>
      <c r="J18" s="41">
        <v>8.9</v>
      </c>
      <c r="K18" s="41">
        <v>8.9</v>
      </c>
      <c r="L18" s="40">
        <v>8.9</v>
      </c>
      <c r="M18" s="41">
        <v>9.81</v>
      </c>
      <c r="N18" s="41">
        <v>10.7</v>
      </c>
      <c r="O18" s="29">
        <f t="shared" ref="O18:O28" si="2">AVERAGE(C18:N18)</f>
        <v>8.6425000000000018</v>
      </c>
    </row>
    <row r="19" spans="1:15" ht="30" x14ac:dyDescent="0.25">
      <c r="A19" s="80"/>
      <c r="B19" s="37" t="s">
        <v>42</v>
      </c>
      <c r="C19" s="26">
        <v>77</v>
      </c>
      <c r="D19" s="26">
        <v>86.62</v>
      </c>
      <c r="E19" s="26">
        <v>77.75</v>
      </c>
      <c r="F19" s="26">
        <v>74</v>
      </c>
      <c r="G19" s="26">
        <v>75</v>
      </c>
      <c r="H19" s="26">
        <v>80.92</v>
      </c>
      <c r="I19" s="26">
        <v>85.63</v>
      </c>
      <c r="J19" s="26">
        <v>80.14</v>
      </c>
      <c r="K19" s="26">
        <v>84.5</v>
      </c>
      <c r="L19" s="26">
        <v>80.14</v>
      </c>
      <c r="M19" s="26">
        <v>96.5</v>
      </c>
      <c r="N19" s="26">
        <v>83.16</v>
      </c>
      <c r="O19" s="29">
        <f t="shared" si="2"/>
        <v>81.78</v>
      </c>
    </row>
    <row r="20" spans="1:15" ht="45" x14ac:dyDescent="0.25">
      <c r="A20" s="42" t="s">
        <v>43</v>
      </c>
      <c r="B20" s="37" t="s">
        <v>44</v>
      </c>
      <c r="C20" s="25">
        <v>2.7699999999999999E-2</v>
      </c>
      <c r="D20" s="25">
        <v>1.6799999999999999E-2</v>
      </c>
      <c r="E20" s="25">
        <v>2.4299999999999999E-2</v>
      </c>
      <c r="F20" s="25">
        <v>1.8599999999999998E-2</v>
      </c>
      <c r="G20" s="25">
        <v>1.21E-2</v>
      </c>
      <c r="H20" s="25">
        <v>1.61E-2</v>
      </c>
      <c r="I20" s="25">
        <v>4.5999999999999999E-3</v>
      </c>
      <c r="J20" s="25">
        <v>7.4000000000000003E-3</v>
      </c>
      <c r="K20" s="25">
        <v>2.8999999999999998E-3</v>
      </c>
      <c r="L20" s="25">
        <v>1.0999999999999999E-2</v>
      </c>
      <c r="M20" s="25">
        <v>1.3599999999999999E-2</v>
      </c>
      <c r="N20" s="25">
        <v>8.8000000000000005E-3</v>
      </c>
      <c r="O20" s="30">
        <f t="shared" si="2"/>
        <v>1.3658333333333335E-2</v>
      </c>
    </row>
    <row r="21" spans="1:15" ht="30" x14ac:dyDescent="0.25">
      <c r="A21" s="72" t="s">
        <v>45</v>
      </c>
      <c r="B21" s="37" t="s">
        <v>46</v>
      </c>
      <c r="C21" s="27">
        <v>0.4647</v>
      </c>
      <c r="D21" s="27">
        <v>0.4531</v>
      </c>
      <c r="E21" s="27">
        <v>0.44240000000000002</v>
      </c>
      <c r="F21" s="27">
        <v>0.45850000000000002</v>
      </c>
      <c r="G21" s="27">
        <v>0.48349999999999999</v>
      </c>
      <c r="H21" s="27">
        <v>0.48070000000000002</v>
      </c>
      <c r="I21" s="27">
        <v>0.48110000000000003</v>
      </c>
      <c r="J21" s="27">
        <v>0.46939999999999998</v>
      </c>
      <c r="K21" s="27">
        <v>0.48530000000000001</v>
      </c>
      <c r="L21" s="27">
        <v>0.47370000000000001</v>
      </c>
      <c r="M21" s="27">
        <v>0.46960000000000002</v>
      </c>
      <c r="N21" s="27">
        <v>0.46899999999999997</v>
      </c>
      <c r="O21" s="30">
        <f t="shared" si="2"/>
        <v>0.46924999999999994</v>
      </c>
    </row>
    <row r="22" spans="1:15" ht="30" x14ac:dyDescent="0.25">
      <c r="A22" s="73"/>
      <c r="B22" s="37" t="s">
        <v>47</v>
      </c>
      <c r="C22" s="25">
        <v>0.58720000000000006</v>
      </c>
      <c r="D22" s="25">
        <v>0.5948</v>
      </c>
      <c r="E22" s="25">
        <v>0.6008</v>
      </c>
      <c r="F22" s="25">
        <v>0.59719999999999995</v>
      </c>
      <c r="G22" s="25">
        <v>0.59960000000000002</v>
      </c>
      <c r="H22" s="25">
        <v>0.56840000000000002</v>
      </c>
      <c r="I22" s="25">
        <v>0.56389999999999996</v>
      </c>
      <c r="J22" s="25">
        <v>0.55840000000000001</v>
      </c>
      <c r="K22" s="25">
        <v>0.55649999999999999</v>
      </c>
      <c r="L22" s="25">
        <v>0.5575</v>
      </c>
      <c r="M22" s="25">
        <v>0.55659999999999998</v>
      </c>
      <c r="N22" s="25">
        <v>0.56089999999999995</v>
      </c>
      <c r="O22" s="30">
        <f t="shared" si="2"/>
        <v>0.57514999999999994</v>
      </c>
    </row>
    <row r="23" spans="1:15" ht="15.75" x14ac:dyDescent="0.25">
      <c r="A23" s="73"/>
      <c r="B23" s="37" t="s">
        <v>48</v>
      </c>
      <c r="C23" s="27">
        <v>0.31019999999999998</v>
      </c>
      <c r="D23" s="27">
        <v>0.30840000000000001</v>
      </c>
      <c r="E23" s="27">
        <v>0.32290000000000002</v>
      </c>
      <c r="F23" s="27">
        <v>0.30170000000000002</v>
      </c>
      <c r="G23" s="27">
        <v>0.30309999999999998</v>
      </c>
      <c r="H23" s="27">
        <v>0.30830000000000002</v>
      </c>
      <c r="I23" s="27">
        <v>0.30740000000000001</v>
      </c>
      <c r="J23" s="27">
        <v>0.30399999999999999</v>
      </c>
      <c r="K23" s="27">
        <v>0.30599999999999999</v>
      </c>
      <c r="L23" s="27">
        <v>0.30909999999999999</v>
      </c>
      <c r="M23" s="27">
        <v>0.30859999999999999</v>
      </c>
      <c r="N23" s="27">
        <v>0.30149999999999999</v>
      </c>
      <c r="O23" s="30">
        <f t="shared" si="2"/>
        <v>0.30759999999999993</v>
      </c>
    </row>
    <row r="24" spans="1:15" ht="15.75" x14ac:dyDescent="0.25">
      <c r="A24" s="74"/>
      <c r="B24" s="37" t="s">
        <v>49</v>
      </c>
      <c r="C24" s="25">
        <v>0.25340000000000001</v>
      </c>
      <c r="D24" s="25">
        <v>0.25240000000000001</v>
      </c>
      <c r="E24" s="25">
        <v>0.25829999999999997</v>
      </c>
      <c r="F24" s="25">
        <v>0.26129999999999998</v>
      </c>
      <c r="G24" s="25">
        <v>0.25719999999999998</v>
      </c>
      <c r="H24" s="25">
        <v>0.25530000000000003</v>
      </c>
      <c r="I24" s="25">
        <v>0.26150000000000001</v>
      </c>
      <c r="J24" s="25">
        <v>0.26519999999999999</v>
      </c>
      <c r="K24" s="25">
        <v>0.26779999999999998</v>
      </c>
      <c r="L24" s="25">
        <v>0.26750000000000002</v>
      </c>
      <c r="M24" s="25">
        <v>0.26590000000000003</v>
      </c>
      <c r="N24" s="25">
        <v>0.26540000000000002</v>
      </c>
      <c r="O24" s="30">
        <f t="shared" si="2"/>
        <v>0.26093333333333335</v>
      </c>
    </row>
    <row r="25" spans="1:15" ht="60" x14ac:dyDescent="0.25">
      <c r="A25" s="72" t="s">
        <v>50</v>
      </c>
      <c r="B25" s="37" t="s">
        <v>51</v>
      </c>
      <c r="C25" s="27">
        <f>(589+2935)/3692</f>
        <v>0.95449620801733481</v>
      </c>
      <c r="D25" s="27">
        <f>(776+3594)/4609</f>
        <v>0.94814493382512477</v>
      </c>
      <c r="E25" s="27">
        <f>(656+3560)/4412</f>
        <v>0.95557570262919311</v>
      </c>
      <c r="F25" s="27">
        <f>(426+3192)/3771</f>
        <v>0.95942720763723155</v>
      </c>
      <c r="G25" s="27">
        <f>(2945+439)/3573</f>
        <v>0.94710327455919396</v>
      </c>
      <c r="H25" s="27">
        <f>(560+3547)/4390</f>
        <v>0.93553530751708425</v>
      </c>
      <c r="I25" s="27">
        <f>(3246+358)/3811</f>
        <v>0.94568354762529516</v>
      </c>
      <c r="J25" s="27">
        <f>(3424+418)/4059</f>
        <v>0.94653855629465389</v>
      </c>
      <c r="K25" s="27">
        <f>(310+3150)/3780</f>
        <v>0.91534391534391535</v>
      </c>
      <c r="L25" s="27">
        <f>(221+3955)/4581</f>
        <v>0.91159135559921411</v>
      </c>
      <c r="M25" s="27">
        <f>(3436+510)/4281</f>
        <v>0.92174725531417889</v>
      </c>
      <c r="N25" s="27">
        <f>(3334+271)/4001</f>
        <v>0.90102474381404651</v>
      </c>
      <c r="O25" s="30">
        <f t="shared" si="2"/>
        <v>0.93685100068137217</v>
      </c>
    </row>
    <row r="26" spans="1:15" ht="90" x14ac:dyDescent="0.25">
      <c r="A26" s="73"/>
      <c r="B26" s="37" t="s">
        <v>52</v>
      </c>
      <c r="C26" s="25">
        <f>(1385+4127)/6352</f>
        <v>0.86775818639798485</v>
      </c>
      <c r="D26" s="25">
        <f>(1660+4140)/6724</f>
        <v>0.86258179654967282</v>
      </c>
      <c r="E26" s="25">
        <f>(1774+4225)/6872</f>
        <v>0.87296274738067525</v>
      </c>
      <c r="F26" s="25">
        <f>(1087+3761)/5655</f>
        <v>0.85729442970822278</v>
      </c>
      <c r="G26" s="25">
        <f>(1357+4104)/6583</f>
        <v>0.82956099042989517</v>
      </c>
      <c r="H26" s="25">
        <f>(3431+907)/5261</f>
        <v>0.82455806880821136</v>
      </c>
      <c r="I26" s="25">
        <f>(4137+846)/5967</f>
        <v>0.83509301156359983</v>
      </c>
      <c r="J26" s="25">
        <f>(3933+886)/5867</f>
        <v>0.82137378558036478</v>
      </c>
      <c r="K26" s="25">
        <f>(519+3525)/5303</f>
        <v>0.76258721478408453</v>
      </c>
      <c r="L26" s="25">
        <f>(4436+452)/6490</f>
        <v>0.75315870570107857</v>
      </c>
      <c r="M26" s="25">
        <f>(3825+1030)/6353</f>
        <v>0.76420588698252789</v>
      </c>
      <c r="N26" s="25">
        <f>(3706+492)/5448</f>
        <v>0.77055800293685761</v>
      </c>
      <c r="O26" s="30">
        <f t="shared" si="2"/>
        <v>0.81847440223526469</v>
      </c>
    </row>
    <row r="27" spans="1:15" ht="60" x14ac:dyDescent="0.25">
      <c r="A27" s="73"/>
      <c r="B27" s="37" t="s">
        <v>53</v>
      </c>
      <c r="C27" s="43">
        <v>3.2357150462033166</v>
      </c>
      <c r="D27" s="43">
        <v>3.1746231114018895</v>
      </c>
      <c r="E27" s="43">
        <v>3.393503572727866</v>
      </c>
      <c r="F27" s="43">
        <v>3.1244132332409573</v>
      </c>
      <c r="G27" s="43">
        <v>3.033045288110392</v>
      </c>
      <c r="H27" s="43">
        <v>2.8996684724520883</v>
      </c>
      <c r="I27" s="43">
        <v>2.8121366952525477</v>
      </c>
      <c r="J27" s="43">
        <v>2.8226193049827351</v>
      </c>
      <c r="K27" s="43">
        <v>3.1882770586061389</v>
      </c>
      <c r="L27" s="43">
        <v>3.0344493843754901</v>
      </c>
      <c r="M27" s="43">
        <v>3.1346901235373927</v>
      </c>
      <c r="N27" s="43">
        <v>3.1499098304604072</v>
      </c>
      <c r="O27" s="31">
        <f>AVERAGE(C27:N27)</f>
        <v>3.0835875934459356</v>
      </c>
    </row>
    <row r="28" spans="1:15" ht="30" x14ac:dyDescent="0.25">
      <c r="A28" s="73"/>
      <c r="B28" s="37" t="s">
        <v>54</v>
      </c>
      <c r="C28" s="25">
        <f>(623+3188)/4007</f>
        <v>0.9510856001996506</v>
      </c>
      <c r="D28" s="25">
        <f>(804+3836)/4902</f>
        <v>0.94655242758057934</v>
      </c>
      <c r="E28" s="25">
        <f>(702+3831)/4762</f>
        <v>0.9519109617807644</v>
      </c>
      <c r="F28" s="25">
        <f>(466+3415)/4047</f>
        <v>0.95898196194712138</v>
      </c>
      <c r="G28" s="25">
        <f>(606+3747)/4659</f>
        <v>0.93432066967160332</v>
      </c>
      <c r="H28" s="25">
        <f>(3166+475)/3854</f>
        <v>0.94473274519979245</v>
      </c>
      <c r="I28" s="25">
        <f>(3425+395)/4051</f>
        <v>0.94297704270550486</v>
      </c>
      <c r="J28" s="25">
        <f>(3597+455)/4300</f>
        <v>0.94232558139534883</v>
      </c>
      <c r="K28" s="25">
        <f>(335+3289)/3970</f>
        <v>0.91284634760705285</v>
      </c>
      <c r="L28" s="25">
        <f>(4141+242)/4834</f>
        <v>0.90670252378982208</v>
      </c>
      <c r="M28" s="25">
        <f>(3624+526)/4565</f>
        <v>0.90909090909090906</v>
      </c>
      <c r="N28" s="25">
        <f>(3489+304)/4202</f>
        <v>0.90266539742979535</v>
      </c>
      <c r="O28" s="30">
        <f t="shared" si="2"/>
        <v>0.93368268069982863</v>
      </c>
    </row>
    <row r="29" spans="1:15" ht="75" x14ac:dyDescent="0.25">
      <c r="A29" s="74"/>
      <c r="B29" s="37" t="s">
        <v>55</v>
      </c>
      <c r="C29" s="44">
        <v>3.5162066660153153</v>
      </c>
      <c r="D29" s="44">
        <v>3.4102077159797486</v>
      </c>
      <c r="E29" s="44">
        <v>3.6486323880984743</v>
      </c>
      <c r="F29" s="44">
        <v>3.3790527891395441</v>
      </c>
      <c r="G29" s="44">
        <v>3.2948423425139093</v>
      </c>
      <c r="H29" s="44">
        <v>3.1980311813252817</v>
      </c>
      <c r="I29" s="44">
        <v>3.0979776607375</v>
      </c>
      <c r="J29" s="44">
        <v>3.1482365289862311</v>
      </c>
      <c r="K29" s="44">
        <v>3.3823896322340556</v>
      </c>
      <c r="L29" s="44">
        <v>3.3581415288081691</v>
      </c>
      <c r="M29" s="44">
        <v>3.4708870306049331</v>
      </c>
      <c r="N29" s="44">
        <v>3.5454582836810995</v>
      </c>
      <c r="O29" s="31">
        <f>AVERAGE(C29:N29)</f>
        <v>3.3708386456770221</v>
      </c>
    </row>
  </sheetData>
  <mergeCells count="6">
    <mergeCell ref="A25:A29"/>
    <mergeCell ref="E1:G1"/>
    <mergeCell ref="A3:A4"/>
    <mergeCell ref="A5:A16"/>
    <mergeCell ref="A17:A19"/>
    <mergeCell ref="A21:A24"/>
  </mergeCells>
  <hyperlinks>
    <hyperlink ref="H1" location="'2017'!A60" display="GRAPHIQUE"/>
  </hyperlink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2020</vt:lpstr>
      <vt:lpstr>Feuil1</vt:lpstr>
      <vt:lpstr>'2020'!Zone_d_impression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Erick TAMO</dc:creator>
  <cp:lastModifiedBy>Erick TAMO</cp:lastModifiedBy>
  <dcterms:created xsi:type="dcterms:W3CDTF">2020-01-16T11:19:48Z</dcterms:created>
  <dcterms:modified xsi:type="dcterms:W3CDTF">2020-01-30T14:14:09Z</dcterms:modified>
</cp:coreProperties>
</file>