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K:\ENSTIB\Projet info\"/>
    </mc:Choice>
  </mc:AlternateContent>
  <xr:revisionPtr revIDLastSave="0" documentId="13_ncr:1_{17F1B149-F81B-4762-8865-4E9365AE24A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alcul RT 2012" sheetId="8" r:id="rId1"/>
    <sheet name="Données Matériaux" sheetId="6" r:id="rId2"/>
    <sheet name="Données Météo" sheetId="13" r:id="rId3"/>
    <sheet name="Données Ponts Thermiques" sheetId="12" r:id="rId4"/>
    <sheet name="Données Graphiques" sheetId="4" r:id="rId5"/>
    <sheet name="Données calcul" sheetId="7" r:id="rId6"/>
    <sheet name="Tableau croisé dynamique" sheetId="9" r:id="rId7"/>
    <sheet name="annotation" sheetId="10" r:id="rId8"/>
  </sheets>
  <definedNames>
    <definedName name="Béton">'Tableau croisé dynamique'!$M$3:$M$100</definedName>
    <definedName name="Bois">'Tableau croisé dynamique'!$K$3:$K$100</definedName>
    <definedName name="Chanvre">'Tableau croisé dynamique'!$I$3:$I$100</definedName>
    <definedName name="Divers">'Tableau croisé dynamique'!$Q$3:$Q$100</definedName>
    <definedName name="Fibre_de_bois">'Tableau croisé dynamique'!$C$3:$C$100</definedName>
    <definedName name="Fixation">'Tableau croisé dynamique'!$W$3:$W$100</definedName>
    <definedName name="Laine_de_roche">'Tableau croisé dynamique'!$G$3:$G$100</definedName>
    <definedName name="Laine_de_verre">'Tableau croisé dynamique'!$A$3:$A$100</definedName>
    <definedName name="Murs">'Tableau croisé dynamique'!$S$3:$S$100</definedName>
    <definedName name="Ouate_de_cellulose">'Tableau croisé dynamique'!$E$3:$E$100</definedName>
    <definedName name="Plâtre">'Tableau croisé dynamique'!$O$3:$O$100</definedName>
    <definedName name="Toiture">'Tableau croisé dynamique'!$U$3:$U$100</definedName>
    <definedName name="_xlnm.Print_Area" localSheetId="0">'Calcul RT 2012'!$A$1:$N$51,'Calcul RT 2012'!$A$73:$L$118</definedName>
  </definedNames>
  <calcPr calcId="191029"/>
  <pivotCaches>
    <pivotCache cacheId="3" r:id="rId9"/>
    <pivotCache cacheId="4" r:id="rId10"/>
    <pivotCache cacheId="5" r:id="rId11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2" i="8" l="1"/>
  <c r="B25" i="8" s="1"/>
  <c r="B28" i="8" s="1"/>
  <c r="B31" i="8" s="1"/>
  <c r="B34" i="8" s="1"/>
  <c r="B37" i="8" s="1"/>
  <c r="B40" i="8" s="1"/>
  <c r="F1" i="4" l="1"/>
  <c r="E1" i="4"/>
  <c r="D1" i="4"/>
  <c r="H41" i="8"/>
  <c r="K41" i="8" s="1"/>
  <c r="H38" i="8"/>
  <c r="K38" i="8" s="1"/>
  <c r="H35" i="8"/>
  <c r="K35" i="8" s="1"/>
  <c r="H32" i="8"/>
  <c r="K32" i="8" s="1"/>
  <c r="H29" i="8"/>
  <c r="K29" i="8" s="1"/>
  <c r="H26" i="8"/>
  <c r="K26" i="8" s="1"/>
  <c r="H23" i="8"/>
  <c r="K23" i="8" s="1"/>
  <c r="H20" i="8"/>
  <c r="K20" i="8" s="1"/>
  <c r="M41" i="8"/>
  <c r="M38" i="8"/>
  <c r="M35" i="8"/>
  <c r="M32" i="8"/>
  <c r="M29" i="8"/>
  <c r="M26" i="8"/>
  <c r="M23" i="8"/>
  <c r="M20" i="8"/>
  <c r="I80" i="8"/>
  <c r="I79" i="8"/>
  <c r="I78" i="8"/>
  <c r="G79" i="8"/>
  <c r="I77" i="8"/>
  <c r="H80" i="8"/>
  <c r="H79" i="8"/>
  <c r="H78" i="8"/>
  <c r="H77" i="8"/>
  <c r="G80" i="8"/>
  <c r="G78" i="8"/>
  <c r="G77" i="8"/>
  <c r="J79" i="8" l="1"/>
  <c r="J80" i="8"/>
  <c r="J77" i="8"/>
  <c r="J78" i="8"/>
  <c r="M5" i="12"/>
  <c r="J65" i="8" l="1"/>
  <c r="E64" i="8"/>
  <c r="J41" i="8"/>
  <c r="J38" i="8"/>
  <c r="J35" i="8"/>
  <c r="J32" i="8"/>
  <c r="J29" i="8"/>
  <c r="J26" i="8"/>
  <c r="J23" i="8"/>
  <c r="J20" i="8"/>
  <c r="I41" i="8"/>
  <c r="I38" i="8"/>
  <c r="I35" i="8"/>
  <c r="I32" i="8"/>
  <c r="I29" i="8"/>
  <c r="I26" i="8"/>
  <c r="I23" i="8"/>
  <c r="I20" i="8"/>
  <c r="J81" i="8" l="1"/>
  <c r="O44" i="8"/>
  <c r="O17" i="8"/>
  <c r="C16" i="7"/>
  <c r="Q17" i="8" l="1"/>
  <c r="D3" i="4"/>
  <c r="Q44" i="8"/>
  <c r="D14" i="4"/>
  <c r="L26" i="8"/>
  <c r="L29" i="8"/>
  <c r="L32" i="8"/>
  <c r="L35" i="8"/>
  <c r="L38" i="8"/>
  <c r="L41" i="8"/>
  <c r="L20" i="8"/>
  <c r="P43" i="8" l="1"/>
  <c r="E13" i="4" s="1"/>
  <c r="F14" i="4"/>
  <c r="P17" i="8"/>
  <c r="E3" i="4" s="1"/>
  <c r="F3" i="4"/>
  <c r="E48" i="8"/>
  <c r="L23" i="8"/>
  <c r="AE2" i="6"/>
  <c r="AE3" i="6" s="1"/>
  <c r="A6" i="6" s="1"/>
  <c r="B8" i="7"/>
  <c r="A8" i="7" s="1"/>
  <c r="E8" i="7" s="1"/>
  <c r="C15" i="7"/>
  <c r="C25" i="7"/>
  <c r="C27" i="7" s="1"/>
  <c r="S11" i="8"/>
  <c r="S12" i="8" s="1"/>
  <c r="E12" i="8"/>
  <c r="N19" i="8" s="1"/>
  <c r="E6" i="7"/>
  <c r="E5" i="7"/>
  <c r="E4" i="7"/>
  <c r="C4" i="4"/>
  <c r="C5" i="4" s="1"/>
  <c r="C6" i="4" s="1"/>
  <c r="C7" i="4" s="1"/>
  <c r="C8" i="4" s="1"/>
  <c r="C9" i="4" s="1"/>
  <c r="C10" i="4" s="1"/>
  <c r="C11" i="4" s="1"/>
  <c r="C12" i="4" s="1"/>
  <c r="N25" i="8" l="1"/>
  <c r="N34" i="8"/>
  <c r="N31" i="8"/>
  <c r="N40" i="8"/>
  <c r="N28" i="8"/>
  <c r="N37" i="8"/>
  <c r="N22" i="8"/>
  <c r="C20" i="4"/>
  <c r="C21" i="4" s="1"/>
  <c r="C22" i="4"/>
  <c r="C23" i="4" s="1"/>
  <c r="D2" i="4"/>
  <c r="D21" i="4" s="1"/>
  <c r="D35" i="4" s="1"/>
  <c r="E2" i="4"/>
  <c r="F2" i="4"/>
  <c r="E21" i="4" s="1"/>
  <c r="E31" i="4" s="1"/>
  <c r="C24" i="4"/>
  <c r="C25" i="4" s="1"/>
  <c r="C8" i="7"/>
  <c r="E49" i="8" s="1"/>
  <c r="D8" i="7"/>
  <c r="E50" i="8" s="1"/>
  <c r="E4" i="4"/>
  <c r="P49" i="8" l="1"/>
  <c r="E25" i="4"/>
  <c r="P50" i="8"/>
  <c r="P19" i="8" s="1"/>
  <c r="E23" i="4"/>
  <c r="E29" i="4"/>
  <c r="D25" i="4"/>
  <c r="D27" i="4"/>
  <c r="E27" i="4"/>
  <c r="E33" i="4"/>
  <c r="E37" i="4"/>
  <c r="D23" i="4"/>
  <c r="D37" i="4"/>
  <c r="D31" i="4"/>
  <c r="D33" i="4"/>
  <c r="D29" i="4"/>
  <c r="E35" i="4"/>
  <c r="C14" i="7"/>
  <c r="E51" i="8"/>
  <c r="E83" i="8" s="1"/>
  <c r="E84" i="8" s="1"/>
  <c r="C26" i="4"/>
  <c r="C27" i="4" s="1"/>
  <c r="C17" i="7" l="1"/>
  <c r="O18" i="8" s="1"/>
  <c r="P22" i="8"/>
  <c r="E5" i="4"/>
  <c r="C28" i="4"/>
  <c r="C29" i="4" s="1"/>
  <c r="Q18" i="8" l="1"/>
  <c r="F4" i="4" s="1"/>
  <c r="O19" i="8"/>
  <c r="D5" i="4" s="1"/>
  <c r="D4" i="4"/>
  <c r="E6" i="4"/>
  <c r="P25" i="8"/>
  <c r="C30" i="4"/>
  <c r="C31" i="4" s="1"/>
  <c r="O22" i="8" l="1"/>
  <c r="D6" i="4" s="1"/>
  <c r="Q19" i="8"/>
  <c r="F5" i="4" s="1"/>
  <c r="S19" i="8"/>
  <c r="E7" i="4"/>
  <c r="P28" i="8"/>
  <c r="C32" i="4"/>
  <c r="C33" i="4" s="1"/>
  <c r="Q22" i="8" l="1"/>
  <c r="R22" i="8" s="1"/>
  <c r="S22" i="8"/>
  <c r="O25" i="8"/>
  <c r="D7" i="4" s="1"/>
  <c r="R19" i="8"/>
  <c r="E8" i="4"/>
  <c r="P31" i="8"/>
  <c r="C34" i="4"/>
  <c r="C35" i="4" s="1"/>
  <c r="Q25" i="8" l="1"/>
  <c r="R25" i="8" s="1"/>
  <c r="S25" i="8"/>
  <c r="F6" i="4"/>
  <c r="O28" i="8"/>
  <c r="D8" i="4" s="1"/>
  <c r="E9" i="4"/>
  <c r="P34" i="8"/>
  <c r="C13" i="4"/>
  <c r="C14" i="4" s="1"/>
  <c r="C15" i="4" s="1"/>
  <c r="C36" i="4"/>
  <c r="C37" i="4" s="1"/>
  <c r="F7" i="4" l="1"/>
  <c r="S28" i="8"/>
  <c r="Q28" i="8"/>
  <c r="R28" i="8" s="1"/>
  <c r="O31" i="8"/>
  <c r="D9" i="4" s="1"/>
  <c r="E10" i="4"/>
  <c r="P37" i="8"/>
  <c r="F8" i="4" l="1"/>
  <c r="S31" i="8"/>
  <c r="O34" i="8"/>
  <c r="D10" i="4" s="1"/>
  <c r="Q31" i="8"/>
  <c r="R31" i="8" s="1"/>
  <c r="E11" i="4"/>
  <c r="P40" i="8"/>
  <c r="E12" i="4" s="1"/>
  <c r="O37" i="8" l="1"/>
  <c r="D11" i="4" s="1"/>
  <c r="Q34" i="8"/>
  <c r="R34" i="8" s="1"/>
  <c r="S34" i="8"/>
  <c r="F9" i="4"/>
  <c r="S37" i="8" l="1"/>
  <c r="Q37" i="8"/>
  <c r="F11" i="4" s="1"/>
  <c r="O40" i="8"/>
  <c r="D12" i="4" s="1"/>
  <c r="F10" i="4"/>
  <c r="O43" i="8" l="1"/>
  <c r="Q43" i="8" s="1"/>
  <c r="F13" i="4" s="1"/>
  <c r="R37" i="8"/>
  <c r="S40" i="8"/>
  <c r="Q40" i="8"/>
  <c r="R40" i="8" s="1"/>
  <c r="D13" i="4" l="1"/>
  <c r="F12" i="4"/>
  <c r="D15" i="4"/>
  <c r="D20" i="4" s="1"/>
  <c r="D24" i="4" l="1"/>
  <c r="D28" i="4"/>
  <c r="D36" i="4"/>
  <c r="D30" i="4"/>
  <c r="D26" i="4"/>
  <c r="D34" i="4"/>
  <c r="D32" i="4"/>
  <c r="D22" i="4"/>
  <c r="E14" i="4"/>
  <c r="F15" i="4"/>
  <c r="E20" i="4" s="1"/>
  <c r="E30" i="4" l="1"/>
  <c r="E34" i="4"/>
  <c r="E22" i="4"/>
  <c r="E28" i="4"/>
  <c r="E36" i="4"/>
  <c r="E26" i="4"/>
  <c r="E32" i="4"/>
  <c r="E24" i="4"/>
  <c r="E15" i="4"/>
</calcChain>
</file>

<file path=xl/sharedStrings.xml><?xml version="1.0" encoding="utf-8"?>
<sst xmlns="http://schemas.openxmlformats.org/spreadsheetml/2006/main" count="497" uniqueCount="248">
  <si>
    <t>Conductivité λ (W/m.K)</t>
  </si>
  <si>
    <t>Chaleur spécifique C (J/kg.K)</t>
  </si>
  <si>
    <t>Densité (kg/m³)</t>
  </si>
  <si>
    <t>Résistance à la diffusion de la vapeur d'eau μ</t>
  </si>
  <si>
    <t>Composition de la paroi</t>
  </si>
  <si>
    <t>Matériau</t>
  </si>
  <si>
    <t>m².K/W</t>
  </si>
  <si>
    <t>W/m².K</t>
  </si>
  <si>
    <t>Sd (m)</t>
  </si>
  <si>
    <t>Résistances superficielles</t>
  </si>
  <si>
    <t>Rsi+Rse</t>
  </si>
  <si>
    <t>Rsi (m².K/W)</t>
  </si>
  <si>
    <t>Rse (m².K/W)</t>
  </si>
  <si>
    <t>Paroi verticale, inclinaison ≥ 60°</t>
  </si>
  <si>
    <t>Paroi horizontale de type toiture, inclinaison &lt; 60°</t>
  </si>
  <si>
    <t>Paroi horizontale de type plancher sur ext., inclinaison &lt; 60°</t>
  </si>
  <si>
    <t>Pas de prise en compte des résistances superficielles</t>
  </si>
  <si>
    <t>Type de paroi (résistance superficielle) :</t>
  </si>
  <si>
    <t>Couche 1</t>
  </si>
  <si>
    <t>Couche 2</t>
  </si>
  <si>
    <t>Couche 3</t>
  </si>
  <si>
    <t>Couche 4</t>
  </si>
  <si>
    <t>Bois résineux</t>
  </si>
  <si>
    <t>Béton plein</t>
  </si>
  <si>
    <t>Béton armé</t>
  </si>
  <si>
    <t>Epaisseur couche (m)</t>
  </si>
  <si>
    <t>Ratio par couche en %/m²</t>
  </si>
  <si>
    <t>Résistance thermique R (m².K/W)</t>
  </si>
  <si>
    <t>Couche 5</t>
  </si>
  <si>
    <t>Couche 6</t>
  </si>
  <si>
    <t>INTERIEUR</t>
  </si>
  <si>
    <t>T (°C)</t>
  </si>
  <si>
    <t>W/m²</t>
  </si>
  <si>
    <t>SURFACE EXTERIEUR</t>
  </si>
  <si>
    <t>EXTERIEUR</t>
  </si>
  <si>
    <t>T paroi (°C)</t>
  </si>
  <si>
    <t>Pression de vapeur Pv (Pa)</t>
  </si>
  <si>
    <t>Interieur</t>
  </si>
  <si>
    <t>Exterieur</t>
  </si>
  <si>
    <t>HR (%)</t>
  </si>
  <si>
    <t xml:space="preserve">Permabilité de l'air δa </t>
  </si>
  <si>
    <t>kg/(m.s.Pa)</t>
  </si>
  <si>
    <t xml:space="preserve">Rd </t>
  </si>
  <si>
    <t>kg/m².s</t>
  </si>
  <si>
    <t>Thermique φ</t>
  </si>
  <si>
    <t>Pression q</t>
  </si>
  <si>
    <t>Pression de vapeur saturante Pvs (Pa)</t>
  </si>
  <si>
    <t>Couche 7</t>
  </si>
  <si>
    <t>Couche 8</t>
  </si>
  <si>
    <t>Ep cummulée (m)</t>
  </si>
  <si>
    <t>x</t>
  </si>
  <si>
    <t>y thermique</t>
  </si>
  <si>
    <t>y pression</t>
  </si>
  <si>
    <t>RESISTANCE THERMIQUE ET PRESSION D'UNE PAROI OPAQUE</t>
  </si>
  <si>
    <t>CONDITIONS INTERIEURES</t>
  </si>
  <si>
    <t>CONDITIONS DE SURFACE INTERIEURES (avec Rsi)</t>
  </si>
  <si>
    <t>Flux traversants</t>
  </si>
  <si>
    <t>Condensation</t>
  </si>
  <si>
    <t>Analyse statique - Méthode GLASER - Selon NF EN ISO 13788</t>
  </si>
  <si>
    <t>Laine de verre</t>
  </si>
  <si>
    <t>Docs Produits</t>
  </si>
  <si>
    <t>Fabricants</t>
  </si>
  <si>
    <t>ISOVER</t>
  </si>
  <si>
    <t>KNAUF</t>
  </si>
  <si>
    <t>ROCKWOOL</t>
  </si>
  <si>
    <t>HOMATHERM</t>
  </si>
  <si>
    <t>Fibre de bois</t>
  </si>
  <si>
    <t>Matériaux</t>
  </si>
  <si>
    <t>Type de Produit</t>
  </si>
  <si>
    <t>Désignation</t>
  </si>
  <si>
    <t>Epaisseur (mm)</t>
  </si>
  <si>
    <t>Utilisation / Description</t>
  </si>
  <si>
    <t>Isolant avec protection anti-incendie+Support d'enduit</t>
  </si>
  <si>
    <t>Isolant support d'enduit</t>
  </si>
  <si>
    <t>Ouate de cellulose</t>
  </si>
  <si>
    <t>Résistances thermiques superficielles</t>
  </si>
  <si>
    <t>Règles Th-U RT 2012</t>
  </si>
  <si>
    <t>Isolation en toiture et pour ossature bois</t>
  </si>
  <si>
    <t>Panneau mixte fibre de bois et laine de verre</t>
  </si>
  <si>
    <t>Combles aménagés</t>
  </si>
  <si>
    <t>Combles et planchers</t>
  </si>
  <si>
    <r>
      <t>Conductivité thermique de la paroi :</t>
    </r>
    <r>
      <rPr>
        <sz val="10"/>
        <rFont val="GreekS"/>
      </rPr>
      <t>λ</t>
    </r>
  </si>
  <si>
    <r>
      <t xml:space="preserve">Ecart de température : </t>
    </r>
    <r>
      <rPr>
        <sz val="10"/>
        <rFont val="GreekS"/>
      </rPr>
      <t>∆</t>
    </r>
    <r>
      <rPr>
        <sz val="10"/>
        <rFont val="Arial"/>
        <family val="2"/>
      </rPr>
      <t>T</t>
    </r>
  </si>
  <si>
    <t>Epaisseur de la paroi</t>
  </si>
  <si>
    <t>Flux thermique</t>
  </si>
  <si>
    <t>Calcul du flux thermique</t>
  </si>
  <si>
    <t>Calcul d'un ratio (%/m²)</t>
  </si>
  <si>
    <t>Largeur du bois (mm)</t>
  </si>
  <si>
    <t>Entraxe (m)</t>
  </si>
  <si>
    <t>Ratio de l'élément principal</t>
  </si>
  <si>
    <t>Ratio de l'élément secondaire</t>
  </si>
  <si>
    <t>Fixation</t>
  </si>
  <si>
    <t>Calcul du coefficient de transmission thermique surfacique</t>
  </si>
  <si>
    <t>Résistance de la paroi: R</t>
  </si>
  <si>
    <r>
      <t>Résistance superfielles: R</t>
    </r>
    <r>
      <rPr>
        <vertAlign val="subscript"/>
        <sz val="10"/>
        <rFont val="Arial"/>
        <family val="2"/>
      </rPr>
      <t>si</t>
    </r>
    <r>
      <rPr>
        <sz val="10"/>
        <rFont val="Arial"/>
        <family val="2"/>
      </rPr>
      <t>+R</t>
    </r>
    <r>
      <rPr>
        <vertAlign val="subscript"/>
        <sz val="10"/>
        <rFont val="Arial"/>
        <family val="2"/>
      </rPr>
      <t>se</t>
    </r>
  </si>
  <si>
    <t>Coefficient de transmission surfacique</t>
  </si>
  <si>
    <t>Bilan pour 1m² de paroi opaque</t>
  </si>
  <si>
    <r>
      <t>Résistance thermique de la paroi: R</t>
    </r>
    <r>
      <rPr>
        <vertAlign val="subscript"/>
        <sz val="10"/>
        <rFont val="Arial"/>
        <family val="2"/>
      </rPr>
      <t>paroi</t>
    </r>
  </si>
  <si>
    <t>W/(m.K)</t>
  </si>
  <si>
    <t>k</t>
  </si>
  <si>
    <t>m</t>
  </si>
  <si>
    <t>type de matériaux</t>
  </si>
  <si>
    <t>Laine de roche</t>
  </si>
  <si>
    <t>Bois</t>
  </si>
  <si>
    <t>Béton</t>
  </si>
  <si>
    <t>Plâtre</t>
  </si>
  <si>
    <t>Chanvre</t>
  </si>
  <si>
    <t>Divers</t>
  </si>
  <si>
    <t>Fibre_de_bois</t>
  </si>
  <si>
    <t>Laine_de_verre</t>
  </si>
  <si>
    <t>Étiquettes de lignes</t>
  </si>
  <si>
    <t>Ouate_de_cellulose</t>
  </si>
  <si>
    <t>Laine_de_roche</t>
  </si>
  <si>
    <t>Bloc béton de chanvre</t>
  </si>
  <si>
    <t>Epaisseur (m)</t>
  </si>
  <si>
    <r>
      <t>Résistance superficielles extérieur: R</t>
    </r>
    <r>
      <rPr>
        <vertAlign val="subscript"/>
        <sz val="10"/>
        <rFont val="Arial"/>
        <family val="2"/>
      </rPr>
      <t>se</t>
    </r>
  </si>
  <si>
    <r>
      <t>Résistances superficielles intérieure: R</t>
    </r>
    <r>
      <rPr>
        <vertAlign val="subscript"/>
        <sz val="10"/>
        <rFont val="Arial"/>
        <family val="2"/>
      </rPr>
      <t>si</t>
    </r>
  </si>
  <si>
    <t>Pont thermique</t>
  </si>
  <si>
    <r>
      <t>Coefficient surfacique U</t>
    </r>
    <r>
      <rPr>
        <vertAlign val="subscript"/>
        <sz val="10"/>
        <rFont val="Arial"/>
        <family val="2"/>
      </rPr>
      <t>i</t>
    </r>
    <r>
      <rPr>
        <sz val="10"/>
        <rFont val="Arial"/>
        <family val="2"/>
      </rPr>
      <t xml:space="preserve"> (W/m².K)</t>
    </r>
  </si>
  <si>
    <t>Flux dans la couche</t>
  </si>
  <si>
    <t>ROCKWOLL</t>
  </si>
  <si>
    <t>Panneau semi-rigide mono densité</t>
  </si>
  <si>
    <t>Béton cellulaire 500kg/m3</t>
  </si>
  <si>
    <t>Béton cellulaire 600kg/m3</t>
  </si>
  <si>
    <t>Béton cellulaire 700kg/m3</t>
  </si>
  <si>
    <t>Bois feuillus</t>
  </si>
  <si>
    <t>Brique ciment creuse</t>
  </si>
  <si>
    <t>Enduit au plâtre</t>
  </si>
  <si>
    <t>Maçonnerie de moellons</t>
  </si>
  <si>
    <t>Liège en vrac</t>
  </si>
  <si>
    <t>Type de ponts thermique</t>
  </si>
  <si>
    <r>
      <t xml:space="preserve">Valeur globale </t>
    </r>
    <r>
      <rPr>
        <sz val="10"/>
        <rFont val="GreekS"/>
      </rPr>
      <t>∆</t>
    </r>
    <r>
      <rPr>
        <sz val="10"/>
        <rFont val="Arial"/>
        <family val="2"/>
      </rPr>
      <t>U</t>
    </r>
  </si>
  <si>
    <t>Détail</t>
  </si>
  <si>
    <t>Détail des ponts thermiques considérés de l'intérieur vers l'extérieur:</t>
  </si>
  <si>
    <t>Lame d'air non ventilé ep: 10mm</t>
  </si>
  <si>
    <t>vide d'air non ventilé</t>
  </si>
  <si>
    <t>Lame d'air non ventilé ep:15mm</t>
  </si>
  <si>
    <t>Lame d'air non ventilé ep:25mm</t>
  </si>
  <si>
    <t>Vide d'air non ventilé</t>
  </si>
  <si>
    <t>Lame d'air non ventilé ep: 40mm</t>
  </si>
  <si>
    <t>Lame d'air non ventilé ep: 50mm</t>
  </si>
  <si>
    <t>Total</t>
  </si>
  <si>
    <t>Calcul des linéaires de ponts thermiques</t>
  </si>
  <si>
    <t>Entraxe de l'élément (m)</t>
  </si>
  <si>
    <t>Surface de la paroi A (m²)</t>
  </si>
  <si>
    <t>Calcul du nombre de croisements</t>
  </si>
  <si>
    <t>Nombre de croisements</t>
  </si>
  <si>
    <t>Entraxe de l'élément 1 (m)</t>
  </si>
  <si>
    <t>Entraxe de l'élément 2 (m)</t>
  </si>
  <si>
    <t>Ponts thermiques</t>
  </si>
  <si>
    <t>W/(m².K)</t>
  </si>
  <si>
    <t>ψ     (W/(m.K))</t>
  </si>
  <si>
    <t>χ           (W/K)</t>
  </si>
  <si>
    <r>
      <rPr>
        <sz val="10"/>
        <rFont val="GreekS"/>
      </rPr>
      <t>∆</t>
    </r>
    <r>
      <rPr>
        <sz val="10"/>
        <rFont val="Arial"/>
        <family val="2"/>
      </rPr>
      <t>U       (W/m².K)</t>
    </r>
  </si>
  <si>
    <t>Linéaire de pont thermique (m)</t>
  </si>
  <si>
    <t>SAINT-GOBAIN</t>
  </si>
  <si>
    <t>Ajout d'un matériau dans la base de données</t>
  </si>
  <si>
    <t>Bibliothèque des Ponts Thermiques</t>
  </si>
  <si>
    <t>Type de Ponts thermiques</t>
  </si>
  <si>
    <t>Détails</t>
  </si>
  <si>
    <r>
      <t xml:space="preserve">ψ </t>
    </r>
    <r>
      <rPr>
        <sz val="10"/>
        <rFont val="Arial"/>
        <family val="2"/>
      </rPr>
      <t>(W/(m.K))</t>
    </r>
  </si>
  <si>
    <r>
      <t xml:space="preserve">χ </t>
    </r>
    <r>
      <rPr>
        <sz val="10"/>
        <rFont val="Arial"/>
        <family val="2"/>
      </rPr>
      <t>(W/K)</t>
    </r>
  </si>
  <si>
    <t>∆ U (W/m².K)</t>
  </si>
  <si>
    <t>Murs</t>
  </si>
  <si>
    <t>Toiture</t>
  </si>
  <si>
    <t>xa</t>
  </si>
  <si>
    <t>xb</t>
  </si>
  <si>
    <t>ya</t>
  </si>
  <si>
    <t>yb</t>
  </si>
  <si>
    <t>f(x)</t>
  </si>
  <si>
    <t>Interpolation linéaire</t>
  </si>
  <si>
    <t>Croisement ossature/latte</t>
  </si>
  <si>
    <t>Equerre alu 100mm² dans isolant 50mm</t>
  </si>
  <si>
    <t>Croisement panne/chevron</t>
  </si>
  <si>
    <r>
      <t>Coefficient de transmission surfacique en partie courante: U</t>
    </r>
    <r>
      <rPr>
        <b/>
        <vertAlign val="subscript"/>
        <sz val="12"/>
        <color rgb="FFFF0000"/>
        <rFont val="Arial"/>
        <family val="2"/>
      </rPr>
      <t>c</t>
    </r>
  </si>
  <si>
    <t>Longueur du pont thermique (m/m²)</t>
  </si>
  <si>
    <t>Nombre de pont thermique /m²</t>
  </si>
  <si>
    <t>OSB 3 ep:10 à 18mm</t>
  </si>
  <si>
    <t>Isolation entre montants ep:36mm, entraxe 400mm</t>
  </si>
  <si>
    <t>Ossature renforcé de 2 montants, isolant entre montants ep:45mm,entraxe 600mm</t>
  </si>
  <si>
    <t>Ossature renforcé de 3 montants, isolant entre montants ep:60mm, entraxe 600mm</t>
  </si>
  <si>
    <t>Ossature renforcé de 3 montants, isolant entre montants ep:45mm, entraxe 600mm</t>
  </si>
  <si>
    <t>Isolation entre montants ep:60mm + isolation complémentaire, entraxe 600mm</t>
  </si>
  <si>
    <t>Isolation entre montants ep:45mm + isolation complémentaire, entraxe 600mm</t>
  </si>
  <si>
    <t>Isolation entre montants ep:50mm + isolation complémentaire, entraxe 600mm</t>
  </si>
  <si>
    <t>Isolation entre montants ep:36mm + isolation complémentaire, entraxe 600mm</t>
  </si>
  <si>
    <t>Isolation entre montants ep:60mm + isolation complémentaire, entraxe 400mm</t>
  </si>
  <si>
    <t>Isolation entre montants ep:45mm + isolation complémentaire, entraxe 400mm</t>
  </si>
  <si>
    <t>Isolation entre montants ep:50mm + isolation complémentaire, entraxe 400mm</t>
  </si>
  <si>
    <t>Isolation entre montants ep:36mm + isolation complémentaire, entraxe 400mm</t>
  </si>
  <si>
    <t>Isolation entre montants ep:60mm, entraxe 600mm</t>
  </si>
  <si>
    <t>Isolation entre montants ep:45mm, entraxe 600mm</t>
  </si>
  <si>
    <t>Isolation entre montants ep:50mm, entraxe 600mm</t>
  </si>
  <si>
    <t>Isolation entre montants ep:36mm, entraxe 600mm</t>
  </si>
  <si>
    <t>Isolation entre montants ep:60mm, entraxe 400mm</t>
  </si>
  <si>
    <t>Isolation entre montants ep:45mm, entraxe 400mm</t>
  </si>
  <si>
    <t>Isolation entre montants ep:50mm, entraxe 400mm</t>
  </si>
  <si>
    <t>Résistance global de la paroi: R</t>
  </si>
  <si>
    <t>Ossateur renforcé de 3 montants ep:60mm, isolant entre montants + isolant complémentaire, entraxe 600mm</t>
  </si>
  <si>
    <t>Lattes support isolant extérieur</t>
  </si>
  <si>
    <r>
      <t>Coefficient de transmission: U</t>
    </r>
    <r>
      <rPr>
        <b/>
        <vertAlign val="subscript"/>
        <sz val="12"/>
        <color rgb="FFFF0000"/>
        <rFont val="Arial"/>
        <family val="2"/>
      </rPr>
      <t>p</t>
    </r>
  </si>
  <si>
    <t>='Calcul RT 2012'!D17</t>
  </si>
  <si>
    <t>='Calcul RT 2012'!D18</t>
  </si>
  <si>
    <t>='Calcul RT 2012'!D43</t>
  </si>
  <si>
    <t>='Calcul RT 2012'!D44</t>
  </si>
  <si>
    <t>Valeurs des ponts thermiques pour la suisse</t>
  </si>
  <si>
    <t>Valeurs des ponts thermiques pour la France</t>
  </si>
  <si>
    <t xml:space="preserve"> </t>
  </si>
  <si>
    <t>FERMACELL</t>
  </si>
  <si>
    <t>Panneau plâtre armé de fibre de bois</t>
  </si>
  <si>
    <t>SOPREMA</t>
  </si>
  <si>
    <t>STEICO</t>
  </si>
  <si>
    <t>fibre bois en vrac</t>
  </si>
  <si>
    <t>Briques</t>
  </si>
  <si>
    <t>KRONOSPAN</t>
  </si>
  <si>
    <t>Clou galva dans 40mm d'isolant</t>
  </si>
  <si>
    <t>Clou galva dans 60mm d'isolant</t>
  </si>
  <si>
    <t>Clou galva dans isolant &gt;60mm</t>
  </si>
  <si>
    <t>Clou inox dans isolant &lt;100mm</t>
  </si>
  <si>
    <t>Clou inox dans isolant &gt;100mm</t>
  </si>
  <si>
    <t>Ind.D du 17.01.2020</t>
  </si>
  <si>
    <t>Pare-Pluie</t>
  </si>
  <si>
    <t>PU 0.022</t>
  </si>
  <si>
    <t>Maçonnerie</t>
  </si>
  <si>
    <t>OSB3</t>
  </si>
  <si>
    <t>OSB2</t>
  </si>
  <si>
    <t>OSB4</t>
  </si>
  <si>
    <t>Pare-vapeur</t>
  </si>
  <si>
    <t>Fibre de bois en vrac</t>
  </si>
  <si>
    <t>Fibre de bois 0.039</t>
  </si>
  <si>
    <t>Fibre de bois 0.043</t>
  </si>
  <si>
    <t>Fibre de bois 0.042</t>
  </si>
  <si>
    <t>LdR 0.034</t>
  </si>
  <si>
    <t>LdR 0.033</t>
  </si>
  <si>
    <t>LdR 0.037</t>
  </si>
  <si>
    <t>LdV 0.037</t>
  </si>
  <si>
    <t>LdV 0.04</t>
  </si>
  <si>
    <t>LdV 0.035</t>
  </si>
  <si>
    <t>LdV 0.036</t>
  </si>
  <si>
    <t>LdV 0.032</t>
  </si>
  <si>
    <t>Ouate de cellulose 0.058</t>
  </si>
  <si>
    <t>Ouate de cellulose 0.042</t>
  </si>
  <si>
    <t>Fermacell</t>
  </si>
  <si>
    <t>BA13</t>
  </si>
  <si>
    <t>BA15F</t>
  </si>
  <si>
    <t>Couche n°</t>
  </si>
  <si>
    <t>Ponts thrmqs</t>
  </si>
  <si>
    <t>Ratio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</si>
</sst>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00"/>
    <numFmt numFmtId="165" formatCode="0.0000"/>
    <numFmt numFmtId="166" formatCode="0.000"/>
    <numFmt numFmtId="167" formatCode="0.0"/>
  </numFmts>
  <fonts count="23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sz val="14"/>
      <name val="Arial"/>
      <family val="2"/>
    </font>
    <font>
      <sz val="18"/>
      <name val="Arial"/>
      <family val="2"/>
    </font>
    <font>
      <u/>
      <sz val="14"/>
      <name val="Arial"/>
      <family val="2"/>
    </font>
    <font>
      <sz val="10"/>
      <name val="GreekS"/>
    </font>
    <font>
      <b/>
      <sz val="12"/>
      <name val="Arial"/>
      <family val="2"/>
    </font>
    <font>
      <vertAlign val="subscript"/>
      <sz val="1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sz val="10"/>
      <name val="Gulim"/>
      <family val="2"/>
    </font>
    <font>
      <sz val="16"/>
      <name val="Arial"/>
      <family val="2"/>
    </font>
    <font>
      <b/>
      <sz val="12"/>
      <color rgb="FFFF0000"/>
      <name val="Arial"/>
      <family val="2"/>
    </font>
    <font>
      <b/>
      <vertAlign val="subscript"/>
      <sz val="12"/>
      <color rgb="FFFF0000"/>
      <name val="Arial"/>
      <family val="2"/>
    </font>
    <font>
      <b/>
      <sz val="10"/>
      <color rgb="FFFF0000"/>
      <name val="Arial"/>
      <family val="2"/>
    </font>
    <font>
      <i/>
      <sz val="8"/>
      <name val="Arial"/>
      <family val="2"/>
    </font>
    <font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</fills>
  <borders count="4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</cellStyleXfs>
  <cellXfs count="221">
    <xf numFmtId="0" fontId="0" fillId="0" borderId="0" xfId="0"/>
    <xf numFmtId="0" fontId="0" fillId="0" borderId="2" xfId="0" applyBorder="1"/>
    <xf numFmtId="0" fontId="2" fillId="0" borderId="0" xfId="0" applyFont="1"/>
    <xf numFmtId="0" fontId="2" fillId="0" borderId="2" xfId="0" applyFont="1" applyBorder="1"/>
    <xf numFmtId="0" fontId="0" fillId="0" borderId="0" xfId="0" applyBorder="1"/>
    <xf numFmtId="0" fontId="0" fillId="0" borderId="0" xfId="0" applyFill="1" applyBorder="1"/>
    <xf numFmtId="0" fontId="0" fillId="0" borderId="6" xfId="0" applyBorder="1"/>
    <xf numFmtId="0" fontId="0" fillId="0" borderId="7" xfId="0" applyBorder="1"/>
    <xf numFmtId="2" fontId="0" fillId="0" borderId="7" xfId="0" applyNumberFormat="1" applyBorder="1"/>
    <xf numFmtId="0" fontId="0" fillId="0" borderId="0" xfId="0" applyAlignment="1"/>
    <xf numFmtId="2" fontId="0" fillId="0" borderId="0" xfId="0" applyNumberFormat="1"/>
    <xf numFmtId="167" fontId="0" fillId="0" borderId="0" xfId="0" applyNumberFormat="1"/>
    <xf numFmtId="1" fontId="0" fillId="0" borderId="0" xfId="0" applyNumberFormat="1"/>
    <xf numFmtId="1" fontId="0" fillId="0" borderId="0" xfId="0" applyNumberFormat="1" applyAlignment="1"/>
    <xf numFmtId="164" fontId="0" fillId="0" borderId="0" xfId="0" applyNumberFormat="1" applyAlignment="1"/>
    <xf numFmtId="2" fontId="0" fillId="0" borderId="0" xfId="0" applyNumberFormat="1" applyAlignment="1"/>
    <xf numFmtId="0" fontId="0" fillId="0" borderId="2" xfId="0" applyBorder="1" applyAlignment="1">
      <alignment horizontal="right"/>
    </xf>
    <xf numFmtId="0" fontId="0" fillId="0" borderId="7" xfId="0" applyFill="1" applyBorder="1"/>
    <xf numFmtId="0" fontId="0" fillId="0" borderId="8" xfId="0" applyFill="1" applyBorder="1"/>
    <xf numFmtId="0" fontId="0" fillId="2" borderId="0" xfId="0" applyFill="1"/>
    <xf numFmtId="0" fontId="0" fillId="2" borderId="10" xfId="0" applyFill="1" applyBorder="1"/>
    <xf numFmtId="0" fontId="0" fillId="0" borderId="5" xfId="0" applyBorder="1"/>
    <xf numFmtId="0" fontId="0" fillId="0" borderId="7" xfId="0" applyBorder="1" applyAlignment="1">
      <alignment horizontal="right"/>
    </xf>
    <xf numFmtId="9" fontId="0" fillId="2" borderId="7" xfId="0" applyNumberFormat="1" applyFill="1" applyBorder="1"/>
    <xf numFmtId="0" fontId="0" fillId="0" borderId="11" xfId="0" applyBorder="1" applyAlignment="1">
      <alignment horizontal="right"/>
    </xf>
    <xf numFmtId="0" fontId="0" fillId="2" borderId="12" xfId="0" applyFill="1" applyBorder="1"/>
    <xf numFmtId="9" fontId="0" fillId="2" borderId="11" xfId="0" applyNumberFormat="1" applyFill="1" applyBorder="1"/>
    <xf numFmtId="11" fontId="0" fillId="0" borderId="1" xfId="0" applyNumberFormat="1" applyBorder="1"/>
    <xf numFmtId="49" fontId="0" fillId="0" borderId="0" xfId="0" applyNumberFormat="1"/>
    <xf numFmtId="0" fontId="0" fillId="0" borderId="0" xfId="0" applyAlignment="1">
      <alignment horizontal="center" wrapText="1"/>
    </xf>
    <xf numFmtId="1" fontId="0" fillId="0" borderId="0" xfId="0" applyNumberFormat="1" applyAlignment="1">
      <alignment horizontal="center" wrapText="1"/>
    </xf>
    <xf numFmtId="1" fontId="0" fillId="2" borderId="0" xfId="0" applyNumberFormat="1" applyFill="1"/>
    <xf numFmtId="0" fontId="2" fillId="0" borderId="0" xfId="0" applyFont="1" applyAlignment="1"/>
    <xf numFmtId="0" fontId="3" fillId="0" borderId="0" xfId="0" applyFont="1" applyAlignment="1"/>
    <xf numFmtId="0" fontId="3" fillId="0" borderId="8" xfId="0" applyFont="1" applyBorder="1"/>
    <xf numFmtId="0" fontId="0" fillId="0" borderId="0" xfId="0" applyAlignment="1">
      <alignment wrapText="1"/>
    </xf>
    <xf numFmtId="0" fontId="6" fillId="0" borderId="0" xfId="0" applyFont="1" applyBorder="1"/>
    <xf numFmtId="0" fontId="0" fillId="0" borderId="0" xfId="0" applyFill="1" applyBorder="1" applyAlignment="1">
      <alignment wrapText="1"/>
    </xf>
    <xf numFmtId="0" fontId="6" fillId="0" borderId="0" xfId="0" applyFont="1" applyAlignment="1">
      <alignment wrapText="1"/>
    </xf>
    <xf numFmtId="0" fontId="0" fillId="0" borderId="0" xfId="0" applyBorder="1" applyAlignment="1">
      <alignment wrapText="1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6" xfId="0" applyFont="1" applyBorder="1" applyAlignment="1">
      <alignment vertical="center" wrapText="1"/>
    </xf>
    <xf numFmtId="0" fontId="2" fillId="0" borderId="6" xfId="0" applyFont="1" applyBorder="1" applyAlignment="1">
      <alignment vertical="center"/>
    </xf>
    <xf numFmtId="0" fontId="0" fillId="0" borderId="13" xfId="0" applyBorder="1"/>
    <xf numFmtId="0" fontId="6" fillId="0" borderId="0" xfId="0" applyFont="1"/>
    <xf numFmtId="0" fontId="0" fillId="0" borderId="15" xfId="0" applyBorder="1"/>
    <xf numFmtId="0" fontId="0" fillId="0" borderId="15" xfId="0" applyBorder="1" applyAlignment="1">
      <alignment wrapText="1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13" xfId="0" applyBorder="1" applyAlignment="1">
      <alignment wrapText="1"/>
    </xf>
    <xf numFmtId="0" fontId="0" fillId="0" borderId="20" xfId="0" applyBorder="1"/>
    <xf numFmtId="0" fontId="8" fillId="0" borderId="15" xfId="0" applyFont="1" applyBorder="1"/>
    <xf numFmtId="0" fontId="10" fillId="0" borderId="21" xfId="0" applyFont="1" applyBorder="1"/>
    <xf numFmtId="0" fontId="6" fillId="0" borderId="0" xfId="0" applyFont="1" applyBorder="1" applyAlignment="1">
      <alignment vertical="center" wrapText="1"/>
    </xf>
    <xf numFmtId="0" fontId="6" fillId="0" borderId="0" xfId="0" applyFont="1" applyBorder="1" applyAlignment="1">
      <alignment vertical="center"/>
    </xf>
    <xf numFmtId="0" fontId="4" fillId="0" borderId="0" xfId="1" applyBorder="1" applyAlignment="1" applyProtection="1">
      <alignment vertical="center" wrapText="1"/>
    </xf>
    <xf numFmtId="0" fontId="0" fillId="3" borderId="13" xfId="0" applyFill="1" applyBorder="1"/>
    <xf numFmtId="0" fontId="0" fillId="3" borderId="13" xfId="0" applyFill="1" applyBorder="1" applyAlignment="1">
      <alignment wrapText="1"/>
    </xf>
    <xf numFmtId="0" fontId="0" fillId="0" borderId="23" xfId="0" applyBorder="1"/>
    <xf numFmtId="0" fontId="2" fillId="0" borderId="24" xfId="0" applyFont="1" applyBorder="1"/>
    <xf numFmtId="0" fontId="2" fillId="0" borderId="14" xfId="0" applyFont="1" applyBorder="1"/>
    <xf numFmtId="0" fontId="2" fillId="0" borderId="22" xfId="0" applyFont="1" applyBorder="1"/>
    <xf numFmtId="0" fontId="9" fillId="0" borderId="0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2" fillId="0" borderId="0" xfId="0" applyFont="1" applyFill="1" applyBorder="1" applyAlignment="1">
      <alignment horizontal="center" vertical="center" wrapText="1"/>
    </xf>
    <xf numFmtId="0" fontId="6" fillId="0" borderId="2" xfId="0" applyFont="1" applyBorder="1"/>
    <xf numFmtId="0" fontId="12" fillId="0" borderId="0" xfId="0" applyFont="1"/>
    <xf numFmtId="9" fontId="0" fillId="0" borderId="0" xfId="0" applyNumberFormat="1" applyFill="1" applyBorder="1"/>
    <xf numFmtId="0" fontId="0" fillId="4" borderId="2" xfId="0" applyFill="1" applyBorder="1" applyAlignment="1"/>
    <xf numFmtId="0" fontId="0" fillId="4" borderId="2" xfId="0" applyFill="1" applyBorder="1"/>
    <xf numFmtId="0" fontId="0" fillId="0" borderId="11" xfId="0" applyBorder="1"/>
    <xf numFmtId="0" fontId="0" fillId="0" borderId="25" xfId="0" applyBorder="1"/>
    <xf numFmtId="0" fontId="7" fillId="0" borderId="0" xfId="0" applyFont="1"/>
    <xf numFmtId="9" fontId="0" fillId="0" borderId="0" xfId="2" applyFont="1" applyBorder="1"/>
    <xf numFmtId="0" fontId="6" fillId="0" borderId="2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4" xfId="0" applyBorder="1"/>
    <xf numFmtId="0" fontId="0" fillId="0" borderId="29" xfId="0" applyFill="1" applyBorder="1"/>
    <xf numFmtId="0" fontId="0" fillId="0" borderId="30" xfId="0" applyBorder="1"/>
    <xf numFmtId="167" fontId="0" fillId="0" borderId="2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 indent="1"/>
    </xf>
    <xf numFmtId="166" fontId="2" fillId="0" borderId="2" xfId="0" applyNumberFormat="1" applyFont="1" applyBorder="1"/>
    <xf numFmtId="166" fontId="0" fillId="0" borderId="2" xfId="0" applyNumberFormat="1" applyBorder="1"/>
    <xf numFmtId="0" fontId="0" fillId="0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9" fontId="0" fillId="0" borderId="0" xfId="2" applyFont="1" applyFill="1" applyBorder="1"/>
    <xf numFmtId="0" fontId="6" fillId="0" borderId="38" xfId="0" applyFont="1" applyBorder="1"/>
    <xf numFmtId="0" fontId="0" fillId="0" borderId="0" xfId="0" applyBorder="1" applyAlignment="1">
      <alignment vertical="center" wrapText="1"/>
    </xf>
    <xf numFmtId="165" fontId="0" fillId="0" borderId="2" xfId="0" applyNumberFormat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4" fillId="0" borderId="0" xfId="1" applyAlignment="1" applyProtection="1">
      <alignment horizontal="center"/>
    </xf>
    <xf numFmtId="0" fontId="16" fillId="0" borderId="2" xfId="0" applyFont="1" applyBorder="1" applyAlignment="1">
      <alignment horizontal="center" vertical="center" wrapText="1"/>
    </xf>
    <xf numFmtId="0" fontId="15" fillId="0" borderId="0" xfId="0" applyFont="1"/>
    <xf numFmtId="0" fontId="0" fillId="4" borderId="2" xfId="0" applyFill="1" applyBorder="1" applyAlignment="1">
      <alignment horizontal="center" vertical="center"/>
    </xf>
    <xf numFmtId="0" fontId="0" fillId="0" borderId="0" xfId="0" applyAlignment="1">
      <alignment horizontal="left"/>
    </xf>
    <xf numFmtId="166" fontId="0" fillId="0" borderId="0" xfId="0" applyNumberFormat="1" applyAlignment="1"/>
    <xf numFmtId="0" fontId="3" fillId="0" borderId="8" xfId="0" applyNumberFormat="1" applyFont="1" applyBorder="1"/>
    <xf numFmtId="0" fontId="17" fillId="0" borderId="0" xfId="0" applyFont="1"/>
    <xf numFmtId="0" fontId="16" fillId="0" borderId="2" xfId="0" applyFont="1" applyBorder="1"/>
    <xf numFmtId="0" fontId="0" fillId="0" borderId="0" xfId="0" applyAlignment="1">
      <alignment horizontal="left"/>
    </xf>
    <xf numFmtId="166" fontId="0" fillId="0" borderId="2" xfId="0" applyNumberForma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6" fillId="0" borderId="4" xfId="0" applyFont="1" applyBorder="1" applyAlignment="1">
      <alignment horizontal="left" vertical="center"/>
    </xf>
    <xf numFmtId="0" fontId="6" fillId="0" borderId="9" xfId="0" applyFont="1" applyBorder="1" applyAlignment="1">
      <alignment horizontal="left" vertical="center"/>
    </xf>
    <xf numFmtId="0" fontId="9" fillId="0" borderId="0" xfId="0" applyFont="1" applyBorder="1" applyAlignment="1">
      <alignment horizontal="center"/>
    </xf>
    <xf numFmtId="0" fontId="6" fillId="0" borderId="0" xfId="0" applyFont="1" applyBorder="1" applyAlignment="1">
      <alignment wrapText="1"/>
    </xf>
    <xf numFmtId="0" fontId="18" fillId="0" borderId="39" xfId="0" applyFont="1" applyBorder="1" applyAlignment="1">
      <alignment wrapText="1"/>
    </xf>
    <xf numFmtId="0" fontId="18" fillId="0" borderId="35" xfId="0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0" fillId="5" borderId="0" xfId="0" applyFill="1"/>
    <xf numFmtId="0" fontId="6" fillId="0" borderId="4" xfId="0" applyFont="1" applyBorder="1" applyAlignment="1"/>
    <xf numFmtId="0" fontId="6" fillId="0" borderId="1" xfId="0" applyFont="1" applyBorder="1" applyAlignment="1"/>
    <xf numFmtId="0" fontId="6" fillId="0" borderId="9" xfId="0" applyFont="1" applyBorder="1" applyAlignment="1"/>
    <xf numFmtId="167" fontId="0" fillId="0" borderId="0" xfId="0" applyNumberFormat="1" applyAlignment="1">
      <alignment horizontal="center" wrapText="1"/>
    </xf>
    <xf numFmtId="167" fontId="0" fillId="0" borderId="0" xfId="0" applyNumberFormat="1" applyAlignment="1"/>
    <xf numFmtId="0" fontId="18" fillId="0" borderId="37" xfId="0" applyFont="1" applyBorder="1"/>
    <xf numFmtId="0" fontId="18" fillId="0" borderId="32" xfId="0" applyFont="1" applyBorder="1"/>
    <xf numFmtId="0" fontId="18" fillId="0" borderId="39" xfId="0" applyFont="1" applyBorder="1"/>
    <xf numFmtId="0" fontId="18" fillId="0" borderId="35" xfId="0" applyFont="1" applyBorder="1"/>
    <xf numFmtId="9" fontId="15" fillId="0" borderId="2" xfId="2" applyFont="1" applyBorder="1"/>
    <xf numFmtId="165" fontId="20" fillId="0" borderId="2" xfId="0" applyNumberFormat="1" applyFont="1" applyBorder="1" applyAlignment="1">
      <alignment horizontal="center"/>
    </xf>
    <xf numFmtId="0" fontId="0" fillId="0" borderId="0" xfId="0" applyNumberFormat="1"/>
    <xf numFmtId="0" fontId="4" fillId="0" borderId="0" xfId="1" applyAlignment="1" applyProtection="1"/>
    <xf numFmtId="0" fontId="6" fillId="4" borderId="2" xfId="0" applyFont="1" applyFill="1" applyBorder="1" applyAlignment="1">
      <alignment horizontal="center" vertical="center" wrapText="1"/>
    </xf>
    <xf numFmtId="0" fontId="6" fillId="4" borderId="24" xfId="0" applyFont="1" applyFill="1" applyBorder="1" applyAlignment="1">
      <alignment wrapText="1"/>
    </xf>
    <xf numFmtId="0" fontId="6" fillId="4" borderId="14" xfId="0" applyFont="1" applyFill="1" applyBorder="1"/>
    <xf numFmtId="0" fontId="6" fillId="4" borderId="14" xfId="0" applyFont="1" applyFill="1" applyBorder="1" applyAlignment="1">
      <alignment wrapText="1"/>
    </xf>
    <xf numFmtId="0" fontId="6" fillId="4" borderId="22" xfId="0" applyFont="1" applyFill="1" applyBorder="1" applyAlignment="1">
      <alignment wrapText="1"/>
    </xf>
    <xf numFmtId="0" fontId="6" fillId="0" borderId="0" xfId="0" applyFont="1" applyFill="1" applyBorder="1" applyAlignment="1"/>
    <xf numFmtId="0" fontId="4" fillId="4" borderId="14" xfId="1" applyFill="1" applyBorder="1" applyAlignment="1" applyProtection="1">
      <alignment wrapText="1"/>
    </xf>
    <xf numFmtId="0" fontId="2" fillId="0" borderId="0" xfId="0" applyFont="1" applyAlignment="1">
      <alignment horizontal="center"/>
    </xf>
    <xf numFmtId="0" fontId="0" fillId="0" borderId="23" xfId="0" applyFill="1" applyBorder="1" applyAlignment="1">
      <alignment vertical="center"/>
    </xf>
    <xf numFmtId="0" fontId="0" fillId="0" borderId="23" xfId="0" applyFill="1" applyBorder="1"/>
    <xf numFmtId="9" fontId="0" fillId="0" borderId="41" xfId="0" applyNumberFormat="1" applyFill="1" applyBorder="1"/>
    <xf numFmtId="0" fontId="0" fillId="0" borderId="23" xfId="0" applyFill="1" applyBorder="1" applyAlignment="1"/>
    <xf numFmtId="9" fontId="0" fillId="4" borderId="36" xfId="0" applyNumberFormat="1" applyFill="1" applyBorder="1"/>
    <xf numFmtId="0" fontId="0" fillId="4" borderId="25" xfId="0" applyFill="1" applyBorder="1" applyAlignment="1"/>
    <xf numFmtId="0" fontId="0" fillId="4" borderId="25" xfId="0" applyFill="1" applyBorder="1" applyAlignment="1">
      <alignment vertical="center"/>
    </xf>
    <xf numFmtId="0" fontId="0" fillId="0" borderId="40" xfId="0" applyFill="1" applyBorder="1" applyAlignment="1">
      <alignment vertical="center"/>
    </xf>
    <xf numFmtId="0" fontId="6" fillId="4" borderId="25" xfId="0" applyFont="1" applyFill="1" applyBorder="1" applyAlignment="1"/>
    <xf numFmtId="0" fontId="0" fillId="4" borderId="42" xfId="0" applyFill="1" applyBorder="1" applyAlignment="1">
      <alignment vertical="center"/>
    </xf>
    <xf numFmtId="0" fontId="22" fillId="0" borderId="2" xfId="0" applyFont="1" applyBorder="1"/>
    <xf numFmtId="166" fontId="22" fillId="0" borderId="2" xfId="0" applyNumberFormat="1" applyFont="1" applyBorder="1"/>
    <xf numFmtId="0" fontId="1" fillId="4" borderId="14" xfId="0" applyFont="1" applyFill="1" applyBorder="1"/>
    <xf numFmtId="2" fontId="0" fillId="0" borderId="2" xfId="0" applyNumberFormat="1" applyBorder="1"/>
    <xf numFmtId="0" fontId="1" fillId="0" borderId="2" xfId="0" applyFont="1" applyFill="1" applyBorder="1" applyAlignment="1">
      <alignment horizontal="center" vertical="center" wrapText="1"/>
    </xf>
    <xf numFmtId="0" fontId="1" fillId="5" borderId="0" xfId="0" applyFont="1" applyFill="1"/>
    <xf numFmtId="0" fontId="1" fillId="0" borderId="2" xfId="0" applyFont="1" applyBorder="1"/>
    <xf numFmtId="165" fontId="1" fillId="0" borderId="2" xfId="0" applyNumberFormat="1" applyFont="1" applyBorder="1"/>
    <xf numFmtId="166" fontId="18" fillId="0" borderId="34" xfId="0" applyNumberFormat="1" applyFont="1" applyBorder="1" applyAlignment="1">
      <alignment horizontal="center" vertical="center"/>
    </xf>
    <xf numFmtId="2" fontId="18" fillId="0" borderId="34" xfId="0" applyNumberFormat="1" applyFont="1" applyBorder="1" applyAlignment="1">
      <alignment horizontal="center"/>
    </xf>
    <xf numFmtId="166" fontId="18" fillId="0" borderId="31" xfId="0" applyNumberFormat="1" applyFont="1" applyBorder="1" applyAlignment="1">
      <alignment horizontal="center"/>
    </xf>
    <xf numFmtId="0" fontId="1" fillId="0" borderId="2" xfId="0" applyFont="1" applyBorder="1" applyAlignment="1">
      <alignment vertical="center" wrapText="1"/>
    </xf>
    <xf numFmtId="0" fontId="21" fillId="0" borderId="6" xfId="0" applyFont="1" applyBorder="1" applyAlignment="1">
      <alignment vertical="center"/>
    </xf>
    <xf numFmtId="0" fontId="21" fillId="0" borderId="3" xfId="0" applyFont="1" applyBorder="1" applyAlignment="1">
      <alignment vertical="center"/>
    </xf>
    <xf numFmtId="0" fontId="21" fillId="0" borderId="23" xfId="0" applyFont="1" applyBorder="1" applyAlignment="1">
      <alignment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6" fillId="0" borderId="4" xfId="0" applyFont="1" applyBorder="1" applyAlignment="1">
      <alignment horizontal="left" vertical="center"/>
    </xf>
    <xf numFmtId="0" fontId="6" fillId="0" borderId="9" xfId="0" applyFont="1" applyBorder="1" applyAlignment="1">
      <alignment horizontal="left" vertical="center"/>
    </xf>
    <xf numFmtId="0" fontId="0" fillId="4" borderId="2" xfId="0" applyFill="1" applyBorder="1" applyAlignment="1">
      <alignment horizontal="center"/>
    </xf>
    <xf numFmtId="11" fontId="6" fillId="0" borderId="6" xfId="0" applyNumberFormat="1" applyFont="1" applyBorder="1" applyAlignment="1">
      <alignment horizontal="center" vertical="center"/>
    </xf>
    <xf numFmtId="11" fontId="6" fillId="0" borderId="3" xfId="0" applyNumberFormat="1" applyFont="1" applyBorder="1" applyAlignment="1">
      <alignment horizontal="center" vertical="center"/>
    </xf>
    <xf numFmtId="11" fontId="6" fillId="0" borderId="23" xfId="0" applyNumberFormat="1" applyFont="1" applyBorder="1" applyAlignment="1">
      <alignment horizontal="center" vertical="center"/>
    </xf>
    <xf numFmtId="0" fontId="3" fillId="4" borderId="4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1" fontId="6" fillId="0" borderId="2" xfId="0" applyNumberFormat="1" applyFon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67" fontId="6" fillId="0" borderId="6" xfId="0" applyNumberFormat="1" applyFont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167" fontId="0" fillId="0" borderId="23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23" xfId="0" applyNumberFormat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0" fontId="20" fillId="0" borderId="4" xfId="0" applyFont="1" applyBorder="1" applyAlignment="1">
      <alignment horizontal="center" vertical="center" wrapText="1"/>
    </xf>
    <xf numFmtId="0" fontId="20" fillId="0" borderId="9" xfId="0" applyFont="1" applyBorder="1" applyAlignment="1">
      <alignment horizontal="center" vertical="center" wrapText="1"/>
    </xf>
    <xf numFmtId="0" fontId="20" fillId="0" borderId="4" xfId="0" applyFont="1" applyBorder="1" applyAlignment="1">
      <alignment horizontal="center" wrapText="1"/>
    </xf>
    <xf numFmtId="0" fontId="20" fillId="0" borderId="9" xfId="0" applyFont="1" applyBorder="1" applyAlignment="1">
      <alignment horizontal="center" wrapText="1"/>
    </xf>
    <xf numFmtId="0" fontId="6" fillId="0" borderId="37" xfId="0" applyFont="1" applyBorder="1" applyAlignment="1">
      <alignment horizontal="center"/>
    </xf>
    <xf numFmtId="0" fontId="6" fillId="0" borderId="31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6" fillId="0" borderId="2" xfId="0" applyFont="1" applyBorder="1" applyAlignment="1">
      <alignment horizontal="center" vertical="center" wrapText="1"/>
    </xf>
    <xf numFmtId="0" fontId="9" fillId="0" borderId="26" xfId="0" applyFont="1" applyBorder="1" applyAlignment="1">
      <alignment horizontal="center"/>
    </xf>
    <xf numFmtId="0" fontId="9" fillId="0" borderId="27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4" fillId="0" borderId="0" xfId="1" applyAlignment="1" applyProtection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7" fillId="0" borderId="0" xfId="0" applyFont="1" applyAlignment="1">
      <alignment horizontal="left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15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H"/>
              <a:t>Evolutions des pressions dans la paroi - Cas défavorable</a:t>
            </a:r>
          </a:p>
        </c:rich>
      </c:tx>
      <c:layout>
        <c:manualLayout>
          <c:xMode val="edge"/>
          <c:yMode val="edge"/>
          <c:x val="0.12371190256022267"/>
          <c:y val="1.419753086419753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2418906394810009"/>
          <c:y val="0.20740778249381961"/>
          <c:w val="0.72474513438368859"/>
          <c:h val="0.72407538352753098"/>
        </c:manualLayout>
      </c:layout>
      <c:scatterChart>
        <c:scatterStyle val="lineMarker"/>
        <c:varyColors val="0"/>
        <c:ser>
          <c:idx val="0"/>
          <c:order val="0"/>
          <c:tx>
            <c:v>PV</c:v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xVal>
            <c:numRef>
              <c:f>'Données Graphiques'!$C$2:$C$15</c:f>
              <c:numCache>
                <c:formatCode>General</c:formatCode>
                <c:ptCount val="14"/>
                <c:pt idx="0">
                  <c:v>0</c:v>
                </c:pt>
                <c:pt idx="1">
                  <c:v>0.2</c:v>
                </c:pt>
                <c:pt idx="2">
                  <c:v>0.25</c:v>
                </c:pt>
                <c:pt idx="3" formatCode="0.000">
                  <c:v>0.41000000000000003</c:v>
                </c:pt>
                <c:pt idx="4" formatCode="0.00000">
                  <c:v>0.42200000000000004</c:v>
                </c:pt>
                <c:pt idx="5" formatCode="0.00">
                  <c:v>0.42220000000000002</c:v>
                </c:pt>
                <c:pt idx="6" formatCode="0.00">
                  <c:v>0.56220000000000003</c:v>
                </c:pt>
                <c:pt idx="7" formatCode="0.00">
                  <c:v>0.57420000000000004</c:v>
                </c:pt>
                <c:pt idx="8" formatCode="0.00">
                  <c:v>0.57420000000000004</c:v>
                </c:pt>
                <c:pt idx="9" formatCode="0.00">
                  <c:v>0.57420000000000004</c:v>
                </c:pt>
                <c:pt idx="10" formatCode="0.00">
                  <c:v>0.57420000000000004</c:v>
                </c:pt>
                <c:pt idx="11" formatCode="0.00">
                  <c:v>0.57420000000000004</c:v>
                </c:pt>
                <c:pt idx="12" formatCode="0.00">
                  <c:v>0.62420000000000009</c:v>
                </c:pt>
                <c:pt idx="13" formatCode="0.00">
                  <c:v>0.82420000000000004</c:v>
                </c:pt>
              </c:numCache>
            </c:numRef>
          </c:xVal>
          <c:yVal>
            <c:numRef>
              <c:f>'Données Graphiques'!$E$2:$E$15</c:f>
              <c:numCache>
                <c:formatCode>0</c:formatCode>
                <c:ptCount val="14"/>
                <c:pt idx="0">
                  <c:v>1408.6474736677649</c:v>
                </c:pt>
                <c:pt idx="1">
                  <c:v>1408.6474736677649</c:v>
                </c:pt>
                <c:pt idx="2">
                  <c:v>1408.6474736677649</c:v>
                </c:pt>
                <c:pt idx="3">
                  <c:v>810.69357605745722</c:v>
                </c:pt>
                <c:pt idx="4">
                  <c:v>810.45754162418996</c:v>
                </c:pt>
                <c:pt idx="5">
                  <c:v>810.06415090207793</c:v>
                </c:pt>
                <c:pt idx="6">
                  <c:v>788.03427046380341</c:v>
                </c:pt>
                <c:pt idx="7">
                  <c:v>788.03427046380341</c:v>
                </c:pt>
                <c:pt idx="8">
                  <c:v>788.03427046380341</c:v>
                </c:pt>
                <c:pt idx="9">
                  <c:v>788.03427046380341</c:v>
                </c:pt>
                <c:pt idx="10">
                  <c:v>788.03427046380341</c:v>
                </c:pt>
                <c:pt idx="11">
                  <c:v>788.03427046380352</c:v>
                </c:pt>
                <c:pt idx="12">
                  <c:v>788.03427046380352</c:v>
                </c:pt>
                <c:pt idx="13">
                  <c:v>788.03427046380352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B2A-467B-A772-26E57EFA4EE0}"/>
            </c:ext>
          </c:extLst>
        </c:ser>
        <c:ser>
          <c:idx val="1"/>
          <c:order val="1"/>
          <c:tx>
            <c:v>INT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Graphiques'!$C$20:$C$21</c:f>
              <c:numCache>
                <c:formatCode>General</c:formatCode>
                <c:ptCount val="2"/>
                <c:pt idx="0">
                  <c:v>0.25</c:v>
                </c:pt>
                <c:pt idx="1">
                  <c:v>0.25</c:v>
                </c:pt>
              </c:numCache>
            </c:numRef>
          </c:xVal>
          <c:yVal>
            <c:numRef>
              <c:f>'Données Graphiques'!$E$20:$E$21</c:f>
              <c:numCache>
                <c:formatCode>0</c:formatCode>
                <c:ptCount val="2"/>
                <c:pt idx="0">
                  <c:v>575.59363384867061</c:v>
                </c:pt>
                <c:pt idx="1">
                  <c:v>2647.745789446275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4B2A-467B-A772-26E57EFA4EE0}"/>
            </c:ext>
          </c:extLst>
        </c:ser>
        <c:ser>
          <c:idx val="2"/>
          <c:order val="2"/>
          <c:tx>
            <c:v>Couche 1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Graphiques'!$C$22:$C$23</c:f>
              <c:numCache>
                <c:formatCode>0.00</c:formatCode>
                <c:ptCount val="2"/>
                <c:pt idx="0">
                  <c:v>0.41000000000000003</c:v>
                </c:pt>
                <c:pt idx="1">
                  <c:v>0.41000000000000003</c:v>
                </c:pt>
              </c:numCache>
            </c:numRef>
          </c:xVal>
          <c:yVal>
            <c:numRef>
              <c:f>'Données Graphiques'!$E$22:$E$23</c:f>
              <c:numCache>
                <c:formatCode>0</c:formatCode>
                <c:ptCount val="2"/>
                <c:pt idx="0">
                  <c:v>575.59363384867061</c:v>
                </c:pt>
                <c:pt idx="1">
                  <c:v>2647.745789446275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4B2A-467B-A772-26E57EFA4EE0}"/>
            </c:ext>
          </c:extLst>
        </c:ser>
        <c:ser>
          <c:idx val="3"/>
          <c:order val="3"/>
          <c:tx>
            <c:v>Couche 2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Graphiques'!$C$24:$C$25</c:f>
              <c:numCache>
                <c:formatCode>0.00</c:formatCode>
                <c:ptCount val="2"/>
                <c:pt idx="0">
                  <c:v>0.42200000000000004</c:v>
                </c:pt>
                <c:pt idx="1">
                  <c:v>0.42200000000000004</c:v>
                </c:pt>
              </c:numCache>
            </c:numRef>
          </c:xVal>
          <c:yVal>
            <c:numRef>
              <c:f>'Données Graphiques'!$E$24:$E$25</c:f>
              <c:numCache>
                <c:formatCode>0</c:formatCode>
                <c:ptCount val="2"/>
                <c:pt idx="0">
                  <c:v>575.59363384867061</c:v>
                </c:pt>
                <c:pt idx="1">
                  <c:v>2647.745789446275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4B2A-467B-A772-26E57EFA4EE0}"/>
            </c:ext>
          </c:extLst>
        </c:ser>
        <c:ser>
          <c:idx val="4"/>
          <c:order val="4"/>
          <c:tx>
            <c:v>Couche 3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Graphiques'!$C$26:$C$27</c:f>
              <c:numCache>
                <c:formatCode>0.00</c:formatCode>
                <c:ptCount val="2"/>
                <c:pt idx="0">
                  <c:v>0.42220000000000002</c:v>
                </c:pt>
                <c:pt idx="1">
                  <c:v>0.42220000000000002</c:v>
                </c:pt>
              </c:numCache>
            </c:numRef>
          </c:xVal>
          <c:yVal>
            <c:numRef>
              <c:f>'Données Graphiques'!$E$26:$E$27</c:f>
              <c:numCache>
                <c:formatCode>0</c:formatCode>
                <c:ptCount val="2"/>
                <c:pt idx="0">
                  <c:v>575.59363384867061</c:v>
                </c:pt>
                <c:pt idx="1">
                  <c:v>2647.745789446275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4B2A-467B-A772-26E57EFA4EE0}"/>
            </c:ext>
          </c:extLst>
        </c:ser>
        <c:ser>
          <c:idx val="5"/>
          <c:order val="5"/>
          <c:tx>
            <c:v>Couche 4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Graphiques'!$C$28:$C$29</c:f>
              <c:numCache>
                <c:formatCode>0.00</c:formatCode>
                <c:ptCount val="2"/>
                <c:pt idx="0">
                  <c:v>0.56220000000000003</c:v>
                </c:pt>
                <c:pt idx="1">
                  <c:v>0.56220000000000003</c:v>
                </c:pt>
              </c:numCache>
            </c:numRef>
          </c:xVal>
          <c:yVal>
            <c:numRef>
              <c:f>'Données Graphiques'!$E$28:$E$29</c:f>
              <c:numCache>
                <c:formatCode>0</c:formatCode>
                <c:ptCount val="2"/>
                <c:pt idx="0">
                  <c:v>575.59363384867061</c:v>
                </c:pt>
                <c:pt idx="1">
                  <c:v>2647.745789446275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4B2A-467B-A772-26E57EFA4EE0}"/>
            </c:ext>
          </c:extLst>
        </c:ser>
        <c:ser>
          <c:idx val="6"/>
          <c:order val="6"/>
          <c:tx>
            <c:v>Couche 5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Graphiques'!$C$30:$C$31</c:f>
              <c:numCache>
                <c:formatCode>0.00</c:formatCode>
                <c:ptCount val="2"/>
                <c:pt idx="0">
                  <c:v>0.57420000000000004</c:v>
                </c:pt>
                <c:pt idx="1">
                  <c:v>0.57420000000000004</c:v>
                </c:pt>
              </c:numCache>
            </c:numRef>
          </c:xVal>
          <c:yVal>
            <c:numRef>
              <c:f>'Données Graphiques'!$E$30:$E$31</c:f>
              <c:numCache>
                <c:formatCode>0</c:formatCode>
                <c:ptCount val="2"/>
                <c:pt idx="0">
                  <c:v>575.59363384867061</c:v>
                </c:pt>
                <c:pt idx="1">
                  <c:v>2647.745789446275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4B2A-467B-A772-26E57EFA4EE0}"/>
            </c:ext>
          </c:extLst>
        </c:ser>
        <c:ser>
          <c:idx val="7"/>
          <c:order val="7"/>
          <c:tx>
            <c:v>Couche 6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Graphiques'!$C$32:$C$33</c:f>
              <c:numCache>
                <c:formatCode>0.00</c:formatCode>
                <c:ptCount val="2"/>
                <c:pt idx="0">
                  <c:v>0.57420000000000004</c:v>
                </c:pt>
                <c:pt idx="1">
                  <c:v>0.57420000000000004</c:v>
                </c:pt>
              </c:numCache>
            </c:numRef>
          </c:xVal>
          <c:yVal>
            <c:numRef>
              <c:f>'Données Graphiques'!$E$32:$E$33</c:f>
              <c:numCache>
                <c:formatCode>0</c:formatCode>
                <c:ptCount val="2"/>
                <c:pt idx="0">
                  <c:v>575.59363384867061</c:v>
                </c:pt>
                <c:pt idx="1">
                  <c:v>2647.745789446275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4B2A-467B-A772-26E57EFA4EE0}"/>
            </c:ext>
          </c:extLst>
        </c:ser>
        <c:ser>
          <c:idx val="8"/>
          <c:order val="8"/>
          <c:tx>
            <c:v>Couche 7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Graphiques'!$C$34:$C$35</c:f>
              <c:numCache>
                <c:formatCode>0.00</c:formatCode>
                <c:ptCount val="2"/>
                <c:pt idx="0">
                  <c:v>0.57420000000000004</c:v>
                </c:pt>
                <c:pt idx="1">
                  <c:v>0.57420000000000004</c:v>
                </c:pt>
              </c:numCache>
            </c:numRef>
          </c:xVal>
          <c:yVal>
            <c:numRef>
              <c:f>'Données Graphiques'!$E$34:$E$35</c:f>
              <c:numCache>
                <c:formatCode>0</c:formatCode>
                <c:ptCount val="2"/>
                <c:pt idx="0">
                  <c:v>575.59363384867061</c:v>
                </c:pt>
                <c:pt idx="1">
                  <c:v>2647.745789446275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4B2A-467B-A772-26E57EFA4EE0}"/>
            </c:ext>
          </c:extLst>
        </c:ser>
        <c:ser>
          <c:idx val="9"/>
          <c:order val="9"/>
          <c:tx>
            <c:v>Couche 8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Graphiques'!$C$36:$C$37</c:f>
              <c:numCache>
                <c:formatCode>0.00</c:formatCode>
                <c:ptCount val="2"/>
                <c:pt idx="0">
                  <c:v>0.57420000000000004</c:v>
                </c:pt>
                <c:pt idx="1">
                  <c:v>0.57420000000000004</c:v>
                </c:pt>
              </c:numCache>
            </c:numRef>
          </c:xVal>
          <c:yVal>
            <c:numRef>
              <c:f>'Données Graphiques'!$E$36:$E$37</c:f>
              <c:numCache>
                <c:formatCode>0</c:formatCode>
                <c:ptCount val="2"/>
                <c:pt idx="0">
                  <c:v>575.59363384867061</c:v>
                </c:pt>
                <c:pt idx="1">
                  <c:v>2647.745789446275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4B2A-467B-A772-26E57EFA4EE0}"/>
            </c:ext>
          </c:extLst>
        </c:ser>
        <c:ser>
          <c:idx val="10"/>
          <c:order val="10"/>
          <c:tx>
            <c:v>PVS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Graphiques'!$C$2:$C$15</c:f>
              <c:numCache>
                <c:formatCode>General</c:formatCode>
                <c:ptCount val="14"/>
                <c:pt idx="0">
                  <c:v>0</c:v>
                </c:pt>
                <c:pt idx="1">
                  <c:v>0.2</c:v>
                </c:pt>
                <c:pt idx="2">
                  <c:v>0.25</c:v>
                </c:pt>
                <c:pt idx="3" formatCode="0.000">
                  <c:v>0.41000000000000003</c:v>
                </c:pt>
                <c:pt idx="4" formatCode="0.00000">
                  <c:v>0.42200000000000004</c:v>
                </c:pt>
                <c:pt idx="5" formatCode="0.00">
                  <c:v>0.42220000000000002</c:v>
                </c:pt>
                <c:pt idx="6" formatCode="0.00">
                  <c:v>0.56220000000000003</c:v>
                </c:pt>
                <c:pt idx="7" formatCode="0.00">
                  <c:v>0.57420000000000004</c:v>
                </c:pt>
                <c:pt idx="8" formatCode="0.00">
                  <c:v>0.57420000000000004</c:v>
                </c:pt>
                <c:pt idx="9" formatCode="0.00">
                  <c:v>0.57420000000000004</c:v>
                </c:pt>
                <c:pt idx="10" formatCode="0.00">
                  <c:v>0.57420000000000004</c:v>
                </c:pt>
                <c:pt idx="11" formatCode="0.00">
                  <c:v>0.57420000000000004</c:v>
                </c:pt>
                <c:pt idx="12" formatCode="0.00">
                  <c:v>0.62420000000000009</c:v>
                </c:pt>
                <c:pt idx="13" formatCode="0.00">
                  <c:v>0.82420000000000004</c:v>
                </c:pt>
              </c:numCache>
            </c:numRef>
          </c:xVal>
          <c:yVal>
            <c:numRef>
              <c:f>'Données Graphiques'!$F$2:$F$15</c:f>
              <c:numCache>
                <c:formatCode>0</c:formatCode>
                <c:ptCount val="14"/>
                <c:pt idx="0">
                  <c:v>2347.745789446275</c:v>
                </c:pt>
                <c:pt idx="1">
                  <c:v>2347.745789446275</c:v>
                </c:pt>
                <c:pt idx="2">
                  <c:v>2347.745789446275</c:v>
                </c:pt>
                <c:pt idx="3">
                  <c:v>1278.3719203629214</c:v>
                </c:pt>
                <c:pt idx="4">
                  <c:v>1080.8446553462097</c:v>
                </c:pt>
                <c:pt idx="5">
                  <c:v>1075.7195881670625</c:v>
                </c:pt>
                <c:pt idx="6">
                  <c:v>875.59363384867061</c:v>
                </c:pt>
                <c:pt idx="7">
                  <c:v>875.59363384867061</c:v>
                </c:pt>
                <c:pt idx="8">
                  <c:v>875.59363384867061</c:v>
                </c:pt>
                <c:pt idx="9">
                  <c:v>875.59363384867061</c:v>
                </c:pt>
                <c:pt idx="10">
                  <c:v>875.59363384867061</c:v>
                </c:pt>
                <c:pt idx="11">
                  <c:v>875.59363384867061</c:v>
                </c:pt>
                <c:pt idx="12">
                  <c:v>875.59363384867061</c:v>
                </c:pt>
                <c:pt idx="13">
                  <c:v>875.59363384867061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4B2A-467B-A772-26E57EFA4E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71778584"/>
        <c:axId val="471778976"/>
      </c:scatterChart>
      <c:valAx>
        <c:axId val="47177858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out"/>
        <c:tickLblPos val="none"/>
        <c:spPr>
          <a:ln w="3175">
            <a:solidFill>
              <a:srgbClr val="000000"/>
            </a:solidFill>
            <a:prstDash val="solid"/>
          </a:ln>
        </c:spPr>
        <c:crossAx val="471778976"/>
        <c:crosses val="autoZero"/>
        <c:crossBetween val="midCat"/>
      </c:valAx>
      <c:valAx>
        <c:axId val="471778976"/>
        <c:scaling>
          <c:orientation val="minMax"/>
        </c:scaling>
        <c:delete val="0"/>
        <c:axPos val="l"/>
        <c:title>
          <c:tx>
            <c:rich>
              <a:bodyPr/>
              <a:lstStyle/>
              <a:p>
                <a:pPr>
                  <a:defRPr sz="17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H"/>
                  <a:t>Pression (Pa)</a:t>
                </a:r>
              </a:p>
            </c:rich>
          </c:tx>
          <c:layout>
            <c:manualLayout>
              <c:xMode val="edge"/>
              <c:yMode val="edge"/>
              <c:x val="1.3901760889712697E-2"/>
              <c:y val="0.42037114805093806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7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71778584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90824837812789616"/>
          <c:y val="0.3555561388159813"/>
          <c:w val="8.4337349397590411E-2"/>
          <c:h val="0.42963040731019725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59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7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104775</xdr:colOff>
          <xdr:row>5</xdr:row>
          <xdr:rowOff>0</xdr:rowOff>
        </xdr:from>
        <xdr:to>
          <xdr:col>15</xdr:col>
          <xdr:colOff>438150</xdr:colOff>
          <xdr:row>11</xdr:row>
          <xdr:rowOff>66675</xdr:rowOff>
        </xdr:to>
        <xdr:sp macro="" textlink="">
          <xdr:nvSpPr>
            <xdr:cNvPr id="65545" name="Button 9" hidden="1">
              <a:extLst>
                <a:ext uri="{63B3BB69-23CF-44E3-9099-C40C66FF867C}">
                  <a14:compatExt spid="_x0000_s65545"/>
                </a:ext>
                <a:ext uri="{FF2B5EF4-FFF2-40B4-BE49-F238E27FC236}">
                  <a16:creationId xmlns:a16="http://schemas.microsoft.com/office/drawing/2014/main" id="{00000000-0008-0000-0000-0000090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zero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85</xdr:row>
      <xdr:rowOff>76200</xdr:rowOff>
    </xdr:from>
    <xdr:to>
      <xdr:col>10</xdr:col>
      <xdr:colOff>419100</xdr:colOff>
      <xdr:row>117</xdr:row>
      <xdr:rowOff>38100</xdr:rowOff>
    </xdr:to>
    <xdr:grpSp>
      <xdr:nvGrpSpPr>
        <xdr:cNvPr id="5" name="Group 6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>
          <a:grpSpLocks/>
        </xdr:cNvGrpSpPr>
      </xdr:nvGrpSpPr>
      <xdr:grpSpPr bwMode="auto">
        <a:xfrm>
          <a:off x="0" y="13887450"/>
          <a:ext cx="10706100" cy="5143500"/>
          <a:chOff x="-17" y="879"/>
          <a:chExt cx="1047" cy="540"/>
        </a:xfrm>
      </xdr:grpSpPr>
      <xdr:graphicFrame macro="">
        <xdr:nvGraphicFramePr>
          <xdr:cNvPr id="6" name="Graphique 54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GraphicFramePr>
            <a:graphicFrameLocks/>
          </xdr:cNvGraphicFramePr>
        </xdr:nvGraphicFramePr>
        <xdr:xfrm>
          <a:off x="-17" y="879"/>
          <a:ext cx="1047" cy="54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">
        <xdr:nvSpPr>
          <xdr:cNvPr id="7" name="Text Box 59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177" y="1009"/>
            <a:ext cx="33" cy="17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65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CH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INT.</a:t>
            </a:r>
          </a:p>
        </xdr:txBody>
      </xdr:sp>
      <xdr:sp macro="" textlink="">
        <xdr:nvSpPr>
          <xdr:cNvPr id="8" name="Text Box 60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729" y="1010"/>
            <a:ext cx="35" cy="20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65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CH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EXT.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4</xdr:row>
          <xdr:rowOff>0</xdr:rowOff>
        </xdr:from>
        <xdr:to>
          <xdr:col>14</xdr:col>
          <xdr:colOff>9525</xdr:colOff>
          <xdr:row>5</xdr:row>
          <xdr:rowOff>0</xdr:rowOff>
        </xdr:to>
        <xdr:sp macro="" textlink="">
          <xdr:nvSpPr>
            <xdr:cNvPr id="61441" name="Button 1" hidden="1">
              <a:extLst>
                <a:ext uri="{63B3BB69-23CF-44E3-9099-C40C66FF867C}">
                  <a14:compatExt spid="_x0000_s61441"/>
                </a:ext>
                <a:ext uri="{FF2B5EF4-FFF2-40B4-BE49-F238E27FC236}">
                  <a16:creationId xmlns:a16="http://schemas.microsoft.com/office/drawing/2014/main" id="{00000000-0008-0000-0100-000001F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</a:t>
              </a:r>
            </a:p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Matériau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4</xdr:row>
          <xdr:rowOff>19050</xdr:rowOff>
        </xdr:from>
        <xdr:to>
          <xdr:col>14</xdr:col>
          <xdr:colOff>742950</xdr:colOff>
          <xdr:row>4</xdr:row>
          <xdr:rowOff>971550</xdr:rowOff>
        </xdr:to>
        <xdr:sp macro="" textlink="">
          <xdr:nvSpPr>
            <xdr:cNvPr id="61443" name="Button 3" hidden="1">
              <a:extLst>
                <a:ext uri="{63B3BB69-23CF-44E3-9099-C40C66FF867C}">
                  <a14:compatExt spid="_x0000_s61443"/>
                </a:ext>
                <a:ext uri="{FF2B5EF4-FFF2-40B4-BE49-F238E27FC236}">
                  <a16:creationId xmlns:a16="http://schemas.microsoft.com/office/drawing/2014/main" id="{00000000-0008-0000-0100-000003F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714375</xdr:colOff>
          <xdr:row>5</xdr:row>
          <xdr:rowOff>57150</xdr:rowOff>
        </xdr:from>
        <xdr:to>
          <xdr:col>6</xdr:col>
          <xdr:colOff>657225</xdr:colOff>
          <xdr:row>8</xdr:row>
          <xdr:rowOff>38100</xdr:rowOff>
        </xdr:to>
        <xdr:sp macro="" textlink="">
          <xdr:nvSpPr>
            <xdr:cNvPr id="71681" name="Button 1" hidden="1">
              <a:extLst>
                <a:ext uri="{63B3BB69-23CF-44E3-9099-C40C66FF867C}">
                  <a14:compatExt spid="_x0000_s71681"/>
                </a:ext>
                <a:ext uri="{FF2B5EF4-FFF2-40B4-BE49-F238E27FC236}">
                  <a16:creationId xmlns:a16="http://schemas.microsoft.com/office/drawing/2014/main" id="{00000000-0008-0000-0300-0000011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Pont thermique</a:t>
              </a:r>
            </a:p>
          </xdr:txBody>
        </xdr:sp>
        <xdr:clientData fPrintsWithSheet="0"/>
      </xdr:twoCellAnchor>
    </mc:Choice>
    <mc:Fallback/>
  </mc:AlternateContent>
  <xdr:oneCellAnchor>
    <xdr:from>
      <xdr:col>13</xdr:col>
      <xdr:colOff>191985</xdr:colOff>
      <xdr:row>2</xdr:row>
      <xdr:rowOff>4272</xdr:rowOff>
    </xdr:from>
    <xdr:ext cx="2839450" cy="500966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id="{00000000-0008-0000-0300-000002000000}"/>
                </a:ext>
              </a:extLst>
            </xdr:cNvPr>
            <xdr:cNvSpPr txBox="1"/>
          </xdr:nvSpPr>
          <xdr:spPr>
            <a:xfrm>
              <a:off x="12301159" y="484663"/>
              <a:ext cx="2839450" cy="500966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no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CH" sz="1100" b="0" i="1">
                        <a:latin typeface="Cambria Math"/>
                      </a:rPr>
                      <m:t>𝑓</m:t>
                    </m:r>
                    <m:d>
                      <m:dPr>
                        <m:ctrlPr>
                          <a:rPr lang="fr-CH" sz="1100" b="0" i="1">
                            <a:latin typeface="Cambria Math" panose="02040503050406030204" pitchFamily="18" charset="0"/>
                          </a:rPr>
                        </m:ctrlPr>
                      </m:dPr>
                      <m:e>
                        <m:r>
                          <a:rPr lang="fr-CH" sz="1100" b="0" i="1">
                            <a:latin typeface="Cambria Math"/>
                          </a:rPr>
                          <m:t>𝑥</m:t>
                        </m:r>
                      </m:e>
                    </m:d>
                    <m:r>
                      <a:rPr lang="fr-CH" sz="1100" b="0" i="1">
                        <a:latin typeface="Cambria Math"/>
                      </a:rPr>
                      <m:t>=</m:t>
                    </m:r>
                    <m:f>
                      <m:fPr>
                        <m:ctrlPr>
                          <a:rPr lang="fr-CH" sz="1100" b="0" i="1">
                            <a:latin typeface="Cambria Math" panose="02040503050406030204" pitchFamily="18" charset="0"/>
                          </a:rPr>
                        </m:ctrlPr>
                      </m:fPr>
                      <m:num>
                        <m:sSub>
                          <m:sSubPr>
                            <m:ctrlPr>
                              <a:rPr lang="fr-CH" sz="1100" b="0" i="1">
                                <a:latin typeface="Cambria Math" panose="02040503050406030204" pitchFamily="18" charset="0"/>
                              </a:rPr>
                            </m:ctrlPr>
                          </m:sSubPr>
                          <m:e>
                            <m:r>
                              <a:rPr lang="fr-CH" sz="1100" b="0" i="1">
                                <a:latin typeface="Cambria Math"/>
                              </a:rPr>
                              <m:t>𝑥</m:t>
                            </m:r>
                          </m:e>
                          <m:sub>
                            <m:r>
                              <a:rPr lang="fr-CH" sz="1100" b="0" i="1">
                                <a:latin typeface="Cambria Math"/>
                              </a:rPr>
                              <m:t>𝑏</m:t>
                            </m:r>
                          </m:sub>
                        </m:sSub>
                        <m:r>
                          <a:rPr lang="fr-CH" sz="1100" b="0" i="1">
                            <a:latin typeface="Cambria Math"/>
                          </a:rPr>
                          <m:t>−</m:t>
                        </m:r>
                        <m:r>
                          <a:rPr lang="fr-CH" sz="1100" b="0" i="1">
                            <a:latin typeface="Cambria Math"/>
                          </a:rPr>
                          <m:t>𝑥</m:t>
                        </m:r>
                      </m:num>
                      <m:den>
                        <m:sSub>
                          <m:sSubPr>
                            <m:ctrlPr>
                              <a:rPr lang="fr-CH" sz="1100" b="0" i="1">
                                <a:latin typeface="Cambria Math" panose="02040503050406030204" pitchFamily="18" charset="0"/>
                              </a:rPr>
                            </m:ctrlPr>
                          </m:sSubPr>
                          <m:e>
                            <m:r>
                              <a:rPr lang="fr-CH" sz="1100" b="0" i="1">
                                <a:latin typeface="Cambria Math"/>
                              </a:rPr>
                              <m:t>𝑥</m:t>
                            </m:r>
                          </m:e>
                          <m:sub>
                            <m:r>
                              <a:rPr lang="fr-CH" sz="1100" b="0" i="1">
                                <a:latin typeface="Cambria Math"/>
                              </a:rPr>
                              <m:t>𝑏</m:t>
                            </m:r>
                          </m:sub>
                        </m:sSub>
                        <m:r>
                          <a:rPr lang="fr-CH" sz="1100" b="0" i="1">
                            <a:latin typeface="Cambria Math"/>
                          </a:rPr>
                          <m:t>−</m:t>
                        </m:r>
                        <m:sSub>
                          <m:sSubPr>
                            <m:ctrlPr>
                              <a:rPr lang="fr-CH" sz="1100" b="0" i="1">
                                <a:latin typeface="Cambria Math" panose="02040503050406030204" pitchFamily="18" charset="0"/>
                              </a:rPr>
                            </m:ctrlPr>
                          </m:sSubPr>
                          <m:e>
                            <m:r>
                              <a:rPr lang="fr-CH" sz="1100" b="0" i="1">
                                <a:latin typeface="Cambria Math"/>
                              </a:rPr>
                              <m:t>𝑥</m:t>
                            </m:r>
                          </m:e>
                          <m:sub>
                            <m:r>
                              <a:rPr lang="fr-CH" sz="1100" b="0" i="1">
                                <a:latin typeface="Cambria Math"/>
                              </a:rPr>
                              <m:t>𝑎</m:t>
                            </m:r>
                          </m:sub>
                        </m:sSub>
                      </m:den>
                    </m:f>
                    <m:r>
                      <a:rPr lang="fr-CH" sz="1100" b="0" i="0">
                        <a:latin typeface="Cambria Math"/>
                      </a:rPr>
                      <m:t>∗</m:t>
                    </m:r>
                    <m:sSub>
                      <m:sSubPr>
                        <m:ctrlPr>
                          <a:rPr lang="fr-CH" sz="1100" b="0" i="1">
                            <a:latin typeface="Cambria Math" panose="02040503050406030204" pitchFamily="18" charset="0"/>
                          </a:rPr>
                        </m:ctrlPr>
                      </m:sSubPr>
                      <m:e>
                        <m:r>
                          <a:rPr lang="fr-CH" sz="1100" b="0" i="1">
                            <a:latin typeface="Cambria Math"/>
                          </a:rPr>
                          <m:t>𝑦</m:t>
                        </m:r>
                      </m:e>
                      <m:sub>
                        <m:r>
                          <a:rPr lang="fr-CH" sz="1100" b="0" i="1">
                            <a:latin typeface="Cambria Math"/>
                          </a:rPr>
                          <m:t>𝑎</m:t>
                        </m:r>
                      </m:sub>
                    </m:sSub>
                    <m:r>
                      <a:rPr lang="fr-CH" sz="1100" b="0" i="1">
                        <a:latin typeface="Cambria Math"/>
                      </a:rPr>
                      <m:t>+</m:t>
                    </m:r>
                    <m:f>
                      <m:fPr>
                        <m:ctrlPr>
                          <a:rPr lang="fr-CH" sz="1100" b="0" i="1">
                            <a:latin typeface="Cambria Math" panose="02040503050406030204" pitchFamily="18" charset="0"/>
                          </a:rPr>
                        </m:ctrlPr>
                      </m:fPr>
                      <m:num>
                        <m:r>
                          <a:rPr lang="fr-CH" sz="1100" b="0" i="1">
                            <a:latin typeface="Cambria Math"/>
                          </a:rPr>
                          <m:t>𝑥</m:t>
                        </m:r>
                        <m:r>
                          <a:rPr lang="fr-CH" sz="1100" b="0" i="1">
                            <a:latin typeface="Cambria Math"/>
                          </a:rPr>
                          <m:t>−</m:t>
                        </m:r>
                        <m:sSub>
                          <m:sSubPr>
                            <m:ctrlPr>
                              <a:rPr lang="fr-CH" sz="1100" b="0" i="1">
                                <a:latin typeface="Cambria Math" panose="02040503050406030204" pitchFamily="18" charset="0"/>
                              </a:rPr>
                            </m:ctrlPr>
                          </m:sSubPr>
                          <m:e>
                            <m:r>
                              <a:rPr lang="fr-CH" sz="1100" b="0" i="1">
                                <a:latin typeface="Cambria Math"/>
                              </a:rPr>
                              <m:t>𝑥</m:t>
                            </m:r>
                          </m:e>
                          <m:sub>
                            <m:r>
                              <a:rPr lang="fr-CH" sz="1100" b="0" i="1">
                                <a:latin typeface="Cambria Math"/>
                              </a:rPr>
                              <m:t>𝑎</m:t>
                            </m:r>
                          </m:sub>
                        </m:sSub>
                      </m:num>
                      <m:den>
                        <m:sSub>
                          <m:sSubPr>
                            <m:ctrlPr>
                              <a:rPr lang="fr-CH" sz="1100" b="0" i="1">
                                <a:latin typeface="Cambria Math" panose="02040503050406030204" pitchFamily="18" charset="0"/>
                              </a:rPr>
                            </m:ctrlPr>
                          </m:sSubPr>
                          <m:e>
                            <m:r>
                              <a:rPr lang="fr-CH" sz="1100" b="0" i="1">
                                <a:latin typeface="Cambria Math"/>
                              </a:rPr>
                              <m:t>𝑥</m:t>
                            </m:r>
                          </m:e>
                          <m:sub>
                            <m:r>
                              <a:rPr lang="fr-CH" sz="1100" b="0" i="1">
                                <a:latin typeface="Cambria Math"/>
                              </a:rPr>
                              <m:t>𝑏</m:t>
                            </m:r>
                          </m:sub>
                        </m:sSub>
                        <m:r>
                          <a:rPr lang="fr-CH" sz="1100" b="0" i="1">
                            <a:latin typeface="Cambria Math"/>
                          </a:rPr>
                          <m:t>−</m:t>
                        </m:r>
                        <m:sSub>
                          <m:sSubPr>
                            <m:ctrlPr>
                              <a:rPr lang="fr-CH" sz="1100" b="0" i="1">
                                <a:latin typeface="Cambria Math" panose="02040503050406030204" pitchFamily="18" charset="0"/>
                              </a:rPr>
                            </m:ctrlPr>
                          </m:sSubPr>
                          <m:e>
                            <m:r>
                              <a:rPr lang="fr-CH" sz="1100" b="0" i="1">
                                <a:latin typeface="Cambria Math"/>
                              </a:rPr>
                              <m:t>𝑥</m:t>
                            </m:r>
                          </m:e>
                          <m:sub>
                            <m:r>
                              <a:rPr lang="fr-CH" sz="1100" b="0" i="1">
                                <a:latin typeface="Cambria Math"/>
                              </a:rPr>
                              <m:t>𝑎</m:t>
                            </m:r>
                          </m:sub>
                        </m:sSub>
                      </m:den>
                    </m:f>
                    <m:r>
                      <a:rPr lang="fr-CH" sz="1100" b="0" i="1">
                        <a:latin typeface="Cambria Math"/>
                      </a:rPr>
                      <m:t>∗</m:t>
                    </m:r>
                    <m:sSub>
                      <m:sSubPr>
                        <m:ctrlPr>
                          <a:rPr lang="fr-CH" sz="1100" b="0" i="1">
                            <a:latin typeface="Cambria Math" panose="02040503050406030204" pitchFamily="18" charset="0"/>
                          </a:rPr>
                        </m:ctrlPr>
                      </m:sSubPr>
                      <m:e>
                        <m:r>
                          <a:rPr lang="fr-CH" sz="1100" b="0" i="1">
                            <a:latin typeface="Cambria Math"/>
                          </a:rPr>
                          <m:t>𝑦</m:t>
                        </m:r>
                      </m:e>
                      <m:sub>
                        <m:r>
                          <a:rPr lang="fr-CH" sz="1100" b="0" i="1">
                            <a:latin typeface="Cambria Math"/>
                          </a:rPr>
                          <m:t>𝑏</m:t>
                        </m:r>
                      </m:sub>
                    </m:sSub>
                  </m:oMath>
                </m:oMathPara>
              </a14:m>
              <a:endParaRPr lang="fr-CH" sz="1100"/>
            </a:p>
          </xdr:txBody>
        </xdr:sp>
      </mc:Choice>
      <mc:Fallback xmlns="">
        <xdr:sp macro="" textlink="">
          <xdr:nvSpPr>
            <xdr:cNvPr id="2" name="ZoneTexte 1"/>
            <xdr:cNvSpPr txBox="1"/>
          </xdr:nvSpPr>
          <xdr:spPr>
            <a:xfrm>
              <a:off x="12301159" y="484663"/>
              <a:ext cx="2839450" cy="500966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noAutofit/>
            </a:bodyPr>
            <a:lstStyle/>
            <a:p>
              <a:r>
                <a:rPr lang="fr-CH" sz="1100" b="0" i="0">
                  <a:latin typeface="Cambria Math"/>
                </a:rPr>
                <a:t>𝑓(𝑥)=(𝑥_𝑏−𝑥)/(𝑥_𝑏−𝑥_𝑎 )∗𝑦_𝑎+(𝑥−𝑥_𝑎)/(𝑥_𝑏−𝑥_𝑎 )∗𝑦_𝑏</a:t>
              </a:r>
              <a:endParaRPr lang="fr-CH" sz="1100"/>
            </a:p>
          </xdr:txBody>
        </xdr:sp>
      </mc:Fallback>
    </mc:AlternateContent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85725</xdr:colOff>
          <xdr:row>5</xdr:row>
          <xdr:rowOff>66675</xdr:rowOff>
        </xdr:from>
        <xdr:to>
          <xdr:col>8</xdr:col>
          <xdr:colOff>38100</xdr:colOff>
          <xdr:row>8</xdr:row>
          <xdr:rowOff>28575</xdr:rowOff>
        </xdr:to>
        <xdr:sp macro="" textlink="">
          <xdr:nvSpPr>
            <xdr:cNvPr id="71683" name="Button 3" hidden="1">
              <a:extLst>
                <a:ext uri="{63B3BB69-23CF-44E3-9099-C40C66FF867C}">
                  <a14:compatExt spid="_x0000_s71683"/>
                </a:ext>
                <a:ext uri="{FF2B5EF4-FFF2-40B4-BE49-F238E27FC236}">
                  <a16:creationId xmlns:a16="http://schemas.microsoft.com/office/drawing/2014/main" id="{00000000-0008-0000-0300-0000031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1323974</xdr:colOff>
      <xdr:row>10</xdr:row>
      <xdr:rowOff>1</xdr:rowOff>
    </xdr:from>
    <xdr:ext cx="2047875" cy="448071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id="{00000000-0008-0000-0500-000002000000}"/>
                </a:ext>
              </a:extLst>
            </xdr:cNvPr>
            <xdr:cNvSpPr txBox="1"/>
          </xdr:nvSpPr>
          <xdr:spPr>
            <a:xfrm>
              <a:off x="2085974" y="1638301"/>
              <a:ext cx="2047875" cy="448071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r>
                <a:rPr lang="el-GR" sz="1600">
                  <a:latin typeface="GreekC"/>
                  <a:cs typeface="GreekC"/>
                </a:rPr>
                <a:t>Φ</a:t>
              </a:r>
              <a14:m>
                <m:oMath xmlns:m="http://schemas.openxmlformats.org/officeDocument/2006/math">
                  <m:r>
                    <a:rPr lang="fr-CH" sz="1600" i="1">
                      <a:latin typeface="Cambria Math"/>
                    </a:rPr>
                    <m:t>=</m:t>
                  </m:r>
                  <m:r>
                    <m:rPr>
                      <m:sty m:val="p"/>
                    </m:rPr>
                    <a:rPr lang="el-GR" sz="1600" i="1">
                      <a:latin typeface="Cambria Math"/>
                    </a:rPr>
                    <m:t>λ</m:t>
                  </m:r>
                  <m:r>
                    <a:rPr lang="fr-CH" sz="1600" b="0" i="1">
                      <a:latin typeface="Cambria Math"/>
                    </a:rPr>
                    <m:t>∗</m:t>
                  </m:r>
                  <m:f>
                    <m:fPr>
                      <m:ctrlPr>
                        <a:rPr lang="fr-CH" sz="1600" b="0" i="1">
                          <a:latin typeface="Cambria Math" panose="02040503050406030204" pitchFamily="18" charset="0"/>
                        </a:rPr>
                      </m:ctrlPr>
                    </m:fPr>
                    <m:num>
                      <m:r>
                        <a:rPr lang="fr-CH" sz="1600" b="0" i="1">
                          <a:latin typeface="Cambria Math"/>
                        </a:rPr>
                        <m:t>∆</m:t>
                      </m:r>
                      <m:r>
                        <a:rPr lang="fr-CH" sz="1600" b="0" i="1">
                          <a:latin typeface="Cambria Math"/>
                        </a:rPr>
                        <m:t>𝑇</m:t>
                      </m:r>
                    </m:num>
                    <m:den>
                      <m:r>
                        <a:rPr lang="fr-CH" sz="1600" b="0" i="1">
                          <a:latin typeface="Cambria Math"/>
                        </a:rPr>
                        <m:t>𝑒</m:t>
                      </m:r>
                    </m:den>
                  </m:f>
                </m:oMath>
              </a14:m>
              <a:endParaRPr lang="fr-CH" sz="1600"/>
            </a:p>
          </xdr:txBody>
        </xdr:sp>
      </mc:Choice>
      <mc:Fallback xmlns="">
        <xdr:sp macro="" textlink="">
          <xdr:nvSpPr>
            <xdr:cNvPr id="2" name="ZoneTexte 1"/>
            <xdr:cNvSpPr txBox="1"/>
          </xdr:nvSpPr>
          <xdr:spPr>
            <a:xfrm>
              <a:off x="2085974" y="1638301"/>
              <a:ext cx="2047875" cy="448071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r>
                <a:rPr lang="el-GR" sz="1600">
                  <a:latin typeface="GreekC"/>
                  <a:cs typeface="GreekC"/>
                </a:rPr>
                <a:t>Φ</a:t>
              </a:r>
              <a:r>
                <a:rPr lang="fr-CH" sz="1600" i="0">
                  <a:latin typeface="Cambria Math"/>
                </a:rPr>
                <a:t>=</a:t>
              </a:r>
              <a:r>
                <a:rPr lang="el-GR" sz="1600" i="0">
                  <a:latin typeface="Cambria Math"/>
                </a:rPr>
                <a:t>λ</a:t>
              </a:r>
              <a:r>
                <a:rPr lang="fr-CH" sz="1600" b="0" i="0">
                  <a:latin typeface="Cambria Math"/>
                </a:rPr>
                <a:t>∗∆𝑇/𝑒</a:t>
              </a:r>
              <a:endParaRPr lang="fr-CH" sz="1600"/>
            </a:p>
          </xdr:txBody>
        </xdr:sp>
      </mc:Fallback>
    </mc:AlternateContent>
    <xdr:clientData/>
  </xdr:oneCellAnchor>
  <xdr:oneCellAnchor>
    <xdr:from>
      <xdr:col>1</xdr:col>
      <xdr:colOff>1136617</xdr:colOff>
      <xdr:row>20</xdr:row>
      <xdr:rowOff>84612</xdr:rowOff>
    </xdr:from>
    <xdr:ext cx="2035208" cy="553563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3" name="ZoneTexte 2">
              <a:extLst>
                <a:ext uri="{FF2B5EF4-FFF2-40B4-BE49-F238E27FC236}">
                  <a16:creationId xmlns:a16="http://schemas.microsoft.com/office/drawing/2014/main" id="{00000000-0008-0000-0500-000003000000}"/>
                </a:ext>
              </a:extLst>
            </xdr:cNvPr>
            <xdr:cNvSpPr txBox="1"/>
          </xdr:nvSpPr>
          <xdr:spPr>
            <a:xfrm>
              <a:off x="1898617" y="3437412"/>
              <a:ext cx="2035208" cy="553563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no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sSub>
                      <m:sSubPr>
                        <m:ctrlPr>
                          <a:rPr lang="fr-CH" sz="1100" b="0" i="1">
                            <a:latin typeface="Cambria Math" panose="02040503050406030204" pitchFamily="18" charset="0"/>
                          </a:rPr>
                        </m:ctrlPr>
                      </m:sSubPr>
                      <m:e>
                        <m:r>
                          <a:rPr lang="fr-CH" sz="1100" b="0" i="1">
                            <a:latin typeface="Cambria Math"/>
                          </a:rPr>
                          <m:t>𝑈</m:t>
                        </m:r>
                      </m:e>
                      <m:sub>
                        <m:r>
                          <a:rPr lang="fr-CH" sz="1100" b="0" i="1">
                            <a:latin typeface="Cambria Math"/>
                          </a:rPr>
                          <m:t>𝑐</m:t>
                        </m:r>
                      </m:sub>
                    </m:sSub>
                    <m:r>
                      <a:rPr lang="fr-CH" sz="1100" b="0" i="1">
                        <a:latin typeface="Cambria Math"/>
                      </a:rPr>
                      <m:t>=</m:t>
                    </m:r>
                    <m:f>
                      <m:fPr>
                        <m:ctrlPr>
                          <a:rPr lang="fr-CH" sz="1100" b="0" i="1">
                            <a:latin typeface="Cambria Math" panose="02040503050406030204" pitchFamily="18" charset="0"/>
                          </a:rPr>
                        </m:ctrlPr>
                      </m:fPr>
                      <m:num>
                        <m:r>
                          <a:rPr lang="fr-CH" sz="1100" b="0" i="1">
                            <a:latin typeface="Cambria Math"/>
                          </a:rPr>
                          <m:t>1</m:t>
                        </m:r>
                      </m:num>
                      <m:den>
                        <m:sSub>
                          <m:sSubPr>
                            <m:ctrlPr>
                              <a:rPr lang="fr-CH" sz="1100" b="0" i="1">
                                <a:latin typeface="Cambria Math" panose="02040503050406030204" pitchFamily="18" charset="0"/>
                              </a:rPr>
                            </m:ctrlPr>
                          </m:sSubPr>
                          <m:e>
                            <m:r>
                              <a:rPr lang="fr-CH" sz="1100" b="0" i="1">
                                <a:latin typeface="Cambria Math"/>
                              </a:rPr>
                              <m:t>𝑅</m:t>
                            </m:r>
                          </m:e>
                          <m:sub>
                            <m:r>
                              <a:rPr lang="fr-CH" sz="1100" b="0" i="1">
                                <a:latin typeface="Cambria Math"/>
                              </a:rPr>
                              <m:t>𝑠𝑖</m:t>
                            </m:r>
                          </m:sub>
                        </m:sSub>
                        <m:r>
                          <a:rPr lang="fr-CH" sz="1100" b="0" i="1">
                            <a:latin typeface="Cambria Math"/>
                          </a:rPr>
                          <m:t>+</m:t>
                        </m:r>
                        <m:r>
                          <a:rPr lang="fr-CH" sz="1100" b="0" i="1">
                            <a:latin typeface="Cambria Math"/>
                          </a:rPr>
                          <m:t>𝑅</m:t>
                        </m:r>
                        <m:r>
                          <a:rPr lang="fr-CH" sz="1100" b="0" i="1">
                            <a:latin typeface="Cambria Math"/>
                          </a:rPr>
                          <m:t>+</m:t>
                        </m:r>
                        <m:sSub>
                          <m:sSubPr>
                            <m:ctrlPr>
                              <a:rPr lang="fr-CH" sz="1100" b="0" i="1">
                                <a:latin typeface="Cambria Math" panose="02040503050406030204" pitchFamily="18" charset="0"/>
                              </a:rPr>
                            </m:ctrlPr>
                          </m:sSubPr>
                          <m:e>
                            <m:r>
                              <a:rPr lang="fr-CH" sz="1100" b="0" i="1">
                                <a:latin typeface="Cambria Math"/>
                              </a:rPr>
                              <m:t>𝑅</m:t>
                            </m:r>
                          </m:e>
                          <m:sub>
                            <m:r>
                              <a:rPr lang="fr-CH" sz="1100" b="0" i="1">
                                <a:latin typeface="Cambria Math"/>
                              </a:rPr>
                              <m:t>𝑠𝑒</m:t>
                            </m:r>
                          </m:sub>
                        </m:sSub>
                      </m:den>
                    </m:f>
                  </m:oMath>
                </m:oMathPara>
              </a14:m>
              <a:endParaRPr lang="fr-CH" sz="1100"/>
            </a:p>
          </xdr:txBody>
        </xdr:sp>
      </mc:Choice>
      <mc:Fallback xmlns="">
        <xdr:sp macro="" textlink="">
          <xdr:nvSpPr>
            <xdr:cNvPr id="3" name="ZoneTexte 2"/>
            <xdr:cNvSpPr txBox="1"/>
          </xdr:nvSpPr>
          <xdr:spPr>
            <a:xfrm xmlns:a="http://schemas.openxmlformats.org/drawingml/2006/main">
              <a:off x="1898617" y="3437412"/>
              <a:ext cx="2035208" cy="553563"/>
            </a:xfrm>
            <a:prstGeom xmlns:a="http://schemas.openxmlformats.org/drawingml/2006/main" prst="rect">
              <a:avLst/>
            </a:prstGeom>
            <a:noFill xmlns:a="http://schemas.openxmlformats.org/drawingml/2006/main"/>
          </xdr:spPr>
          <xdr:style>
            <a:lnRef xmlns:a="http://schemas.openxmlformats.org/drawingml/2006/main" idx="0">
              <a:scrgbClr r="0" g="0" b="0"/>
            </a:lnRef>
            <a:fillRef xmlns:a="http://schemas.openxmlformats.org/drawingml/2006/main" idx="0">
              <a:scrgbClr r="0" g="0" b="0"/>
            </a:fillRef>
            <a:effectRef xmlns:a="http://schemas.openxmlformats.org/drawingml/2006/main" idx="0">
              <a:scrgbClr r="0" g="0" b="0"/>
            </a:effectRef>
            <a:fontRef xmlns:a="http://schemas.openxmlformats.org/drawingml/2006/main" idx="minor">
              <a:schemeClr val="tx1"/>
            </a:fontRef>
          </xdr:style>
          <xdr:txBody>
            <a:bodyPr xmlns:a="http://schemas.openxmlformats.org/drawingml/2006/main" vertOverflow="clip" horzOverflow="clip" wrap="square" rtlCol="0" anchor="t">
              <a:noAutofit/>
            </a:bodyPr>
            <a:lstStyle xmlns:a="http://schemas.openxmlformats.org/drawingml/2006/main"/>
            <a:p xmlns:a="http://schemas.openxmlformats.org/drawingml/2006/main">
              <a:r>
                <a:rPr lang="fr-CH" sz="1100" b="0" i="0">
                  <a:latin typeface="Cambria Math"/>
                </a:rPr>
                <a:t>𝑈_𝑐=1/(𝑅_𝑠𝑖+𝑅+𝑅_𝑠𝑒 )</a:t>
              </a:r>
              <a:endParaRPr lang="fr-CH" sz="1100"/>
            </a:p>
          </xdr:txBody>
        </xdr:sp>
      </mc:Fallback>
    </mc:AlternateContent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ylvain Gruss" refreshedDate="43845.720540393515" createdVersion="4" refreshedVersion="6" minRefreshableVersion="3" recordCount="122" xr:uid="{00000000-000A-0000-FFFF-FFFF29000000}">
  <cacheSource type="worksheet">
    <worksheetSource ref="B10:C261" sheet="Données Matériaux"/>
  </cacheSource>
  <cacheFields count="2">
    <cacheField name="Type de Produit" numFmtId="0">
      <sharedItems containsBlank="1" count="12">
        <s v="Bois"/>
        <s v="Chanvre"/>
        <s v="Divers"/>
        <s v="Fibre de bois"/>
        <s v="Laine de roche"/>
        <s v="Laine de verre"/>
        <s v="Maçonnerie"/>
        <s v="Ouate de cellulose"/>
        <s v="Plâtre"/>
        <m/>
        <s v="Béton" u="1"/>
        <s v="Laine de verrre" u="1"/>
      </sharedItems>
    </cacheField>
    <cacheField name="Désignation" numFmtId="0">
      <sharedItems containsBlank="1" count="135">
        <s v="OSB2"/>
        <s v="OSB3"/>
        <s v="OSB4"/>
        <s v="Bois feuillus"/>
        <s v="Bois résineux"/>
        <s v="Bloc béton de chanvre"/>
        <s v="PU 0.022"/>
        <s v="Pare-Pluie"/>
        <s v="Pare-vapeur"/>
        <s v="Lame d'air non ventilé ep: 50mm"/>
        <s v="Lame d'air non ventilé ep: 40mm"/>
        <s v="Lame d'air non ventilé ep:25mm"/>
        <s v="Lame d'air non ventilé ep:15mm"/>
        <s v="Lame d'air non ventilé ep: 10mm"/>
        <s v="Liège en vrac"/>
        <s v="Fibre de bois en vrac"/>
        <s v="Fibre de bois 0.039"/>
        <s v="Fibre de bois 0.043"/>
        <s v="Fibre de bois 0.042"/>
        <s v="LdR 0.034"/>
        <s v="LdR 0.033"/>
        <s v="LdR 0.037"/>
        <s v="LdV 0.037"/>
        <s v="LdV 0.04"/>
        <s v="LdV 0.035"/>
        <s v="LdV 0.036"/>
        <s v="LdV 0.032"/>
        <s v="Briques"/>
        <s v="Maçonnerie de moellons"/>
        <s v="Béton cellulaire 700kg/m3"/>
        <s v="Béton cellulaire 600kg/m3"/>
        <s v="Béton cellulaire 500kg/m3"/>
        <s v="Béton armé"/>
        <s v="Béton plein"/>
        <s v="Brique ciment creuse"/>
        <s v="Ouate de cellulose 0.058"/>
        <s v="Ouate de cellulose 0.042"/>
        <s v="Panneau plâtre armé de fibre de bois"/>
        <s v="Fermacell"/>
        <s v="BA13"/>
        <s v="BA15F"/>
        <s v="Enduit au plâtre"/>
        <m/>
        <s v="BA 13" u="1"/>
        <s v="Placoplatre BA13" u="1"/>
        <s v="EnergiePlus massive" u="1"/>
        <s v="OSB 3 ep: 6 à 10mm" u="1"/>
        <s v="STEICOzell" u="1"/>
        <s v="OSB4 KRONOSPAN" u="1"/>
        <s v="ID-Q11 standard" u="1"/>
        <s v="Pare-Pluie Soplutec" u="1"/>
        <s v="Isoconfort 32 revêtu kraft" u="1"/>
        <s v="Isoconfort 35 revêtu Kraft" u="1"/>
        <s v="Uniroll 035" u="1"/>
        <s v="Acoustilaine 035" u="1"/>
        <s v="MB Rock +" u="1"/>
        <s v="Agepan DWD" u="1"/>
        <s v="OSB 4 ep:9mm" u="1"/>
        <s v="Naturoll 032" u="1"/>
        <s v="TI 212" u="1"/>
        <s v="HolzFlex OB" u="1"/>
        <s v="KI Fit 035" u="1"/>
        <s v="HolzFlex CT" u="1"/>
        <s v="OSB3 KRONOSPAN" u="1"/>
        <s v="Panneaux chevrons 032 PR" u="1"/>
        <s v="Chêne H=15%" u="1"/>
        <s v="Thermo Loft" u="1"/>
        <s v="Hardrock 2 Nu" u="1"/>
        <s v="Doublage 80mm d'isolant 0.035+BA13 (R=2.3)" u="1"/>
        <s v="OSB2 KRONOSPAN" u="1"/>
        <s v="HDP-Q11 standard" u="1"/>
        <s v="Univercell en soufflage" u="1"/>
        <s v="Pare pluie BWK thermo façade light Sk" u="1"/>
        <s v="USD-Q11 protect" u="1"/>
        <s v="HDP-Q11 protect" u="1"/>
        <s v="Hêtre H=15%" u="1"/>
        <s v="Agepan DWD RL" u="1"/>
        <s v="KI Fit 037" u="1"/>
        <s v="Rockmur Alu" u="1"/>
        <s v="Epicéa H=15%" u="1"/>
        <s v="HolzFlex MBOC" u="1"/>
        <s v="OSB: 0.14W/m.K" u="1"/>
        <s v="Fermacell Firepanel A1" u="1"/>
        <s v="IBR Contact" u="1"/>
        <s v="Hardrock 2 Energy" u="1"/>
        <s v="Doublage 80mm d'isolant +BA13 (R=2.03)" u="1"/>
        <s v="Doublage 80mm d'isolant 0.032+BA13 (R=2.54)" u="1"/>
        <s v="OSB 4" u="1"/>
        <s v="Acoustiplus032" u="1"/>
        <s v="FlexCL" u="1"/>
        <s v="WF-classic" u="1"/>
        <s v="KI Fit 040" u="1"/>
        <s v="Isotherm 035" u="1"/>
        <s v="Panneau de fibre de bois bitumineux" u="1"/>
        <s v="Univercell en Insufflation" u="1"/>
        <s v="Rockmur Nu" u="1"/>
        <s v="Rockwool MB Rock" u="1"/>
        <s v="Fermacell greenline" u="1"/>
        <s v="Paviso" u="1"/>
        <s v="OSB 3 ep:10 à 18mm" u="1"/>
        <s v="Ouate de cellulose: 0.058W/m.K" u="1"/>
        <s v="Isoconfort 32" u="1"/>
        <s v="Panneau bois &quot;Durelis&quot; ep: 12 à 18mm" u="1"/>
        <s v="Façade 032 B" u="1"/>
        <s v="UD-Q11 protect" u="1"/>
        <s v="Doublage 80mm d'isolant 0.032+BA13 (R=2.52)" u="1"/>
        <s v="Isoconfort 032" u="1"/>
        <s v="Agepan THD" u="1"/>
        <s v="Rockplus Kraft" u="1"/>
        <s v="Aucun matériaux" u="1"/>
        <s v="Fermacell Vapor" u="1"/>
        <s v="INETLLO ep:0.2mm" u="1"/>
        <s v="OSB 4 ep:12mm" u="1"/>
        <s v="Isoconfort 032 PR" u="1"/>
        <s v="Pare pluie BWK thermo façade light Sk ép.0.0004mm" u="1"/>
        <s v="MB Rock" u="1"/>
        <s v="PU Efigreen" u="1"/>
        <s v="Isoconfort 35" u="1"/>
        <s v="IBR revêtu Kraft" u="1"/>
        <s v="EnergiePlus comfort ep:&lt;60mm" u="1"/>
        <s v="FineFloc" u="1"/>
        <s v="EnergiePlus comfort" u="1"/>
        <s v="Uniroll 035 PR" u="1"/>
        <s v="Façade 035 B" u="1"/>
        <s v="KI Fit 032" u="1"/>
        <s v="Pare-vapeur: Wallint eco 60 ep:0.2mm" u="1"/>
        <s v="Naturoll 035" u="1"/>
        <s v="EnergiePlus FR" u="1"/>
        <s v="Fermacell fibre-gypse" u="1"/>
        <s v="Rockacier B Nu" u="1"/>
        <s v="ISODUO 36" u="1"/>
        <s v="TS-Q11 protect" u="1"/>
        <s v="Rockplus Nu" u="1"/>
        <s v="OSB 3 ep:18 à 25mm" u="1"/>
        <s v="OSB 4 ep:15mm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ylvain Gruss" refreshedDate="43845.720540509261" createdVersion="4" refreshedVersion="6" minRefreshableVersion="3" recordCount="122" xr:uid="{00000000-000A-0000-FFFF-FFFF25000000}">
  <cacheSource type="worksheet">
    <worksheetSource ref="B10:C256" sheet="Données Matériaux"/>
  </cacheSource>
  <cacheFields count="2">
    <cacheField name="Type de Produit" numFmtId="0">
      <sharedItems containsBlank="1" count="11">
        <s v="Bois"/>
        <s v="Chanvre"/>
        <s v="Divers"/>
        <s v="Fibre de bois"/>
        <s v="Laine de roche"/>
        <s v="Laine de verre"/>
        <s v="Maçonnerie"/>
        <s v="Ouate de cellulose"/>
        <s v="Plâtre"/>
        <m/>
        <s v="Béton" u="1"/>
      </sharedItems>
    </cacheField>
    <cacheField name="Désignation" numFmtId="0">
      <sharedItems containsBlank="1" count="135">
        <s v="OSB2"/>
        <s v="OSB3"/>
        <s v="OSB4"/>
        <s v="Bois feuillus"/>
        <s v="Bois résineux"/>
        <s v="Bloc béton de chanvre"/>
        <s v="PU 0.022"/>
        <s v="Pare-Pluie"/>
        <s v="Pare-vapeur"/>
        <s v="Lame d'air non ventilé ep: 50mm"/>
        <s v="Lame d'air non ventilé ep: 40mm"/>
        <s v="Lame d'air non ventilé ep:25mm"/>
        <s v="Lame d'air non ventilé ep:15mm"/>
        <s v="Lame d'air non ventilé ep: 10mm"/>
        <s v="Liège en vrac"/>
        <s v="Fibre de bois en vrac"/>
        <s v="Fibre de bois 0.039"/>
        <s v="Fibre de bois 0.043"/>
        <s v="Fibre de bois 0.042"/>
        <s v="LdR 0.034"/>
        <s v="LdR 0.033"/>
        <s v="LdR 0.037"/>
        <s v="LdV 0.037"/>
        <s v="LdV 0.04"/>
        <s v="LdV 0.035"/>
        <s v="LdV 0.036"/>
        <s v="LdV 0.032"/>
        <s v="Briques"/>
        <s v="Maçonnerie de moellons"/>
        <s v="Béton cellulaire 700kg/m3"/>
        <s v="Béton cellulaire 600kg/m3"/>
        <s v="Béton cellulaire 500kg/m3"/>
        <s v="Béton armé"/>
        <s v="Béton plein"/>
        <s v="Brique ciment creuse"/>
        <s v="Ouate de cellulose 0.058"/>
        <s v="Ouate de cellulose 0.042"/>
        <s v="Panneau plâtre armé de fibre de bois"/>
        <s v="Fermacell"/>
        <s v="BA13"/>
        <s v="BA15F"/>
        <s v="Enduit au plâtre"/>
        <m/>
        <s v="BA 13" u="1"/>
        <s v="Placoplatre BA13" u="1"/>
        <s v="EnergiePlus massive" u="1"/>
        <s v="OSB 3 ep: 6 à 10mm" u="1"/>
        <s v="STEICOzell" u="1"/>
        <s v="OSB4 KRONOSPAN" u="1"/>
        <s v="ID-Q11 standard" u="1"/>
        <s v="Pare-Pluie Soplutec" u="1"/>
        <s v="Isoconfort 32 revêtu kraft" u="1"/>
        <s v="Isoconfort 35 revêtu Kraft" u="1"/>
        <s v="Uniroll 035" u="1"/>
        <s v="Acoustilaine 035" u="1"/>
        <s v="MB Rock +" u="1"/>
        <s v="Agepan DWD" u="1"/>
        <s v="OSB 4 ep:9mm" u="1"/>
        <s v="Naturoll 032" u="1"/>
        <s v="TI 212" u="1"/>
        <s v="HolzFlex OB" u="1"/>
        <s v="KI Fit 035" u="1"/>
        <s v="HolzFlex CT" u="1"/>
        <s v="OSB3 KRONOSPAN" u="1"/>
        <s v="Panneaux chevrons 032 PR" u="1"/>
        <s v="Chêne H=15%" u="1"/>
        <s v="Thermo Loft" u="1"/>
        <s v="Hardrock 2 Nu" u="1"/>
        <s v="Doublage 80mm d'isolant 0.035+BA13 (R=2.3)" u="1"/>
        <s v="OSB2 KRONOSPAN" u="1"/>
        <s v="HDP-Q11 standard" u="1"/>
        <s v="Univercell en soufflage" u="1"/>
        <s v="Pare pluie BWK thermo façade light Sk" u="1"/>
        <s v="USD-Q11 protect" u="1"/>
        <s v="HDP-Q11 protect" u="1"/>
        <s v="Hêtre H=15%" u="1"/>
        <s v="Agepan DWD RL" u="1"/>
        <s v="KI Fit 037" u="1"/>
        <s v="Rockmur Alu" u="1"/>
        <s v="Epicéa H=15%" u="1"/>
        <s v="HolzFlex MBOC" u="1"/>
        <s v="OSB: 0.14W/m.K" u="1"/>
        <s v="Fermacell Firepanel A1" u="1"/>
        <s v="IBR Contact" u="1"/>
        <s v="Hardrock 2 Energy" u="1"/>
        <s v="Doublage 80mm d'isolant +BA13 (R=2.03)" u="1"/>
        <s v="Doublage 80mm d'isolant 0.032+BA13 (R=2.54)" u="1"/>
        <s v="OSB 4" u="1"/>
        <s v="Acoustiplus032" u="1"/>
        <s v="FlexCL" u="1"/>
        <s v="WF-classic" u="1"/>
        <s v="KI Fit 040" u="1"/>
        <s v="Isotherm 035" u="1"/>
        <s v="Panneau de fibre de bois bitumineux" u="1"/>
        <s v="Univercell en Insufflation" u="1"/>
        <s v="Rockmur Nu" u="1"/>
        <s v="Rockwool MB Rock" u="1"/>
        <s v="Fermacell greenline" u="1"/>
        <s v="Paviso" u="1"/>
        <s v="OSB 3 ep:10 à 18mm" u="1"/>
        <s v="Ouate de cellulose: 0.058W/m.K" u="1"/>
        <s v="Isoconfort 32" u="1"/>
        <s v="Panneau bois &quot;Durelis&quot; ep: 12 à 18mm" u="1"/>
        <s v="Façade 032 B" u="1"/>
        <s v="UD-Q11 protect" u="1"/>
        <s v="Doublage 80mm d'isolant 0.032+BA13 (R=2.52)" u="1"/>
        <s v="Isoconfort 032" u="1"/>
        <s v="Agepan THD" u="1"/>
        <s v="Rockplus Kraft" u="1"/>
        <s v="Aucun matériaux" u="1"/>
        <s v="Fermacell Vapor" u="1"/>
        <s v="INETLLO ep:0.2mm" u="1"/>
        <s v="OSB 4 ep:12mm" u="1"/>
        <s v="Isoconfort 032 PR" u="1"/>
        <s v="Pare pluie BWK thermo façade light Sk ép.0.0004mm" u="1"/>
        <s v="MB Rock" u="1"/>
        <s v="PU Efigreen" u="1"/>
        <s v="Isoconfort 35" u="1"/>
        <s v="IBR revêtu Kraft" u="1"/>
        <s v="EnergiePlus comfort ep:&lt;60mm" u="1"/>
        <s v="FineFloc" u="1"/>
        <s v="EnergiePlus comfort" u="1"/>
        <s v="Uniroll 035 PR" u="1"/>
        <s v="Façade 035 B" u="1"/>
        <s v="KI Fit 032" u="1"/>
        <s v="Pare-vapeur: Wallint eco 60 ep:0.2mm" u="1"/>
        <s v="Naturoll 035" u="1"/>
        <s v="EnergiePlus FR" u="1"/>
        <s v="Fermacell fibre-gypse" u="1"/>
        <s v="Rockacier B Nu" u="1"/>
        <s v="ISODUO 36" u="1"/>
        <s v="TS-Q11 protect" u="1"/>
        <s v="Rockplus Nu" u="1"/>
        <s v="OSB 3 ep:18 à 25mm" u="1"/>
        <s v="OSB 4 ep:15mm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ylvain Gruss" refreshedDate="43845.720540509261" createdVersion="4" refreshedVersion="6" minRefreshableVersion="3" recordCount="29" xr:uid="{00000000-000A-0000-FFFF-FFFF21000000}">
  <cacheSource type="worksheet">
    <worksheetSource ref="A9:B38" sheet="Données Ponts Thermiques"/>
  </cacheSource>
  <cacheFields count="2">
    <cacheField name="Type de Ponts thermiques" numFmtId="0">
      <sharedItems count="3">
        <s v="Fixation"/>
        <s v="Murs"/>
        <s v="Toiture"/>
      </sharedItems>
    </cacheField>
    <cacheField name="Détails" numFmtId="0">
      <sharedItems count="48">
        <s v="Clou inox dans isolant &gt;100mm"/>
        <s v="Clou inox dans isolant &lt;100mm"/>
        <s v="Clou galva dans isolant &gt;60mm"/>
        <s v="Clou galva dans 60mm d'isolant"/>
        <s v="Clou galva dans 40mm d'isolant"/>
        <s v="Lattes support isolant extérieur"/>
        <s v="Ossateur renforcé de 3 montants ep:60mm, isolant entre montants + isolant complémentaire, entraxe 600mm"/>
        <s v="Ossature renforcé de 2 montants, isolant entre montants ep:45mm,entraxe 600mm"/>
        <s v="Croisement panne/chevron"/>
        <s v="Equerre alu 100mm² dans isolant 50mm"/>
        <s v="Croisement ossature/latte"/>
        <s v="Ossature renforcé de 3 montants, isolant entre montants ep:60mm, entraxe 600mm"/>
        <s v="Ossature renforcé de 3 montants, isolant entre montants ep:45mm, entraxe 600mm"/>
        <s v="Isolation entre montants ep:60mm + isolation complémentaire, entraxe 600mm"/>
        <s v="Isolation entre montants ep:45mm + isolation complémentaire, entraxe 600mm"/>
        <s v="Isolation entre montants ep:50mm + isolation complémentaire, entraxe 600mm"/>
        <s v="Isolation entre montants ep:36mm + isolation complémentaire, entraxe 600mm"/>
        <s v="Isolation entre montants ep:60mm + isolation complémentaire, entraxe 400mm"/>
        <s v="Isolation entre montants ep:45mm + isolation complémentaire, entraxe 400mm"/>
        <s v="Isolation entre montants ep:50mm + isolation complémentaire, entraxe 400mm"/>
        <s v="Isolation entre montants ep:36mm + isolation complémentaire, entraxe 400mm"/>
        <s v="Isolation entre montants ep:60mm, entraxe 600mm"/>
        <s v="Isolation entre montants ep:45mm, entraxe 600mm"/>
        <s v="Isolation entre montants ep:50mm, entraxe 600mm"/>
        <s v="Isolation entre montants ep:36mm, entraxe 600mm"/>
        <s v="Isolation entre montants ep:60mm, entraxe 400mm"/>
        <s v="Isolation entre montants ep:45mm, entraxe 400mm"/>
        <s v="Isolation entre montants ep:50mm, entraxe 400mm"/>
        <s v="Isolation entre montants ep:36mm, entraxe 400mm"/>
        <s v="Isolation entre montants de 36mm, entraxe 400mm" u="1"/>
        <s v="Isolation entre montants de 45mm, entraxe 400mm" u="1"/>
        <s v="Isolation entre montants de 50mm, entraxe 400mm" u="1"/>
        <s v="Isolation entre montants de 60mm, entraxe 400mm" u="1"/>
        <s v="Ossature renforcé de 2 montants, isolant entre montants 45mm,entraxe 600mm" u="1"/>
        <s v="Ossature renforcé de 3 montants, isolant entre montants de 45mm, entraxe 600mm" u="1"/>
        <s v="Ossature renforcé de 3 montants, isolant entre montants de 60mm, entraxe 600mm" u="1"/>
        <s v="Isolation entre montants de 36mm + isolation complémentaire, entraxe 600mm" u="1"/>
        <s v="Isolation entre montants de 45mm + isolation complémentaire, entraxe 600mm" u="1"/>
        <s v="Isolation entre montants de 50mm + isolation complémentaire, entraxe 600mm" u="1"/>
        <s v="Isolation entre montants de 60mm + isolation complémentaire, entraxe 600mm" u="1"/>
        <s v="Isolation entre montants de 36mm + isolation complémentaire, entraxe 400mm" u="1"/>
        <s v="Isolation entre montants de 45mm + isolation complémentaire, entraxe 400mm" u="1"/>
        <s v="Isolation entre montants de 50mm + isolation complémentaire, entraxe 400mm" u="1"/>
        <s v="Isolation entre montants de 60mm + isolation complémentaire, entraxe 400mm" u="1"/>
        <s v="Isolation entre montants de 36mm, entraxe 600mm" u="1"/>
        <s v="Isolation entre montants de 45mm, entraxe 600mm" u="1"/>
        <s v="Isolation entre montants de 50mm, entraxe 600mm" u="1"/>
        <s v="Isolation entre montants de 60mm, entraxe 600mm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2">
  <r>
    <x v="0"/>
    <x v="0"/>
  </r>
  <r>
    <x v="0"/>
    <x v="1"/>
  </r>
  <r>
    <x v="0"/>
    <x v="2"/>
  </r>
  <r>
    <x v="0"/>
    <x v="3"/>
  </r>
  <r>
    <x v="0"/>
    <x v="4"/>
  </r>
  <r>
    <x v="1"/>
    <x v="5"/>
  </r>
  <r>
    <x v="2"/>
    <x v="6"/>
  </r>
  <r>
    <x v="2"/>
    <x v="7"/>
  </r>
  <r>
    <x v="2"/>
    <x v="8"/>
  </r>
  <r>
    <x v="2"/>
    <x v="9"/>
  </r>
  <r>
    <x v="2"/>
    <x v="10"/>
  </r>
  <r>
    <x v="2"/>
    <x v="11"/>
  </r>
  <r>
    <x v="2"/>
    <x v="12"/>
  </r>
  <r>
    <x v="2"/>
    <x v="13"/>
  </r>
  <r>
    <x v="2"/>
    <x v="14"/>
  </r>
  <r>
    <x v="3"/>
    <x v="15"/>
  </r>
  <r>
    <x v="3"/>
    <x v="16"/>
  </r>
  <r>
    <x v="3"/>
    <x v="17"/>
  </r>
  <r>
    <x v="3"/>
    <x v="18"/>
  </r>
  <r>
    <x v="4"/>
    <x v="19"/>
  </r>
  <r>
    <x v="4"/>
    <x v="20"/>
  </r>
  <r>
    <x v="4"/>
    <x v="21"/>
  </r>
  <r>
    <x v="5"/>
    <x v="22"/>
  </r>
  <r>
    <x v="5"/>
    <x v="23"/>
  </r>
  <r>
    <x v="5"/>
    <x v="24"/>
  </r>
  <r>
    <x v="5"/>
    <x v="25"/>
  </r>
  <r>
    <x v="5"/>
    <x v="26"/>
  </r>
  <r>
    <x v="6"/>
    <x v="27"/>
  </r>
  <r>
    <x v="6"/>
    <x v="28"/>
  </r>
  <r>
    <x v="6"/>
    <x v="29"/>
  </r>
  <r>
    <x v="6"/>
    <x v="30"/>
  </r>
  <r>
    <x v="6"/>
    <x v="31"/>
  </r>
  <r>
    <x v="6"/>
    <x v="32"/>
  </r>
  <r>
    <x v="6"/>
    <x v="33"/>
  </r>
  <r>
    <x v="6"/>
    <x v="34"/>
  </r>
  <r>
    <x v="7"/>
    <x v="35"/>
  </r>
  <r>
    <x v="7"/>
    <x v="36"/>
  </r>
  <r>
    <x v="8"/>
    <x v="37"/>
  </r>
  <r>
    <x v="8"/>
    <x v="38"/>
  </r>
  <r>
    <x v="8"/>
    <x v="39"/>
  </r>
  <r>
    <x v="8"/>
    <x v="40"/>
  </r>
  <r>
    <x v="8"/>
    <x v="41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2">
  <r>
    <x v="0"/>
    <x v="0"/>
  </r>
  <r>
    <x v="0"/>
    <x v="1"/>
  </r>
  <r>
    <x v="0"/>
    <x v="2"/>
  </r>
  <r>
    <x v="0"/>
    <x v="3"/>
  </r>
  <r>
    <x v="0"/>
    <x v="4"/>
  </r>
  <r>
    <x v="1"/>
    <x v="5"/>
  </r>
  <r>
    <x v="2"/>
    <x v="6"/>
  </r>
  <r>
    <x v="2"/>
    <x v="7"/>
  </r>
  <r>
    <x v="2"/>
    <x v="8"/>
  </r>
  <r>
    <x v="2"/>
    <x v="9"/>
  </r>
  <r>
    <x v="2"/>
    <x v="10"/>
  </r>
  <r>
    <x v="2"/>
    <x v="11"/>
  </r>
  <r>
    <x v="2"/>
    <x v="12"/>
  </r>
  <r>
    <x v="2"/>
    <x v="13"/>
  </r>
  <r>
    <x v="2"/>
    <x v="14"/>
  </r>
  <r>
    <x v="3"/>
    <x v="15"/>
  </r>
  <r>
    <x v="3"/>
    <x v="16"/>
  </r>
  <r>
    <x v="3"/>
    <x v="17"/>
  </r>
  <r>
    <x v="3"/>
    <x v="18"/>
  </r>
  <r>
    <x v="4"/>
    <x v="19"/>
  </r>
  <r>
    <x v="4"/>
    <x v="20"/>
  </r>
  <r>
    <x v="4"/>
    <x v="21"/>
  </r>
  <r>
    <x v="5"/>
    <x v="22"/>
  </r>
  <r>
    <x v="5"/>
    <x v="23"/>
  </r>
  <r>
    <x v="5"/>
    <x v="24"/>
  </r>
  <r>
    <x v="5"/>
    <x v="25"/>
  </r>
  <r>
    <x v="5"/>
    <x v="26"/>
  </r>
  <r>
    <x v="6"/>
    <x v="27"/>
  </r>
  <r>
    <x v="6"/>
    <x v="28"/>
  </r>
  <r>
    <x v="6"/>
    <x v="29"/>
  </r>
  <r>
    <x v="6"/>
    <x v="30"/>
  </r>
  <r>
    <x v="6"/>
    <x v="31"/>
  </r>
  <r>
    <x v="6"/>
    <x v="32"/>
  </r>
  <r>
    <x v="6"/>
    <x v="33"/>
  </r>
  <r>
    <x v="6"/>
    <x v="34"/>
  </r>
  <r>
    <x v="7"/>
    <x v="35"/>
  </r>
  <r>
    <x v="7"/>
    <x v="36"/>
  </r>
  <r>
    <x v="8"/>
    <x v="37"/>
  </r>
  <r>
    <x v="8"/>
    <x v="38"/>
  </r>
  <r>
    <x v="8"/>
    <x v="39"/>
  </r>
  <r>
    <x v="8"/>
    <x v="40"/>
  </r>
  <r>
    <x v="8"/>
    <x v="41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">
  <r>
    <x v="0"/>
    <x v="0"/>
  </r>
  <r>
    <x v="0"/>
    <x v="1"/>
  </r>
  <r>
    <x v="0"/>
    <x v="2"/>
  </r>
  <r>
    <x v="0"/>
    <x v="3"/>
  </r>
  <r>
    <x v="0"/>
    <x v="4"/>
  </r>
  <r>
    <x v="1"/>
    <x v="5"/>
  </r>
  <r>
    <x v="1"/>
    <x v="6"/>
  </r>
  <r>
    <x v="1"/>
    <x v="7"/>
  </r>
  <r>
    <x v="2"/>
    <x v="8"/>
  </r>
  <r>
    <x v="0"/>
    <x v="9"/>
  </r>
  <r>
    <x v="1"/>
    <x v="10"/>
  </r>
  <r>
    <x v="1"/>
    <x v="11"/>
  </r>
  <r>
    <x v="1"/>
    <x v="12"/>
  </r>
  <r>
    <x v="1"/>
    <x v="13"/>
  </r>
  <r>
    <x v="1"/>
    <x v="14"/>
  </r>
  <r>
    <x v="1"/>
    <x v="15"/>
  </r>
  <r>
    <x v="1"/>
    <x v="16"/>
  </r>
  <r>
    <x v="1"/>
    <x v="17"/>
  </r>
  <r>
    <x v="1"/>
    <x v="18"/>
  </r>
  <r>
    <x v="1"/>
    <x v="19"/>
  </r>
  <r>
    <x v="1"/>
    <x v="20"/>
  </r>
  <r>
    <x v="1"/>
    <x v="21"/>
  </r>
  <r>
    <x v="1"/>
    <x v="22"/>
  </r>
  <r>
    <x v="1"/>
    <x v="23"/>
  </r>
  <r>
    <x v="1"/>
    <x v="24"/>
  </r>
  <r>
    <x v="1"/>
    <x v="25"/>
  </r>
  <r>
    <x v="1"/>
    <x v="26"/>
  </r>
  <r>
    <x v="1"/>
    <x v="27"/>
  </r>
  <r>
    <x v="1"/>
    <x v="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3000000}" name="Tableau croisé dynamique12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Q1:Q11" firstHeaderRow="1" firstDataRow="1" firstDataCol="1"/>
  <pivotFields count="2">
    <pivotField axis="axisRow" showAll="0">
      <items count="12">
        <item h="1" m="1" x="10"/>
        <item h="1" x="0"/>
        <item h="1" x="1"/>
        <item x="2"/>
        <item h="1" x="3"/>
        <item h="1" x="4"/>
        <item h="1" x="5"/>
        <item h="1" x="7"/>
        <item h="1" x="8"/>
        <item h="1" x="9"/>
        <item h="1" x="6"/>
        <item t="default"/>
      </items>
    </pivotField>
    <pivotField axis="axisRow" showAll="0">
      <items count="136">
        <item m="1" x="43"/>
        <item m="1" x="121"/>
        <item m="1" x="119"/>
        <item m="1" x="127"/>
        <item m="1" x="45"/>
        <item m="1" x="120"/>
        <item m="1" x="89"/>
        <item m="1" x="74"/>
        <item m="1" x="70"/>
        <item m="1" x="62"/>
        <item m="1" x="80"/>
        <item m="1" x="60"/>
        <item m="1" x="83"/>
        <item m="1" x="118"/>
        <item m="1" x="49"/>
        <item m="1" x="106"/>
        <item m="1" x="113"/>
        <item m="1" x="101"/>
        <item m="1" x="51"/>
        <item m="1" x="117"/>
        <item m="1" x="52"/>
        <item m="1" x="130"/>
        <item m="1" x="92"/>
        <item m="1" x="64"/>
        <item m="1" x="131"/>
        <item m="1" x="104"/>
        <item m="1" x="53"/>
        <item m="1" x="122"/>
        <item m="1" x="73"/>
        <item m="1" x="90"/>
        <item x="42"/>
        <item x="33"/>
        <item m="1" x="109"/>
        <item x="4"/>
        <item x="5"/>
        <item m="1" x="115"/>
        <item m="1" x="59"/>
        <item m="1" x="66"/>
        <item m="1" x="126"/>
        <item m="1" x="58"/>
        <item m="1" x="91"/>
        <item m="1" x="77"/>
        <item m="1" x="61"/>
        <item m="1" x="124"/>
        <item m="1" x="123"/>
        <item m="1" x="103"/>
        <item m="1" x="88"/>
        <item m="1" x="54"/>
        <item m="1" x="132"/>
        <item m="1" x="108"/>
        <item m="1" x="95"/>
        <item m="1" x="78"/>
        <item m="1" x="129"/>
        <item m="1" x="55"/>
        <item m="1" x="67"/>
        <item m="1" x="84"/>
        <item m="1" x="75"/>
        <item m="1" x="79"/>
        <item x="41"/>
        <item m="1" x="65"/>
        <item x="34"/>
        <item x="3"/>
        <item x="29"/>
        <item x="30"/>
        <item x="31"/>
        <item x="32"/>
        <item x="14"/>
        <item x="28"/>
        <item x="10"/>
        <item x="11"/>
        <item x="12"/>
        <item x="13"/>
        <item x="9"/>
        <item m="1" x="102"/>
        <item m="1" x="87"/>
        <item m="1" x="134"/>
        <item m="1" x="112"/>
        <item m="1" x="57"/>
        <item m="1" x="44"/>
        <item m="1" x="46"/>
        <item m="1" x="133"/>
        <item m="1" x="99"/>
        <item m="1" x="82"/>
        <item m="1" x="110"/>
        <item m="1" x="97"/>
        <item m="1" x="128"/>
        <item m="1" x="111"/>
        <item x="37"/>
        <item m="1" x="94"/>
        <item m="1" x="71"/>
        <item m="1" x="47"/>
        <item m="1" x="100"/>
        <item m="1" x="98"/>
        <item m="1" x="93"/>
        <item m="1" x="81"/>
        <item x="27"/>
        <item m="1" x="125"/>
        <item m="1" x="69"/>
        <item m="1" x="63"/>
        <item m="1" x="48"/>
        <item m="1" x="107"/>
        <item m="1" x="76"/>
        <item m="1" x="56"/>
        <item m="1" x="96"/>
        <item m="1" x="50"/>
        <item m="1" x="85"/>
        <item m="1" x="105"/>
        <item m="1" x="68"/>
        <item m="1" x="86"/>
        <item m="1" x="72"/>
        <item m="1" x="114"/>
        <item m="1" x="116"/>
        <item x="0"/>
        <item x="1"/>
        <item x="2"/>
        <item x="6"/>
        <item x="7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5"/>
        <item x="36"/>
        <item x="38"/>
        <item x="39"/>
        <item x="40"/>
        <item t="default"/>
      </items>
    </pivotField>
  </pivotFields>
  <rowFields count="2">
    <field x="0"/>
    <field x="1"/>
  </rowFields>
  <rowItems count="10">
    <i>
      <x v="3"/>
    </i>
    <i r="1">
      <x v="66"/>
    </i>
    <i r="1">
      <x v="68"/>
    </i>
    <i r="1">
      <x v="69"/>
    </i>
    <i r="1">
      <x v="70"/>
    </i>
    <i r="1">
      <x v="71"/>
    </i>
    <i r="1">
      <x v="72"/>
    </i>
    <i r="1">
      <x v="115"/>
    </i>
    <i r="1">
      <x v="116"/>
    </i>
    <i r="1">
      <x v="117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4000000}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U1:U3" firstHeaderRow="1" firstDataRow="1" firstDataCol="1"/>
  <pivotFields count="2">
    <pivotField axis="axisRow" showAll="0">
      <items count="4">
        <item h="1" x="0"/>
        <item h="1" x="1"/>
        <item x="2"/>
        <item t="default"/>
      </items>
    </pivotField>
    <pivotField axis="axisRow" showAll="0">
      <items count="49">
        <item x="10"/>
        <item x="8"/>
        <item x="9"/>
        <item m="1" x="40"/>
        <item m="1" x="36"/>
        <item m="1" x="29"/>
        <item m="1" x="44"/>
        <item m="1" x="41"/>
        <item m="1" x="37"/>
        <item m="1" x="30"/>
        <item m="1" x="45"/>
        <item m="1" x="42"/>
        <item m="1" x="38"/>
        <item m="1" x="31"/>
        <item m="1" x="46"/>
        <item m="1" x="43"/>
        <item m="1" x="39"/>
        <item m="1" x="32"/>
        <item m="1" x="47"/>
        <item m="1" x="34"/>
        <item m="1" x="35"/>
        <item m="1" x="33"/>
        <item x="7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6"/>
        <item x="5"/>
        <item x="0"/>
        <item x="1"/>
        <item x="2"/>
        <item x="3"/>
        <item x="4"/>
        <item t="default"/>
      </items>
    </pivotField>
  </pivotFields>
  <rowFields count="2">
    <field x="0"/>
    <field x="1"/>
  </rowFields>
  <rowItems count="2">
    <i>
      <x v="2"/>
    </i>
    <i r="1"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5000000}" name="Tableau croisé dynamique3" cacheId="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W1:W8" firstHeaderRow="1" firstDataRow="1" firstDataCol="1"/>
  <pivotFields count="2">
    <pivotField axis="axisRow" showAll="0">
      <items count="4">
        <item x="0"/>
        <item h="1" x="1"/>
        <item h="1" x="2"/>
        <item t="default"/>
      </items>
    </pivotField>
    <pivotField axis="axisRow" showAll="0">
      <items count="49">
        <item x="10"/>
        <item x="8"/>
        <item x="9"/>
        <item m="1" x="40"/>
        <item m="1" x="36"/>
        <item m="1" x="29"/>
        <item m="1" x="44"/>
        <item m="1" x="41"/>
        <item m="1" x="37"/>
        <item m="1" x="30"/>
        <item m="1" x="45"/>
        <item m="1" x="42"/>
        <item m="1" x="38"/>
        <item m="1" x="31"/>
        <item m="1" x="46"/>
        <item m="1" x="43"/>
        <item m="1" x="39"/>
        <item m="1" x="32"/>
        <item m="1" x="47"/>
        <item m="1" x="34"/>
        <item m="1" x="35"/>
        <item m="1" x="33"/>
        <item x="7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6"/>
        <item x="5"/>
        <item x="0"/>
        <item x="1"/>
        <item x="2"/>
        <item x="3"/>
        <item x="4"/>
        <item t="default"/>
      </items>
    </pivotField>
  </pivotFields>
  <rowFields count="2">
    <field x="0"/>
    <field x="1"/>
  </rowFields>
  <rowItems count="7">
    <i>
      <x/>
    </i>
    <i r="1">
      <x v="2"/>
    </i>
    <i r="1">
      <x v="43"/>
    </i>
    <i r="1">
      <x v="44"/>
    </i>
    <i r="1">
      <x v="45"/>
    </i>
    <i r="1">
      <x v="46"/>
    </i>
    <i r="1">
      <x v="47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9000000}" name="Tableau croisé dynamique7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G1:G5" firstHeaderRow="1" firstDataRow="1" firstDataCol="1"/>
  <pivotFields count="2">
    <pivotField axis="axisRow" showAll="0">
      <items count="12">
        <item h="1" m="1" x="10"/>
        <item h="1" x="0"/>
        <item h="1" x="1"/>
        <item h="1" x="2"/>
        <item h="1" x="3"/>
        <item x="4"/>
        <item h="1" x="5"/>
        <item h="1" x="7"/>
        <item h="1" x="8"/>
        <item h="1" x="9"/>
        <item h="1" x="6"/>
        <item t="default"/>
      </items>
    </pivotField>
    <pivotField axis="axisRow" showAll="0">
      <items count="136">
        <item m="1" x="43"/>
        <item m="1" x="121"/>
        <item m="1" x="119"/>
        <item m="1" x="127"/>
        <item m="1" x="45"/>
        <item m="1" x="120"/>
        <item m="1" x="89"/>
        <item m="1" x="74"/>
        <item m="1" x="70"/>
        <item m="1" x="62"/>
        <item m="1" x="80"/>
        <item m="1" x="60"/>
        <item m="1" x="83"/>
        <item m="1" x="118"/>
        <item m="1" x="49"/>
        <item m="1" x="106"/>
        <item m="1" x="113"/>
        <item m="1" x="101"/>
        <item m="1" x="51"/>
        <item m="1" x="117"/>
        <item m="1" x="52"/>
        <item m="1" x="130"/>
        <item m="1" x="92"/>
        <item m="1" x="64"/>
        <item m="1" x="131"/>
        <item m="1" x="104"/>
        <item m="1" x="53"/>
        <item m="1" x="122"/>
        <item m="1" x="73"/>
        <item m="1" x="90"/>
        <item x="42"/>
        <item x="33"/>
        <item m="1" x="109"/>
        <item x="4"/>
        <item x="5"/>
        <item m="1" x="115"/>
        <item m="1" x="59"/>
        <item m="1" x="66"/>
        <item m="1" x="126"/>
        <item m="1" x="58"/>
        <item m="1" x="91"/>
        <item m="1" x="77"/>
        <item m="1" x="61"/>
        <item m="1" x="124"/>
        <item m="1" x="123"/>
        <item m="1" x="103"/>
        <item m="1" x="88"/>
        <item m="1" x="54"/>
        <item m="1" x="132"/>
        <item m="1" x="108"/>
        <item m="1" x="95"/>
        <item m="1" x="78"/>
        <item m="1" x="129"/>
        <item m="1" x="55"/>
        <item m="1" x="67"/>
        <item m="1" x="84"/>
        <item m="1" x="75"/>
        <item m="1" x="79"/>
        <item x="41"/>
        <item m="1" x="65"/>
        <item x="34"/>
        <item x="3"/>
        <item x="29"/>
        <item x="30"/>
        <item x="31"/>
        <item x="32"/>
        <item x="14"/>
        <item x="28"/>
        <item x="10"/>
        <item x="11"/>
        <item x="12"/>
        <item x="13"/>
        <item x="9"/>
        <item m="1" x="102"/>
        <item m="1" x="87"/>
        <item m="1" x="134"/>
        <item m="1" x="112"/>
        <item m="1" x="57"/>
        <item m="1" x="44"/>
        <item m="1" x="46"/>
        <item m="1" x="133"/>
        <item m="1" x="99"/>
        <item m="1" x="82"/>
        <item m="1" x="110"/>
        <item m="1" x="97"/>
        <item m="1" x="128"/>
        <item m="1" x="111"/>
        <item x="37"/>
        <item m="1" x="94"/>
        <item m="1" x="71"/>
        <item m="1" x="47"/>
        <item m="1" x="100"/>
        <item m="1" x="98"/>
        <item m="1" x="93"/>
        <item m="1" x="81"/>
        <item x="27"/>
        <item m="1" x="125"/>
        <item m="1" x="69"/>
        <item m="1" x="63"/>
        <item m="1" x="48"/>
        <item m="1" x="107"/>
        <item m="1" x="76"/>
        <item m="1" x="56"/>
        <item m="1" x="96"/>
        <item m="1" x="50"/>
        <item m="1" x="85"/>
        <item m="1" x="105"/>
        <item m="1" x="68"/>
        <item m="1" x="86"/>
        <item m="1" x="72"/>
        <item m="1" x="114"/>
        <item m="1" x="116"/>
        <item x="0"/>
        <item x="1"/>
        <item x="2"/>
        <item x="6"/>
        <item x="7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5"/>
        <item x="36"/>
        <item x="38"/>
        <item x="39"/>
        <item x="40"/>
        <item t="default"/>
      </items>
    </pivotField>
  </pivotFields>
  <rowFields count="2">
    <field x="0"/>
    <field x="1"/>
  </rowFields>
  <rowItems count="4">
    <i>
      <x v="5"/>
    </i>
    <i r="1">
      <x v="122"/>
    </i>
    <i r="1">
      <x v="123"/>
    </i>
    <i r="1">
      <x v="12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2000000}" name="Tableau croisé dynamique11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O1:O7" firstHeaderRow="1" firstDataRow="1" firstDataCol="1"/>
  <pivotFields count="2">
    <pivotField axis="axisRow" showAll="0">
      <items count="12">
        <item h="1" m="1" x="10"/>
        <item h="1" x="0"/>
        <item h="1" x="1"/>
        <item h="1" x="2"/>
        <item h="1" x="3"/>
        <item h="1" x="4"/>
        <item h="1" x="5"/>
        <item h="1" x="7"/>
        <item x="8"/>
        <item h="1" x="9"/>
        <item h="1" x="6"/>
        <item t="default"/>
      </items>
    </pivotField>
    <pivotField axis="axisRow" showAll="0">
      <items count="136">
        <item m="1" x="43"/>
        <item m="1" x="121"/>
        <item m="1" x="119"/>
        <item m="1" x="127"/>
        <item m="1" x="45"/>
        <item m="1" x="120"/>
        <item m="1" x="89"/>
        <item m="1" x="74"/>
        <item m="1" x="70"/>
        <item m="1" x="62"/>
        <item m="1" x="80"/>
        <item m="1" x="60"/>
        <item m="1" x="83"/>
        <item m="1" x="118"/>
        <item m="1" x="49"/>
        <item m="1" x="106"/>
        <item m="1" x="113"/>
        <item m="1" x="101"/>
        <item m="1" x="51"/>
        <item m="1" x="117"/>
        <item m="1" x="52"/>
        <item m="1" x="130"/>
        <item m="1" x="92"/>
        <item m="1" x="64"/>
        <item m="1" x="131"/>
        <item m="1" x="104"/>
        <item m="1" x="53"/>
        <item m="1" x="122"/>
        <item m="1" x="73"/>
        <item m="1" x="90"/>
        <item x="42"/>
        <item x="33"/>
        <item m="1" x="109"/>
        <item x="4"/>
        <item x="5"/>
        <item m="1" x="115"/>
        <item m="1" x="59"/>
        <item m="1" x="66"/>
        <item m="1" x="126"/>
        <item m="1" x="58"/>
        <item m="1" x="91"/>
        <item m="1" x="77"/>
        <item m="1" x="61"/>
        <item m="1" x="124"/>
        <item m="1" x="123"/>
        <item m="1" x="103"/>
        <item m="1" x="88"/>
        <item m="1" x="54"/>
        <item m="1" x="132"/>
        <item m="1" x="108"/>
        <item m="1" x="95"/>
        <item m="1" x="78"/>
        <item m="1" x="129"/>
        <item m="1" x="55"/>
        <item m="1" x="67"/>
        <item m="1" x="84"/>
        <item m="1" x="75"/>
        <item m="1" x="79"/>
        <item x="41"/>
        <item m="1" x="65"/>
        <item x="34"/>
        <item x="3"/>
        <item x="29"/>
        <item x="30"/>
        <item x="31"/>
        <item x="32"/>
        <item x="14"/>
        <item x="28"/>
        <item x="10"/>
        <item x="11"/>
        <item x="12"/>
        <item x="13"/>
        <item x="9"/>
        <item m="1" x="102"/>
        <item m="1" x="87"/>
        <item m="1" x="134"/>
        <item m="1" x="112"/>
        <item m="1" x="57"/>
        <item m="1" x="44"/>
        <item m="1" x="46"/>
        <item m="1" x="133"/>
        <item m="1" x="99"/>
        <item m="1" x="82"/>
        <item m="1" x="110"/>
        <item m="1" x="97"/>
        <item m="1" x="128"/>
        <item m="1" x="111"/>
        <item x="37"/>
        <item m="1" x="94"/>
        <item m="1" x="71"/>
        <item m="1" x="47"/>
        <item m="1" x="100"/>
        <item m="1" x="98"/>
        <item m="1" x="93"/>
        <item m="1" x="81"/>
        <item x="27"/>
        <item m="1" x="125"/>
        <item m="1" x="69"/>
        <item m="1" x="63"/>
        <item m="1" x="48"/>
        <item m="1" x="107"/>
        <item m="1" x="76"/>
        <item m="1" x="56"/>
        <item m="1" x="96"/>
        <item m="1" x="50"/>
        <item m="1" x="85"/>
        <item m="1" x="105"/>
        <item m="1" x="68"/>
        <item m="1" x="86"/>
        <item m="1" x="72"/>
        <item m="1" x="114"/>
        <item m="1" x="116"/>
        <item x="0"/>
        <item x="1"/>
        <item x="2"/>
        <item x="6"/>
        <item x="7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5"/>
        <item x="36"/>
        <item x="38"/>
        <item x="39"/>
        <item x="40"/>
        <item t="default"/>
      </items>
    </pivotField>
  </pivotFields>
  <rowFields count="2">
    <field x="0"/>
    <field x="1"/>
  </rowFields>
  <rowItems count="6">
    <i>
      <x v="8"/>
    </i>
    <i r="1">
      <x v="58"/>
    </i>
    <i r="1">
      <x v="87"/>
    </i>
    <i r="1">
      <x v="132"/>
    </i>
    <i r="1">
      <x v="133"/>
    </i>
    <i r="1">
      <x v="13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6000000}" name="Tableau croisé dynamique4" cacheId="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A1:A7" firstHeaderRow="1" firstDataRow="1" firstDataCol="1"/>
  <pivotFields count="2">
    <pivotField axis="axisRow" showAll="0">
      <items count="13">
        <item h="1" x="3"/>
        <item x="5"/>
        <item h="1" m="1" x="11"/>
        <item h="1" x="7"/>
        <item h="1" x="8"/>
        <item h="1" x="9"/>
        <item h="1" x="2"/>
        <item h="1" m="1" x="10"/>
        <item h="1" x="0"/>
        <item h="1" x="1"/>
        <item h="1" x="4"/>
        <item h="1" x="6"/>
        <item t="default"/>
      </items>
    </pivotField>
    <pivotField axis="axisRow" showAll="0">
      <items count="136">
        <item m="1" x="43"/>
        <item m="1" x="121"/>
        <item m="1" x="119"/>
        <item m="1" x="127"/>
        <item m="1" x="45"/>
        <item m="1" x="120"/>
        <item m="1" x="89"/>
        <item m="1" x="74"/>
        <item m="1" x="70"/>
        <item m="1" x="62"/>
        <item m="1" x="80"/>
        <item m="1" x="60"/>
        <item m="1" x="83"/>
        <item m="1" x="118"/>
        <item m="1" x="49"/>
        <item m="1" x="106"/>
        <item m="1" x="113"/>
        <item m="1" x="101"/>
        <item m="1" x="51"/>
        <item m="1" x="117"/>
        <item m="1" x="52"/>
        <item m="1" x="130"/>
        <item m="1" x="92"/>
        <item m="1" x="64"/>
        <item m="1" x="131"/>
        <item m="1" x="104"/>
        <item m="1" x="53"/>
        <item m="1" x="122"/>
        <item m="1" x="73"/>
        <item m="1" x="90"/>
        <item x="42"/>
        <item x="33"/>
        <item m="1" x="109"/>
        <item x="4"/>
        <item x="5"/>
        <item m="1" x="115"/>
        <item m="1" x="59"/>
        <item m="1" x="66"/>
        <item m="1" x="126"/>
        <item m="1" x="58"/>
        <item m="1" x="91"/>
        <item m="1" x="77"/>
        <item m="1" x="61"/>
        <item m="1" x="124"/>
        <item m="1" x="123"/>
        <item m="1" x="103"/>
        <item m="1" x="88"/>
        <item m="1" x="54"/>
        <item m="1" x="132"/>
        <item m="1" x="108"/>
        <item m="1" x="95"/>
        <item m="1" x="78"/>
        <item m="1" x="129"/>
        <item m="1" x="55"/>
        <item m="1" x="67"/>
        <item m="1" x="84"/>
        <item m="1" x="75"/>
        <item m="1" x="79"/>
        <item x="41"/>
        <item m="1" x="65"/>
        <item x="34"/>
        <item x="3"/>
        <item x="29"/>
        <item x="30"/>
        <item x="31"/>
        <item x="32"/>
        <item x="14"/>
        <item x="28"/>
        <item x="10"/>
        <item x="11"/>
        <item x="12"/>
        <item x="13"/>
        <item x="9"/>
        <item m="1" x="102"/>
        <item m="1" x="87"/>
        <item m="1" x="134"/>
        <item m="1" x="112"/>
        <item m="1" x="57"/>
        <item m="1" x="44"/>
        <item m="1" x="46"/>
        <item m="1" x="133"/>
        <item m="1" x="99"/>
        <item m="1" x="82"/>
        <item m="1" x="110"/>
        <item m="1" x="97"/>
        <item m="1" x="128"/>
        <item m="1" x="111"/>
        <item x="37"/>
        <item m="1" x="94"/>
        <item m="1" x="71"/>
        <item m="1" x="47"/>
        <item m="1" x="100"/>
        <item m="1" x="98"/>
        <item m="1" x="93"/>
        <item m="1" x="81"/>
        <item x="27"/>
        <item m="1" x="125"/>
        <item m="1" x="69"/>
        <item m="1" x="63"/>
        <item m="1" x="48"/>
        <item m="1" x="107"/>
        <item m="1" x="76"/>
        <item m="1" x="56"/>
        <item m="1" x="96"/>
        <item m="1" x="50"/>
        <item m="1" x="85"/>
        <item m="1" x="105"/>
        <item m="1" x="68"/>
        <item m="1" x="86"/>
        <item m="1" x="72"/>
        <item m="1" x="114"/>
        <item m="1" x="116"/>
        <item x="0"/>
        <item x="1"/>
        <item x="2"/>
        <item x="6"/>
        <item x="7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5"/>
        <item x="36"/>
        <item x="38"/>
        <item x="39"/>
        <item x="40"/>
        <item t="default"/>
      </items>
    </pivotField>
  </pivotFields>
  <rowFields count="2">
    <field x="0"/>
    <field x="1"/>
  </rowFields>
  <rowItems count="6">
    <i>
      <x v="1"/>
    </i>
    <i r="1">
      <x v="125"/>
    </i>
    <i r="1">
      <x v="126"/>
    </i>
    <i r="1">
      <x v="127"/>
    </i>
    <i r="1">
      <x v="128"/>
    </i>
    <i r="1">
      <x v="129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A000000}" name="Tableau croisé dynamique8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I1:I3" firstHeaderRow="1" firstDataRow="1" firstDataCol="1"/>
  <pivotFields count="2">
    <pivotField axis="axisRow" showAll="0">
      <items count="12">
        <item h="1" m="1" x="10"/>
        <item h="1" x="0"/>
        <item x="1"/>
        <item h="1" x="2"/>
        <item h="1" x="3"/>
        <item h="1" x="4"/>
        <item h="1" x="5"/>
        <item h="1" x="7"/>
        <item h="1" x="8"/>
        <item h="1" x="9"/>
        <item h="1" x="6"/>
        <item t="default"/>
      </items>
    </pivotField>
    <pivotField axis="axisRow" showAll="0">
      <items count="136">
        <item m="1" x="43"/>
        <item m="1" x="121"/>
        <item m="1" x="119"/>
        <item m="1" x="127"/>
        <item m="1" x="45"/>
        <item m="1" x="120"/>
        <item m="1" x="89"/>
        <item m="1" x="74"/>
        <item m="1" x="70"/>
        <item m="1" x="62"/>
        <item m="1" x="80"/>
        <item m="1" x="60"/>
        <item m="1" x="83"/>
        <item m="1" x="118"/>
        <item m="1" x="49"/>
        <item m="1" x="106"/>
        <item m="1" x="113"/>
        <item m="1" x="101"/>
        <item m="1" x="51"/>
        <item m="1" x="117"/>
        <item m="1" x="52"/>
        <item m="1" x="130"/>
        <item m="1" x="92"/>
        <item m="1" x="64"/>
        <item m="1" x="131"/>
        <item m="1" x="104"/>
        <item m="1" x="53"/>
        <item m="1" x="122"/>
        <item m="1" x="73"/>
        <item m="1" x="90"/>
        <item x="42"/>
        <item x="33"/>
        <item m="1" x="109"/>
        <item x="4"/>
        <item x="5"/>
        <item m="1" x="115"/>
        <item m="1" x="59"/>
        <item m="1" x="66"/>
        <item m="1" x="126"/>
        <item m="1" x="58"/>
        <item m="1" x="91"/>
        <item m="1" x="77"/>
        <item m="1" x="61"/>
        <item m="1" x="124"/>
        <item m="1" x="123"/>
        <item m="1" x="103"/>
        <item m="1" x="88"/>
        <item m="1" x="54"/>
        <item m="1" x="132"/>
        <item m="1" x="108"/>
        <item m="1" x="95"/>
        <item m="1" x="78"/>
        <item m="1" x="129"/>
        <item m="1" x="55"/>
        <item m="1" x="67"/>
        <item m="1" x="84"/>
        <item m="1" x="75"/>
        <item m="1" x="79"/>
        <item x="41"/>
        <item m="1" x="65"/>
        <item x="34"/>
        <item x="3"/>
        <item x="29"/>
        <item x="30"/>
        <item x="31"/>
        <item x="32"/>
        <item x="14"/>
        <item x="28"/>
        <item x="10"/>
        <item x="11"/>
        <item x="12"/>
        <item x="13"/>
        <item x="9"/>
        <item m="1" x="102"/>
        <item m="1" x="87"/>
        <item m="1" x="134"/>
        <item m="1" x="112"/>
        <item m="1" x="57"/>
        <item m="1" x="44"/>
        <item m="1" x="46"/>
        <item m="1" x="133"/>
        <item m="1" x="99"/>
        <item m="1" x="82"/>
        <item m="1" x="110"/>
        <item m="1" x="97"/>
        <item m="1" x="128"/>
        <item m="1" x="111"/>
        <item x="37"/>
        <item m="1" x="94"/>
        <item m="1" x="71"/>
        <item m="1" x="47"/>
        <item m="1" x="100"/>
        <item m="1" x="98"/>
        <item m="1" x="93"/>
        <item m="1" x="81"/>
        <item x="27"/>
        <item m="1" x="125"/>
        <item m="1" x="69"/>
        <item m="1" x="63"/>
        <item m="1" x="48"/>
        <item m="1" x="107"/>
        <item m="1" x="76"/>
        <item m="1" x="56"/>
        <item m="1" x="96"/>
        <item m="1" x="50"/>
        <item m="1" x="85"/>
        <item m="1" x="105"/>
        <item m="1" x="68"/>
        <item m="1" x="86"/>
        <item m="1" x="72"/>
        <item m="1" x="114"/>
        <item m="1" x="116"/>
        <item x="0"/>
        <item x="1"/>
        <item x="2"/>
        <item x="6"/>
        <item x="7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5"/>
        <item x="36"/>
        <item x="38"/>
        <item x="39"/>
        <item x="40"/>
        <item t="default"/>
      </items>
    </pivotField>
  </pivotFields>
  <rowFields count="2">
    <field x="0"/>
    <field x="1"/>
  </rowFields>
  <rowItems count="2">
    <i>
      <x v="2"/>
    </i>
    <i r="1">
      <x v="3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S1:S24" firstHeaderRow="1" firstDataRow="1" firstDataCol="1"/>
  <pivotFields count="2">
    <pivotField axis="axisRow" showAll="0">
      <items count="4">
        <item h="1" x="0"/>
        <item x="1"/>
        <item h="1" x="2"/>
        <item t="default"/>
      </items>
    </pivotField>
    <pivotField axis="axisRow" showAll="0">
      <items count="49">
        <item x="10"/>
        <item x="8"/>
        <item x="9"/>
        <item m="1" x="40"/>
        <item m="1" x="36"/>
        <item m="1" x="29"/>
        <item m="1" x="44"/>
        <item m="1" x="41"/>
        <item m="1" x="37"/>
        <item m="1" x="30"/>
        <item m="1" x="45"/>
        <item m="1" x="42"/>
        <item m="1" x="38"/>
        <item m="1" x="31"/>
        <item m="1" x="46"/>
        <item m="1" x="43"/>
        <item m="1" x="39"/>
        <item m="1" x="32"/>
        <item m="1" x="47"/>
        <item m="1" x="34"/>
        <item m="1" x="35"/>
        <item m="1" x="33"/>
        <item x="7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6"/>
        <item x="5"/>
        <item x="0"/>
        <item x="1"/>
        <item x="2"/>
        <item x="3"/>
        <item x="4"/>
        <item t="default"/>
      </items>
    </pivotField>
  </pivotFields>
  <rowFields count="2">
    <field x="0"/>
    <field x="1"/>
  </rowFields>
  <rowItems count="23">
    <i>
      <x v="1"/>
    </i>
    <i r="1">
      <x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B000000}" name="Tableau croisé dynamique9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K1:K7" firstHeaderRow="1" firstDataRow="1" firstDataCol="1"/>
  <pivotFields count="2">
    <pivotField axis="axisRow" showAll="0">
      <items count="12">
        <item h="1" m="1" x="10"/>
        <item x="0"/>
        <item h="1" x="1"/>
        <item h="1" x="2"/>
        <item h="1" x="3"/>
        <item h="1" x="4"/>
        <item h="1" x="5"/>
        <item h="1" x="7"/>
        <item h="1" x="8"/>
        <item h="1" x="9"/>
        <item h="1" x="6"/>
        <item t="default"/>
      </items>
    </pivotField>
    <pivotField axis="axisRow" showAll="0">
      <items count="136">
        <item m="1" x="43"/>
        <item m="1" x="121"/>
        <item m="1" x="119"/>
        <item m="1" x="127"/>
        <item m="1" x="45"/>
        <item m="1" x="120"/>
        <item m="1" x="89"/>
        <item m="1" x="74"/>
        <item m="1" x="70"/>
        <item m="1" x="62"/>
        <item m="1" x="80"/>
        <item m="1" x="60"/>
        <item m="1" x="83"/>
        <item m="1" x="118"/>
        <item m="1" x="49"/>
        <item m="1" x="106"/>
        <item m="1" x="113"/>
        <item m="1" x="101"/>
        <item m="1" x="51"/>
        <item m="1" x="117"/>
        <item m="1" x="52"/>
        <item m="1" x="130"/>
        <item m="1" x="92"/>
        <item m="1" x="64"/>
        <item m="1" x="131"/>
        <item m="1" x="104"/>
        <item m="1" x="53"/>
        <item m="1" x="122"/>
        <item m="1" x="73"/>
        <item m="1" x="90"/>
        <item x="42"/>
        <item x="33"/>
        <item m="1" x="109"/>
        <item x="4"/>
        <item x="5"/>
        <item m="1" x="115"/>
        <item m="1" x="59"/>
        <item m="1" x="66"/>
        <item m="1" x="126"/>
        <item m="1" x="58"/>
        <item m="1" x="91"/>
        <item m="1" x="77"/>
        <item m="1" x="61"/>
        <item m="1" x="124"/>
        <item m="1" x="123"/>
        <item m="1" x="103"/>
        <item m="1" x="88"/>
        <item m="1" x="54"/>
        <item m="1" x="132"/>
        <item m="1" x="108"/>
        <item m="1" x="95"/>
        <item m="1" x="78"/>
        <item m="1" x="129"/>
        <item m="1" x="55"/>
        <item m="1" x="67"/>
        <item m="1" x="84"/>
        <item m="1" x="75"/>
        <item m="1" x="79"/>
        <item x="41"/>
        <item m="1" x="65"/>
        <item x="34"/>
        <item x="3"/>
        <item x="29"/>
        <item x="30"/>
        <item x="31"/>
        <item x="32"/>
        <item x="14"/>
        <item x="28"/>
        <item x="10"/>
        <item x="11"/>
        <item x="12"/>
        <item x="13"/>
        <item x="9"/>
        <item m="1" x="102"/>
        <item m="1" x="87"/>
        <item m="1" x="134"/>
        <item m="1" x="112"/>
        <item m="1" x="57"/>
        <item m="1" x="44"/>
        <item m="1" x="46"/>
        <item m="1" x="133"/>
        <item m="1" x="99"/>
        <item m="1" x="82"/>
        <item m="1" x="110"/>
        <item m="1" x="97"/>
        <item m="1" x="128"/>
        <item m="1" x="111"/>
        <item x="37"/>
        <item m="1" x="94"/>
        <item m="1" x="71"/>
        <item m="1" x="47"/>
        <item m="1" x="100"/>
        <item m="1" x="98"/>
        <item m="1" x="93"/>
        <item m="1" x="81"/>
        <item x="27"/>
        <item m="1" x="125"/>
        <item m="1" x="69"/>
        <item m="1" x="63"/>
        <item m="1" x="48"/>
        <item m="1" x="107"/>
        <item m="1" x="76"/>
        <item m="1" x="56"/>
        <item m="1" x="96"/>
        <item m="1" x="50"/>
        <item m="1" x="85"/>
        <item m="1" x="105"/>
        <item m="1" x="68"/>
        <item m="1" x="86"/>
        <item m="1" x="72"/>
        <item m="1" x="114"/>
        <item m="1" x="116"/>
        <item x="0"/>
        <item x="1"/>
        <item x="2"/>
        <item x="6"/>
        <item x="7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5"/>
        <item x="36"/>
        <item x="38"/>
        <item x="39"/>
        <item x="40"/>
        <item t="default"/>
      </items>
    </pivotField>
  </pivotFields>
  <rowFields count="2">
    <field x="0"/>
    <field x="1"/>
  </rowFields>
  <rowItems count="6">
    <i>
      <x v="1"/>
    </i>
    <i r="1">
      <x v="33"/>
    </i>
    <i r="1">
      <x v="61"/>
    </i>
    <i r="1">
      <x v="112"/>
    </i>
    <i r="1">
      <x v="113"/>
    </i>
    <i r="1">
      <x v="11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7000000}" name="Tableau croisé dynamique5" cacheId="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C1:C6" firstHeaderRow="1" firstDataRow="1" firstDataCol="1"/>
  <pivotFields count="2">
    <pivotField axis="axisRow" showAll="0">
      <items count="13">
        <item x="3"/>
        <item h="1" x="5"/>
        <item h="1" m="1" x="11"/>
        <item h="1" x="7"/>
        <item h="1" x="8"/>
        <item h="1" x="9"/>
        <item h="1" x="2"/>
        <item h="1" m="1" x="10"/>
        <item h="1" x="0"/>
        <item h="1" x="1"/>
        <item h="1" x="4"/>
        <item h="1" x="6"/>
        <item t="default"/>
      </items>
    </pivotField>
    <pivotField axis="axisRow" showAll="0">
      <items count="136">
        <item m="1" x="43"/>
        <item m="1" x="121"/>
        <item m="1" x="119"/>
        <item m="1" x="127"/>
        <item m="1" x="45"/>
        <item m="1" x="120"/>
        <item m="1" x="89"/>
        <item m="1" x="74"/>
        <item m="1" x="70"/>
        <item m="1" x="62"/>
        <item m="1" x="80"/>
        <item m="1" x="60"/>
        <item m="1" x="83"/>
        <item m="1" x="118"/>
        <item m="1" x="49"/>
        <item m="1" x="106"/>
        <item m="1" x="113"/>
        <item m="1" x="101"/>
        <item m="1" x="51"/>
        <item m="1" x="117"/>
        <item m="1" x="52"/>
        <item m="1" x="130"/>
        <item m="1" x="92"/>
        <item m="1" x="64"/>
        <item m="1" x="131"/>
        <item m="1" x="104"/>
        <item m="1" x="53"/>
        <item m="1" x="122"/>
        <item m="1" x="73"/>
        <item m="1" x="90"/>
        <item x="42"/>
        <item x="33"/>
        <item m="1" x="109"/>
        <item x="4"/>
        <item x="5"/>
        <item m="1" x="115"/>
        <item m="1" x="59"/>
        <item m="1" x="66"/>
        <item m="1" x="126"/>
        <item m="1" x="58"/>
        <item m="1" x="91"/>
        <item m="1" x="77"/>
        <item m="1" x="61"/>
        <item m="1" x="124"/>
        <item m="1" x="123"/>
        <item m="1" x="103"/>
        <item m="1" x="88"/>
        <item m="1" x="54"/>
        <item m="1" x="132"/>
        <item m="1" x="108"/>
        <item m="1" x="95"/>
        <item m="1" x="78"/>
        <item m="1" x="129"/>
        <item m="1" x="55"/>
        <item m="1" x="67"/>
        <item m="1" x="84"/>
        <item m="1" x="75"/>
        <item m="1" x="79"/>
        <item x="41"/>
        <item m="1" x="65"/>
        <item x="34"/>
        <item x="3"/>
        <item x="29"/>
        <item x="30"/>
        <item x="31"/>
        <item x="32"/>
        <item x="14"/>
        <item x="28"/>
        <item x="10"/>
        <item x="11"/>
        <item x="12"/>
        <item x="13"/>
        <item x="9"/>
        <item m="1" x="102"/>
        <item m="1" x="87"/>
        <item m="1" x="134"/>
        <item m="1" x="112"/>
        <item m="1" x="57"/>
        <item m="1" x="44"/>
        <item m="1" x="46"/>
        <item m="1" x="133"/>
        <item m="1" x="99"/>
        <item m="1" x="82"/>
        <item m="1" x="110"/>
        <item m="1" x="97"/>
        <item m="1" x="128"/>
        <item m="1" x="111"/>
        <item x="37"/>
        <item m="1" x="94"/>
        <item m="1" x="71"/>
        <item m="1" x="47"/>
        <item m="1" x="100"/>
        <item m="1" x="98"/>
        <item m="1" x="93"/>
        <item m="1" x="81"/>
        <item x="27"/>
        <item m="1" x="125"/>
        <item m="1" x="69"/>
        <item m="1" x="63"/>
        <item m="1" x="48"/>
        <item m="1" x="107"/>
        <item m="1" x="76"/>
        <item m="1" x="56"/>
        <item m="1" x="96"/>
        <item m="1" x="50"/>
        <item m="1" x="85"/>
        <item m="1" x="105"/>
        <item m="1" x="68"/>
        <item m="1" x="86"/>
        <item m="1" x="72"/>
        <item m="1" x="114"/>
        <item m="1" x="116"/>
        <item x="0"/>
        <item x="1"/>
        <item x="2"/>
        <item x="6"/>
        <item x="7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5"/>
        <item x="36"/>
        <item x="38"/>
        <item x="39"/>
        <item x="40"/>
        <item t="default"/>
      </items>
    </pivotField>
  </pivotFields>
  <rowFields count="2">
    <field x="0"/>
    <field x="1"/>
  </rowFields>
  <rowItems count="5">
    <i>
      <x/>
    </i>
    <i r="1">
      <x v="118"/>
    </i>
    <i r="1">
      <x v="119"/>
    </i>
    <i r="1">
      <x v="120"/>
    </i>
    <i r="1">
      <x v="12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1000000}" name="Tableau croisé dynamique10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M1" firstHeaderRow="1" firstDataRow="1" firstDataCol="1"/>
  <pivotFields count="2">
    <pivotField axis="axisRow" showAll="0">
      <items count="12">
        <item m="1" x="10"/>
        <item h="1" x="0"/>
        <item h="1" x="1"/>
        <item h="1" x="2"/>
        <item h="1" x="3"/>
        <item h="1" x="4"/>
        <item h="1" x="5"/>
        <item h="1" x="7"/>
        <item h="1" x="8"/>
        <item h="1" x="9"/>
        <item h="1" x="6"/>
        <item t="default"/>
      </items>
    </pivotField>
    <pivotField axis="axisRow" showAll="0">
      <items count="136">
        <item m="1" x="43"/>
        <item m="1" x="121"/>
        <item m="1" x="119"/>
        <item m="1" x="127"/>
        <item m="1" x="45"/>
        <item m="1" x="120"/>
        <item m="1" x="89"/>
        <item m="1" x="74"/>
        <item m="1" x="70"/>
        <item m="1" x="62"/>
        <item m="1" x="80"/>
        <item m="1" x="60"/>
        <item m="1" x="83"/>
        <item m="1" x="118"/>
        <item m="1" x="49"/>
        <item m="1" x="106"/>
        <item m="1" x="113"/>
        <item m="1" x="101"/>
        <item m="1" x="51"/>
        <item m="1" x="117"/>
        <item m="1" x="52"/>
        <item m="1" x="130"/>
        <item m="1" x="92"/>
        <item m="1" x="64"/>
        <item m="1" x="131"/>
        <item m="1" x="104"/>
        <item m="1" x="53"/>
        <item m="1" x="122"/>
        <item m="1" x="73"/>
        <item m="1" x="90"/>
        <item x="42"/>
        <item x="33"/>
        <item m="1" x="109"/>
        <item x="4"/>
        <item x="5"/>
        <item m="1" x="115"/>
        <item m="1" x="59"/>
        <item m="1" x="66"/>
        <item m="1" x="126"/>
        <item m="1" x="58"/>
        <item m="1" x="91"/>
        <item m="1" x="77"/>
        <item m="1" x="61"/>
        <item m="1" x="124"/>
        <item m="1" x="123"/>
        <item m="1" x="103"/>
        <item m="1" x="88"/>
        <item m="1" x="54"/>
        <item m="1" x="132"/>
        <item m="1" x="108"/>
        <item m="1" x="95"/>
        <item m="1" x="78"/>
        <item m="1" x="129"/>
        <item m="1" x="55"/>
        <item m="1" x="67"/>
        <item m="1" x="84"/>
        <item m="1" x="75"/>
        <item m="1" x="79"/>
        <item x="41"/>
        <item m="1" x="65"/>
        <item x="34"/>
        <item x="3"/>
        <item x="29"/>
        <item x="30"/>
        <item x="31"/>
        <item x="32"/>
        <item x="14"/>
        <item x="28"/>
        <item x="10"/>
        <item x="11"/>
        <item x="12"/>
        <item x="13"/>
        <item x="9"/>
        <item m="1" x="102"/>
        <item m="1" x="87"/>
        <item m="1" x="134"/>
        <item m="1" x="112"/>
        <item m="1" x="57"/>
        <item m="1" x="44"/>
        <item m="1" x="46"/>
        <item m="1" x="133"/>
        <item m="1" x="99"/>
        <item m="1" x="82"/>
        <item m="1" x="110"/>
        <item m="1" x="97"/>
        <item m="1" x="128"/>
        <item m="1" x="111"/>
        <item x="37"/>
        <item m="1" x="94"/>
        <item m="1" x="71"/>
        <item m="1" x="47"/>
        <item m="1" x="100"/>
        <item m="1" x="98"/>
        <item m="1" x="93"/>
        <item m="1" x="81"/>
        <item x="27"/>
        <item m="1" x="125"/>
        <item m="1" x="69"/>
        <item m="1" x="63"/>
        <item m="1" x="48"/>
        <item m="1" x="107"/>
        <item m="1" x="76"/>
        <item m="1" x="56"/>
        <item m="1" x="96"/>
        <item m="1" x="50"/>
        <item m="1" x="85"/>
        <item m="1" x="105"/>
        <item m="1" x="68"/>
        <item m="1" x="86"/>
        <item m="1" x="72"/>
        <item m="1" x="114"/>
        <item m="1" x="116"/>
        <item x="0"/>
        <item x="1"/>
        <item x="2"/>
        <item x="6"/>
        <item x="7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5"/>
        <item x="36"/>
        <item x="38"/>
        <item x="39"/>
        <item x="40"/>
        <item t="default"/>
      </items>
    </pivotField>
  </pivotFields>
  <rowFields count="2">
    <field x="0"/>
    <field x="1"/>
  </rowField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8000000}" name="Tableau croisé dynamique6" cacheId="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E1:E4" firstHeaderRow="1" firstDataRow="1" firstDataCol="1"/>
  <pivotFields count="2">
    <pivotField axis="axisRow" showAll="0">
      <items count="13">
        <item h="1" x="3"/>
        <item h="1" x="5"/>
        <item h="1" m="1" x="11"/>
        <item x="7"/>
        <item h="1" x="8"/>
        <item h="1" x="9"/>
        <item h="1" x="2"/>
        <item h="1" m="1" x="10"/>
        <item h="1" x="0"/>
        <item h="1" x="1"/>
        <item h="1" x="4"/>
        <item h="1" x="6"/>
        <item t="default"/>
      </items>
    </pivotField>
    <pivotField axis="axisRow" showAll="0">
      <items count="136">
        <item m="1" x="43"/>
        <item m="1" x="121"/>
        <item m="1" x="119"/>
        <item m="1" x="127"/>
        <item m="1" x="45"/>
        <item m="1" x="120"/>
        <item m="1" x="89"/>
        <item m="1" x="74"/>
        <item m="1" x="70"/>
        <item m="1" x="62"/>
        <item m="1" x="80"/>
        <item m="1" x="60"/>
        <item m="1" x="83"/>
        <item m="1" x="118"/>
        <item m="1" x="49"/>
        <item m="1" x="106"/>
        <item m="1" x="113"/>
        <item m="1" x="101"/>
        <item m="1" x="51"/>
        <item m="1" x="117"/>
        <item m="1" x="52"/>
        <item m="1" x="130"/>
        <item m="1" x="92"/>
        <item m="1" x="64"/>
        <item m="1" x="131"/>
        <item m="1" x="104"/>
        <item m="1" x="53"/>
        <item m="1" x="122"/>
        <item m="1" x="73"/>
        <item m="1" x="90"/>
        <item x="42"/>
        <item x="33"/>
        <item m="1" x="109"/>
        <item x="4"/>
        <item x="5"/>
        <item m="1" x="115"/>
        <item m="1" x="59"/>
        <item m="1" x="66"/>
        <item m="1" x="126"/>
        <item m="1" x="58"/>
        <item m="1" x="91"/>
        <item m="1" x="77"/>
        <item m="1" x="61"/>
        <item m="1" x="124"/>
        <item m="1" x="123"/>
        <item m="1" x="103"/>
        <item m="1" x="88"/>
        <item m="1" x="54"/>
        <item m="1" x="132"/>
        <item m="1" x="108"/>
        <item m="1" x="95"/>
        <item m="1" x="78"/>
        <item m="1" x="129"/>
        <item m="1" x="55"/>
        <item m="1" x="67"/>
        <item m="1" x="84"/>
        <item m="1" x="75"/>
        <item m="1" x="79"/>
        <item x="41"/>
        <item m="1" x="65"/>
        <item x="34"/>
        <item x="3"/>
        <item x="29"/>
        <item x="30"/>
        <item x="31"/>
        <item x="32"/>
        <item x="14"/>
        <item x="28"/>
        <item x="10"/>
        <item x="11"/>
        <item x="12"/>
        <item x="13"/>
        <item x="9"/>
        <item m="1" x="102"/>
        <item m="1" x="87"/>
        <item m="1" x="134"/>
        <item m="1" x="112"/>
        <item m="1" x="57"/>
        <item m="1" x="44"/>
        <item m="1" x="46"/>
        <item m="1" x="133"/>
        <item m="1" x="99"/>
        <item m="1" x="82"/>
        <item m="1" x="110"/>
        <item m="1" x="97"/>
        <item m="1" x="128"/>
        <item m="1" x="111"/>
        <item x="37"/>
        <item m="1" x="94"/>
        <item m="1" x="71"/>
        <item m="1" x="47"/>
        <item m="1" x="100"/>
        <item m="1" x="98"/>
        <item m="1" x="93"/>
        <item m="1" x="81"/>
        <item x="27"/>
        <item m="1" x="125"/>
        <item m="1" x="69"/>
        <item m="1" x="63"/>
        <item m="1" x="48"/>
        <item m="1" x="107"/>
        <item m="1" x="76"/>
        <item m="1" x="56"/>
        <item m="1" x="96"/>
        <item m="1" x="50"/>
        <item m="1" x="85"/>
        <item m="1" x="105"/>
        <item m="1" x="68"/>
        <item m="1" x="86"/>
        <item m="1" x="72"/>
        <item m="1" x="114"/>
        <item m="1" x="116"/>
        <item x="0"/>
        <item x="1"/>
        <item x="2"/>
        <item x="6"/>
        <item x="7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5"/>
        <item x="36"/>
        <item x="38"/>
        <item x="39"/>
        <item x="40"/>
        <item t="default"/>
      </items>
    </pivotField>
  </pivotFields>
  <rowFields count="2">
    <field x="0"/>
    <field x="1"/>
  </rowFields>
  <rowItems count="3">
    <i>
      <x v="3"/>
    </i>
    <i r="1">
      <x v="130"/>
    </i>
    <i r="1">
      <x v="13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hyperlink" Target="file:///\\SRVCBT\Data\Documents\00%20PRO\Coefficient%20des%20ponts%20thermiques%20dans%20la%20construction%20bois-RT2012.pdf" TargetMode="External"/><Relationship Id="rId1" Type="http://schemas.openxmlformats.org/officeDocument/2006/relationships/hyperlink" Target="file:///\\SRVCBT\Data\Documents\00%20PRO\calcul_pont_thermiques-suisse.pdf" TargetMode="External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3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12" Type="http://schemas.openxmlformats.org/officeDocument/2006/relationships/pivotTable" Target="../pivotTables/pivotTable1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pivotTable" Target="../pivotTables/pivotTable11.xml"/><Relationship Id="rId5" Type="http://schemas.openxmlformats.org/officeDocument/2006/relationships/pivotTable" Target="../pivotTables/pivotTable5.xml"/><Relationship Id="rId10" Type="http://schemas.openxmlformats.org/officeDocument/2006/relationships/pivotTable" Target="../pivotTables/pivotTable10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rgb="FFCCFFCC"/>
    <pageSetUpPr fitToPage="1"/>
  </sheetPr>
  <dimension ref="A1:S84"/>
  <sheetViews>
    <sheetView tabSelected="1" view="pageBreakPreview" zoomScaleNormal="100" zoomScaleSheetLayoutView="100" workbookViewId="0">
      <selection activeCell="E1" sqref="E1:L1"/>
    </sheetView>
  </sheetViews>
  <sheetFormatPr baseColWidth="10" defaultRowHeight="12.75"/>
  <cols>
    <col min="1" max="1" width="13" customWidth="1"/>
    <col min="2" max="2" width="7.42578125" customWidth="1"/>
    <col min="3" max="3" width="19" customWidth="1"/>
    <col min="4" max="4" width="45.5703125" customWidth="1"/>
    <col min="5" max="5" width="11.28515625" customWidth="1"/>
    <col min="6" max="6" width="11.7109375" customWidth="1"/>
    <col min="7" max="7" width="10.5703125" customWidth="1"/>
    <col min="8" max="8" width="12.7109375" customWidth="1"/>
    <col min="9" max="9" width="13.85546875" customWidth="1"/>
    <col min="10" max="10" width="9.140625" customWidth="1"/>
    <col min="11" max="12" width="11.42578125" customWidth="1"/>
    <col min="13" max="13" width="9.140625" customWidth="1"/>
    <col min="14" max="14" width="10.7109375" customWidth="1"/>
    <col min="15" max="15" width="11.5703125" bestFit="1" customWidth="1"/>
    <col min="16" max="16" width="15.140625" bestFit="1" customWidth="1"/>
    <col min="17" max="17" width="11.5703125" bestFit="1" customWidth="1"/>
    <col min="18" max="18" width="13.85546875" customWidth="1"/>
    <col min="19" max="19" width="11.5703125" bestFit="1" customWidth="1"/>
  </cols>
  <sheetData>
    <row r="1" spans="3:19">
      <c r="E1" s="174" t="s">
        <v>53</v>
      </c>
      <c r="F1" s="174"/>
      <c r="G1" s="174"/>
      <c r="H1" s="174"/>
      <c r="I1" s="174"/>
      <c r="J1" s="174"/>
      <c r="K1" s="174"/>
      <c r="L1" s="174"/>
      <c r="M1" s="32"/>
      <c r="N1" s="32"/>
      <c r="O1" s="32"/>
      <c r="P1" s="32"/>
    </row>
    <row r="2" spans="3:19">
      <c r="E2" s="175" t="s">
        <v>76</v>
      </c>
      <c r="F2" s="175"/>
      <c r="G2" s="175"/>
      <c r="H2" s="175"/>
      <c r="I2" s="175"/>
      <c r="J2" s="175"/>
      <c r="K2" s="175"/>
      <c r="L2" s="175"/>
      <c r="M2" s="33"/>
      <c r="N2" s="33"/>
      <c r="O2" s="33"/>
      <c r="P2" s="33"/>
    </row>
    <row r="3" spans="3:19">
      <c r="E3" s="175" t="s">
        <v>58</v>
      </c>
      <c r="F3" s="175"/>
      <c r="G3" s="175"/>
      <c r="H3" s="175"/>
      <c r="I3" s="175"/>
      <c r="J3" s="175"/>
      <c r="K3" s="175"/>
      <c r="L3" s="175"/>
      <c r="M3" s="33"/>
      <c r="N3" s="33"/>
      <c r="O3" s="33"/>
      <c r="P3" s="33"/>
    </row>
    <row r="4" spans="3:19">
      <c r="E4" s="175" t="s">
        <v>220</v>
      </c>
      <c r="F4" s="175"/>
      <c r="G4" s="175"/>
      <c r="H4" s="175"/>
      <c r="I4" s="175"/>
      <c r="J4" s="175"/>
      <c r="K4" s="175"/>
      <c r="L4" s="175"/>
    </row>
    <row r="6" spans="3:19">
      <c r="D6" s="49" t="s">
        <v>17</v>
      </c>
      <c r="E6" s="178" t="s">
        <v>16</v>
      </c>
      <c r="F6" s="178"/>
      <c r="G6" s="178"/>
      <c r="H6" s="178"/>
      <c r="I6" s="9"/>
      <c r="J6" s="9"/>
      <c r="K6" s="9"/>
      <c r="L6" s="9"/>
    </row>
    <row r="7" spans="3:19">
      <c r="H7" s="9"/>
      <c r="I7" s="9"/>
      <c r="J7" s="9"/>
      <c r="K7" s="9"/>
      <c r="L7" s="9"/>
    </row>
    <row r="8" spans="3:19">
      <c r="H8" s="9"/>
      <c r="K8" s="49"/>
      <c r="L8" s="9"/>
      <c r="Q8" s="32" t="s">
        <v>86</v>
      </c>
      <c r="R8" s="9"/>
      <c r="S8" s="9"/>
    </row>
    <row r="9" spans="3:19" ht="12.75" customHeight="1">
      <c r="D9" s="6"/>
      <c r="E9" s="21" t="s">
        <v>31</v>
      </c>
      <c r="F9" s="6" t="s">
        <v>39</v>
      </c>
      <c r="G9" s="5"/>
      <c r="H9" s="9"/>
      <c r="L9" s="146" t="s">
        <v>207</v>
      </c>
      <c r="Q9" s="176" t="s">
        <v>87</v>
      </c>
      <c r="R9" s="177"/>
      <c r="S9" s="75">
        <v>60</v>
      </c>
    </row>
    <row r="10" spans="3:19" ht="12.75" customHeight="1">
      <c r="D10" s="22" t="s">
        <v>37</v>
      </c>
      <c r="E10" s="20">
        <v>20</v>
      </c>
      <c r="F10" s="23">
        <v>0.6</v>
      </c>
      <c r="G10" s="74"/>
      <c r="L10" s="5"/>
      <c r="Q10" s="118" t="s">
        <v>88</v>
      </c>
      <c r="R10" s="119"/>
      <c r="S10" s="76">
        <v>0.6</v>
      </c>
    </row>
    <row r="11" spans="3:19" ht="27.75" customHeight="1">
      <c r="D11" s="24" t="s">
        <v>38</v>
      </c>
      <c r="E11" s="25">
        <v>5</v>
      </c>
      <c r="F11" s="26">
        <v>0.9</v>
      </c>
      <c r="G11" s="74"/>
      <c r="L11" s="100"/>
      <c r="Q11" s="195" t="s">
        <v>89</v>
      </c>
      <c r="R11" s="196"/>
      <c r="S11" s="137">
        <f>1-((S9/1000)/S10)</f>
        <v>0.9</v>
      </c>
    </row>
    <row r="12" spans="3:19" ht="25.5" customHeight="1">
      <c r="D12" s="16" t="s">
        <v>40</v>
      </c>
      <c r="E12" s="27">
        <f>2*10^-10</f>
        <v>2.0000000000000001E-10</v>
      </c>
      <c r="F12" s="1" t="s">
        <v>41</v>
      </c>
      <c r="G12" s="5"/>
      <c r="L12" s="80"/>
      <c r="Q12" s="197" t="s">
        <v>90</v>
      </c>
      <c r="R12" s="198"/>
      <c r="S12" s="137">
        <f>1-S11</f>
        <v>9.9999999999999978E-2</v>
      </c>
    </row>
    <row r="15" spans="3:19" ht="15.75">
      <c r="D15" s="73" t="s">
        <v>4</v>
      </c>
      <c r="E15" s="107"/>
    </row>
    <row r="16" spans="3:19" ht="51">
      <c r="C16" s="99" t="s">
        <v>101</v>
      </c>
      <c r="D16" s="1" t="s">
        <v>5</v>
      </c>
      <c r="E16" s="117" t="s">
        <v>26</v>
      </c>
      <c r="F16" s="116" t="s">
        <v>114</v>
      </c>
      <c r="G16" s="116" t="s">
        <v>25</v>
      </c>
      <c r="H16" s="117" t="s">
        <v>0</v>
      </c>
      <c r="I16" s="117" t="s">
        <v>1</v>
      </c>
      <c r="J16" s="117" t="s">
        <v>2</v>
      </c>
      <c r="K16" s="163" t="s">
        <v>27</v>
      </c>
      <c r="L16" s="125" t="s">
        <v>118</v>
      </c>
      <c r="M16" s="124" t="s">
        <v>8</v>
      </c>
      <c r="N16" s="124" t="s">
        <v>42</v>
      </c>
      <c r="O16" s="124" t="s">
        <v>35</v>
      </c>
      <c r="P16" s="124" t="s">
        <v>36</v>
      </c>
      <c r="Q16" s="124" t="s">
        <v>46</v>
      </c>
      <c r="R16" s="124" t="s">
        <v>57</v>
      </c>
      <c r="S16" s="126" t="s">
        <v>119</v>
      </c>
    </row>
    <row r="17" spans="1:19">
      <c r="C17" s="205"/>
      <c r="D17" s="7" t="s">
        <v>54</v>
      </c>
      <c r="E17" s="127"/>
      <c r="F17" s="127"/>
      <c r="G17" s="127"/>
      <c r="H17" s="127"/>
      <c r="I17" s="127"/>
      <c r="J17" s="127"/>
      <c r="K17" s="164"/>
      <c r="L17" s="127"/>
      <c r="M17" s="127"/>
      <c r="N17" s="127"/>
      <c r="O17" s="89">
        <f>E10</f>
        <v>20</v>
      </c>
      <c r="P17" s="187">
        <f>Q17*F10</f>
        <v>1408.6474736677649</v>
      </c>
      <c r="Q17" s="90">
        <f>IF(O17&gt;=0,10^(2.7877+7.625*O17/(241.6+O17)),10^(2.7877+9.526*O17/(272.7+O17)))</f>
        <v>2347.745789446275</v>
      </c>
    </row>
    <row r="18" spans="1:19">
      <c r="A18" s="148" t="s">
        <v>30</v>
      </c>
      <c r="C18" s="206"/>
      <c r="D18" s="77" t="s">
        <v>55</v>
      </c>
      <c r="E18" s="127"/>
      <c r="F18" s="127"/>
      <c r="G18" s="127"/>
      <c r="H18" s="127"/>
      <c r="I18" s="127"/>
      <c r="J18" s="127"/>
      <c r="K18" s="164"/>
      <c r="L18" s="127"/>
      <c r="M18" s="127"/>
      <c r="N18" s="127"/>
      <c r="O18" s="89">
        <f>O17-E49*'Données calcul'!$C$17</f>
        <v>20</v>
      </c>
      <c r="P18" s="187"/>
      <c r="Q18" s="90">
        <f>IF(O18&gt;=0,10^(2.7877+7.625*O18/(241.6+O18)),10^(2.7877+9.526*O18/(272.7+O18)))</f>
        <v>2347.745789446275</v>
      </c>
    </row>
    <row r="19" spans="1:19">
      <c r="A19" s="170" t="s">
        <v>245</v>
      </c>
      <c r="B19" s="171">
        <v>1</v>
      </c>
      <c r="C19" s="207"/>
      <c r="D19" s="208"/>
      <c r="E19" s="208"/>
      <c r="F19" s="208"/>
      <c r="G19" s="209"/>
      <c r="H19" s="1"/>
      <c r="I19" s="1"/>
      <c r="J19" s="1"/>
      <c r="K19" s="165"/>
      <c r="L19" s="1"/>
      <c r="M19" s="1"/>
      <c r="N19" s="179">
        <f>IF(AND(M20&lt;&gt;0,M21&lt;&gt;0),0,MAX(M20:M21)/$E$12)</f>
        <v>152000000000</v>
      </c>
      <c r="O19" s="188">
        <f>O18-SUM(K19:K21)*'Données calcul'!$C$17</f>
        <v>10.547442351569941</v>
      </c>
      <c r="P19" s="191">
        <f>P17-N19*$P$50</f>
        <v>810.69357605745722</v>
      </c>
      <c r="Q19" s="186">
        <f>IF(O19&gt;=0,10^(2.7877+7.625*O19/(241.6+O19)),10^(2.7877+9.526*O19/(272.7+O19)))</f>
        <v>1278.3719203629214</v>
      </c>
      <c r="R19" s="185" t="str">
        <f>IF(P19&gt;Q19,"OUI","NON")</f>
        <v>NON</v>
      </c>
      <c r="S19" s="194">
        <f>IFERROR((O18-O19)/SUM(K19:K21),0)</f>
        <v>7.6802030893494226</v>
      </c>
    </row>
    <row r="20" spans="1:19">
      <c r="A20" s="170" t="s">
        <v>246</v>
      </c>
      <c r="B20" s="172"/>
      <c r="C20" s="78" t="s">
        <v>103</v>
      </c>
      <c r="D20" s="78" t="s">
        <v>22</v>
      </c>
      <c r="E20" s="153">
        <v>1</v>
      </c>
      <c r="F20" s="154">
        <v>0.16</v>
      </c>
      <c r="G20" s="155">
        <v>0.16</v>
      </c>
      <c r="H20" s="1">
        <f>VLOOKUP(D20,'Données Matériaux'!$C$10:$F52,3,FALSE)</f>
        <v>0.13</v>
      </c>
      <c r="I20" s="1">
        <f>VLOOKUP(D20,'Données Matériaux'!$C$10:$F52,4,FALSE)</f>
        <v>1600</v>
      </c>
      <c r="J20" s="1">
        <f>VLOOKUP($D$20,'Données Matériaux'!$C$10:$G52,5,FALSE)</f>
        <v>420</v>
      </c>
      <c r="K20" s="166">
        <f>IFERROR((F20/H20),0)</f>
        <v>1.2307692307692308</v>
      </c>
      <c r="L20" s="94">
        <f>IFERROR(1/K20,0)</f>
        <v>0.8125</v>
      </c>
      <c r="M20" s="1">
        <f>IFERROR((VLOOKUP(D20,'Données Matériaux'!$C$10:$H52,6,FALSE)*F20),0)</f>
        <v>30.400000000000002</v>
      </c>
      <c r="N20" s="180"/>
      <c r="O20" s="189"/>
      <c r="P20" s="192"/>
      <c r="Q20" s="187"/>
      <c r="R20" s="185"/>
      <c r="S20" s="194"/>
    </row>
    <row r="21" spans="1:19" ht="12.75" customHeight="1">
      <c r="A21" s="170" t="s">
        <v>247</v>
      </c>
      <c r="B21" s="173"/>
      <c r="C21" s="65"/>
      <c r="D21" s="150"/>
      <c r="E21" s="151"/>
      <c r="F21" s="152"/>
      <c r="G21" s="149"/>
      <c r="H21" s="159"/>
      <c r="I21" s="159"/>
      <c r="J21" s="159"/>
      <c r="K21" s="166"/>
      <c r="L21" s="160"/>
      <c r="M21" s="159"/>
      <c r="N21" s="181"/>
      <c r="O21" s="190"/>
      <c r="P21" s="193"/>
      <c r="Q21" s="187"/>
      <c r="R21" s="185"/>
      <c r="S21" s="194"/>
    </row>
    <row r="22" spans="1:19">
      <c r="A22" s="170" t="s">
        <v>245</v>
      </c>
      <c r="B22" s="171">
        <f>SUM(B19:B21)+1</f>
        <v>2</v>
      </c>
      <c r="C22" s="182"/>
      <c r="D22" s="183"/>
      <c r="E22" s="183"/>
      <c r="F22" s="183"/>
      <c r="G22" s="184"/>
      <c r="H22" s="1"/>
      <c r="I22" s="1"/>
      <c r="J22" s="1"/>
      <c r="K22" s="166"/>
      <c r="L22" s="94"/>
      <c r="M22" s="1"/>
      <c r="N22" s="179">
        <f>IF(AND(M23&lt;&gt;0,M24&lt;&gt;0),0,MAX(M23:M24)/$E$12)</f>
        <v>60000000</v>
      </c>
      <c r="O22" s="188">
        <f>O19-SUM(K22:K24)*'Données calcul'!$C$17</f>
        <v>8.0565656739431013</v>
      </c>
      <c r="P22" s="191">
        <f>P19-N22*$P$50</f>
        <v>810.45754162418996</v>
      </c>
      <c r="Q22" s="186">
        <f t="shared" ref="Q22" si="0">IF(O22&gt;=0,10^(2.7877+7.625*O22/(241.6+O22)),10^(2.7877+9.526*O22/(272.7+O22)))</f>
        <v>1080.8446553462097</v>
      </c>
      <c r="R22" s="185" t="str">
        <f t="shared" ref="R22" si="1">IF(P22&gt;Q22,"OUI","NON")</f>
        <v>NON</v>
      </c>
      <c r="S22" s="194">
        <f>IFERROR((O19-O22)/SUM(K22:K24),0)</f>
        <v>7.6802030893494235</v>
      </c>
    </row>
    <row r="23" spans="1:19" ht="12" customHeight="1">
      <c r="A23" s="170" t="s">
        <v>246</v>
      </c>
      <c r="B23" s="172"/>
      <c r="C23" s="78" t="s">
        <v>109</v>
      </c>
      <c r="D23" s="78" t="s">
        <v>235</v>
      </c>
      <c r="E23" s="153">
        <v>1</v>
      </c>
      <c r="F23" s="157">
        <v>1.2E-2</v>
      </c>
      <c r="G23" s="158">
        <v>1.2E-2</v>
      </c>
      <c r="H23" s="1">
        <f>VLOOKUP(D23,'Données Matériaux'!$C$10:$F52,3,FALSE)</f>
        <v>3.6999999999999998E-2</v>
      </c>
      <c r="I23" s="1">
        <f>VLOOKUP(D23,'Données Matériaux'!$C$10:$F52,4,FALSE)</f>
        <v>900</v>
      </c>
      <c r="J23" s="1">
        <f>VLOOKUP($D$23,'Données Matériaux'!$C$10:$G52,5,FALSE)</f>
        <v>28</v>
      </c>
      <c r="K23" s="166">
        <f>IFERROR((F23/H23),0)</f>
        <v>0.32432432432432434</v>
      </c>
      <c r="L23" s="94">
        <f t="shared" ref="L23:L41" si="2">IFERROR(1/K23,0)</f>
        <v>3.083333333333333</v>
      </c>
      <c r="M23" s="1">
        <f>IFERROR((VLOOKUP(D23,'Données Matériaux'!$C$10:$H52,6,FALSE)*F23),0)</f>
        <v>1.2E-2</v>
      </c>
      <c r="N23" s="180"/>
      <c r="O23" s="189"/>
      <c r="P23" s="192"/>
      <c r="Q23" s="187"/>
      <c r="R23" s="185"/>
      <c r="S23" s="194"/>
    </row>
    <row r="24" spans="1:19" ht="12.75" customHeight="1">
      <c r="A24" s="170" t="s">
        <v>247</v>
      </c>
      <c r="B24" s="173"/>
      <c r="C24" s="65"/>
      <c r="D24" s="150"/>
      <c r="E24" s="151"/>
      <c r="F24" s="152"/>
      <c r="G24" s="156"/>
      <c r="H24" s="159"/>
      <c r="I24" s="159"/>
      <c r="J24" s="159"/>
      <c r="K24" s="166"/>
      <c r="L24" s="160"/>
      <c r="M24" s="159"/>
      <c r="N24" s="181"/>
      <c r="O24" s="190"/>
      <c r="P24" s="193"/>
      <c r="Q24" s="187"/>
      <c r="R24" s="185"/>
      <c r="S24" s="194"/>
    </row>
    <row r="25" spans="1:19">
      <c r="A25" s="170" t="s">
        <v>245</v>
      </c>
      <c r="B25" s="171">
        <f>SUM(B22:B24)+1</f>
        <v>3</v>
      </c>
      <c r="C25" s="207"/>
      <c r="D25" s="208"/>
      <c r="E25" s="208"/>
      <c r="F25" s="208"/>
      <c r="G25" s="209"/>
      <c r="H25" s="1"/>
      <c r="I25" s="1"/>
      <c r="J25" s="1"/>
      <c r="K25" s="166"/>
      <c r="L25" s="94"/>
      <c r="M25" s="1"/>
      <c r="N25" s="179">
        <f>IF(AND(M26&lt;&gt;0,M27&lt;&gt;0),0,MAX(M26:M27)/$E$12)</f>
        <v>100000000</v>
      </c>
      <c r="O25" s="188">
        <f>O22-SUM(K25:K27)*'Données calcul'!$C$17</f>
        <v>7.9867456458581065</v>
      </c>
      <c r="P25" s="191">
        <f>P22-N25*$P$50</f>
        <v>810.06415090207793</v>
      </c>
      <c r="Q25" s="186">
        <f t="shared" ref="Q25" si="3">IF(O25&gt;=0,10^(2.7877+7.625*O25/(241.6+O25)),10^(2.7877+9.526*O25/(272.7+O25)))</f>
        <v>1075.7195881670625</v>
      </c>
      <c r="R25" s="185" t="str">
        <f t="shared" ref="R25" si="4">IF(P25&gt;Q25,"OUI","NON")</f>
        <v>NON</v>
      </c>
      <c r="S25" s="194">
        <f>IFERROR((O22-O25)/SUM(K25:K27),0)</f>
        <v>7.6802030893494235</v>
      </c>
    </row>
    <row r="26" spans="1:19">
      <c r="A26" s="170" t="s">
        <v>246</v>
      </c>
      <c r="B26" s="172"/>
      <c r="C26" s="78" t="s">
        <v>107</v>
      </c>
      <c r="D26" s="78" t="s">
        <v>222</v>
      </c>
      <c r="E26" s="153">
        <v>1</v>
      </c>
      <c r="F26" s="157">
        <v>2.0000000000000001E-4</v>
      </c>
      <c r="G26" s="158">
        <v>2.0000000000000001E-4</v>
      </c>
      <c r="H26" s="1">
        <f>VLOOKUP(D26,'Données Matériaux'!$C$10:$F52,3,FALSE)</f>
        <v>2.1999999999999999E-2</v>
      </c>
      <c r="I26" s="1">
        <f>VLOOKUP(D26,'Données Matériaux'!$C$10:$F52,4,FALSE)</f>
        <v>1400</v>
      </c>
      <c r="J26" s="1">
        <f>VLOOKUP($D$26,'Données Matériaux'!$C$10:$G52,5,FALSE)</f>
        <v>35</v>
      </c>
      <c r="K26" s="166">
        <f>IFERROR((F26/H26),0)</f>
        <v>9.0909090909090922E-3</v>
      </c>
      <c r="L26" s="94">
        <f t="shared" si="2"/>
        <v>109.99999999999999</v>
      </c>
      <c r="M26" s="1">
        <f>IFERROR((VLOOKUP(D26,'Données Matériaux'!$C$10:$H52,6,FALSE)*F26),0)</f>
        <v>0.02</v>
      </c>
      <c r="N26" s="180"/>
      <c r="O26" s="189"/>
      <c r="P26" s="192"/>
      <c r="Q26" s="187"/>
      <c r="R26" s="185"/>
      <c r="S26" s="194"/>
    </row>
    <row r="27" spans="1:19" ht="12.75" customHeight="1">
      <c r="A27" s="170" t="s">
        <v>247</v>
      </c>
      <c r="B27" s="173"/>
      <c r="C27" s="65"/>
      <c r="D27" s="150"/>
      <c r="E27" s="151"/>
      <c r="F27" s="152"/>
      <c r="G27" s="156"/>
      <c r="H27" s="159"/>
      <c r="I27" s="159"/>
      <c r="J27" s="159"/>
      <c r="K27" s="166"/>
      <c r="L27" s="160"/>
      <c r="M27" s="159"/>
      <c r="N27" s="181"/>
      <c r="O27" s="190"/>
      <c r="P27" s="193"/>
      <c r="Q27" s="187"/>
      <c r="R27" s="185"/>
      <c r="S27" s="194"/>
    </row>
    <row r="28" spans="1:19">
      <c r="A28" s="170" t="s">
        <v>245</v>
      </c>
      <c r="B28" s="171">
        <f>SUM(B25:B27)+1</f>
        <v>4</v>
      </c>
      <c r="C28" s="182"/>
      <c r="D28" s="183"/>
      <c r="E28" s="183"/>
      <c r="F28" s="183"/>
      <c r="G28" s="184"/>
      <c r="H28" s="1"/>
      <c r="I28" s="1"/>
      <c r="J28" s="1"/>
      <c r="K28" s="166"/>
      <c r="L28" s="94"/>
      <c r="M28" s="1"/>
      <c r="N28" s="179">
        <f>IF(AND(M29&lt;&gt;0,M30&lt;&gt;0),0,MAX(M29:M30)/$E$12)</f>
        <v>5600000000</v>
      </c>
      <c r="O28" s="188">
        <f>O25-SUM(K28:K30)*'Données calcul'!$C$17</f>
        <v>4.9999999999999982</v>
      </c>
      <c r="P28" s="191">
        <f>P25-N28*$P$50</f>
        <v>788.03427046380341</v>
      </c>
      <c r="Q28" s="186">
        <f t="shared" ref="Q28" si="5">IF(O28&gt;=0,10^(2.7877+7.625*O28/(241.6+O28)),10^(2.7877+9.526*O28/(272.7+O28)))</f>
        <v>875.59363384867061</v>
      </c>
      <c r="R28" s="185" t="str">
        <f t="shared" ref="R28" si="6">IF(P28&gt;Q28,"OUI","NON")</f>
        <v>NON</v>
      </c>
      <c r="S28" s="194">
        <f>IFERROR((O25-O28)/SUM(K28:K30),0)</f>
        <v>7.68020308934942</v>
      </c>
    </row>
    <row r="29" spans="1:19">
      <c r="A29" s="170" t="s">
        <v>246</v>
      </c>
      <c r="B29" s="172"/>
      <c r="C29" s="78" t="s">
        <v>105</v>
      </c>
      <c r="D29" s="78" t="s">
        <v>209</v>
      </c>
      <c r="E29" s="153">
        <v>1</v>
      </c>
      <c r="F29" s="157">
        <v>0.14000000000000001</v>
      </c>
      <c r="G29" s="158">
        <v>0.14000000000000001</v>
      </c>
      <c r="H29" s="1">
        <f>VLOOKUP(D29,'Données Matériaux'!$C$10:$F52,3,FALSE)</f>
        <v>0.36</v>
      </c>
      <c r="I29" s="1">
        <f>VLOOKUP(D29,'Données Matériaux'!$C$10:$F52,4,FALSE)</f>
        <v>1100</v>
      </c>
      <c r="J29" s="1">
        <f>VLOOKUP($D$29,'Données Matériaux'!$C$10:$G52,5,FALSE)</f>
        <v>1150</v>
      </c>
      <c r="K29" s="166">
        <f>IFERROR((F29/H29),0)</f>
        <v>0.38888888888888895</v>
      </c>
      <c r="L29" s="94">
        <f t="shared" si="2"/>
        <v>2.5714285714285712</v>
      </c>
      <c r="M29" s="162">
        <f>IFERROR((VLOOKUP(D29,'Données Matériaux'!$C$10:$H52,6,FALSE)*F29),0)</f>
        <v>1.1200000000000001</v>
      </c>
      <c r="N29" s="180"/>
      <c r="O29" s="189"/>
      <c r="P29" s="192"/>
      <c r="Q29" s="187"/>
      <c r="R29" s="185"/>
      <c r="S29" s="194"/>
    </row>
    <row r="30" spans="1:19" ht="12.75" customHeight="1">
      <c r="A30" s="170" t="s">
        <v>247</v>
      </c>
      <c r="B30" s="173"/>
      <c r="C30" s="65"/>
      <c r="D30" s="150"/>
      <c r="E30" s="151"/>
      <c r="F30" s="152"/>
      <c r="G30" s="156"/>
      <c r="H30" s="159"/>
      <c r="I30" s="159"/>
      <c r="J30" s="159"/>
      <c r="K30" s="166"/>
      <c r="L30" s="160"/>
      <c r="M30" s="159"/>
      <c r="N30" s="181"/>
      <c r="O30" s="190"/>
      <c r="P30" s="193"/>
      <c r="Q30" s="187"/>
      <c r="R30" s="185"/>
      <c r="S30" s="194"/>
    </row>
    <row r="31" spans="1:19">
      <c r="A31" s="170" t="s">
        <v>245</v>
      </c>
      <c r="B31" s="171">
        <f t="shared" ref="B31" si="7">SUM(B28:B30)+1</f>
        <v>5</v>
      </c>
      <c r="C31" s="182"/>
      <c r="D31" s="183"/>
      <c r="E31" s="183"/>
      <c r="F31" s="183"/>
      <c r="G31" s="184"/>
      <c r="H31" s="1"/>
      <c r="I31" s="1"/>
      <c r="J31" s="1"/>
      <c r="K31" s="166"/>
      <c r="L31" s="94"/>
      <c r="M31" s="1"/>
      <c r="N31" s="179">
        <f>IF(AND(M32&lt;&gt;0,M33&lt;&gt;0),0,MAX(M32:M33)/$E$12)</f>
        <v>0</v>
      </c>
      <c r="O31" s="188">
        <f>O28-SUM(K31:K33)*'Données calcul'!$C$17</f>
        <v>4.9999999999999982</v>
      </c>
      <c r="P31" s="191">
        <f>P28-N31*$P$50</f>
        <v>788.03427046380341</v>
      </c>
      <c r="Q31" s="186">
        <f t="shared" ref="Q31" si="8">IF(O31&gt;=0,10^(2.7877+7.625*O31/(241.6+O31)),10^(2.7877+9.526*O31/(272.7+O31)))</f>
        <v>875.59363384867061</v>
      </c>
      <c r="R31" s="185" t="str">
        <f t="shared" ref="R31" si="9">IF(P31&gt;Q31,"OUI","NON")</f>
        <v>NON</v>
      </c>
      <c r="S31" s="194">
        <f>IFERROR((O28-O31)/SUM(K31:K33),0)</f>
        <v>0</v>
      </c>
    </row>
    <row r="32" spans="1:19">
      <c r="A32" s="170" t="s">
        <v>246</v>
      </c>
      <c r="B32" s="172"/>
      <c r="C32" s="78" t="s">
        <v>103</v>
      </c>
      <c r="D32" s="78" t="s">
        <v>177</v>
      </c>
      <c r="E32" s="153">
        <v>1</v>
      </c>
      <c r="F32" s="157">
        <v>1.2E-2</v>
      </c>
      <c r="G32" s="158">
        <v>1.2E-2</v>
      </c>
      <c r="H32" s="1" t="e">
        <f>VLOOKUP(D32,'Données Matériaux'!$C$10:$F52,3,FALSE)</f>
        <v>#N/A</v>
      </c>
      <c r="I32" s="1" t="e">
        <f>VLOOKUP(D32,'Données Matériaux'!$C$10:$F52,4,FALSE)</f>
        <v>#N/A</v>
      </c>
      <c r="J32" s="1" t="e">
        <f>VLOOKUP($D$32,'Données Matériaux'!$C$10:$G52,5,FALSE)</f>
        <v>#N/A</v>
      </c>
      <c r="K32" s="166">
        <f>IFERROR((F32/H32),0)</f>
        <v>0</v>
      </c>
      <c r="L32" s="94">
        <f t="shared" si="2"/>
        <v>0</v>
      </c>
      <c r="M32" s="1">
        <f>IFERROR((VLOOKUP(D32,'Données Matériaux'!$C$10:$H52,6,FALSE)*F32),0)</f>
        <v>0</v>
      </c>
      <c r="N32" s="180"/>
      <c r="O32" s="189"/>
      <c r="P32" s="192"/>
      <c r="Q32" s="187"/>
      <c r="R32" s="185"/>
      <c r="S32" s="194"/>
    </row>
    <row r="33" spans="1:19" ht="12.75" customHeight="1">
      <c r="A33" s="170" t="s">
        <v>247</v>
      </c>
      <c r="B33" s="173"/>
      <c r="C33" s="65"/>
      <c r="D33" s="150"/>
      <c r="E33" s="151"/>
      <c r="F33" s="152"/>
      <c r="G33" s="156"/>
      <c r="H33" s="159"/>
      <c r="I33" s="159"/>
      <c r="J33" s="159"/>
      <c r="K33" s="166"/>
      <c r="L33" s="160"/>
      <c r="M33" s="159"/>
      <c r="N33" s="181"/>
      <c r="O33" s="190"/>
      <c r="P33" s="193"/>
      <c r="Q33" s="187"/>
      <c r="R33" s="185"/>
      <c r="S33" s="194"/>
    </row>
    <row r="34" spans="1:19">
      <c r="A34" s="170" t="s">
        <v>245</v>
      </c>
      <c r="B34" s="171">
        <f t="shared" ref="B34" si="10">SUM(B31:B33)+1</f>
        <v>6</v>
      </c>
      <c r="C34" s="182"/>
      <c r="D34" s="183"/>
      <c r="E34" s="183"/>
      <c r="F34" s="183"/>
      <c r="G34" s="184"/>
      <c r="H34" s="1"/>
      <c r="I34" s="1"/>
      <c r="J34" s="1"/>
      <c r="K34" s="166"/>
      <c r="L34" s="94"/>
      <c r="M34" s="1"/>
      <c r="N34" s="179">
        <f>IF(AND(M35&lt;&gt;0,M36&lt;&gt;0),0,MAX(M35:M36)/$E$12)</f>
        <v>0</v>
      </c>
      <c r="O34" s="188">
        <f>O31-SUM(K34:K36)*'Données calcul'!$C$17</f>
        <v>4.9999999999999982</v>
      </c>
      <c r="P34" s="191">
        <f>P31-N34*$P$50</f>
        <v>788.03427046380341</v>
      </c>
      <c r="Q34" s="186">
        <f t="shared" ref="Q34" si="11">IF(O34&gt;=0,10^(2.7877+7.625*O34/(241.6+O34)),10^(2.7877+9.526*O34/(272.7+O34)))</f>
        <v>875.59363384867061</v>
      </c>
      <c r="R34" s="185" t="str">
        <f t="shared" ref="R34" si="12">IF(P34&gt;Q34,"OUI","NON")</f>
        <v>NON</v>
      </c>
      <c r="S34" s="194">
        <f>IFERROR((O31-O34)/SUM(K34:K36),0)</f>
        <v>0</v>
      </c>
    </row>
    <row r="35" spans="1:19">
      <c r="A35" s="170" t="s">
        <v>246</v>
      </c>
      <c r="B35" s="172"/>
      <c r="C35" s="78" t="s">
        <v>107</v>
      </c>
      <c r="D35" s="78"/>
      <c r="E35" s="153"/>
      <c r="F35" s="157"/>
      <c r="G35" s="158"/>
      <c r="H35" s="1" t="e">
        <f>VLOOKUP(D35,'Données Matériaux'!$C$10:$F52,3,FALSE)</f>
        <v>#N/A</v>
      </c>
      <c r="I35" s="1" t="e">
        <f>VLOOKUP(D35,'Données Matériaux'!$C$10:$F52,4,FALSE)</f>
        <v>#N/A</v>
      </c>
      <c r="J35" s="1" t="e">
        <f>VLOOKUP($D$35,'Données Matériaux'!$C$10:$G52,5,FALSE)</f>
        <v>#N/A</v>
      </c>
      <c r="K35" s="166">
        <f>IFERROR((F35/H35),0)</f>
        <v>0</v>
      </c>
      <c r="L35" s="94">
        <f t="shared" si="2"/>
        <v>0</v>
      </c>
      <c r="M35" s="1">
        <f>IFERROR((VLOOKUP(D35,'Données Matériaux'!$C$10:$H52,6,FALSE)*F35),0)</f>
        <v>0</v>
      </c>
      <c r="N35" s="180"/>
      <c r="O35" s="189"/>
      <c r="P35" s="192"/>
      <c r="Q35" s="187"/>
      <c r="R35" s="185"/>
      <c r="S35" s="194"/>
    </row>
    <row r="36" spans="1:19" ht="12.75" customHeight="1">
      <c r="A36" s="170" t="s">
        <v>247</v>
      </c>
      <c r="B36" s="173"/>
      <c r="C36" s="65"/>
      <c r="D36" s="150"/>
      <c r="E36" s="151"/>
      <c r="F36" s="152"/>
      <c r="G36" s="156"/>
      <c r="H36" s="159"/>
      <c r="I36" s="159"/>
      <c r="J36" s="159"/>
      <c r="K36" s="166"/>
      <c r="L36" s="160"/>
      <c r="M36" s="159"/>
      <c r="N36" s="181"/>
      <c r="O36" s="190"/>
      <c r="P36" s="193"/>
      <c r="Q36" s="187"/>
      <c r="R36" s="185"/>
      <c r="S36" s="194"/>
    </row>
    <row r="37" spans="1:19">
      <c r="A37" s="170" t="s">
        <v>245</v>
      </c>
      <c r="B37" s="171">
        <f t="shared" ref="B37" si="13">SUM(B34:B36)+1</f>
        <v>7</v>
      </c>
      <c r="C37" s="182"/>
      <c r="D37" s="183"/>
      <c r="E37" s="183"/>
      <c r="F37" s="183"/>
      <c r="G37" s="184"/>
      <c r="H37" s="1"/>
      <c r="I37" s="1"/>
      <c r="J37" s="1"/>
      <c r="K37" s="166"/>
      <c r="L37" s="94"/>
      <c r="M37" s="1"/>
      <c r="N37" s="179">
        <f>IF(AND(M38&lt;&gt;0,M39&lt;&gt;0),0,MAX(M38:M39)/$E$12)</f>
        <v>0</v>
      </c>
      <c r="O37" s="188">
        <f>O34-SUM(K37:K39)*'Données calcul'!$C$17</f>
        <v>4.9999999999999982</v>
      </c>
      <c r="P37" s="191">
        <f>P34-N37*$P$50</f>
        <v>788.03427046380341</v>
      </c>
      <c r="Q37" s="186">
        <f t="shared" ref="Q37" si="14">IF(O37&gt;=0,10^(2.7877+7.625*O37/(241.6+O37)),10^(2.7877+9.526*O37/(272.7+O37)))</f>
        <v>875.59363384867061</v>
      </c>
      <c r="R37" s="185" t="str">
        <f t="shared" ref="R37" si="15">IF(P37&gt;Q37,"OUI","NON")</f>
        <v>NON</v>
      </c>
      <c r="S37" s="194">
        <f>IFERROR((O34-O37)/SUM(K37:K39),0)</f>
        <v>0</v>
      </c>
    </row>
    <row r="38" spans="1:19">
      <c r="A38" s="170" t="s">
        <v>246</v>
      </c>
      <c r="B38" s="172"/>
      <c r="C38" s="78"/>
      <c r="D38" s="78"/>
      <c r="E38" s="153"/>
      <c r="F38" s="157"/>
      <c r="G38" s="158"/>
      <c r="H38" s="1" t="e">
        <f>VLOOKUP(D38,'Données Matériaux'!$C$10:$F52,3,FALSE)</f>
        <v>#N/A</v>
      </c>
      <c r="I38" s="1" t="e">
        <f>VLOOKUP(D38,'Données Matériaux'!$C$10:$F52,4,FALSE)</f>
        <v>#N/A</v>
      </c>
      <c r="J38" s="1" t="e">
        <f>VLOOKUP($D$38,'Données Matériaux'!$C$10:$G52,5,FALSE)</f>
        <v>#N/A</v>
      </c>
      <c r="K38" s="166">
        <f>IFERROR((F38/H38),0)</f>
        <v>0</v>
      </c>
      <c r="L38" s="94">
        <f t="shared" si="2"/>
        <v>0</v>
      </c>
      <c r="M38" s="1">
        <f>IFERROR((VLOOKUP(D38,'Données Matériaux'!$C$10:$H52,6,FALSE)*F38),0)</f>
        <v>0</v>
      </c>
      <c r="N38" s="180"/>
      <c r="O38" s="189"/>
      <c r="P38" s="192"/>
      <c r="Q38" s="187"/>
      <c r="R38" s="185"/>
      <c r="S38" s="194"/>
    </row>
    <row r="39" spans="1:19" ht="12.75" customHeight="1">
      <c r="A39" s="170" t="s">
        <v>247</v>
      </c>
      <c r="B39" s="173"/>
      <c r="C39" s="65"/>
      <c r="D39" s="150"/>
      <c r="E39" s="151"/>
      <c r="F39" s="152"/>
      <c r="G39" s="156"/>
      <c r="H39" s="159"/>
      <c r="I39" s="159"/>
      <c r="J39" s="159"/>
      <c r="K39" s="166"/>
      <c r="L39" s="160"/>
      <c r="M39" s="159"/>
      <c r="N39" s="181"/>
      <c r="O39" s="190"/>
      <c r="P39" s="193"/>
      <c r="Q39" s="187"/>
      <c r="R39" s="185"/>
      <c r="S39" s="194"/>
    </row>
    <row r="40" spans="1:19">
      <c r="A40" s="170" t="s">
        <v>245</v>
      </c>
      <c r="B40" s="171">
        <f t="shared" ref="B40" si="16">SUM(B37:B39)+1</f>
        <v>8</v>
      </c>
      <c r="C40" s="182"/>
      <c r="D40" s="183"/>
      <c r="E40" s="183"/>
      <c r="F40" s="183"/>
      <c r="G40" s="184"/>
      <c r="H40" s="1"/>
      <c r="I40" s="1"/>
      <c r="J40" s="1"/>
      <c r="K40" s="166"/>
      <c r="L40" s="94"/>
      <c r="M40" s="1"/>
      <c r="N40" s="179">
        <f>IF(AND(M41&lt;&gt;0,M42&lt;&gt;0),0,MAX(M41:M42)/$E$12)</f>
        <v>0</v>
      </c>
      <c r="O40" s="188">
        <f>O37-SUM(K40:K42)*'Données calcul'!$C$17</f>
        <v>4.9999999999999982</v>
      </c>
      <c r="P40" s="191">
        <f>P37-N40*$P$50</f>
        <v>788.03427046380341</v>
      </c>
      <c r="Q40" s="186">
        <f t="shared" ref="Q40" si="17">IF(O40&gt;=0,10^(2.7877+7.625*O40/(241.6+O40)),10^(2.7877+9.526*O40/(272.7+O40)))</f>
        <v>875.59363384867061</v>
      </c>
      <c r="R40" s="185" t="str">
        <f t="shared" ref="R40" si="18">IF(P40&gt;Q40,"OUI","NON")</f>
        <v>NON</v>
      </c>
      <c r="S40" s="194">
        <f>IFERROR((O37-O40)/SUM(K40:K42),0)</f>
        <v>0</v>
      </c>
    </row>
    <row r="41" spans="1:19">
      <c r="A41" s="170" t="s">
        <v>246</v>
      </c>
      <c r="B41" s="172"/>
      <c r="C41" s="78"/>
      <c r="D41" s="78"/>
      <c r="E41" s="153"/>
      <c r="F41" s="157"/>
      <c r="G41" s="158"/>
      <c r="H41" s="1" t="e">
        <f>VLOOKUP(D41,'Données Matériaux'!$C$10:$F52,3,FALSE)</f>
        <v>#N/A</v>
      </c>
      <c r="I41" s="1" t="e">
        <f>VLOOKUP(D41,'Données Matériaux'!$C$10:$F52,4,FALSE)</f>
        <v>#N/A</v>
      </c>
      <c r="J41" s="1" t="e">
        <f>VLOOKUP($D$41,'Données Matériaux'!$C$10:$G52,5,FALSE)</f>
        <v>#N/A</v>
      </c>
      <c r="K41" s="166">
        <f>IFERROR((F41/H41),0)</f>
        <v>0</v>
      </c>
      <c r="L41" s="94">
        <f t="shared" si="2"/>
        <v>0</v>
      </c>
      <c r="M41" s="1">
        <f>IFERROR((VLOOKUP(D41,'Données Matériaux'!$C$10:$H52,6,FALSE)*F41),0)</f>
        <v>0</v>
      </c>
      <c r="N41" s="180"/>
      <c r="O41" s="189"/>
      <c r="P41" s="192"/>
      <c r="Q41" s="187"/>
      <c r="R41" s="185"/>
      <c r="S41" s="194"/>
    </row>
    <row r="42" spans="1:19" ht="12.75" customHeight="1">
      <c r="A42" s="170" t="s">
        <v>247</v>
      </c>
      <c r="B42" s="173"/>
      <c r="C42" s="65"/>
      <c r="D42" s="150"/>
      <c r="E42" s="151"/>
      <c r="F42" s="152"/>
      <c r="G42" s="156"/>
      <c r="H42" s="159"/>
      <c r="I42" s="159"/>
      <c r="J42" s="159"/>
      <c r="K42" s="166"/>
      <c r="L42" s="160"/>
      <c r="M42" s="159"/>
      <c r="N42" s="181"/>
      <c r="O42" s="190"/>
      <c r="P42" s="193"/>
      <c r="Q42" s="187"/>
      <c r="R42" s="185"/>
      <c r="S42" s="194"/>
    </row>
    <row r="43" spans="1:19">
      <c r="A43" s="148" t="s">
        <v>34</v>
      </c>
      <c r="D43" s="17" t="s">
        <v>33</v>
      </c>
      <c r="O43" s="89">
        <f>O40</f>
        <v>4.9999999999999982</v>
      </c>
      <c r="P43" s="187">
        <f>F11*Q44</f>
        <v>788.03427046380352</v>
      </c>
      <c r="Q43" s="90">
        <f>IF(O43&gt;=0,10^(2.7877+7.625*O43/(241.6+O43)),10^(2.7877+9.526*O43/(272.7+O43)))</f>
        <v>875.59363384867061</v>
      </c>
    </row>
    <row r="44" spans="1:19">
      <c r="D44" s="18" t="s">
        <v>34</v>
      </c>
      <c r="O44" s="89">
        <f>E11</f>
        <v>5</v>
      </c>
      <c r="P44" s="187"/>
      <c r="Q44" s="90">
        <f>IF(O44&gt;=0,10^(2.7877+7.625*O44/(241.6+O44)),10^(2.7877+9.526*O44/(272.7+O44)))</f>
        <v>875.59363384867061</v>
      </c>
    </row>
    <row r="46" spans="1:19" ht="13.5" thickBot="1"/>
    <row r="47" spans="1:19">
      <c r="D47" s="199" t="s">
        <v>96</v>
      </c>
      <c r="E47" s="200"/>
      <c r="F47" s="201"/>
    </row>
    <row r="48" spans="1:19" ht="15.75">
      <c r="D48" s="101" t="s">
        <v>97</v>
      </c>
      <c r="E48" s="103">
        <f>SUM($K$19:$K$42)</f>
        <v>1.9530733530733531</v>
      </c>
      <c r="F48" s="97" t="s">
        <v>6</v>
      </c>
      <c r="O48" s="202" t="s">
        <v>56</v>
      </c>
      <c r="P48" s="203"/>
      <c r="Q48" s="204"/>
    </row>
    <row r="49" spans="1:17" ht="15.75">
      <c r="D49" s="101" t="s">
        <v>116</v>
      </c>
      <c r="E49" s="96">
        <f>'Données calcul'!C8</f>
        <v>0</v>
      </c>
      <c r="F49" s="97" t="s">
        <v>6</v>
      </c>
      <c r="O49" s="7" t="s">
        <v>44</v>
      </c>
      <c r="P49" s="8">
        <f>(E10-E11)/(E48+E49+E50)</f>
        <v>7.6802030893494218</v>
      </c>
      <c r="Q49" s="7" t="s">
        <v>32</v>
      </c>
    </row>
    <row r="50" spans="1:17" ht="15.75">
      <c r="D50" s="101" t="s">
        <v>115</v>
      </c>
      <c r="E50" s="96">
        <f>'Données calcul'!D8</f>
        <v>0</v>
      </c>
      <c r="F50" s="97" t="s">
        <v>6</v>
      </c>
      <c r="O50" s="34" t="s">
        <v>45</v>
      </c>
      <c r="P50" s="111">
        <f>(P17-P43)/SUM(N19:N42)</f>
        <v>3.9339072211204448E-9</v>
      </c>
      <c r="Q50" s="34" t="s">
        <v>43</v>
      </c>
    </row>
    <row r="51" spans="1:17" ht="35.25" thickBot="1">
      <c r="D51" s="122" t="s">
        <v>174</v>
      </c>
      <c r="E51" s="167">
        <f>1/(E48+E49+E50)</f>
        <v>0.51201353928996141</v>
      </c>
      <c r="F51" s="123" t="s">
        <v>7</v>
      </c>
    </row>
    <row r="56" spans="1:17" hidden="1"/>
    <row r="57" spans="1:17" ht="27.75" hidden="1" customHeight="1" thickBot="1">
      <c r="A57" s="211" t="s">
        <v>149</v>
      </c>
      <c r="B57" s="212"/>
      <c r="C57" s="212"/>
      <c r="D57" s="212"/>
      <c r="E57" s="212"/>
      <c r="F57" s="212"/>
      <c r="G57" s="212"/>
      <c r="H57" s="212"/>
      <c r="I57" s="212"/>
      <c r="J57" s="212"/>
      <c r="K57" s="212"/>
      <c r="L57" s="212"/>
    </row>
    <row r="58" spans="1:17" hidden="1"/>
    <row r="59" spans="1:17" hidden="1"/>
    <row r="60" spans="1:17" hidden="1"/>
    <row r="61" spans="1:17" hidden="1">
      <c r="A61" s="49"/>
      <c r="D61" s="213" t="s">
        <v>142</v>
      </c>
      <c r="E61" s="213"/>
      <c r="H61" s="128" t="s">
        <v>145</v>
      </c>
      <c r="I61" s="129"/>
      <c r="J61" s="130"/>
    </row>
    <row r="62" spans="1:17" hidden="1">
      <c r="A62" s="49"/>
      <c r="D62" s="72" t="s">
        <v>144</v>
      </c>
      <c r="E62" s="95">
        <v>1</v>
      </c>
      <c r="H62" s="128" t="s">
        <v>144</v>
      </c>
      <c r="I62" s="130"/>
      <c r="J62" s="95">
        <v>1</v>
      </c>
    </row>
    <row r="63" spans="1:17" hidden="1">
      <c r="A63" s="49"/>
      <c r="D63" s="72" t="s">
        <v>143</v>
      </c>
      <c r="E63" s="76"/>
      <c r="H63" s="128" t="s">
        <v>147</v>
      </c>
      <c r="I63" s="130"/>
      <c r="J63" s="76"/>
    </row>
    <row r="64" spans="1:17" hidden="1">
      <c r="A64" s="49"/>
      <c r="D64" s="72" t="s">
        <v>154</v>
      </c>
      <c r="E64" s="94">
        <f>IFERROR(E62/E63,0)</f>
        <v>0</v>
      </c>
      <c r="H64" s="128" t="s">
        <v>148</v>
      </c>
      <c r="I64" s="130"/>
      <c r="J64" s="76"/>
    </row>
    <row r="65" spans="1:12" hidden="1">
      <c r="A65" s="49"/>
      <c r="D65" s="36"/>
      <c r="E65" s="4"/>
      <c r="H65" s="128" t="s">
        <v>146</v>
      </c>
      <c r="I65" s="130"/>
      <c r="J65" s="1">
        <f>IFERROR((J62/(J63*J64)),0)</f>
        <v>0</v>
      </c>
    </row>
    <row r="66" spans="1:12" hidden="1">
      <c r="A66" s="49"/>
      <c r="D66" s="36"/>
      <c r="E66" s="4"/>
      <c r="H66" s="104"/>
      <c r="I66" s="4"/>
    </row>
    <row r="67" spans="1:12" hidden="1">
      <c r="A67" s="49"/>
      <c r="C67" s="49"/>
      <c r="D67" s="36"/>
      <c r="E67" s="4"/>
      <c r="F67" s="214"/>
      <c r="G67" s="214"/>
      <c r="H67" s="214"/>
      <c r="I67" s="214"/>
    </row>
    <row r="68" spans="1:12" hidden="1">
      <c r="A68" s="49"/>
      <c r="C68" s="49"/>
      <c r="D68" s="36"/>
      <c r="E68" s="4"/>
      <c r="F68" s="105"/>
      <c r="G68" s="105"/>
      <c r="H68" s="105"/>
      <c r="I68" s="105"/>
    </row>
    <row r="69" spans="1:12" hidden="1">
      <c r="A69" s="49"/>
      <c r="C69" s="49"/>
      <c r="D69" s="36"/>
      <c r="E69" s="4"/>
      <c r="F69" s="214"/>
      <c r="G69" s="214"/>
      <c r="H69" s="214"/>
      <c r="I69" s="214"/>
    </row>
    <row r="70" spans="1:12" hidden="1"/>
    <row r="71" spans="1:12" hidden="1">
      <c r="A71" s="49"/>
    </row>
    <row r="72" spans="1:12" hidden="1">
      <c r="A72" s="49"/>
      <c r="C72" s="49"/>
    </row>
    <row r="73" spans="1:12" ht="13.5" thickBot="1">
      <c r="A73" s="49"/>
      <c r="C73" s="49"/>
    </row>
    <row r="74" spans="1:12" ht="24" thickBot="1">
      <c r="A74" s="211" t="s">
        <v>149</v>
      </c>
      <c r="B74" s="212"/>
      <c r="C74" s="212"/>
      <c r="D74" s="212"/>
      <c r="E74" s="212"/>
      <c r="F74" s="212"/>
      <c r="G74" s="212"/>
      <c r="H74" s="212"/>
      <c r="I74" s="212"/>
      <c r="J74" s="212"/>
      <c r="K74" s="212"/>
      <c r="L74" s="212"/>
    </row>
    <row r="75" spans="1:12" ht="23.25">
      <c r="A75" s="120"/>
      <c r="B75" s="49" t="s">
        <v>133</v>
      </c>
      <c r="C75" s="120"/>
      <c r="D75" s="120"/>
      <c r="E75" s="120"/>
      <c r="F75" s="120"/>
      <c r="G75" s="120"/>
      <c r="H75" s="120"/>
      <c r="I75" s="120"/>
      <c r="J75" s="120"/>
      <c r="K75" s="120"/>
      <c r="L75" s="120"/>
    </row>
    <row r="76" spans="1:12" ht="48.75" customHeight="1">
      <c r="A76" s="116" t="s">
        <v>130</v>
      </c>
      <c r="B76" s="215" t="s">
        <v>132</v>
      </c>
      <c r="C76" s="215"/>
      <c r="D76" s="215"/>
      <c r="E76" s="98" t="s">
        <v>175</v>
      </c>
      <c r="F76" s="98" t="s">
        <v>176</v>
      </c>
      <c r="G76" s="106" t="s">
        <v>151</v>
      </c>
      <c r="H76" s="106" t="s">
        <v>152</v>
      </c>
      <c r="I76" s="98" t="s">
        <v>153</v>
      </c>
      <c r="J76" s="98" t="s">
        <v>131</v>
      </c>
    </row>
    <row r="77" spans="1:12" ht="25.5" customHeight="1">
      <c r="A77" s="116" t="s">
        <v>163</v>
      </c>
      <c r="B77" s="216"/>
      <c r="C77" s="217"/>
      <c r="D77" s="218"/>
      <c r="E77" s="108"/>
      <c r="F77" s="108"/>
      <c r="G77" s="95" t="str">
        <f>IFERROR(VLOOKUP(B77,'Données Ponts Thermiques'!$B$9:$C38,2,FALSE),"")</f>
        <v/>
      </c>
      <c r="H77" s="95" t="str">
        <f>IFERROR(VLOOKUP(B77,'Données Ponts Thermiques'!$B$9:$D38,3,FALSE),"")</f>
        <v/>
      </c>
      <c r="I77" s="95" t="str">
        <f>IFERROR(VLOOKUP(B77,'Données Ponts Thermiques'!$B$9:$E38,4,FALSE),"")</f>
        <v/>
      </c>
      <c r="J77" s="115">
        <f t="shared" ref="J77:J80" si="19">IFERROR(E77*G77+F77*H77+I77,0)</f>
        <v>0</v>
      </c>
    </row>
    <row r="78" spans="1:12" ht="25.5" customHeight="1">
      <c r="A78" s="116" t="s">
        <v>164</v>
      </c>
      <c r="B78" s="210"/>
      <c r="C78" s="210"/>
      <c r="D78" s="210"/>
      <c r="E78" s="108"/>
      <c r="F78" s="108"/>
      <c r="G78" s="95" t="str">
        <f>IFERROR(VLOOKUP(B78,'Données Ponts Thermiques'!$B$9:$C38,2,FALSE),"")</f>
        <v/>
      </c>
      <c r="H78" s="95" t="str">
        <f>IFERROR(VLOOKUP(B78,'Données Ponts Thermiques'!$B$9:$D38,3,FALSE),"")</f>
        <v/>
      </c>
      <c r="I78" s="95" t="str">
        <f>IFERROR(VLOOKUP(B78,'Données Ponts Thermiques'!$B$9:$E38,4,FALSE),"")</f>
        <v/>
      </c>
      <c r="J78" s="115">
        <f t="shared" si="19"/>
        <v>0</v>
      </c>
    </row>
    <row r="79" spans="1:12" ht="25.5" customHeight="1">
      <c r="A79" s="116" t="s">
        <v>91</v>
      </c>
      <c r="B79" s="210"/>
      <c r="C79" s="210"/>
      <c r="D79" s="210"/>
      <c r="E79" s="108"/>
      <c r="F79" s="108"/>
      <c r="G79" s="95" t="str">
        <f>IFERROR(VLOOKUP(B79,'Données Ponts Thermiques'!$B$9:$C38,2,FALSE),"")</f>
        <v/>
      </c>
      <c r="H79" s="95" t="str">
        <f>IFERROR(VLOOKUP(B79,'Données Ponts Thermiques'!$B$9:$D38,3,FALSE),"")</f>
        <v/>
      </c>
      <c r="I79" s="95" t="str">
        <f>IFERROR(VLOOKUP(B79,'Données Ponts Thermiques'!$B$9:$E38,4,FALSE),"")</f>
        <v/>
      </c>
      <c r="J79" s="115">
        <f t="shared" si="19"/>
        <v>0</v>
      </c>
    </row>
    <row r="80" spans="1:12" ht="25.5" customHeight="1">
      <c r="A80" s="116"/>
      <c r="B80" s="210"/>
      <c r="C80" s="210"/>
      <c r="D80" s="210"/>
      <c r="E80" s="108"/>
      <c r="F80" s="108"/>
      <c r="G80" s="95" t="str">
        <f>IFERROR(VLOOKUP(B80,'Données Ponts Thermiques'!$B$9:$C38,2,FALSE),"")</f>
        <v/>
      </c>
      <c r="H80" s="95" t="str">
        <f>IFERROR(VLOOKUP(B80,'Données Ponts Thermiques'!$B$9:$D38,3,FALSE),"")</f>
        <v/>
      </c>
      <c r="I80" s="95" t="str">
        <f>IFERROR(VLOOKUP(B80,'Données Ponts Thermiques'!$B$9:$E38,4,FALSE),"")</f>
        <v/>
      </c>
      <c r="J80" s="115">
        <f t="shared" si="19"/>
        <v>0</v>
      </c>
    </row>
    <row r="81" spans="4:11">
      <c r="I81" s="3" t="s">
        <v>141</v>
      </c>
      <c r="J81" s="138">
        <f>SUM(J77:J80)</f>
        <v>0</v>
      </c>
      <c r="K81" s="3" t="s">
        <v>7</v>
      </c>
    </row>
    <row r="82" spans="4:11" ht="13.5" thickBot="1"/>
    <row r="83" spans="4:11" ht="18.75">
      <c r="D83" s="133" t="s">
        <v>200</v>
      </c>
      <c r="E83" s="169">
        <f>E51+J81</f>
        <v>0.51201353928996141</v>
      </c>
      <c r="F83" s="134" t="s">
        <v>150</v>
      </c>
    </row>
    <row r="84" spans="4:11" ht="16.5" thickBot="1">
      <c r="D84" s="135" t="s">
        <v>197</v>
      </c>
      <c r="E84" s="168">
        <f>1/E83</f>
        <v>1.9530733530733533</v>
      </c>
      <c r="F84" s="136" t="s">
        <v>6</v>
      </c>
    </row>
  </sheetData>
  <mergeCells count="79">
    <mergeCell ref="B79:D79"/>
    <mergeCell ref="B80:D80"/>
    <mergeCell ref="A74:L74"/>
    <mergeCell ref="D61:E61"/>
    <mergeCell ref="A57:L57"/>
    <mergeCell ref="F67:I67"/>
    <mergeCell ref="F69:I69"/>
    <mergeCell ref="B76:D76"/>
    <mergeCell ref="B77:D77"/>
    <mergeCell ref="B78:D78"/>
    <mergeCell ref="C17:C18"/>
    <mergeCell ref="O25:O27"/>
    <mergeCell ref="O19:O21"/>
    <mergeCell ref="O22:O24"/>
    <mergeCell ref="R34:R36"/>
    <mergeCell ref="R22:R24"/>
    <mergeCell ref="R25:R27"/>
    <mergeCell ref="R28:R30"/>
    <mergeCell ref="R31:R33"/>
    <mergeCell ref="P17:P18"/>
    <mergeCell ref="N34:N36"/>
    <mergeCell ref="C25:G25"/>
    <mergeCell ref="C19:G19"/>
    <mergeCell ref="C22:G22"/>
    <mergeCell ref="O28:O30"/>
    <mergeCell ref="P31:P33"/>
    <mergeCell ref="O48:Q48"/>
    <mergeCell ref="N19:N21"/>
    <mergeCell ref="N22:N24"/>
    <mergeCell ref="N25:N27"/>
    <mergeCell ref="N28:N30"/>
    <mergeCell ref="Q25:Q27"/>
    <mergeCell ref="D47:F47"/>
    <mergeCell ref="Q28:Q30"/>
    <mergeCell ref="Q31:Q33"/>
    <mergeCell ref="P19:P21"/>
    <mergeCell ref="P22:P24"/>
    <mergeCell ref="P25:P27"/>
    <mergeCell ref="P28:P30"/>
    <mergeCell ref="P43:P44"/>
    <mergeCell ref="O31:O33"/>
    <mergeCell ref="R19:R21"/>
    <mergeCell ref="Q11:R11"/>
    <mergeCell ref="Q12:R12"/>
    <mergeCell ref="Q19:Q21"/>
    <mergeCell ref="Q22:Q24"/>
    <mergeCell ref="S40:S42"/>
    <mergeCell ref="S19:S21"/>
    <mergeCell ref="S22:S24"/>
    <mergeCell ref="S25:S27"/>
    <mergeCell ref="S28:S30"/>
    <mergeCell ref="S31:S33"/>
    <mergeCell ref="S34:S36"/>
    <mergeCell ref="S37:S39"/>
    <mergeCell ref="R40:R42"/>
    <mergeCell ref="Q34:Q36"/>
    <mergeCell ref="Q37:Q39"/>
    <mergeCell ref="O40:O42"/>
    <mergeCell ref="Q40:Q42"/>
    <mergeCell ref="P40:P42"/>
    <mergeCell ref="O34:O36"/>
    <mergeCell ref="O37:O39"/>
    <mergeCell ref="P34:P36"/>
    <mergeCell ref="P37:P39"/>
    <mergeCell ref="R37:R39"/>
    <mergeCell ref="N31:N33"/>
    <mergeCell ref="C28:G28"/>
    <mergeCell ref="C31:G31"/>
    <mergeCell ref="N40:N42"/>
    <mergeCell ref="N37:N39"/>
    <mergeCell ref="C37:G37"/>
    <mergeCell ref="C40:G40"/>
    <mergeCell ref="C34:G34"/>
    <mergeCell ref="E1:L1"/>
    <mergeCell ref="E2:L2"/>
    <mergeCell ref="E3:L3"/>
    <mergeCell ref="Q9:R9"/>
    <mergeCell ref="E6:H6"/>
    <mergeCell ref="E4:L4"/>
  </mergeCells>
  <dataValidations disablePrompts="1" count="17">
    <dataValidation type="list" allowBlank="1" showInputMessage="1" showErrorMessage="1" sqref="D23" xr:uid="{00000000-0002-0000-0000-000000000000}">
      <formula1>INDIRECT($C$23)</formula1>
    </dataValidation>
    <dataValidation type="list" allowBlank="1" showInputMessage="1" showErrorMessage="1" sqref="D20" xr:uid="{00000000-0002-0000-0000-000001000000}">
      <formula1>INDIRECT($C$20)</formula1>
    </dataValidation>
    <dataValidation type="list" allowBlank="1" showInputMessage="1" showErrorMessage="1" sqref="D21" xr:uid="{00000000-0002-0000-0000-000002000000}">
      <formula1>INDIRECT($C$21)</formula1>
    </dataValidation>
    <dataValidation type="list" allowBlank="1" showInputMessage="1" showErrorMessage="1" sqref="D42" xr:uid="{00000000-0002-0000-0000-000003000000}">
      <formula1>INDIRECT($C$42)</formula1>
    </dataValidation>
    <dataValidation type="list" allowBlank="1" showInputMessage="1" showErrorMessage="1" sqref="D41" xr:uid="{00000000-0002-0000-0000-000004000000}">
      <formula1>INDIRECT($C$41)</formula1>
    </dataValidation>
    <dataValidation type="list" allowBlank="1" showInputMessage="1" showErrorMessage="1" sqref="D39" xr:uid="{00000000-0002-0000-0000-000005000000}">
      <formula1>INDIRECT($C$39)</formula1>
    </dataValidation>
    <dataValidation type="list" allowBlank="1" showInputMessage="1" showErrorMessage="1" sqref="D38" xr:uid="{00000000-0002-0000-0000-000006000000}">
      <formula1>INDIRECT($C$38)</formula1>
    </dataValidation>
    <dataValidation type="list" allowBlank="1" showInputMessage="1" showErrorMessage="1" sqref="D36" xr:uid="{00000000-0002-0000-0000-000007000000}">
      <formula1>INDIRECT($C$36)</formula1>
    </dataValidation>
    <dataValidation type="list" allowBlank="1" showInputMessage="1" showErrorMessage="1" sqref="D35" xr:uid="{00000000-0002-0000-0000-000008000000}">
      <formula1>INDIRECT($C$35)</formula1>
    </dataValidation>
    <dataValidation type="list" allowBlank="1" showInputMessage="1" showErrorMessage="1" sqref="D33" xr:uid="{00000000-0002-0000-0000-000009000000}">
      <formula1>INDIRECT($C$33)</formula1>
    </dataValidation>
    <dataValidation type="list" allowBlank="1" showInputMessage="1" showErrorMessage="1" sqref="D32" xr:uid="{00000000-0002-0000-0000-00000A000000}">
      <formula1>INDIRECT($C$32)</formula1>
    </dataValidation>
    <dataValidation type="list" allowBlank="1" showInputMessage="1" showErrorMessage="1" sqref="D30" xr:uid="{00000000-0002-0000-0000-00000B000000}">
      <formula1>INDIRECT($C$30)</formula1>
    </dataValidation>
    <dataValidation type="list" allowBlank="1" showInputMessage="1" showErrorMessage="1" sqref="D29" xr:uid="{00000000-0002-0000-0000-00000C000000}">
      <formula1>INDIRECT($C$29)</formula1>
    </dataValidation>
    <dataValidation type="list" allowBlank="1" showInputMessage="1" showErrorMessage="1" sqref="D27" xr:uid="{00000000-0002-0000-0000-00000D000000}">
      <formula1>INDIRECT($C$27)</formula1>
    </dataValidation>
    <dataValidation type="list" allowBlank="1" showInputMessage="1" showErrorMessage="1" sqref="D26" xr:uid="{00000000-0002-0000-0000-00000E000000}">
      <formula1>INDIRECT($C$26)</formula1>
    </dataValidation>
    <dataValidation type="list" allowBlank="1" showInputMessage="1" showErrorMessage="1" sqref="D24" xr:uid="{00000000-0002-0000-0000-00000F000000}">
      <formula1>INDIRECT($C$24)</formula1>
    </dataValidation>
    <dataValidation type="list" allowBlank="1" showInputMessage="1" showErrorMessage="1" sqref="B77:D80" xr:uid="{00000000-0002-0000-0000-000010000000}">
      <formula1>INDIRECT($A77)</formula1>
    </dataValidation>
  </dataValidations>
  <pageMargins left="0.23622047244094491" right="0.23622047244094491" top="0.74803149606299213" bottom="0.74803149606299213" header="0.31496062992125984" footer="0.31496062992125984"/>
  <pageSetup paperSize="9" scale="66" orientation="landscape" r:id="rId1"/>
  <headerFooter>
    <oddHeader>&amp;LGL&amp;D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5545" r:id="rId4" name="Button 9">
              <controlPr defaultSize="0" print="0" autoFill="0" autoPict="0" macro="[0]!MiseAZero">
                <anchor moveWithCells="1" sizeWithCells="1">
                  <from>
                    <xdr:col>14</xdr:col>
                    <xdr:colOff>104775</xdr:colOff>
                    <xdr:row>5</xdr:row>
                    <xdr:rowOff>0</xdr:rowOff>
                  </from>
                  <to>
                    <xdr:col>15</xdr:col>
                    <xdr:colOff>438150</xdr:colOff>
                    <xdr:row>11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 xr:uid="{00000000-0002-0000-0000-000011000000}">
          <x14:formula1>
            <xm:f>annotation!$B$2:$B$10</xm:f>
          </x14:formula1>
          <xm:sqref>C20:C21 C23:C24 C26:C27 C29:C30 C32:C33 C35:C36 C38:C39 C41:C42</xm:sqref>
        </x14:dataValidation>
        <x14:dataValidation type="list" allowBlank="1" showInputMessage="1" showErrorMessage="1" xr:uid="{00000000-0002-0000-0000-000012000000}">
          <x14:formula1>
            <xm:f>'Données calcul'!$B$4:$B$7</xm:f>
          </x14:formula1>
          <xm:sqref>E6</xm:sqref>
        </x14:dataValidation>
        <x14:dataValidation type="list" allowBlank="1" showInputMessage="1" showErrorMessage="1" xr:uid="{00000000-0002-0000-0000-000013000000}">
          <x14:formula1>
            <xm:f>annotation!$B$13:$B$16</xm:f>
          </x14:formula1>
          <xm:sqref>A77:A80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AE78"/>
  <sheetViews>
    <sheetView zoomScale="70" zoomScaleNormal="70" workbookViewId="0">
      <pane ySplit="10" topLeftCell="A11" activePane="bottomLeft" state="frozen"/>
      <selection pane="bottomLeft" activeCell="F40" sqref="F40:F42"/>
    </sheetView>
  </sheetViews>
  <sheetFormatPr baseColWidth="10" defaultRowHeight="12.75"/>
  <cols>
    <col min="1" max="1" width="4" customWidth="1"/>
    <col min="2" max="2" width="17.7109375" style="35" customWidth="1"/>
    <col min="3" max="3" width="43.140625" customWidth="1"/>
    <col min="4" max="4" width="18" style="35" customWidth="1"/>
    <col min="5" max="5" width="12.7109375" customWidth="1"/>
    <col min="10" max="10" width="22.7109375" style="35" customWidth="1"/>
    <col min="11" max="11" width="18.5703125" customWidth="1"/>
    <col min="12" max="12" width="38.140625" style="35" customWidth="1"/>
    <col min="22" max="22" width="13.140625" customWidth="1"/>
    <col min="23" max="23" width="12.5703125" customWidth="1"/>
    <col min="24" max="24" width="16.5703125" customWidth="1"/>
    <col min="25" max="25" width="14.140625" customWidth="1"/>
  </cols>
  <sheetData>
    <row r="1" spans="1:31" ht="24" customHeight="1" thickBot="1">
      <c r="B1" s="69" t="s">
        <v>67</v>
      </c>
    </row>
    <row r="2" spans="1:31" ht="13.5" thickBot="1">
      <c r="V2" s="1" t="s">
        <v>59</v>
      </c>
      <c r="W2" s="1" t="s">
        <v>66</v>
      </c>
      <c r="X2" s="1" t="s">
        <v>74</v>
      </c>
      <c r="Y2" s="1" t="s">
        <v>102</v>
      </c>
      <c r="Z2" s="1" t="s">
        <v>106</v>
      </c>
      <c r="AA2" s="1" t="s">
        <v>103</v>
      </c>
      <c r="AB2" s="1" t="s">
        <v>223</v>
      </c>
      <c r="AC2" s="1" t="s">
        <v>105</v>
      </c>
      <c r="AD2" s="86" t="s">
        <v>107</v>
      </c>
      <c r="AE2" s="87">
        <f>$B$6</f>
        <v>0</v>
      </c>
    </row>
    <row r="3" spans="1:31" ht="18.75" thickBot="1">
      <c r="A3" s="59" t="s">
        <v>156</v>
      </c>
      <c r="B3" s="70"/>
      <c r="C3" s="58"/>
      <c r="D3" s="51"/>
      <c r="E3" s="50"/>
      <c r="F3" s="50"/>
      <c r="G3" s="50"/>
      <c r="H3" s="50"/>
      <c r="I3" s="50"/>
      <c r="J3" s="51"/>
      <c r="K3" s="50"/>
      <c r="L3" s="51"/>
      <c r="M3" s="50"/>
      <c r="N3" s="50"/>
      <c r="O3" s="52"/>
      <c r="V3" s="72">
        <v>1</v>
      </c>
      <c r="W3" s="1">
        <v>2</v>
      </c>
      <c r="X3" s="1">
        <v>3</v>
      </c>
      <c r="Y3" s="1">
        <v>4</v>
      </c>
      <c r="Z3" s="1">
        <v>5</v>
      </c>
      <c r="AA3" s="1">
        <v>6</v>
      </c>
      <c r="AB3" s="1">
        <v>7</v>
      </c>
      <c r="AC3" s="1">
        <v>8</v>
      </c>
      <c r="AD3" s="86">
        <v>9</v>
      </c>
      <c r="AE3" s="88" t="e">
        <f>HLOOKUP($AE$2,V2:AD3,2,FALSE )</f>
        <v>#N/A</v>
      </c>
    </row>
    <row r="4" spans="1:31">
      <c r="A4" s="53"/>
      <c r="B4" s="39"/>
      <c r="C4" s="4"/>
      <c r="D4" s="39"/>
      <c r="E4" s="4"/>
      <c r="F4" s="4"/>
      <c r="G4" s="4"/>
      <c r="H4" s="4"/>
      <c r="I4" s="4"/>
      <c r="J4" s="39"/>
      <c r="K4" s="4"/>
      <c r="L4" s="39"/>
      <c r="M4" s="4"/>
      <c r="N4" s="4"/>
      <c r="O4" s="54"/>
    </row>
    <row r="5" spans="1:31" ht="77.25" thickBot="1">
      <c r="A5" s="53"/>
      <c r="B5" s="45" t="s">
        <v>68</v>
      </c>
      <c r="C5" s="44" t="s">
        <v>69</v>
      </c>
      <c r="D5" s="45" t="s">
        <v>70</v>
      </c>
      <c r="E5" s="45" t="s">
        <v>0</v>
      </c>
      <c r="F5" s="45" t="s">
        <v>1</v>
      </c>
      <c r="G5" s="45" t="s">
        <v>2</v>
      </c>
      <c r="H5" s="45" t="s">
        <v>3</v>
      </c>
      <c r="I5" s="45" t="s">
        <v>8</v>
      </c>
      <c r="J5" s="46" t="s">
        <v>60</v>
      </c>
      <c r="K5" s="47" t="s">
        <v>61</v>
      </c>
      <c r="L5" s="46" t="s">
        <v>71</v>
      </c>
      <c r="M5" s="4"/>
      <c r="N5" s="4"/>
      <c r="O5" s="54"/>
    </row>
    <row r="6" spans="1:31" ht="13.5" thickBot="1">
      <c r="A6" s="53" t="e">
        <f>$AE$3</f>
        <v>#N/A</v>
      </c>
      <c r="B6" s="142"/>
      <c r="C6" s="161"/>
      <c r="D6" s="144"/>
      <c r="E6" s="143"/>
      <c r="F6" s="143"/>
      <c r="G6" s="143"/>
      <c r="H6" s="143"/>
      <c r="I6" s="143"/>
      <c r="J6" s="147"/>
      <c r="K6" s="161"/>
      <c r="L6" s="145"/>
      <c r="M6" s="4"/>
      <c r="N6" s="4"/>
      <c r="O6" s="54"/>
    </row>
    <row r="7" spans="1:31" ht="13.5" thickBot="1">
      <c r="A7" s="55"/>
      <c r="B7" s="56"/>
      <c r="C7" s="48"/>
      <c r="D7" s="56"/>
      <c r="E7" s="48"/>
      <c r="F7" s="48"/>
      <c r="G7" s="48"/>
      <c r="H7" s="48"/>
      <c r="I7" s="48"/>
      <c r="J7" s="56"/>
      <c r="K7" s="48"/>
      <c r="L7" s="56"/>
      <c r="M7" s="48"/>
      <c r="N7" s="48"/>
      <c r="O7" s="57"/>
    </row>
    <row r="9" spans="1:31" ht="13.5" thickBot="1">
      <c r="A9" s="63"/>
      <c r="B9" s="64"/>
      <c r="C9" s="63"/>
      <c r="D9" s="64"/>
      <c r="E9" s="63"/>
      <c r="F9" s="63"/>
      <c r="G9" s="63"/>
      <c r="H9" s="63"/>
      <c r="I9" s="63"/>
      <c r="J9" s="64"/>
      <c r="K9" s="63"/>
      <c r="L9" s="64"/>
    </row>
    <row r="10" spans="1:31" ht="76.5">
      <c r="B10" s="45" t="s">
        <v>68</v>
      </c>
      <c r="C10" s="44" t="s">
        <v>69</v>
      </c>
      <c r="D10" s="45" t="s">
        <v>70</v>
      </c>
      <c r="E10" s="45" t="s">
        <v>0</v>
      </c>
      <c r="F10" s="45" t="s">
        <v>1</v>
      </c>
      <c r="G10" s="45" t="s">
        <v>2</v>
      </c>
      <c r="H10" s="45" t="s">
        <v>3</v>
      </c>
      <c r="I10" s="45" t="s">
        <v>8</v>
      </c>
      <c r="J10" s="46" t="s">
        <v>60</v>
      </c>
      <c r="K10" s="47" t="s">
        <v>61</v>
      </c>
      <c r="L10" s="46" t="s">
        <v>71</v>
      </c>
    </row>
    <row r="11" spans="1:31">
      <c r="A11">
        <v>6</v>
      </c>
      <c r="B11" s="41" t="s">
        <v>103</v>
      </c>
      <c r="C11" s="40" t="s">
        <v>225</v>
      </c>
      <c r="D11" s="41"/>
      <c r="E11" s="41">
        <v>0.12</v>
      </c>
      <c r="F11" s="41">
        <v>2000</v>
      </c>
      <c r="G11" s="41">
        <v>600</v>
      </c>
      <c r="H11" s="41">
        <v>50</v>
      </c>
      <c r="I11" s="41"/>
      <c r="J11" s="42"/>
      <c r="K11" s="43" t="s">
        <v>214</v>
      </c>
      <c r="L11" s="42"/>
    </row>
    <row r="12" spans="1:31">
      <c r="A12">
        <v>6</v>
      </c>
      <c r="B12" s="41" t="s">
        <v>103</v>
      </c>
      <c r="C12" s="40" t="s">
        <v>224</v>
      </c>
      <c r="D12" s="41"/>
      <c r="E12" s="41">
        <v>0.12</v>
      </c>
      <c r="F12" s="41">
        <v>2000</v>
      </c>
      <c r="G12" s="41">
        <v>600</v>
      </c>
      <c r="H12" s="41">
        <v>107</v>
      </c>
      <c r="I12" s="41"/>
      <c r="J12" s="42"/>
      <c r="K12" s="43" t="s">
        <v>214</v>
      </c>
      <c r="L12" s="42"/>
    </row>
    <row r="13" spans="1:31">
      <c r="A13">
        <v>6</v>
      </c>
      <c r="B13" s="41" t="s">
        <v>103</v>
      </c>
      <c r="C13" s="40" t="s">
        <v>226</v>
      </c>
      <c r="D13" s="41"/>
      <c r="E13" s="41">
        <v>0.12</v>
      </c>
      <c r="F13" s="41">
        <v>2000</v>
      </c>
      <c r="G13" s="41">
        <v>650</v>
      </c>
      <c r="H13" s="41">
        <v>300</v>
      </c>
      <c r="I13" s="41"/>
      <c r="J13" s="42"/>
      <c r="K13" s="43" t="s">
        <v>214</v>
      </c>
      <c r="L13" s="42"/>
    </row>
    <row r="14" spans="1:31">
      <c r="A14">
        <v>6</v>
      </c>
      <c r="B14" s="41" t="s">
        <v>103</v>
      </c>
      <c r="C14" s="40" t="s">
        <v>125</v>
      </c>
      <c r="D14" s="41"/>
      <c r="E14" s="41">
        <v>0.18</v>
      </c>
      <c r="F14" s="41">
        <v>2000</v>
      </c>
      <c r="G14" s="41">
        <v>700</v>
      </c>
      <c r="H14" s="41">
        <v>370</v>
      </c>
      <c r="I14" s="41"/>
      <c r="J14" s="42"/>
      <c r="K14" s="43"/>
      <c r="L14" s="42"/>
    </row>
    <row r="15" spans="1:31">
      <c r="A15">
        <v>6</v>
      </c>
      <c r="B15" s="41" t="s">
        <v>103</v>
      </c>
      <c r="C15" s="40" t="s">
        <v>22</v>
      </c>
      <c r="D15" s="41"/>
      <c r="E15" s="41">
        <v>0.13</v>
      </c>
      <c r="F15" s="41">
        <v>1600</v>
      </c>
      <c r="G15" s="41">
        <v>420</v>
      </c>
      <c r="H15" s="41">
        <v>190</v>
      </c>
      <c r="I15" s="41"/>
      <c r="J15" s="42"/>
      <c r="K15" s="43"/>
      <c r="L15" s="42"/>
    </row>
    <row r="16" spans="1:31">
      <c r="A16">
        <v>5</v>
      </c>
      <c r="B16" s="41" t="s">
        <v>106</v>
      </c>
      <c r="C16" s="40" t="s">
        <v>113</v>
      </c>
      <c r="D16" s="41"/>
      <c r="E16" s="41">
        <v>7.0000000000000007E-2</v>
      </c>
      <c r="F16" s="41">
        <v>1600</v>
      </c>
      <c r="G16" s="41">
        <v>300</v>
      </c>
      <c r="H16" s="41">
        <v>4.5</v>
      </c>
      <c r="I16" s="41"/>
      <c r="J16" s="42"/>
      <c r="K16" s="43"/>
      <c r="L16" s="42"/>
    </row>
    <row r="17" spans="1:12">
      <c r="A17">
        <v>9</v>
      </c>
      <c r="B17" s="41" t="s">
        <v>107</v>
      </c>
      <c r="C17" s="40" t="s">
        <v>222</v>
      </c>
      <c r="D17" s="41"/>
      <c r="E17" s="41">
        <v>2.1999999999999999E-2</v>
      </c>
      <c r="F17" s="41">
        <v>1400</v>
      </c>
      <c r="G17" s="41">
        <v>35</v>
      </c>
      <c r="H17" s="41">
        <v>100</v>
      </c>
      <c r="I17" s="41"/>
      <c r="J17" s="42"/>
      <c r="K17" s="43"/>
      <c r="L17" s="42"/>
    </row>
    <row r="18" spans="1:12">
      <c r="A18">
        <v>9</v>
      </c>
      <c r="B18" s="41" t="s">
        <v>107</v>
      </c>
      <c r="C18" s="40" t="s">
        <v>221</v>
      </c>
      <c r="D18" s="41">
        <v>0.2</v>
      </c>
      <c r="E18" s="41"/>
      <c r="F18" s="41"/>
      <c r="G18" s="41"/>
      <c r="H18" s="41">
        <v>100</v>
      </c>
      <c r="I18" s="41">
        <v>0.02</v>
      </c>
      <c r="J18" s="42"/>
      <c r="K18" s="43" t="s">
        <v>210</v>
      </c>
      <c r="L18" s="42"/>
    </row>
    <row r="19" spans="1:12">
      <c r="A19">
        <v>9</v>
      </c>
      <c r="B19" s="41" t="s">
        <v>107</v>
      </c>
      <c r="C19" s="40" t="s">
        <v>227</v>
      </c>
      <c r="D19" s="41">
        <v>0.2</v>
      </c>
      <c r="E19" s="41"/>
      <c r="F19" s="41">
        <v>1600</v>
      </c>
      <c r="G19" s="41">
        <v>960</v>
      </c>
      <c r="H19" s="41">
        <v>300000</v>
      </c>
      <c r="I19" s="41"/>
      <c r="J19" s="42"/>
      <c r="K19" s="43"/>
      <c r="L19" s="42"/>
    </row>
    <row r="20" spans="1:12">
      <c r="A20">
        <v>9</v>
      </c>
      <c r="B20" s="41" t="s">
        <v>107</v>
      </c>
      <c r="C20" s="40" t="s">
        <v>140</v>
      </c>
      <c r="D20" s="41">
        <v>50</v>
      </c>
      <c r="E20" s="41">
        <v>0.27778000000000003</v>
      </c>
      <c r="F20" s="41"/>
      <c r="G20" s="41"/>
      <c r="H20" s="41">
        <v>1</v>
      </c>
      <c r="I20" s="41"/>
      <c r="J20" s="42"/>
      <c r="K20" s="43"/>
      <c r="L20" s="42" t="s">
        <v>138</v>
      </c>
    </row>
    <row r="21" spans="1:12">
      <c r="A21">
        <v>9</v>
      </c>
      <c r="B21" s="41" t="s">
        <v>107</v>
      </c>
      <c r="C21" s="40" t="s">
        <v>139</v>
      </c>
      <c r="D21" s="41">
        <v>40</v>
      </c>
      <c r="E21" s="41">
        <v>0.22220000000000001</v>
      </c>
      <c r="F21" s="41"/>
      <c r="G21" s="41"/>
      <c r="H21" s="41">
        <v>1</v>
      </c>
      <c r="I21" s="41"/>
      <c r="J21" s="42"/>
      <c r="K21" s="43"/>
      <c r="L21" s="42" t="s">
        <v>138</v>
      </c>
    </row>
    <row r="22" spans="1:12">
      <c r="A22">
        <v>9</v>
      </c>
      <c r="B22" s="41" t="s">
        <v>107</v>
      </c>
      <c r="C22" s="40" t="s">
        <v>137</v>
      </c>
      <c r="D22" s="41">
        <v>25</v>
      </c>
      <c r="E22" s="41">
        <v>0.1389</v>
      </c>
      <c r="F22" s="41"/>
      <c r="G22" s="41"/>
      <c r="H22" s="41">
        <v>1</v>
      </c>
      <c r="I22" s="41"/>
      <c r="J22" s="42"/>
      <c r="K22" s="43"/>
      <c r="L22" s="42" t="s">
        <v>138</v>
      </c>
    </row>
    <row r="23" spans="1:12">
      <c r="A23">
        <v>9</v>
      </c>
      <c r="B23" s="41" t="s">
        <v>107</v>
      </c>
      <c r="C23" s="40" t="s">
        <v>136</v>
      </c>
      <c r="D23" s="41">
        <v>15</v>
      </c>
      <c r="E23" s="41">
        <v>8.8200000000000001E-2</v>
      </c>
      <c r="F23" s="41"/>
      <c r="G23" s="41"/>
      <c r="H23" s="41">
        <v>1</v>
      </c>
      <c r="I23" s="41"/>
      <c r="J23" s="42"/>
      <c r="K23" s="43"/>
      <c r="L23" s="42" t="s">
        <v>135</v>
      </c>
    </row>
    <row r="24" spans="1:12">
      <c r="A24">
        <v>9</v>
      </c>
      <c r="B24" s="41" t="s">
        <v>107</v>
      </c>
      <c r="C24" s="40" t="s">
        <v>134</v>
      </c>
      <c r="D24" s="41">
        <v>10</v>
      </c>
      <c r="E24" s="41">
        <v>6.6699999999999995E-2</v>
      </c>
      <c r="F24" s="41"/>
      <c r="G24" s="41"/>
      <c r="H24" s="41">
        <v>1</v>
      </c>
      <c r="I24" s="41"/>
      <c r="J24" s="42"/>
      <c r="K24" s="43"/>
      <c r="L24" s="42" t="s">
        <v>135</v>
      </c>
    </row>
    <row r="25" spans="1:12">
      <c r="A25">
        <v>9</v>
      </c>
      <c r="B25" s="41" t="s">
        <v>107</v>
      </c>
      <c r="C25" s="40" t="s">
        <v>129</v>
      </c>
      <c r="D25" s="41"/>
      <c r="E25" s="41">
        <v>0.06</v>
      </c>
      <c r="F25" s="41">
        <v>1670</v>
      </c>
      <c r="G25" s="41">
        <v>120</v>
      </c>
      <c r="H25" s="41">
        <v>2</v>
      </c>
      <c r="I25" s="41"/>
      <c r="J25" s="42"/>
      <c r="K25" s="43"/>
      <c r="L25" s="42"/>
    </row>
    <row r="26" spans="1:12">
      <c r="A26">
        <v>2</v>
      </c>
      <c r="B26" s="41" t="s">
        <v>66</v>
      </c>
      <c r="C26" s="40" t="s">
        <v>228</v>
      </c>
      <c r="D26" s="41"/>
      <c r="E26" s="41">
        <v>3.7999999999999999E-2</v>
      </c>
      <c r="F26" s="41">
        <v>2100</v>
      </c>
      <c r="G26" s="41">
        <v>40</v>
      </c>
      <c r="H26" s="41">
        <v>2</v>
      </c>
      <c r="I26" s="41"/>
      <c r="J26" s="42"/>
      <c r="K26" s="43" t="s">
        <v>211</v>
      </c>
      <c r="L26" s="42" t="s">
        <v>212</v>
      </c>
    </row>
    <row r="27" spans="1:12">
      <c r="A27">
        <v>2</v>
      </c>
      <c r="B27" s="41" t="s">
        <v>66</v>
      </c>
      <c r="C27" s="40" t="s">
        <v>229</v>
      </c>
      <c r="D27" s="41"/>
      <c r="E27" s="41">
        <v>3.9E-2</v>
      </c>
      <c r="F27" s="41">
        <v>2100</v>
      </c>
      <c r="G27" s="41">
        <v>185</v>
      </c>
      <c r="H27" s="41">
        <v>3</v>
      </c>
      <c r="I27" s="41"/>
      <c r="J27" s="62"/>
      <c r="K27" s="43" t="s">
        <v>65</v>
      </c>
      <c r="L27" s="42" t="s">
        <v>73</v>
      </c>
    </row>
    <row r="28" spans="1:12">
      <c r="A28">
        <v>2</v>
      </c>
      <c r="B28" s="41" t="s">
        <v>66</v>
      </c>
      <c r="C28" s="40" t="s">
        <v>230</v>
      </c>
      <c r="D28" s="41"/>
      <c r="E28" s="41">
        <v>4.2999999999999997E-2</v>
      </c>
      <c r="F28" s="41">
        <v>2100</v>
      </c>
      <c r="G28" s="41">
        <v>185</v>
      </c>
      <c r="H28" s="41">
        <v>3</v>
      </c>
      <c r="I28" s="41"/>
      <c r="J28" s="42"/>
      <c r="K28" s="43" t="s">
        <v>65</v>
      </c>
      <c r="L28" s="42" t="s">
        <v>73</v>
      </c>
    </row>
    <row r="29" spans="1:12" ht="25.5">
      <c r="A29">
        <v>2</v>
      </c>
      <c r="B29" s="41" t="s">
        <v>66</v>
      </c>
      <c r="C29" s="40" t="s">
        <v>231</v>
      </c>
      <c r="D29" s="41"/>
      <c r="E29" s="41">
        <v>4.2000000000000003E-2</v>
      </c>
      <c r="F29" s="41">
        <v>2100</v>
      </c>
      <c r="G29" s="41">
        <v>170</v>
      </c>
      <c r="H29" s="41">
        <v>3</v>
      </c>
      <c r="I29" s="41"/>
      <c r="J29" s="42"/>
      <c r="K29" s="43" t="s">
        <v>65</v>
      </c>
      <c r="L29" s="42" t="s">
        <v>72</v>
      </c>
    </row>
    <row r="30" spans="1:12">
      <c r="A30">
        <v>4</v>
      </c>
      <c r="B30" s="41" t="s">
        <v>102</v>
      </c>
      <c r="C30" s="40" t="s">
        <v>232</v>
      </c>
      <c r="D30" s="41"/>
      <c r="E30" s="41">
        <v>3.4000000000000002E-2</v>
      </c>
      <c r="F30" s="41">
        <v>900</v>
      </c>
      <c r="G30" s="41">
        <v>32</v>
      </c>
      <c r="H30" s="41">
        <v>1</v>
      </c>
      <c r="I30" s="41"/>
      <c r="J30" s="42"/>
      <c r="K30" s="43" t="s">
        <v>64</v>
      </c>
      <c r="L30" s="42"/>
    </row>
    <row r="31" spans="1:12">
      <c r="A31">
        <v>4</v>
      </c>
      <c r="B31" s="41" t="s">
        <v>102</v>
      </c>
      <c r="C31" s="40" t="s">
        <v>233</v>
      </c>
      <c r="D31" s="41"/>
      <c r="E31" s="41">
        <v>3.3000000000000002E-2</v>
      </c>
      <c r="F31" s="41">
        <v>900</v>
      </c>
      <c r="G31" s="41">
        <v>32</v>
      </c>
      <c r="H31" s="41">
        <v>1</v>
      </c>
      <c r="I31" s="41"/>
      <c r="J31" s="42"/>
      <c r="K31" s="43" t="s">
        <v>120</v>
      </c>
      <c r="L31" s="42"/>
    </row>
    <row r="32" spans="1:12">
      <c r="A32">
        <v>4</v>
      </c>
      <c r="B32" s="41" t="s">
        <v>102</v>
      </c>
      <c r="C32" s="40" t="s">
        <v>234</v>
      </c>
      <c r="D32" s="41"/>
      <c r="E32" s="41">
        <v>3.6999999999999998E-2</v>
      </c>
      <c r="F32" s="41">
        <v>900</v>
      </c>
      <c r="G32" s="41">
        <v>32</v>
      </c>
      <c r="H32" s="41">
        <v>1</v>
      </c>
      <c r="I32" s="41"/>
      <c r="J32" s="42"/>
      <c r="K32" s="43" t="s">
        <v>120</v>
      </c>
      <c r="L32" s="42" t="s">
        <v>121</v>
      </c>
    </row>
    <row r="33" spans="1:12">
      <c r="A33">
        <v>1</v>
      </c>
      <c r="B33" s="41" t="s">
        <v>59</v>
      </c>
      <c r="C33" s="40" t="s">
        <v>235</v>
      </c>
      <c r="D33" s="41"/>
      <c r="E33" s="41">
        <v>3.6999999999999998E-2</v>
      </c>
      <c r="F33" s="41">
        <v>900</v>
      </c>
      <c r="G33" s="41">
        <v>28</v>
      </c>
      <c r="H33" s="41">
        <v>1</v>
      </c>
      <c r="I33" s="41"/>
      <c r="J33" s="42"/>
      <c r="K33" s="43" t="s">
        <v>63</v>
      </c>
      <c r="L33" s="42"/>
    </row>
    <row r="34" spans="1:12">
      <c r="A34" s="4">
        <v>1</v>
      </c>
      <c r="B34" s="41" t="s">
        <v>59</v>
      </c>
      <c r="C34" s="40" t="s">
        <v>236</v>
      </c>
      <c r="D34" s="41"/>
      <c r="E34" s="41">
        <v>0.04</v>
      </c>
      <c r="F34" s="41">
        <v>900</v>
      </c>
      <c r="G34" s="41">
        <v>28</v>
      </c>
      <c r="H34" s="41">
        <v>1</v>
      </c>
      <c r="I34" s="41"/>
      <c r="J34" s="42"/>
      <c r="K34" s="43" t="s">
        <v>62</v>
      </c>
      <c r="L34" s="42" t="s">
        <v>80</v>
      </c>
    </row>
    <row r="35" spans="1:12">
      <c r="A35" s="4">
        <v>1</v>
      </c>
      <c r="B35" s="41" t="s">
        <v>59</v>
      </c>
      <c r="C35" s="40" t="s">
        <v>237</v>
      </c>
      <c r="D35" s="41"/>
      <c r="E35" s="41">
        <v>3.5000000000000003E-2</v>
      </c>
      <c r="F35" s="41">
        <v>900</v>
      </c>
      <c r="G35" s="41">
        <v>28</v>
      </c>
      <c r="H35" s="41">
        <v>1</v>
      </c>
      <c r="I35" s="41"/>
      <c r="J35" s="42"/>
      <c r="K35" s="43" t="s">
        <v>62</v>
      </c>
      <c r="L35" s="42" t="s">
        <v>79</v>
      </c>
    </row>
    <row r="36" spans="1:12" ht="25.5">
      <c r="A36">
        <v>1</v>
      </c>
      <c r="B36" s="41" t="s">
        <v>59</v>
      </c>
      <c r="C36" s="40" t="s">
        <v>238</v>
      </c>
      <c r="D36" s="41"/>
      <c r="E36" s="41">
        <v>3.5999999999999997E-2</v>
      </c>
      <c r="F36" s="41">
        <v>900</v>
      </c>
      <c r="G36" s="41">
        <v>28</v>
      </c>
      <c r="H36" s="41">
        <v>1</v>
      </c>
      <c r="I36" s="41"/>
      <c r="J36" s="42"/>
      <c r="K36" s="43" t="s">
        <v>62</v>
      </c>
      <c r="L36" s="42" t="s">
        <v>78</v>
      </c>
    </row>
    <row r="37" spans="1:12" ht="25.5">
      <c r="A37">
        <v>1</v>
      </c>
      <c r="B37" s="41" t="s">
        <v>59</v>
      </c>
      <c r="C37" s="40" t="s">
        <v>239</v>
      </c>
      <c r="D37" s="41"/>
      <c r="E37" s="41">
        <v>3.2000000000000001E-2</v>
      </c>
      <c r="F37" s="41">
        <v>1030</v>
      </c>
      <c r="G37" s="41">
        <v>28</v>
      </c>
      <c r="H37" s="41">
        <v>1</v>
      </c>
      <c r="I37" s="41"/>
      <c r="J37" s="42"/>
      <c r="K37" s="43" t="s">
        <v>62</v>
      </c>
      <c r="L37" s="42" t="s">
        <v>77</v>
      </c>
    </row>
    <row r="38" spans="1:12">
      <c r="A38">
        <v>7</v>
      </c>
      <c r="B38" s="41" t="s">
        <v>223</v>
      </c>
      <c r="C38" s="40" t="s">
        <v>213</v>
      </c>
      <c r="D38" s="41"/>
      <c r="E38" s="41">
        <v>1.1000000000000001</v>
      </c>
      <c r="F38" s="41">
        <v>840</v>
      </c>
      <c r="G38" s="41">
        <v>1900</v>
      </c>
      <c r="H38" s="41">
        <v>10</v>
      </c>
      <c r="I38" s="41"/>
      <c r="J38" s="42"/>
      <c r="K38" s="43"/>
      <c r="L38" s="42"/>
    </row>
    <row r="39" spans="1:12">
      <c r="A39">
        <v>7</v>
      </c>
      <c r="B39" s="41" t="s">
        <v>223</v>
      </c>
      <c r="C39" s="40" t="s">
        <v>128</v>
      </c>
      <c r="D39" s="41"/>
      <c r="E39" s="41">
        <v>1</v>
      </c>
      <c r="F39" s="41">
        <v>850</v>
      </c>
      <c r="G39" s="41">
        <v>1800</v>
      </c>
      <c r="H39" s="41">
        <v>20</v>
      </c>
      <c r="I39" s="41"/>
      <c r="J39" s="42"/>
      <c r="K39" s="43"/>
      <c r="L39" s="42"/>
    </row>
    <row r="40" spans="1:12">
      <c r="A40">
        <v>7</v>
      </c>
      <c r="B40" s="41" t="s">
        <v>223</v>
      </c>
      <c r="C40" s="40" t="s">
        <v>124</v>
      </c>
      <c r="D40" s="41"/>
      <c r="E40" s="41">
        <v>0.21</v>
      </c>
      <c r="F40" s="41">
        <v>1000</v>
      </c>
      <c r="G40" s="41">
        <v>700</v>
      </c>
      <c r="H40" s="41">
        <v>8</v>
      </c>
      <c r="I40" s="41"/>
      <c r="J40" s="42"/>
      <c r="K40" s="43"/>
      <c r="L40" s="42"/>
    </row>
    <row r="41" spans="1:12">
      <c r="A41">
        <v>7</v>
      </c>
      <c r="B41" s="41" t="s">
        <v>223</v>
      </c>
      <c r="C41" s="40" t="s">
        <v>123</v>
      </c>
      <c r="D41" s="41"/>
      <c r="E41" s="41">
        <v>0.18</v>
      </c>
      <c r="F41" s="41">
        <v>1000</v>
      </c>
      <c r="G41" s="41">
        <v>600</v>
      </c>
      <c r="H41" s="41">
        <v>8</v>
      </c>
      <c r="I41" s="41"/>
      <c r="J41" s="42"/>
      <c r="K41" s="43"/>
      <c r="L41" s="42"/>
    </row>
    <row r="42" spans="1:12" ht="30.75" customHeight="1">
      <c r="A42">
        <v>7</v>
      </c>
      <c r="B42" s="41" t="s">
        <v>223</v>
      </c>
      <c r="C42" s="40" t="s">
        <v>122</v>
      </c>
      <c r="D42" s="41"/>
      <c r="E42" s="41">
        <v>0.16</v>
      </c>
      <c r="F42" s="41">
        <v>1000</v>
      </c>
      <c r="G42" s="41">
        <v>500</v>
      </c>
      <c r="H42" s="41">
        <v>8</v>
      </c>
      <c r="I42" s="41"/>
      <c r="J42" s="42"/>
      <c r="K42" s="43"/>
      <c r="L42" s="42"/>
    </row>
    <row r="43" spans="1:12">
      <c r="A43">
        <v>7</v>
      </c>
      <c r="B43" s="41" t="s">
        <v>223</v>
      </c>
      <c r="C43" s="40" t="s">
        <v>24</v>
      </c>
      <c r="D43" s="41"/>
      <c r="E43" s="41">
        <v>1.8</v>
      </c>
      <c r="F43" s="41">
        <v>1000</v>
      </c>
      <c r="G43" s="41">
        <v>2400</v>
      </c>
      <c r="H43" s="41">
        <v>200</v>
      </c>
      <c r="I43" s="41"/>
      <c r="J43" s="42"/>
      <c r="K43" s="43"/>
      <c r="L43" s="42"/>
    </row>
    <row r="44" spans="1:12">
      <c r="A44">
        <v>7</v>
      </c>
      <c r="B44" s="41" t="s">
        <v>223</v>
      </c>
      <c r="C44" s="40" t="s">
        <v>23</v>
      </c>
      <c r="D44" s="41"/>
      <c r="E44" s="41">
        <v>2</v>
      </c>
      <c r="F44" s="41">
        <v>1000</v>
      </c>
      <c r="G44" s="41">
        <v>2500</v>
      </c>
      <c r="H44" s="41">
        <v>100</v>
      </c>
      <c r="I44" s="41"/>
      <c r="J44" s="42"/>
      <c r="K44" s="43"/>
      <c r="L44" s="42"/>
    </row>
    <row r="45" spans="1:12">
      <c r="A45">
        <v>7</v>
      </c>
      <c r="B45" s="41" t="s">
        <v>223</v>
      </c>
      <c r="C45" s="40" t="s">
        <v>126</v>
      </c>
      <c r="D45" s="41"/>
      <c r="E45" s="41">
        <v>0.7</v>
      </c>
      <c r="F45" s="41"/>
      <c r="G45" s="41">
        <v>1200</v>
      </c>
      <c r="H45" s="41">
        <v>8</v>
      </c>
      <c r="I45" s="41"/>
      <c r="J45" s="42"/>
      <c r="K45" s="43"/>
      <c r="L45" s="42"/>
    </row>
    <row r="46" spans="1:12" ht="25.5">
      <c r="A46">
        <v>3</v>
      </c>
      <c r="B46" s="41" t="s">
        <v>74</v>
      </c>
      <c r="C46" s="40" t="s">
        <v>240</v>
      </c>
      <c r="D46" s="41"/>
      <c r="E46" s="41">
        <v>5.8000000000000003E-2</v>
      </c>
      <c r="F46" s="41">
        <v>1800</v>
      </c>
      <c r="G46" s="41">
        <v>40</v>
      </c>
      <c r="H46" s="41">
        <v>1.5</v>
      </c>
      <c r="I46" s="41"/>
      <c r="J46" s="42"/>
      <c r="K46" s="43"/>
      <c r="L46" s="42"/>
    </row>
    <row r="47" spans="1:12" ht="25.5">
      <c r="A47">
        <v>3</v>
      </c>
      <c r="B47" s="41" t="s">
        <v>74</v>
      </c>
      <c r="C47" s="40" t="s">
        <v>241</v>
      </c>
      <c r="D47" s="41"/>
      <c r="E47" s="41">
        <v>4.2000000000000003E-2</v>
      </c>
      <c r="F47" s="41">
        <v>1800</v>
      </c>
      <c r="G47" s="41">
        <v>55</v>
      </c>
      <c r="H47" s="41">
        <v>1.5</v>
      </c>
      <c r="I47" s="41"/>
      <c r="J47" s="42"/>
      <c r="K47" s="43" t="s">
        <v>210</v>
      </c>
      <c r="L47" s="42"/>
    </row>
    <row r="48" spans="1:12" ht="25.5" customHeight="1">
      <c r="A48">
        <v>8</v>
      </c>
      <c r="B48" s="41" t="s">
        <v>105</v>
      </c>
      <c r="C48" s="40" t="s">
        <v>209</v>
      </c>
      <c r="D48" s="41">
        <v>12.5</v>
      </c>
      <c r="E48" s="41">
        <v>0.36</v>
      </c>
      <c r="F48" s="41">
        <v>1100</v>
      </c>
      <c r="G48" s="41">
        <v>1150</v>
      </c>
      <c r="H48" s="41">
        <v>8</v>
      </c>
      <c r="I48" s="41"/>
      <c r="J48" s="42"/>
      <c r="K48" s="43"/>
      <c r="L48" s="42"/>
    </row>
    <row r="49" spans="1:12" ht="30.75" customHeight="1">
      <c r="A49">
        <v>8</v>
      </c>
      <c r="B49" s="41" t="s">
        <v>105</v>
      </c>
      <c r="C49" s="40" t="s">
        <v>242</v>
      </c>
      <c r="D49" s="41"/>
      <c r="E49" s="41">
        <v>0.32</v>
      </c>
      <c r="F49" s="41">
        <v>1100</v>
      </c>
      <c r="G49" s="41">
        <v>1150</v>
      </c>
      <c r="H49" s="41">
        <v>13</v>
      </c>
      <c r="I49" s="41"/>
      <c r="J49" s="42"/>
      <c r="K49" s="43" t="s">
        <v>208</v>
      </c>
      <c r="L49" s="42"/>
    </row>
    <row r="50" spans="1:12">
      <c r="A50">
        <v>8</v>
      </c>
      <c r="B50" s="41" t="s">
        <v>105</v>
      </c>
      <c r="C50" s="40" t="s">
        <v>243</v>
      </c>
      <c r="D50" s="41">
        <v>13</v>
      </c>
      <c r="E50" s="41">
        <v>0.32500000000000001</v>
      </c>
      <c r="F50" s="41">
        <v>4.7699999999999996</v>
      </c>
      <c r="G50" s="41">
        <v>785</v>
      </c>
      <c r="H50" s="41">
        <v>1</v>
      </c>
      <c r="I50" s="41"/>
      <c r="J50" s="42"/>
      <c r="K50" s="43" t="s">
        <v>155</v>
      </c>
      <c r="L50" s="42"/>
    </row>
    <row r="51" spans="1:12">
      <c r="B51" s="41" t="s">
        <v>105</v>
      </c>
      <c r="C51" s="40" t="s">
        <v>244</v>
      </c>
      <c r="D51" s="41">
        <v>15</v>
      </c>
      <c r="E51" s="41">
        <v>0.375</v>
      </c>
      <c r="F51" s="41">
        <v>4.7699999999999996</v>
      </c>
      <c r="G51" s="41">
        <v>800</v>
      </c>
      <c r="H51" s="41">
        <v>1</v>
      </c>
      <c r="I51" s="41"/>
      <c r="J51" s="42"/>
      <c r="K51" s="43"/>
      <c r="L51" s="42"/>
    </row>
    <row r="52" spans="1:12">
      <c r="A52">
        <v>8</v>
      </c>
      <c r="B52" s="41" t="s">
        <v>105</v>
      </c>
      <c r="C52" s="40" t="s">
        <v>127</v>
      </c>
      <c r="D52" s="41"/>
      <c r="E52" s="41">
        <v>0.7</v>
      </c>
      <c r="F52" s="41">
        <v>4.7699999999999996</v>
      </c>
      <c r="G52" s="41">
        <v>1400</v>
      </c>
      <c r="H52" s="41">
        <v>8</v>
      </c>
      <c r="I52" s="41"/>
      <c r="J52" s="42"/>
      <c r="K52" s="43"/>
      <c r="L52" s="42"/>
    </row>
    <row r="53" spans="1:12">
      <c r="B53" s="41"/>
      <c r="C53" s="40"/>
      <c r="D53" s="41"/>
      <c r="E53" s="41"/>
      <c r="F53" s="41"/>
      <c r="G53" s="41"/>
      <c r="H53" s="41"/>
      <c r="I53" s="41"/>
      <c r="J53" s="42"/>
      <c r="K53" s="43"/>
      <c r="L53" s="42"/>
    </row>
    <row r="54" spans="1:12">
      <c r="B54" s="41"/>
      <c r="C54" s="40"/>
      <c r="D54" s="41"/>
      <c r="E54" s="41"/>
      <c r="F54" s="41"/>
      <c r="G54" s="41"/>
      <c r="H54" s="41"/>
      <c r="I54" s="41"/>
      <c r="J54" s="42"/>
      <c r="K54" s="43"/>
      <c r="L54" s="42"/>
    </row>
    <row r="55" spans="1:12">
      <c r="B55" s="41"/>
      <c r="C55" s="40"/>
      <c r="D55" s="41"/>
      <c r="E55" s="41"/>
      <c r="F55" s="41"/>
      <c r="G55" s="41"/>
      <c r="H55" s="41"/>
      <c r="I55" s="41"/>
      <c r="J55" s="42"/>
      <c r="K55" s="43"/>
      <c r="L55" s="42"/>
    </row>
    <row r="56" spans="1:12">
      <c r="B56" s="41"/>
      <c r="C56" s="40"/>
      <c r="D56" s="41"/>
      <c r="E56" s="41"/>
      <c r="F56" s="41"/>
      <c r="G56" s="41"/>
      <c r="H56" s="41"/>
      <c r="I56" s="41"/>
      <c r="J56" s="42"/>
      <c r="K56" s="43"/>
      <c r="L56" s="42"/>
    </row>
    <row r="57" spans="1:12">
      <c r="B57" s="41"/>
      <c r="C57" s="40"/>
      <c r="D57" s="41"/>
      <c r="E57" s="41"/>
      <c r="F57" s="41"/>
      <c r="G57" s="41"/>
      <c r="H57" s="41"/>
      <c r="I57" s="41"/>
      <c r="J57" s="42"/>
      <c r="K57" s="43"/>
      <c r="L57" s="42"/>
    </row>
    <row r="58" spans="1:12">
      <c r="B58" s="41"/>
      <c r="C58" s="40"/>
      <c r="D58" s="41"/>
      <c r="E58" s="41"/>
      <c r="F58" s="41"/>
      <c r="G58" s="41"/>
      <c r="H58" s="41"/>
      <c r="I58" s="41"/>
      <c r="J58" s="42"/>
      <c r="K58" s="43"/>
      <c r="L58" s="42"/>
    </row>
    <row r="59" spans="1:12">
      <c r="B59" s="41"/>
      <c r="C59" s="40"/>
      <c r="D59" s="41"/>
      <c r="E59" s="41"/>
      <c r="F59" s="41"/>
      <c r="G59" s="41"/>
      <c r="H59" s="41"/>
      <c r="I59" s="41"/>
      <c r="J59" s="42"/>
      <c r="K59" s="43"/>
      <c r="L59" s="42"/>
    </row>
    <row r="60" spans="1:12">
      <c r="B60" s="41"/>
      <c r="C60" s="40"/>
      <c r="D60" s="41"/>
      <c r="E60" s="41"/>
      <c r="F60" s="41"/>
      <c r="G60" s="41"/>
      <c r="H60" s="41"/>
      <c r="I60" s="41"/>
      <c r="J60" s="42"/>
      <c r="K60" s="43"/>
      <c r="L60" s="42"/>
    </row>
    <row r="61" spans="1:12">
      <c r="B61" s="41"/>
      <c r="C61" s="40"/>
      <c r="D61" s="41"/>
      <c r="E61" s="41"/>
      <c r="F61" s="41"/>
      <c r="G61" s="41"/>
      <c r="H61" s="41"/>
      <c r="I61" s="41"/>
      <c r="J61" s="42"/>
      <c r="K61" s="43"/>
      <c r="L61" s="42"/>
    </row>
    <row r="62" spans="1:12">
      <c r="B62" s="41"/>
      <c r="C62" s="40"/>
      <c r="D62" s="41"/>
      <c r="E62" s="41"/>
      <c r="F62" s="41"/>
      <c r="G62" s="41"/>
      <c r="H62" s="41"/>
      <c r="I62" s="41"/>
      <c r="J62" s="42"/>
      <c r="K62" s="43"/>
      <c r="L62" s="42"/>
    </row>
    <row r="63" spans="1:12">
      <c r="B63" s="41"/>
      <c r="C63" s="40"/>
      <c r="D63" s="41"/>
      <c r="E63" s="41"/>
      <c r="F63" s="41"/>
      <c r="G63" s="41"/>
      <c r="H63" s="41"/>
      <c r="I63" s="41"/>
      <c r="J63" s="42"/>
      <c r="K63" s="43"/>
      <c r="L63" s="42"/>
    </row>
    <row r="64" spans="1:12">
      <c r="B64" s="41"/>
      <c r="C64" s="40"/>
      <c r="D64" s="41"/>
      <c r="E64" s="41"/>
      <c r="F64" s="41"/>
      <c r="G64" s="41"/>
      <c r="H64" s="41"/>
      <c r="I64" s="41"/>
      <c r="J64" s="42"/>
      <c r="K64" s="43"/>
      <c r="L64" s="42"/>
    </row>
    <row r="65" spans="1:13">
      <c r="B65" s="41"/>
      <c r="C65" s="40"/>
      <c r="D65" s="41"/>
      <c r="E65" s="41"/>
      <c r="F65" s="41"/>
      <c r="G65" s="41"/>
      <c r="H65" s="41"/>
      <c r="I65" s="41"/>
      <c r="J65" s="42"/>
      <c r="K65" s="43"/>
      <c r="L65" s="42"/>
    </row>
    <row r="66" spans="1:13">
      <c r="B66" s="41"/>
      <c r="C66" s="40"/>
      <c r="D66" s="41"/>
      <c r="E66" s="41"/>
      <c r="F66" s="41"/>
      <c r="G66" s="41"/>
      <c r="H66" s="41"/>
      <c r="I66" s="41"/>
      <c r="J66" s="42"/>
      <c r="K66" s="43"/>
      <c r="L66" s="42"/>
    </row>
    <row r="67" spans="1:13">
      <c r="B67" s="41"/>
      <c r="C67" s="40"/>
      <c r="D67" s="41"/>
      <c r="E67" s="41"/>
      <c r="F67" s="41"/>
      <c r="G67" s="41"/>
      <c r="H67" s="41"/>
      <c r="I67" s="41"/>
      <c r="J67" s="42"/>
      <c r="K67" s="43"/>
      <c r="L67" s="42"/>
    </row>
    <row r="68" spans="1:13">
      <c r="B68" s="41"/>
      <c r="C68" s="40"/>
      <c r="D68" s="41"/>
      <c r="E68" s="41"/>
      <c r="F68" s="41"/>
      <c r="G68" s="41"/>
      <c r="H68" s="41"/>
      <c r="I68" s="41"/>
      <c r="J68" s="42"/>
      <c r="K68" s="43"/>
      <c r="L68" s="42"/>
    </row>
    <row r="69" spans="1:13">
      <c r="B69" s="41"/>
      <c r="C69" s="40"/>
      <c r="D69" s="41"/>
      <c r="E69" s="41"/>
      <c r="F69" s="41"/>
      <c r="G69" s="41"/>
      <c r="H69" s="41"/>
      <c r="I69" s="41"/>
      <c r="J69" s="42"/>
      <c r="K69" s="43"/>
      <c r="L69" s="42"/>
    </row>
    <row r="70" spans="1:13">
      <c r="B70" s="41"/>
      <c r="C70" s="40"/>
      <c r="D70" s="41"/>
      <c r="E70" s="41"/>
      <c r="F70" s="41"/>
      <c r="G70" s="41"/>
      <c r="H70" s="41"/>
      <c r="I70" s="41"/>
      <c r="J70" s="42"/>
      <c r="K70" s="43"/>
      <c r="L70" s="42"/>
    </row>
    <row r="71" spans="1:13">
      <c r="A71" s="4"/>
      <c r="B71" s="71"/>
      <c r="C71" s="4"/>
      <c r="D71" s="39"/>
      <c r="E71" s="4"/>
      <c r="F71" s="4"/>
      <c r="G71" s="4"/>
      <c r="H71" s="4"/>
      <c r="I71" s="4"/>
      <c r="J71" s="39"/>
      <c r="K71" s="4"/>
      <c r="L71" s="39"/>
      <c r="M71" s="4"/>
    </row>
    <row r="72" spans="1:13">
      <c r="A72" s="5"/>
      <c r="B72" s="71"/>
      <c r="C72" s="5"/>
      <c r="D72" s="37"/>
      <c r="E72" s="5"/>
      <c r="F72" s="5"/>
      <c r="G72" s="5"/>
      <c r="H72" s="5"/>
      <c r="I72" s="5"/>
      <c r="J72" s="37"/>
      <c r="K72" s="5"/>
      <c r="L72" s="37"/>
      <c r="M72" s="4"/>
    </row>
    <row r="73" spans="1:13">
      <c r="A73" s="5"/>
      <c r="B73" s="71"/>
      <c r="C73" s="5"/>
      <c r="D73" s="37"/>
      <c r="E73" s="5"/>
      <c r="F73" s="5"/>
      <c r="G73" s="5"/>
      <c r="H73" s="5"/>
      <c r="I73" s="5"/>
      <c r="J73" s="37"/>
      <c r="K73" s="5"/>
      <c r="L73" s="37"/>
      <c r="M73" s="4"/>
    </row>
    <row r="74" spans="1:13">
      <c r="A74" s="5"/>
      <c r="B74" s="71"/>
      <c r="C74" s="5"/>
      <c r="D74" s="37"/>
      <c r="E74" s="5"/>
      <c r="F74" s="5"/>
      <c r="G74" s="5"/>
      <c r="H74" s="5"/>
      <c r="I74" s="5"/>
      <c r="J74" s="37"/>
      <c r="K74" s="5"/>
      <c r="L74" s="37"/>
      <c r="M74" s="4"/>
    </row>
    <row r="75" spans="1:13">
      <c r="A75" s="5"/>
      <c r="B75" s="71"/>
      <c r="C75" s="5"/>
      <c r="D75" s="37"/>
      <c r="E75" s="5"/>
      <c r="F75" s="5"/>
      <c r="G75" s="5"/>
      <c r="H75" s="5"/>
      <c r="I75" s="5"/>
      <c r="J75" s="37"/>
      <c r="K75" s="5"/>
      <c r="L75" s="37"/>
      <c r="M75" s="4"/>
    </row>
    <row r="76" spans="1:13">
      <c r="A76" s="5"/>
      <c r="B76" s="71"/>
      <c r="C76" s="5"/>
      <c r="D76" s="37"/>
      <c r="E76" s="5"/>
      <c r="F76" s="5"/>
      <c r="G76" s="5"/>
      <c r="H76" s="5"/>
      <c r="I76" s="5"/>
      <c r="J76" s="37"/>
      <c r="K76" s="5"/>
      <c r="L76" s="37"/>
      <c r="M76" s="4"/>
    </row>
    <row r="77" spans="1:13">
      <c r="B77" s="71"/>
    </row>
    <row r="78" spans="1:13">
      <c r="B78" s="71"/>
    </row>
  </sheetData>
  <sortState xmlns:xlrd2="http://schemas.microsoft.com/office/spreadsheetml/2017/richdata2" ref="A11:L52">
    <sortCondition ref="B11"/>
  </sortState>
  <dataConsolidate/>
  <dataValidations count="1">
    <dataValidation type="list" allowBlank="1" showInputMessage="1" showErrorMessage="1" sqref="B6" xr:uid="{00000000-0002-0000-0100-000000000000}">
      <formula1>$V$2:$AD$2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41" r:id="rId3" name="Button 1">
              <controlPr defaultSize="0" print="0" autoFill="0" autoPict="0" macro="[0]!Ajouter">
                <anchor moveWithCells="1" sizeWithCells="1">
                  <from>
                    <xdr:col>13</xdr:col>
                    <xdr:colOff>9525</xdr:colOff>
                    <xdr:row>4</xdr:row>
                    <xdr:rowOff>0</xdr:rowOff>
                  </from>
                  <to>
                    <xdr:col>14</xdr:col>
                    <xdr:colOff>9525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43" r:id="rId4" name="Button 3">
              <controlPr defaultSize="0" print="0" autoFill="0" autoPict="0" macro="[0]!Actualiser_liste">
                <anchor moveWithCells="1" sizeWithCells="1">
                  <from>
                    <xdr:col>14</xdr:col>
                    <xdr:colOff>19050</xdr:colOff>
                    <xdr:row>4</xdr:row>
                    <xdr:rowOff>19050</xdr:rowOff>
                  </from>
                  <to>
                    <xdr:col>14</xdr:col>
                    <xdr:colOff>742950</xdr:colOff>
                    <xdr:row>4</xdr:row>
                    <xdr:rowOff>971550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1BEEC2-ADC3-4670-9939-C71467AE1DE6}">
  <sheetPr codeName="Feuil1"/>
  <dimension ref="A1"/>
  <sheetViews>
    <sheetView workbookViewId="0">
      <selection activeCell="A5" sqref="A5"/>
    </sheetView>
  </sheetViews>
  <sheetFormatPr baseColWidth="10" defaultRowHeight="12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M39"/>
  <sheetViews>
    <sheetView topLeftCell="B1" zoomScaleNormal="100" workbookViewId="0">
      <pane ySplit="9" topLeftCell="A10" activePane="bottomLeft" state="frozen"/>
      <selection pane="bottomLeft" activeCell="I17" sqref="I17"/>
    </sheetView>
  </sheetViews>
  <sheetFormatPr baseColWidth="10" defaultRowHeight="12.75"/>
  <cols>
    <col min="1" max="1" width="22.7109375" customWidth="1"/>
    <col min="2" max="2" width="44.5703125" customWidth="1"/>
  </cols>
  <sheetData>
    <row r="1" spans="1:13" ht="18.75" customHeight="1">
      <c r="A1" s="112" t="s">
        <v>157</v>
      </c>
    </row>
    <row r="2" spans="1:13" ht="12" customHeight="1">
      <c r="A2" s="112"/>
      <c r="J2" s="49" t="s">
        <v>170</v>
      </c>
    </row>
    <row r="3" spans="1:13" ht="12.75" customHeight="1">
      <c r="A3" s="49"/>
      <c r="B3" s="140" t="s">
        <v>206</v>
      </c>
      <c r="J3" s="72" t="s">
        <v>165</v>
      </c>
      <c r="K3" s="76">
        <v>100</v>
      </c>
    </row>
    <row r="4" spans="1:13" ht="12" customHeight="1">
      <c r="A4" s="49"/>
      <c r="J4" s="72" t="s">
        <v>167</v>
      </c>
      <c r="K4" s="76">
        <v>2E-3</v>
      </c>
    </row>
    <row r="5" spans="1:13" ht="13.5" customHeight="1">
      <c r="A5" s="49"/>
      <c r="B5" s="140" t="s">
        <v>205</v>
      </c>
      <c r="J5" s="72" t="s">
        <v>166</v>
      </c>
      <c r="K5" s="76">
        <v>200</v>
      </c>
      <c r="L5" s="81" t="s">
        <v>169</v>
      </c>
      <c r="M5" s="94">
        <f>(((K5-K7)/(K5-K3))*K4)+(((K7-K3)/(K5-K3))*K6)</f>
        <v>1.4E-3</v>
      </c>
    </row>
    <row r="6" spans="1:13">
      <c r="J6" s="72" t="s">
        <v>168</v>
      </c>
      <c r="K6" s="76">
        <v>1E-3</v>
      </c>
    </row>
    <row r="7" spans="1:13">
      <c r="A7" s="72" t="s">
        <v>158</v>
      </c>
      <c r="B7" s="72" t="s">
        <v>159</v>
      </c>
      <c r="C7" s="113" t="s">
        <v>160</v>
      </c>
      <c r="D7" s="113" t="s">
        <v>161</v>
      </c>
      <c r="E7" s="72" t="s">
        <v>162</v>
      </c>
      <c r="J7" s="72" t="s">
        <v>50</v>
      </c>
      <c r="K7" s="76">
        <v>160</v>
      </c>
    </row>
    <row r="8" spans="1:13" ht="22.5" customHeight="1">
      <c r="A8" s="108"/>
      <c r="B8" s="141"/>
      <c r="C8" s="108"/>
      <c r="D8" s="108"/>
      <c r="E8" s="108"/>
      <c r="J8" s="36"/>
      <c r="K8" s="5"/>
    </row>
    <row r="9" spans="1:13">
      <c r="A9" s="36" t="s">
        <v>158</v>
      </c>
      <c r="B9" s="121" t="s">
        <v>159</v>
      </c>
      <c r="C9" s="4"/>
      <c r="D9" s="4"/>
      <c r="E9" s="4"/>
    </row>
    <row r="10" spans="1:13">
      <c r="A10" s="36" t="s">
        <v>91</v>
      </c>
      <c r="B10" s="121" t="s">
        <v>219</v>
      </c>
      <c r="C10" s="4"/>
      <c r="D10" s="4">
        <v>1E-3</v>
      </c>
      <c r="E10" s="4"/>
    </row>
    <row r="11" spans="1:13">
      <c r="A11" s="36" t="s">
        <v>91</v>
      </c>
      <c r="B11" s="121" t="s">
        <v>218</v>
      </c>
      <c r="C11" s="4"/>
      <c r="D11" s="4">
        <v>2E-3</v>
      </c>
      <c r="E11" s="4"/>
    </row>
    <row r="12" spans="1:13">
      <c r="A12" s="36" t="s">
        <v>91</v>
      </c>
      <c r="B12" s="121" t="s">
        <v>217</v>
      </c>
      <c r="C12" s="4"/>
      <c r="D12" s="4">
        <v>3.0000000000000001E-3</v>
      </c>
      <c r="E12" s="4"/>
    </row>
    <row r="13" spans="1:13">
      <c r="A13" s="36" t="s">
        <v>91</v>
      </c>
      <c r="B13" s="121" t="s">
        <v>216</v>
      </c>
      <c r="C13" s="4"/>
      <c r="D13" s="4">
        <v>4.0000000000000001E-3</v>
      </c>
      <c r="E13" s="4"/>
    </row>
    <row r="14" spans="1:13">
      <c r="A14" s="36" t="s">
        <v>91</v>
      </c>
      <c r="B14" s="121" t="s">
        <v>215</v>
      </c>
      <c r="C14" s="4"/>
      <c r="D14" s="4">
        <v>4.0000000000000001E-3</v>
      </c>
      <c r="E14" s="4"/>
    </row>
    <row r="15" spans="1:13">
      <c r="A15" s="36" t="s">
        <v>163</v>
      </c>
      <c r="B15" s="121" t="s">
        <v>199</v>
      </c>
      <c r="C15" s="4">
        <v>5.0000000000000001E-3</v>
      </c>
      <c r="D15" s="4"/>
      <c r="E15" s="4"/>
    </row>
    <row r="16" spans="1:13" ht="38.25">
      <c r="A16" s="36" t="s">
        <v>163</v>
      </c>
      <c r="B16" s="121" t="s">
        <v>198</v>
      </c>
      <c r="C16" s="4">
        <v>5.7000000000000002E-2</v>
      </c>
      <c r="D16" s="4"/>
      <c r="E16" s="4">
        <v>0.03</v>
      </c>
    </row>
    <row r="17" spans="1:5" ht="25.5">
      <c r="A17" s="36" t="s">
        <v>163</v>
      </c>
      <c r="B17" s="121" t="s">
        <v>179</v>
      </c>
      <c r="C17" s="4">
        <v>7.2999999999999995E-2</v>
      </c>
      <c r="D17" s="4"/>
      <c r="E17" s="4">
        <v>9.2999999999999999E-2</v>
      </c>
    </row>
    <row r="18" spans="1:5">
      <c r="A18" s="36" t="s">
        <v>164</v>
      </c>
      <c r="B18" s="121" t="s">
        <v>173</v>
      </c>
      <c r="C18" s="4"/>
      <c r="D18" s="4">
        <v>2E-3</v>
      </c>
      <c r="E18" s="4"/>
    </row>
    <row r="19" spans="1:5">
      <c r="A19" s="36" t="s">
        <v>91</v>
      </c>
      <c r="B19" s="121" t="s">
        <v>172</v>
      </c>
      <c r="C19" s="4"/>
      <c r="D19" s="4">
        <v>9.2999999999999999E-2</v>
      </c>
      <c r="E19" s="4"/>
    </row>
    <row r="20" spans="1:5">
      <c r="A20" s="36" t="s">
        <v>163</v>
      </c>
      <c r="B20" s="121" t="s">
        <v>171</v>
      </c>
      <c r="C20" s="4"/>
      <c r="D20" s="4">
        <v>2E-3</v>
      </c>
      <c r="E20" s="4"/>
    </row>
    <row r="21" spans="1:5" ht="25.5">
      <c r="A21" s="4" t="s">
        <v>163</v>
      </c>
      <c r="B21" s="39" t="s">
        <v>180</v>
      </c>
      <c r="C21" s="4">
        <v>0.14899999999999999</v>
      </c>
      <c r="D21" s="4"/>
      <c r="E21" s="4">
        <v>8.4000000000000005E-2</v>
      </c>
    </row>
    <row r="22" spans="1:5" ht="25.5">
      <c r="A22" s="4" t="s">
        <v>163</v>
      </c>
      <c r="B22" s="39" t="s">
        <v>181</v>
      </c>
      <c r="C22" s="4">
        <v>0.106</v>
      </c>
      <c r="D22" s="4"/>
      <c r="E22" s="4">
        <v>6.3E-2</v>
      </c>
    </row>
    <row r="23" spans="1:5" ht="28.5" customHeight="1">
      <c r="A23" s="4" t="s">
        <v>163</v>
      </c>
      <c r="B23" s="39" t="s">
        <v>182</v>
      </c>
      <c r="C23" s="4">
        <v>0.02</v>
      </c>
      <c r="D23" s="4"/>
      <c r="E23" s="4"/>
    </row>
    <row r="24" spans="1:5" ht="28.5" customHeight="1">
      <c r="A24" s="4" t="s">
        <v>163</v>
      </c>
      <c r="B24" s="39" t="s">
        <v>183</v>
      </c>
      <c r="C24" s="4">
        <v>0.02</v>
      </c>
      <c r="D24" s="4"/>
      <c r="E24" s="4"/>
    </row>
    <row r="25" spans="1:5" ht="28.5" customHeight="1">
      <c r="A25" s="4" t="s">
        <v>163</v>
      </c>
      <c r="B25" s="39" t="s">
        <v>184</v>
      </c>
      <c r="C25" s="4">
        <v>0.02</v>
      </c>
      <c r="D25" s="4"/>
      <c r="E25" s="4"/>
    </row>
    <row r="26" spans="1:5" ht="28.5" customHeight="1">
      <c r="A26" s="4" t="s">
        <v>163</v>
      </c>
      <c r="B26" s="39" t="s">
        <v>185</v>
      </c>
      <c r="C26" s="4">
        <v>0.02</v>
      </c>
      <c r="D26" s="4"/>
      <c r="E26" s="4"/>
    </row>
    <row r="27" spans="1:5" ht="25.5" customHeight="1">
      <c r="A27" s="4" t="s">
        <v>163</v>
      </c>
      <c r="B27" s="39" t="s">
        <v>186</v>
      </c>
      <c r="C27" s="4">
        <v>0.02</v>
      </c>
      <c r="D27" s="4"/>
      <c r="E27" s="4"/>
    </row>
    <row r="28" spans="1:5" ht="25.5" customHeight="1">
      <c r="A28" s="4" t="s">
        <v>163</v>
      </c>
      <c r="B28" s="39" t="s">
        <v>187</v>
      </c>
      <c r="C28" s="4">
        <v>0.02</v>
      </c>
      <c r="D28" s="4"/>
      <c r="E28" s="4"/>
    </row>
    <row r="29" spans="1:5" ht="25.5" customHeight="1">
      <c r="A29" s="4" t="s">
        <v>163</v>
      </c>
      <c r="B29" s="39" t="s">
        <v>188</v>
      </c>
      <c r="C29" s="4">
        <v>0.02</v>
      </c>
      <c r="D29" s="4"/>
      <c r="E29" s="4"/>
    </row>
    <row r="30" spans="1:5" ht="25.5" customHeight="1">
      <c r="A30" s="4" t="s">
        <v>163</v>
      </c>
      <c r="B30" s="39" t="s">
        <v>189</v>
      </c>
      <c r="C30" s="4">
        <v>0.02</v>
      </c>
      <c r="D30" s="4"/>
      <c r="E30" s="4"/>
    </row>
    <row r="31" spans="1:5" ht="13.5" customHeight="1">
      <c r="A31" s="4" t="s">
        <v>163</v>
      </c>
      <c r="B31" s="39" t="s">
        <v>190</v>
      </c>
      <c r="C31" s="4">
        <v>4.7E-2</v>
      </c>
      <c r="D31" s="4"/>
      <c r="E31" s="4"/>
    </row>
    <row r="32" spans="1:5" ht="13.5" customHeight="1">
      <c r="A32" s="4" t="s">
        <v>163</v>
      </c>
      <c r="B32" s="39" t="s">
        <v>191</v>
      </c>
      <c r="C32" s="4">
        <v>3.5999999999999997E-2</v>
      </c>
      <c r="D32" s="4"/>
      <c r="E32" s="4"/>
    </row>
    <row r="33" spans="1:5" ht="13.5" customHeight="1">
      <c r="A33" s="4" t="s">
        <v>163</v>
      </c>
      <c r="B33" s="39" t="s">
        <v>192</v>
      </c>
      <c r="C33" s="4">
        <v>0.04</v>
      </c>
      <c r="D33" s="4"/>
      <c r="E33" s="4"/>
    </row>
    <row r="34" spans="1:5" ht="13.5" customHeight="1">
      <c r="A34" s="4" t="s">
        <v>163</v>
      </c>
      <c r="B34" s="121" t="s">
        <v>193</v>
      </c>
      <c r="C34" s="4">
        <v>0.03</v>
      </c>
      <c r="D34" s="4"/>
      <c r="E34" s="4"/>
    </row>
    <row r="35" spans="1:5" ht="13.5" customHeight="1">
      <c r="A35" s="4" t="s">
        <v>163</v>
      </c>
      <c r="B35" s="39" t="s">
        <v>194</v>
      </c>
      <c r="C35" s="4">
        <v>4.7E-2</v>
      </c>
      <c r="D35" s="4"/>
      <c r="E35" s="4"/>
    </row>
    <row r="36" spans="1:5" ht="13.5" customHeight="1">
      <c r="A36" s="49" t="s">
        <v>163</v>
      </c>
      <c r="B36" s="38" t="s">
        <v>195</v>
      </c>
      <c r="C36">
        <v>3.5999999999999997E-2</v>
      </c>
    </row>
    <row r="37" spans="1:5" ht="12.75" customHeight="1">
      <c r="A37" s="4" t="s">
        <v>163</v>
      </c>
      <c r="B37" s="39" t="s">
        <v>196</v>
      </c>
      <c r="C37" s="4">
        <v>0.04</v>
      </c>
      <c r="D37" s="4"/>
      <c r="E37" s="4"/>
    </row>
    <row r="38" spans="1:5" ht="13.5" customHeight="1">
      <c r="A38" s="4" t="s">
        <v>163</v>
      </c>
      <c r="B38" s="39" t="s">
        <v>178</v>
      </c>
      <c r="C38" s="4">
        <v>0.03</v>
      </c>
      <c r="D38" s="4"/>
      <c r="E38" s="4"/>
    </row>
    <row r="39" spans="1:5">
      <c r="A39" s="4"/>
      <c r="B39" s="39"/>
      <c r="C39" s="4"/>
      <c r="D39" s="4"/>
      <c r="E39" s="4"/>
    </row>
  </sheetData>
  <hyperlinks>
    <hyperlink ref="B5" r:id="rId1" xr:uid="{00000000-0004-0000-0200-000000000000}"/>
    <hyperlink ref="B3" r:id="rId2" xr:uid="{00000000-0004-0000-0200-000001000000}"/>
  </hyperlink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81" r:id="rId5" name="Button 1">
              <controlPr defaultSize="0" print="0" autoFill="0" autoPict="0" macro="[0]!AjouterPontThermique">
                <anchor moveWithCells="1" sizeWithCells="1">
                  <from>
                    <xdr:col>5</xdr:col>
                    <xdr:colOff>714375</xdr:colOff>
                    <xdr:row>5</xdr:row>
                    <xdr:rowOff>57150</xdr:rowOff>
                  </from>
                  <to>
                    <xdr:col>6</xdr:col>
                    <xdr:colOff>657225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683" r:id="rId6" name="Button 3">
              <controlPr defaultSize="0" print="0" autoFill="0" autoPict="0" macro="[0]!ActualiserPontsThermiques">
                <anchor moveWithCells="1" sizeWithCells="1">
                  <from>
                    <xdr:col>7</xdr:col>
                    <xdr:colOff>85725</xdr:colOff>
                    <xdr:row>5</xdr:row>
                    <xdr:rowOff>66675</xdr:rowOff>
                  </from>
                  <to>
                    <xdr:col>8</xdr:col>
                    <xdr:colOff>38100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annotation!$B$13:$B$15</xm:f>
          </x14:formula1>
          <xm:sqref>A8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J39"/>
  <sheetViews>
    <sheetView workbookViewId="0">
      <selection activeCell="C4" sqref="C4"/>
    </sheetView>
  </sheetViews>
  <sheetFormatPr baseColWidth="10" defaultRowHeight="12.75"/>
  <cols>
    <col min="2" max="2" width="59.140625" customWidth="1"/>
  </cols>
  <sheetData>
    <row r="1" spans="1:10" ht="51">
      <c r="C1" s="29" t="s">
        <v>49</v>
      </c>
      <c r="D1" s="29" t="str">
        <f>'Calcul RT 2012'!O16</f>
        <v>T paroi (°C)</v>
      </c>
      <c r="E1" s="29" t="str">
        <f>'Calcul RT 2012'!P16</f>
        <v>Pression de vapeur Pv (Pa)</v>
      </c>
      <c r="F1" s="29" t="str">
        <f>'Calcul RT 2012'!Q16</f>
        <v>Pression de vapeur saturante Pvs (Pa)</v>
      </c>
    </row>
    <row r="2" spans="1:10">
      <c r="B2" t="s">
        <v>30</v>
      </c>
      <c r="C2" s="29">
        <v>0</v>
      </c>
      <c r="D2" s="131">
        <f>D3</f>
        <v>20</v>
      </c>
      <c r="E2" s="30">
        <f>E3</f>
        <v>1408.6474736677649</v>
      </c>
      <c r="F2" s="30">
        <f>F3</f>
        <v>2347.745789446275</v>
      </c>
    </row>
    <row r="3" spans="1:10">
      <c r="A3" s="219"/>
      <c r="B3" s="139" t="s">
        <v>201</v>
      </c>
      <c r="C3" s="19">
        <v>0.2</v>
      </c>
      <c r="D3" s="11">
        <f>'Calcul RT 2012'!O17</f>
        <v>20</v>
      </c>
      <c r="E3" s="13">
        <f>'Calcul RT 2012'!P17</f>
        <v>1408.6474736677649</v>
      </c>
      <c r="F3" s="12">
        <f>'Calcul RT 2012'!Q17</f>
        <v>2347.745789446275</v>
      </c>
    </row>
    <row r="4" spans="1:10">
      <c r="A4" s="219"/>
      <c r="B4" s="139" t="s">
        <v>202</v>
      </c>
      <c r="C4">
        <f>C3+0.05</f>
        <v>0.25</v>
      </c>
      <c r="D4" s="11">
        <f>'Calcul RT 2012'!O18</f>
        <v>20</v>
      </c>
      <c r="E4" s="13">
        <f>E3</f>
        <v>1408.6474736677649</v>
      </c>
      <c r="F4" s="12">
        <f>'Calcul RT 2012'!Q18</f>
        <v>2347.745789446275</v>
      </c>
    </row>
    <row r="5" spans="1:10">
      <c r="B5" t="s">
        <v>18</v>
      </c>
      <c r="C5" s="110">
        <f>'Calcul RT 2012'!G20+C4</f>
        <v>0.41000000000000003</v>
      </c>
      <c r="D5" s="132">
        <f>'Calcul RT 2012'!O19</f>
        <v>10.547442351569941</v>
      </c>
      <c r="E5" s="13">
        <f>'Calcul RT 2012'!P19</f>
        <v>810.69357605745722</v>
      </c>
      <c r="F5" s="13">
        <f>'Calcul RT 2012'!Q19</f>
        <v>1278.3719203629214</v>
      </c>
      <c r="G5" s="15"/>
      <c r="H5" s="15"/>
      <c r="I5" s="15"/>
      <c r="J5" s="15"/>
    </row>
    <row r="6" spans="1:10">
      <c r="B6" t="s">
        <v>19</v>
      </c>
      <c r="C6" s="14">
        <f>'Calcul RT 2012'!G23+C5</f>
        <v>0.42200000000000004</v>
      </c>
      <c r="D6" s="132">
        <f>'Calcul RT 2012'!O22</f>
        <v>8.0565656739431013</v>
      </c>
      <c r="E6" s="13">
        <f>'Calcul RT 2012'!P22</f>
        <v>810.45754162418996</v>
      </c>
      <c r="F6" s="13">
        <f>'Calcul RT 2012'!Q22</f>
        <v>1080.8446553462097</v>
      </c>
      <c r="G6" s="14"/>
      <c r="H6" s="14"/>
      <c r="I6" s="14"/>
      <c r="J6" s="14"/>
    </row>
    <row r="7" spans="1:10">
      <c r="B7" t="s">
        <v>20</v>
      </c>
      <c r="C7" s="15">
        <f>'Calcul RT 2012'!G26+C6</f>
        <v>0.42220000000000002</v>
      </c>
      <c r="D7" s="132">
        <f>'Calcul RT 2012'!O25</f>
        <v>7.9867456458581065</v>
      </c>
      <c r="E7" s="13">
        <f>'Calcul RT 2012'!P25</f>
        <v>810.06415090207793</v>
      </c>
      <c r="F7" s="13">
        <f>'Calcul RT 2012'!Q25</f>
        <v>1075.7195881670625</v>
      </c>
      <c r="G7" s="15"/>
      <c r="H7" s="15"/>
      <c r="I7" s="15"/>
      <c r="J7" s="15"/>
    </row>
    <row r="8" spans="1:10">
      <c r="B8" t="s">
        <v>21</v>
      </c>
      <c r="C8" s="15">
        <f>'Calcul RT 2012'!G29+C7</f>
        <v>0.56220000000000003</v>
      </c>
      <c r="D8" s="132">
        <f>'Calcul RT 2012'!O28</f>
        <v>4.9999999999999982</v>
      </c>
      <c r="E8" s="13">
        <f>'Calcul RT 2012'!P28</f>
        <v>788.03427046380341</v>
      </c>
      <c r="F8" s="13">
        <f>'Calcul RT 2012'!Q28</f>
        <v>875.59363384867061</v>
      </c>
      <c r="G8" s="15"/>
      <c r="H8" s="15"/>
      <c r="I8" s="15"/>
      <c r="J8" s="15"/>
    </row>
    <row r="9" spans="1:10">
      <c r="B9" t="s">
        <v>28</v>
      </c>
      <c r="C9" s="15">
        <f>'Calcul RT 2012'!G32+C8</f>
        <v>0.57420000000000004</v>
      </c>
      <c r="D9" s="132">
        <f>'Calcul RT 2012'!O31</f>
        <v>4.9999999999999982</v>
      </c>
      <c r="E9" s="13">
        <f>'Calcul RT 2012'!P31</f>
        <v>788.03427046380341</v>
      </c>
      <c r="F9" s="13">
        <f>'Calcul RT 2012'!Q31</f>
        <v>875.59363384867061</v>
      </c>
      <c r="G9" s="15"/>
      <c r="H9" s="15"/>
      <c r="I9" s="15"/>
      <c r="J9" s="15"/>
    </row>
    <row r="10" spans="1:10">
      <c r="B10" t="s">
        <v>29</v>
      </c>
      <c r="C10" s="15">
        <f>'Calcul RT 2012'!G35+C9</f>
        <v>0.57420000000000004</v>
      </c>
      <c r="D10" s="132">
        <f>'Calcul RT 2012'!O34</f>
        <v>4.9999999999999982</v>
      </c>
      <c r="E10" s="13">
        <f>'Calcul RT 2012'!P34</f>
        <v>788.03427046380341</v>
      </c>
      <c r="F10" s="13">
        <f>'Calcul RT 2012'!Q34</f>
        <v>875.59363384867061</v>
      </c>
      <c r="G10" s="15"/>
      <c r="H10" s="15"/>
      <c r="I10" s="15"/>
      <c r="J10" s="15"/>
    </row>
    <row r="11" spans="1:10">
      <c r="B11" t="s">
        <v>47</v>
      </c>
      <c r="C11" s="15">
        <f>'Calcul RT 2012'!G38+C10</f>
        <v>0.57420000000000004</v>
      </c>
      <c r="D11" s="132">
        <f>'Calcul RT 2012'!O37</f>
        <v>4.9999999999999982</v>
      </c>
      <c r="E11" s="13">
        <f>'Calcul RT 2012'!P37</f>
        <v>788.03427046380341</v>
      </c>
      <c r="F11" s="13">
        <f>'Calcul RT 2012'!Q37</f>
        <v>875.59363384867061</v>
      </c>
      <c r="G11" s="15"/>
      <c r="H11" s="15"/>
      <c r="I11" s="15"/>
      <c r="J11" s="15"/>
    </row>
    <row r="12" spans="1:10">
      <c r="B12" t="s">
        <v>48</v>
      </c>
      <c r="C12" s="15">
        <f>'Calcul RT 2012'!G41+C11</f>
        <v>0.57420000000000004</v>
      </c>
      <c r="D12" s="132">
        <f>'Calcul RT 2012'!O40</f>
        <v>4.9999999999999982</v>
      </c>
      <c r="E12" s="13">
        <f>'Calcul RT 2012'!P40</f>
        <v>788.03427046380341</v>
      </c>
      <c r="F12" s="13">
        <f>'Calcul RT 2012'!Q40</f>
        <v>875.59363384867061</v>
      </c>
      <c r="G12" s="15"/>
      <c r="H12" s="15"/>
      <c r="I12" s="15"/>
      <c r="J12" s="15"/>
    </row>
    <row r="13" spans="1:10">
      <c r="B13" s="139" t="s">
        <v>203</v>
      </c>
      <c r="C13" s="10">
        <f>C12</f>
        <v>0.57420000000000004</v>
      </c>
      <c r="D13" s="11">
        <f>'Calcul RT 2012'!O43</f>
        <v>4.9999999999999982</v>
      </c>
      <c r="E13" s="13">
        <f>'Calcul RT 2012'!P43</f>
        <v>788.03427046380352</v>
      </c>
      <c r="F13" s="12">
        <f>'Calcul RT 2012'!Q43</f>
        <v>875.59363384867061</v>
      </c>
    </row>
    <row r="14" spans="1:10">
      <c r="B14" s="139" t="s">
        <v>204</v>
      </c>
      <c r="C14" s="10">
        <f>C13+0.05</f>
        <v>0.62420000000000009</v>
      </c>
      <c r="D14" s="11">
        <f>'Calcul RT 2012'!O44</f>
        <v>5</v>
      </c>
      <c r="E14" s="13">
        <f>E13</f>
        <v>788.03427046380352</v>
      </c>
      <c r="F14" s="12">
        <f>'Calcul RT 2012'!Q44</f>
        <v>875.59363384867061</v>
      </c>
    </row>
    <row r="15" spans="1:10">
      <c r="B15" s="28" t="s">
        <v>34</v>
      </c>
      <c r="C15" s="10">
        <f>C14+C3</f>
        <v>0.82420000000000004</v>
      </c>
      <c r="D15" s="11">
        <f>D14</f>
        <v>5</v>
      </c>
      <c r="E15" s="12">
        <f>E14</f>
        <v>788.03427046380352</v>
      </c>
      <c r="F15" s="12">
        <f>F14</f>
        <v>875.59363384867061</v>
      </c>
    </row>
    <row r="19" spans="2:5">
      <c r="C19" t="s">
        <v>50</v>
      </c>
      <c r="D19" t="s">
        <v>51</v>
      </c>
      <c r="E19" t="s">
        <v>52</v>
      </c>
    </row>
    <row r="20" spans="2:5">
      <c r="B20" s="219" t="s">
        <v>30</v>
      </c>
      <c r="C20">
        <f>C4</f>
        <v>0.25</v>
      </c>
      <c r="D20" s="19">
        <f>$D$15-5</f>
        <v>0</v>
      </c>
      <c r="E20" s="31">
        <f>F15-300</f>
        <v>575.59363384867061</v>
      </c>
    </row>
    <row r="21" spans="2:5">
      <c r="B21" s="219"/>
      <c r="C21">
        <f>C20</f>
        <v>0.25</v>
      </c>
      <c r="D21" s="19">
        <f>$D$2+5</f>
        <v>25</v>
      </c>
      <c r="E21" s="31">
        <f>F2+300</f>
        <v>2647.745789446275</v>
      </c>
    </row>
    <row r="22" spans="2:5">
      <c r="B22" s="219" t="s">
        <v>18</v>
      </c>
      <c r="C22" s="10">
        <f>C5</f>
        <v>0.41000000000000003</v>
      </c>
      <c r="D22">
        <f>$D$20</f>
        <v>0</v>
      </c>
      <c r="E22" s="12">
        <f>$E$20</f>
        <v>575.59363384867061</v>
      </c>
    </row>
    <row r="23" spans="2:5">
      <c r="B23" s="219"/>
      <c r="C23" s="10">
        <f>C22</f>
        <v>0.41000000000000003</v>
      </c>
      <c r="D23">
        <f>$D$21</f>
        <v>25</v>
      </c>
      <c r="E23" s="12">
        <f>$E$21</f>
        <v>2647.745789446275</v>
      </c>
    </row>
    <row r="24" spans="2:5">
      <c r="B24" s="219" t="s">
        <v>19</v>
      </c>
      <c r="C24" s="10">
        <f>C6</f>
        <v>0.42200000000000004</v>
      </c>
      <c r="D24">
        <f>$D$20</f>
        <v>0</v>
      </c>
      <c r="E24" s="12">
        <f>$E$20</f>
        <v>575.59363384867061</v>
      </c>
    </row>
    <row r="25" spans="2:5">
      <c r="B25" s="219"/>
      <c r="C25" s="10">
        <f>C24</f>
        <v>0.42200000000000004</v>
      </c>
      <c r="D25">
        <f>$D$21</f>
        <v>25</v>
      </c>
      <c r="E25" s="12">
        <f>$E$21</f>
        <v>2647.745789446275</v>
      </c>
    </row>
    <row r="26" spans="2:5">
      <c r="B26" s="219" t="s">
        <v>20</v>
      </c>
      <c r="C26" s="10">
        <f>C7</f>
        <v>0.42220000000000002</v>
      </c>
      <c r="D26">
        <f>$D$20</f>
        <v>0</v>
      </c>
      <c r="E26" s="12">
        <f>$E$20</f>
        <v>575.59363384867061</v>
      </c>
    </row>
    <row r="27" spans="2:5">
      <c r="B27" s="219"/>
      <c r="C27" s="10">
        <f>C26</f>
        <v>0.42220000000000002</v>
      </c>
      <c r="D27">
        <f>$D$21</f>
        <v>25</v>
      </c>
      <c r="E27" s="12">
        <f>$E$21</f>
        <v>2647.745789446275</v>
      </c>
    </row>
    <row r="28" spans="2:5">
      <c r="B28" s="219" t="s">
        <v>21</v>
      </c>
      <c r="C28" s="10">
        <f>C8</f>
        <v>0.56220000000000003</v>
      </c>
      <c r="D28">
        <f>$D$20</f>
        <v>0</v>
      </c>
      <c r="E28" s="12">
        <f>$E$20</f>
        <v>575.59363384867061</v>
      </c>
    </row>
    <row r="29" spans="2:5">
      <c r="B29" s="219"/>
      <c r="C29" s="10">
        <f>C28</f>
        <v>0.56220000000000003</v>
      </c>
      <c r="D29">
        <f>$D$21</f>
        <v>25</v>
      </c>
      <c r="E29" s="12">
        <f>$E$21</f>
        <v>2647.745789446275</v>
      </c>
    </row>
    <row r="30" spans="2:5">
      <c r="B30" s="219" t="s">
        <v>28</v>
      </c>
      <c r="C30" s="10">
        <f>C9</f>
        <v>0.57420000000000004</v>
      </c>
      <c r="D30">
        <f>$D$20</f>
        <v>0</v>
      </c>
      <c r="E30" s="12">
        <f>$E$20</f>
        <v>575.59363384867061</v>
      </c>
    </row>
    <row r="31" spans="2:5">
      <c r="B31" s="219"/>
      <c r="C31" s="10">
        <f>C30</f>
        <v>0.57420000000000004</v>
      </c>
      <c r="D31">
        <f>$D$21</f>
        <v>25</v>
      </c>
      <c r="E31" s="12">
        <f>$E$21</f>
        <v>2647.745789446275</v>
      </c>
    </row>
    <row r="32" spans="2:5">
      <c r="B32" s="219" t="s">
        <v>29</v>
      </c>
      <c r="C32" s="10">
        <f>C10</f>
        <v>0.57420000000000004</v>
      </c>
      <c r="D32">
        <f>$D$20</f>
        <v>0</v>
      </c>
      <c r="E32" s="12">
        <f>$E$20</f>
        <v>575.59363384867061</v>
      </c>
    </row>
    <row r="33" spans="2:5">
      <c r="B33" s="219"/>
      <c r="C33" s="10">
        <f>C32</f>
        <v>0.57420000000000004</v>
      </c>
      <c r="D33">
        <f>$D$21</f>
        <v>25</v>
      </c>
      <c r="E33" s="12">
        <f>$E$21</f>
        <v>2647.745789446275</v>
      </c>
    </row>
    <row r="34" spans="2:5">
      <c r="B34" s="219" t="s">
        <v>47</v>
      </c>
      <c r="C34" s="10">
        <f>C11</f>
        <v>0.57420000000000004</v>
      </c>
      <c r="D34">
        <f>$D$20</f>
        <v>0</v>
      </c>
      <c r="E34" s="12">
        <f>$E$20</f>
        <v>575.59363384867061</v>
      </c>
    </row>
    <row r="35" spans="2:5">
      <c r="B35" s="219"/>
      <c r="C35" s="10">
        <f>C34</f>
        <v>0.57420000000000004</v>
      </c>
      <c r="D35">
        <f>$D$21</f>
        <v>25</v>
      </c>
      <c r="E35" s="12">
        <f>$E$21</f>
        <v>2647.745789446275</v>
      </c>
    </row>
    <row r="36" spans="2:5">
      <c r="B36" s="219" t="s">
        <v>48</v>
      </c>
      <c r="C36" s="10">
        <f>C12</f>
        <v>0.57420000000000004</v>
      </c>
      <c r="D36">
        <f>$D$20</f>
        <v>0</v>
      </c>
      <c r="E36" s="12">
        <f>$E$20</f>
        <v>575.59363384867061</v>
      </c>
    </row>
    <row r="37" spans="2:5">
      <c r="B37" s="219"/>
      <c r="C37" s="10">
        <f>C36</f>
        <v>0.57420000000000004</v>
      </c>
      <c r="D37">
        <f>$D$21</f>
        <v>25</v>
      </c>
      <c r="E37" s="12">
        <f>$E$21</f>
        <v>2647.745789446275</v>
      </c>
    </row>
    <row r="38" spans="2:5">
      <c r="E38" s="12"/>
    </row>
    <row r="39" spans="2:5">
      <c r="E39" s="12"/>
    </row>
  </sheetData>
  <mergeCells count="10">
    <mergeCell ref="B36:B37"/>
    <mergeCell ref="B34:B35"/>
    <mergeCell ref="B32:B33"/>
    <mergeCell ref="B30:B31"/>
    <mergeCell ref="B20:B21"/>
    <mergeCell ref="A3:A4"/>
    <mergeCell ref="B28:B29"/>
    <mergeCell ref="B26:B27"/>
    <mergeCell ref="B24:B25"/>
    <mergeCell ref="B22:B23"/>
  </mergeCells>
  <phoneticPr fontId="5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M37"/>
  <sheetViews>
    <sheetView workbookViewId="0">
      <selection activeCell="C14" sqref="C14"/>
    </sheetView>
  </sheetViews>
  <sheetFormatPr baseColWidth="10" defaultRowHeight="12.75"/>
  <cols>
    <col min="2" max="2" width="53" customWidth="1"/>
    <col min="3" max="3" width="12.5703125" customWidth="1"/>
    <col min="4" max="4" width="12.85546875" customWidth="1"/>
    <col min="11" max="11" width="9.42578125" customWidth="1"/>
    <col min="13" max="13" width="26" customWidth="1"/>
  </cols>
  <sheetData>
    <row r="1" spans="1:13">
      <c r="I1" s="4"/>
      <c r="J1" s="4"/>
      <c r="K1" s="4"/>
      <c r="L1" s="4"/>
      <c r="M1" s="4"/>
    </row>
    <row r="2" spans="1:13" ht="13.5" thickBot="1">
      <c r="A2" s="2" t="s">
        <v>75</v>
      </c>
      <c r="I2" s="4"/>
      <c r="J2" s="4"/>
      <c r="K2" s="4"/>
      <c r="L2" s="4"/>
      <c r="M2" s="36"/>
    </row>
    <row r="3" spans="1:13" ht="13.5" thickBot="1">
      <c r="B3" s="66" t="s">
        <v>9</v>
      </c>
      <c r="C3" s="67" t="s">
        <v>11</v>
      </c>
      <c r="D3" s="67" t="s">
        <v>12</v>
      </c>
      <c r="E3" s="68" t="s">
        <v>10</v>
      </c>
      <c r="I3" s="4"/>
      <c r="J3" s="4"/>
      <c r="K3" s="60"/>
      <c r="L3" s="36"/>
      <c r="M3" s="4"/>
    </row>
    <row r="4" spans="1:13">
      <c r="A4">
        <v>1</v>
      </c>
      <c r="B4" t="s">
        <v>15</v>
      </c>
      <c r="C4" s="65">
        <v>0.17</v>
      </c>
      <c r="D4" s="65">
        <v>0.04</v>
      </c>
      <c r="E4" s="65">
        <f>D4+C4</f>
        <v>0.21000000000000002</v>
      </c>
      <c r="I4" s="4"/>
      <c r="J4" s="4"/>
      <c r="K4" s="102"/>
      <c r="L4" s="4"/>
      <c r="M4" s="4"/>
    </row>
    <row r="5" spans="1:13">
      <c r="A5">
        <v>2</v>
      </c>
      <c r="B5" s="1" t="s">
        <v>14</v>
      </c>
      <c r="C5" s="1">
        <v>0.1</v>
      </c>
      <c r="D5" s="1">
        <v>0.04</v>
      </c>
      <c r="E5" s="1">
        <f>D5+C5</f>
        <v>0.14000000000000001</v>
      </c>
      <c r="I5" s="4"/>
      <c r="J5" s="4"/>
      <c r="K5" s="102"/>
      <c r="L5" s="4"/>
      <c r="M5" s="4"/>
    </row>
    <row r="6" spans="1:13">
      <c r="A6">
        <v>3</v>
      </c>
      <c r="B6" s="1" t="s">
        <v>13</v>
      </c>
      <c r="C6" s="1">
        <v>0.13</v>
      </c>
      <c r="D6" s="1">
        <v>0.04</v>
      </c>
      <c r="E6" s="1">
        <f>D6+C6</f>
        <v>0.17</v>
      </c>
      <c r="I6" s="4"/>
      <c r="J6" s="4"/>
      <c r="K6" s="60"/>
      <c r="L6" s="36"/>
      <c r="M6" s="4"/>
    </row>
    <row r="7" spans="1:13" ht="13.5" thickBot="1">
      <c r="A7">
        <v>4</v>
      </c>
      <c r="B7" s="6" t="s">
        <v>16</v>
      </c>
      <c r="C7" s="6">
        <v>0</v>
      </c>
      <c r="D7" s="6">
        <v>0</v>
      </c>
      <c r="E7" s="6">
        <v>0</v>
      </c>
      <c r="I7" s="4"/>
      <c r="J7" s="4"/>
      <c r="K7" s="102"/>
      <c r="L7" s="4"/>
      <c r="M7" s="4"/>
    </row>
    <row r="8" spans="1:13" ht="13.5" thickBot="1">
      <c r="A8">
        <f>LOOKUP(B8,B4:B7,A4:A7)</f>
        <v>4</v>
      </c>
      <c r="B8" s="83" t="str">
        <f>'Calcul RT 2012'!E6</f>
        <v>Pas de prise en compte des résistances superficielles</v>
      </c>
      <c r="C8" s="84">
        <f>LOOKUP($A$8,$A$4:$A$7,C4:C7)</f>
        <v>0</v>
      </c>
      <c r="D8" s="84">
        <f>LOOKUP($A$8,$A$4:$A$7,D4:D7)</f>
        <v>0</v>
      </c>
      <c r="E8" s="85">
        <f>LOOKUP($A$8,$A$4:$A$7,E4:E7)</f>
        <v>0</v>
      </c>
      <c r="I8" s="4"/>
      <c r="J8" s="4"/>
      <c r="K8" s="102"/>
      <c r="L8" s="4"/>
      <c r="M8" s="4"/>
    </row>
    <row r="9" spans="1:13">
      <c r="I9" s="4"/>
      <c r="J9" s="4"/>
      <c r="K9" s="60"/>
      <c r="L9" s="36"/>
      <c r="M9" s="4"/>
    </row>
    <row r="10" spans="1:13">
      <c r="I10" s="4"/>
      <c r="J10" s="4"/>
      <c r="K10" s="102"/>
      <c r="L10" s="4"/>
      <c r="M10" s="4"/>
    </row>
    <row r="11" spans="1:13">
      <c r="A11" s="220" t="s">
        <v>85</v>
      </c>
      <c r="B11" s="220"/>
      <c r="I11" s="4"/>
      <c r="J11" s="4"/>
      <c r="K11" s="102"/>
      <c r="L11" s="4"/>
      <c r="M11" s="4"/>
    </row>
    <row r="12" spans="1:13">
      <c r="I12" s="4"/>
      <c r="J12" s="4"/>
      <c r="K12" s="60"/>
      <c r="L12" s="36"/>
      <c r="M12" s="4"/>
    </row>
    <row r="13" spans="1:13">
      <c r="I13" s="4"/>
      <c r="J13" s="4"/>
      <c r="K13" s="102"/>
      <c r="L13" s="4"/>
      <c r="M13" s="4"/>
    </row>
    <row r="14" spans="1:13">
      <c r="B14" s="72" t="s">
        <v>81</v>
      </c>
      <c r="C14" s="94">
        <f>C16/SUM('Calcul RT 2012'!E48:E50)</f>
        <v>0.16599478943780552</v>
      </c>
      <c r="D14" s="81" t="s">
        <v>98</v>
      </c>
      <c r="I14" s="4"/>
      <c r="J14" s="4"/>
      <c r="K14" s="102"/>
      <c r="L14" s="4"/>
      <c r="M14" s="4"/>
    </row>
    <row r="15" spans="1:13">
      <c r="B15" s="72" t="s">
        <v>82</v>
      </c>
      <c r="C15" s="1">
        <f>'Calcul RT 2012'!E10-'Calcul RT 2012'!E11</f>
        <v>15</v>
      </c>
      <c r="D15" s="81" t="s">
        <v>99</v>
      </c>
      <c r="I15" s="4"/>
      <c r="J15" s="4"/>
      <c r="K15" s="60"/>
      <c r="L15" s="36"/>
      <c r="M15" s="4"/>
    </row>
    <row r="16" spans="1:13">
      <c r="B16" s="72" t="s">
        <v>83</v>
      </c>
      <c r="C16" s="1">
        <f>SUM('Calcul RT 2012'!G20:G42)</f>
        <v>0.32420000000000004</v>
      </c>
      <c r="D16" s="81" t="s">
        <v>100</v>
      </c>
      <c r="I16" s="4"/>
      <c r="J16" s="4"/>
      <c r="K16" s="102"/>
      <c r="L16" s="4"/>
      <c r="M16" s="4"/>
    </row>
    <row r="17" spans="1:13">
      <c r="B17" s="3" t="s">
        <v>84</v>
      </c>
      <c r="C17" s="93">
        <f>C14*(C15/C16)</f>
        <v>7.6802030893494218</v>
      </c>
      <c r="D17" s="82" t="s">
        <v>32</v>
      </c>
      <c r="I17" s="4"/>
      <c r="J17" s="4"/>
      <c r="K17" s="102"/>
      <c r="L17" s="4"/>
      <c r="M17" s="4"/>
    </row>
    <row r="18" spans="1:13">
      <c r="I18" s="4"/>
      <c r="J18" s="4"/>
      <c r="K18" s="60"/>
      <c r="L18" s="36"/>
      <c r="M18" s="4"/>
    </row>
    <row r="19" spans="1:13">
      <c r="I19" s="4"/>
      <c r="J19" s="4"/>
      <c r="K19" s="102"/>
      <c r="L19" s="4"/>
      <c r="M19" s="4"/>
    </row>
    <row r="20" spans="1:13">
      <c r="A20" s="79" t="s">
        <v>92</v>
      </c>
      <c r="I20" s="4"/>
      <c r="J20" s="4"/>
      <c r="K20" s="102"/>
      <c r="L20" s="4"/>
      <c r="M20" s="4"/>
    </row>
    <row r="21" spans="1:13">
      <c r="I21" s="4"/>
      <c r="J21" s="4"/>
      <c r="K21" s="60"/>
      <c r="L21" s="36"/>
      <c r="M21" s="4"/>
    </row>
    <row r="22" spans="1:13">
      <c r="I22" s="4"/>
      <c r="J22" s="4"/>
      <c r="K22" s="102"/>
      <c r="L22" s="4"/>
      <c r="M22" s="4"/>
    </row>
    <row r="23" spans="1:13">
      <c r="I23" s="4"/>
      <c r="J23" s="4"/>
      <c r="K23" s="102"/>
      <c r="L23" s="4"/>
      <c r="M23" s="4"/>
    </row>
    <row r="24" spans="1:13">
      <c r="I24" s="4"/>
      <c r="J24" s="4"/>
      <c r="K24" s="60"/>
      <c r="L24" s="36"/>
      <c r="M24" s="4"/>
    </row>
    <row r="25" spans="1:13">
      <c r="B25" s="72" t="s">
        <v>93</v>
      </c>
      <c r="C25" s="72">
        <f>1.25+4.5+0.092+0.18+0.351</f>
        <v>6.3729999999999993</v>
      </c>
      <c r="D25" s="72" t="s">
        <v>6</v>
      </c>
      <c r="I25" s="4"/>
      <c r="J25" s="4"/>
      <c r="K25" s="102"/>
      <c r="L25" s="4"/>
      <c r="M25" s="4"/>
    </row>
    <row r="26" spans="1:13" ht="15.75">
      <c r="B26" s="72" t="s">
        <v>94</v>
      </c>
      <c r="C26" s="1">
        <v>0.17</v>
      </c>
      <c r="D26" s="72" t="s">
        <v>6</v>
      </c>
      <c r="I26" s="4"/>
      <c r="J26" s="4"/>
      <c r="K26" s="102"/>
      <c r="L26" s="4"/>
      <c r="M26" s="4"/>
    </row>
    <row r="27" spans="1:13">
      <c r="B27" s="3" t="s">
        <v>95</v>
      </c>
      <c r="C27" s="3">
        <f>1/(C25+C26)</f>
        <v>0.15283509093687914</v>
      </c>
      <c r="D27" s="3" t="s">
        <v>6</v>
      </c>
      <c r="I27" s="4"/>
      <c r="J27" s="4"/>
      <c r="K27" s="4"/>
      <c r="L27" s="4"/>
      <c r="M27" s="4"/>
    </row>
    <row r="28" spans="1:13">
      <c r="I28" s="4"/>
      <c r="J28" s="4"/>
      <c r="K28" s="4"/>
      <c r="L28" s="4"/>
      <c r="M28" s="4"/>
    </row>
    <row r="29" spans="1:13">
      <c r="I29" s="4"/>
      <c r="J29" s="4"/>
      <c r="K29" s="4"/>
      <c r="L29" s="4"/>
      <c r="M29" s="4"/>
    </row>
    <row r="30" spans="1:13">
      <c r="I30" s="4"/>
      <c r="J30" s="4"/>
      <c r="K30" s="4"/>
      <c r="L30" s="4"/>
      <c r="M30" s="4"/>
    </row>
    <row r="31" spans="1:13">
      <c r="A31" s="49"/>
      <c r="I31" s="4"/>
      <c r="J31" s="4"/>
      <c r="K31" s="4"/>
      <c r="L31" s="4"/>
      <c r="M31" s="4"/>
    </row>
    <row r="32" spans="1:13">
      <c r="A32" s="49"/>
      <c r="I32" s="4"/>
      <c r="J32" s="4"/>
      <c r="K32" s="4"/>
      <c r="L32" s="4"/>
      <c r="M32" s="4"/>
    </row>
    <row r="33" spans="1:13">
      <c r="I33" s="4"/>
      <c r="J33" s="4"/>
      <c r="K33" s="4"/>
      <c r="L33" s="4"/>
      <c r="M33" s="4"/>
    </row>
    <row r="34" spans="1:13">
      <c r="I34" s="4"/>
      <c r="J34" s="4"/>
      <c r="K34" s="4"/>
      <c r="L34" s="4"/>
      <c r="M34" s="4"/>
    </row>
    <row r="35" spans="1:13">
      <c r="I35" s="4"/>
      <c r="J35" s="4"/>
      <c r="K35" s="4"/>
      <c r="L35" s="4"/>
      <c r="M35" s="4"/>
    </row>
    <row r="36" spans="1:13">
      <c r="I36" s="4"/>
      <c r="J36" s="4"/>
      <c r="K36" s="4"/>
      <c r="L36" s="4"/>
      <c r="M36" s="4"/>
    </row>
    <row r="37" spans="1:13">
      <c r="A37" s="49"/>
      <c r="I37" s="4"/>
      <c r="J37" s="4"/>
      <c r="K37" s="4"/>
      <c r="L37" s="4"/>
      <c r="M37" s="4"/>
    </row>
  </sheetData>
  <mergeCells count="1">
    <mergeCell ref="A11:B11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W24"/>
  <sheetViews>
    <sheetView workbookViewId="0">
      <selection activeCell="C34" sqref="C34"/>
    </sheetView>
  </sheetViews>
  <sheetFormatPr baseColWidth="10" defaultRowHeight="12.75"/>
  <cols>
    <col min="1" max="1" width="21.140625" bestFit="1" customWidth="1"/>
    <col min="2" max="2" width="5.85546875" customWidth="1"/>
    <col min="3" max="3" width="22.7109375" bestFit="1" customWidth="1"/>
    <col min="4" max="4" width="5.5703125" customWidth="1"/>
    <col min="5" max="5" width="26.28515625" bestFit="1" customWidth="1"/>
    <col min="6" max="6" width="5.140625" customWidth="1"/>
    <col min="7" max="7" width="21.140625" bestFit="1" customWidth="1"/>
    <col min="8" max="8" width="4.5703125" customWidth="1"/>
    <col min="9" max="9" width="24" customWidth="1"/>
    <col min="10" max="10" width="4.7109375" customWidth="1"/>
    <col min="11" max="11" width="21.140625" bestFit="1" customWidth="1"/>
    <col min="12" max="12" width="4" customWidth="1"/>
    <col min="13" max="13" width="21.140625" bestFit="1" customWidth="1"/>
    <col min="14" max="14" width="6.5703125" customWidth="1"/>
    <col min="15" max="15" width="36.28515625" customWidth="1"/>
    <col min="16" max="16" width="5.42578125" customWidth="1"/>
    <col min="17" max="17" width="32.42578125" bestFit="1" customWidth="1"/>
    <col min="18" max="18" width="15.5703125" customWidth="1"/>
    <col min="19" max="19" width="98.140625" customWidth="1"/>
    <col min="20" max="20" width="5.42578125" customWidth="1"/>
    <col min="21" max="21" width="27.5703125" customWidth="1"/>
    <col min="22" max="22" width="7" customWidth="1"/>
    <col min="23" max="23" width="39" customWidth="1"/>
    <col min="24" max="31" width="29.7109375" customWidth="1"/>
    <col min="32" max="33" width="13.140625" customWidth="1"/>
    <col min="34" max="34" width="22" customWidth="1"/>
    <col min="35" max="35" width="14.42578125" bestFit="1" customWidth="1"/>
    <col min="36" max="36" width="17.7109375" customWidth="1"/>
    <col min="37" max="37" width="25.5703125" customWidth="1"/>
    <col min="38" max="38" width="28.85546875" bestFit="1" customWidth="1"/>
    <col min="39" max="39" width="14.42578125" bestFit="1" customWidth="1"/>
    <col min="40" max="40" width="17.7109375" bestFit="1" customWidth="1"/>
    <col min="41" max="41" width="25.85546875" bestFit="1" customWidth="1"/>
    <col min="42" max="42" width="29.140625" bestFit="1" customWidth="1"/>
    <col min="43" max="43" width="14.28515625" bestFit="1" customWidth="1"/>
    <col min="44" max="44" width="16.140625" bestFit="1" customWidth="1"/>
    <col min="45" max="45" width="14.42578125" bestFit="1" customWidth="1"/>
    <col min="46" max="46" width="17.7109375" bestFit="1" customWidth="1"/>
    <col min="47" max="47" width="28" bestFit="1" customWidth="1"/>
    <col min="48" max="48" width="31.28515625" bestFit="1" customWidth="1"/>
    <col min="49" max="49" width="16.28515625" bestFit="1" customWidth="1"/>
    <col min="50" max="50" width="19.5703125" bestFit="1" customWidth="1"/>
    <col min="51" max="51" width="16.42578125" bestFit="1" customWidth="1"/>
    <col min="52" max="52" width="19.7109375" bestFit="1" customWidth="1"/>
    <col min="53" max="53" width="14.28515625" bestFit="1" customWidth="1"/>
    <col min="54" max="55" width="15.7109375" bestFit="1" customWidth="1"/>
    <col min="56" max="56" width="19" bestFit="1" customWidth="1"/>
    <col min="57" max="57" width="17.7109375" bestFit="1" customWidth="1"/>
    <col min="58" max="58" width="21" bestFit="1" customWidth="1"/>
    <col min="59" max="59" width="12.85546875" bestFit="1" customWidth="1"/>
    <col min="60" max="60" width="15.7109375" bestFit="1" customWidth="1"/>
    <col min="61" max="61" width="8" customWidth="1"/>
    <col min="62" max="62" width="11.140625" customWidth="1"/>
    <col min="63" max="63" width="13.140625" bestFit="1" customWidth="1"/>
  </cols>
  <sheetData>
    <row r="1" spans="1:23">
      <c r="A1" s="91" t="s">
        <v>110</v>
      </c>
      <c r="C1" s="91" t="s">
        <v>110</v>
      </c>
      <c r="E1" s="91" t="s">
        <v>110</v>
      </c>
      <c r="G1" s="91" t="s">
        <v>110</v>
      </c>
      <c r="I1" s="91" t="s">
        <v>110</v>
      </c>
      <c r="K1" s="91" t="s">
        <v>110</v>
      </c>
      <c r="M1" s="91" t="s">
        <v>110</v>
      </c>
      <c r="O1" s="91" t="s">
        <v>110</v>
      </c>
      <c r="Q1" s="91" t="s">
        <v>110</v>
      </c>
      <c r="S1" s="91" t="s">
        <v>110</v>
      </c>
      <c r="U1" s="91" t="s">
        <v>110</v>
      </c>
      <c r="W1" s="91" t="s">
        <v>110</v>
      </c>
    </row>
    <row r="2" spans="1:23">
      <c r="A2" s="114" t="s">
        <v>59</v>
      </c>
      <c r="C2" s="114" t="s">
        <v>66</v>
      </c>
      <c r="E2" s="114" t="s">
        <v>74</v>
      </c>
      <c r="G2" s="114" t="s">
        <v>102</v>
      </c>
      <c r="I2" s="114" t="s">
        <v>106</v>
      </c>
      <c r="K2" s="114" t="s">
        <v>103</v>
      </c>
      <c r="O2" s="114" t="s">
        <v>105</v>
      </c>
      <c r="Q2" s="114" t="s">
        <v>107</v>
      </c>
      <c r="S2" s="114" t="s">
        <v>163</v>
      </c>
      <c r="U2" s="114" t="s">
        <v>164</v>
      </c>
      <c r="W2" s="114" t="s">
        <v>91</v>
      </c>
    </row>
    <row r="3" spans="1:23">
      <c r="A3" s="92" t="s">
        <v>235</v>
      </c>
      <c r="C3" s="92" t="s">
        <v>228</v>
      </c>
      <c r="E3" s="92" t="s">
        <v>240</v>
      </c>
      <c r="G3" s="92" t="s">
        <v>232</v>
      </c>
      <c r="I3" s="92" t="s">
        <v>113</v>
      </c>
      <c r="K3" s="92" t="s">
        <v>22</v>
      </c>
      <c r="O3" s="92" t="s">
        <v>127</v>
      </c>
      <c r="Q3" s="92" t="s">
        <v>129</v>
      </c>
      <c r="S3" s="92" t="s">
        <v>171</v>
      </c>
      <c r="U3" s="92" t="s">
        <v>173</v>
      </c>
      <c r="W3" s="92" t="s">
        <v>172</v>
      </c>
    </row>
    <row r="4" spans="1:23">
      <c r="A4" s="92" t="s">
        <v>236</v>
      </c>
      <c r="C4" s="92" t="s">
        <v>229</v>
      </c>
      <c r="E4" s="92" t="s">
        <v>241</v>
      </c>
      <c r="G4" s="92" t="s">
        <v>233</v>
      </c>
      <c r="K4" s="92" t="s">
        <v>125</v>
      </c>
      <c r="O4" s="92" t="s">
        <v>209</v>
      </c>
      <c r="Q4" s="92" t="s">
        <v>139</v>
      </c>
      <c r="R4" s="109"/>
      <c r="S4" s="92" t="s">
        <v>179</v>
      </c>
      <c r="W4" s="92" t="s">
        <v>219</v>
      </c>
    </row>
    <row r="5" spans="1:23">
      <c r="A5" s="92" t="s">
        <v>237</v>
      </c>
      <c r="C5" s="92" t="s">
        <v>230</v>
      </c>
      <c r="G5" s="92" t="s">
        <v>234</v>
      </c>
      <c r="K5" s="92" t="s">
        <v>225</v>
      </c>
      <c r="O5" s="92" t="s">
        <v>242</v>
      </c>
      <c r="Q5" s="92" t="s">
        <v>137</v>
      </c>
      <c r="R5" s="92"/>
      <c r="S5" s="92" t="s">
        <v>180</v>
      </c>
      <c r="W5" s="92" t="s">
        <v>218</v>
      </c>
    </row>
    <row r="6" spans="1:23">
      <c r="A6" s="92" t="s">
        <v>238</v>
      </c>
      <c r="C6" s="92" t="s">
        <v>231</v>
      </c>
      <c r="K6" s="92" t="s">
        <v>224</v>
      </c>
      <c r="O6" s="92" t="s">
        <v>243</v>
      </c>
      <c r="Q6" s="92" t="s">
        <v>136</v>
      </c>
      <c r="R6" s="92"/>
      <c r="S6" s="92" t="s">
        <v>181</v>
      </c>
      <c r="W6" s="92" t="s">
        <v>217</v>
      </c>
    </row>
    <row r="7" spans="1:23">
      <c r="A7" s="92" t="s">
        <v>239</v>
      </c>
      <c r="K7" s="92" t="s">
        <v>226</v>
      </c>
      <c r="O7" s="92" t="s">
        <v>244</v>
      </c>
      <c r="Q7" s="92" t="s">
        <v>134</v>
      </c>
      <c r="R7" s="92"/>
      <c r="S7" s="92" t="s">
        <v>182</v>
      </c>
      <c r="W7" s="92" t="s">
        <v>216</v>
      </c>
    </row>
    <row r="8" spans="1:23">
      <c r="Q8" s="92" t="s">
        <v>140</v>
      </c>
      <c r="R8" s="92"/>
      <c r="S8" s="92" t="s">
        <v>183</v>
      </c>
      <c r="W8" s="92" t="s">
        <v>215</v>
      </c>
    </row>
    <row r="9" spans="1:23">
      <c r="Q9" s="92" t="s">
        <v>222</v>
      </c>
      <c r="R9" s="92"/>
      <c r="S9" s="92" t="s">
        <v>184</v>
      </c>
    </row>
    <row r="10" spans="1:23">
      <c r="Q10" s="92" t="s">
        <v>221</v>
      </c>
      <c r="R10" s="92"/>
      <c r="S10" s="92" t="s">
        <v>185</v>
      </c>
    </row>
    <row r="11" spans="1:23">
      <c r="Q11" s="92" t="s">
        <v>227</v>
      </c>
      <c r="R11" s="92"/>
      <c r="S11" s="92" t="s">
        <v>186</v>
      </c>
    </row>
    <row r="12" spans="1:23">
      <c r="R12" s="109"/>
      <c r="S12" s="92" t="s">
        <v>187</v>
      </c>
    </row>
    <row r="13" spans="1:23">
      <c r="S13" s="92" t="s">
        <v>188</v>
      </c>
    </row>
    <row r="14" spans="1:23">
      <c r="S14" s="92" t="s">
        <v>189</v>
      </c>
    </row>
    <row r="15" spans="1:23">
      <c r="S15" s="92" t="s">
        <v>190</v>
      </c>
    </row>
    <row r="16" spans="1:23">
      <c r="S16" s="92" t="s">
        <v>191</v>
      </c>
    </row>
    <row r="17" spans="19:19">
      <c r="S17" s="92" t="s">
        <v>192</v>
      </c>
    </row>
    <row r="18" spans="19:19">
      <c r="S18" s="92" t="s">
        <v>193</v>
      </c>
    </row>
    <row r="19" spans="19:19">
      <c r="S19" s="92" t="s">
        <v>194</v>
      </c>
    </row>
    <row r="20" spans="19:19">
      <c r="S20" s="92" t="s">
        <v>195</v>
      </c>
    </row>
    <row r="21" spans="19:19">
      <c r="S21" s="92" t="s">
        <v>196</v>
      </c>
    </row>
    <row r="22" spans="19:19">
      <c r="S22" s="92" t="s">
        <v>178</v>
      </c>
    </row>
    <row r="23" spans="19:19">
      <c r="S23" s="92" t="s">
        <v>198</v>
      </c>
    </row>
    <row r="24" spans="19:19">
      <c r="S24" s="92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B1:D208"/>
  <sheetViews>
    <sheetView zoomScaleNormal="100" workbookViewId="0">
      <selection activeCell="B18" sqref="B18"/>
    </sheetView>
  </sheetViews>
  <sheetFormatPr baseColWidth="10" defaultRowHeight="12.75"/>
  <cols>
    <col min="2" max="2" width="20.5703125" customWidth="1"/>
    <col min="3" max="4" width="11.42578125" style="4"/>
  </cols>
  <sheetData>
    <row r="1" spans="2:4">
      <c r="B1" s="2" t="s">
        <v>67</v>
      </c>
    </row>
    <row r="2" spans="2:4">
      <c r="B2" s="36" t="s">
        <v>109</v>
      </c>
    </row>
    <row r="3" spans="2:4">
      <c r="B3" s="36" t="s">
        <v>108</v>
      </c>
    </row>
    <row r="4" spans="2:4">
      <c r="B4" s="36" t="s">
        <v>111</v>
      </c>
    </row>
    <row r="5" spans="2:4">
      <c r="B5" s="36" t="s">
        <v>112</v>
      </c>
    </row>
    <row r="6" spans="2:4">
      <c r="B6" s="4" t="s">
        <v>106</v>
      </c>
    </row>
    <row r="7" spans="2:4">
      <c r="B7" s="4" t="s">
        <v>103</v>
      </c>
    </row>
    <row r="8" spans="2:4">
      <c r="B8" s="4" t="s">
        <v>104</v>
      </c>
    </row>
    <row r="9" spans="2:4">
      <c r="B9" s="4" t="s">
        <v>105</v>
      </c>
    </row>
    <row r="10" spans="2:4">
      <c r="B10" s="4" t="s">
        <v>107</v>
      </c>
    </row>
    <row r="12" spans="2:4">
      <c r="B12" s="2" t="s">
        <v>117</v>
      </c>
    </row>
    <row r="13" spans="2:4" ht="12.75" customHeight="1">
      <c r="B13" s="61" t="s">
        <v>163</v>
      </c>
      <c r="C13" s="60"/>
      <c r="D13" s="60"/>
    </row>
    <row r="14" spans="2:4">
      <c r="B14" s="61" t="s">
        <v>164</v>
      </c>
      <c r="C14" s="60"/>
      <c r="D14" s="60"/>
    </row>
    <row r="15" spans="2:4">
      <c r="B15" s="61" t="s">
        <v>91</v>
      </c>
      <c r="C15" s="60"/>
      <c r="D15" s="60"/>
    </row>
    <row r="16" spans="2:4">
      <c r="B16" s="61"/>
      <c r="C16" s="60"/>
      <c r="D16" s="60"/>
    </row>
    <row r="17" spans="2:4">
      <c r="B17" s="61"/>
      <c r="C17" s="60"/>
      <c r="D17" s="60"/>
    </row>
    <row r="18" spans="2:4">
      <c r="B18" s="61"/>
      <c r="C18" s="60"/>
      <c r="D18" s="60"/>
    </row>
    <row r="19" spans="2:4">
      <c r="B19" s="61"/>
      <c r="C19" s="60"/>
      <c r="D19" s="60"/>
    </row>
    <row r="20" spans="2:4">
      <c r="B20" s="61"/>
      <c r="C20" s="60"/>
      <c r="D20" s="60"/>
    </row>
    <row r="21" spans="2:4">
      <c r="B21" s="61"/>
      <c r="C21" s="60"/>
      <c r="D21" s="60"/>
    </row>
    <row r="22" spans="2:4">
      <c r="B22" s="61"/>
      <c r="C22" s="60"/>
    </row>
    <row r="23" spans="2:4">
      <c r="B23" s="61"/>
      <c r="C23" s="60"/>
    </row>
    <row r="24" spans="2:4">
      <c r="B24" s="61"/>
      <c r="C24" s="60"/>
      <c r="D24" s="60"/>
    </row>
    <row r="25" spans="2:4">
      <c r="B25" s="61"/>
      <c r="C25" s="60"/>
      <c r="D25" s="60"/>
    </row>
    <row r="26" spans="2:4">
      <c r="B26" s="61"/>
      <c r="C26" s="60"/>
      <c r="D26" s="60"/>
    </row>
    <row r="27" spans="2:4">
      <c r="B27" s="61"/>
      <c r="C27" s="60"/>
    </row>
    <row r="28" spans="2:4">
      <c r="B28" s="61"/>
      <c r="C28" s="60"/>
    </row>
    <row r="29" spans="2:4" ht="12.75" customHeight="1">
      <c r="B29" s="61"/>
      <c r="C29" s="60"/>
      <c r="D29" s="60"/>
    </row>
    <row r="30" spans="2:4">
      <c r="B30" s="61"/>
      <c r="C30" s="60"/>
      <c r="D30" s="60"/>
    </row>
    <row r="31" spans="2:4">
      <c r="B31" s="61"/>
      <c r="C31" s="60"/>
      <c r="D31" s="60"/>
    </row>
    <row r="32" spans="2:4">
      <c r="B32" s="61"/>
      <c r="C32" s="60"/>
      <c r="D32" s="60"/>
    </row>
    <row r="33" spans="2:4">
      <c r="B33" s="61"/>
      <c r="C33" s="60"/>
      <c r="D33" s="60"/>
    </row>
    <row r="34" spans="2:4">
      <c r="B34" s="61"/>
      <c r="C34" s="60"/>
      <c r="D34" s="60"/>
    </row>
    <row r="35" spans="2:4">
      <c r="B35" s="61"/>
      <c r="C35" s="60"/>
      <c r="D35" s="60"/>
    </row>
    <row r="36" spans="2:4">
      <c r="B36" s="61"/>
      <c r="C36" s="60"/>
      <c r="D36" s="60"/>
    </row>
    <row r="37" spans="2:4">
      <c r="B37" s="61"/>
      <c r="C37" s="60"/>
      <c r="D37" s="60"/>
    </row>
    <row r="38" spans="2:4">
      <c r="B38" s="61"/>
      <c r="C38" s="60"/>
      <c r="D38" s="60"/>
    </row>
    <row r="39" spans="2:4">
      <c r="B39" s="61"/>
      <c r="C39" s="60"/>
      <c r="D39" s="60"/>
    </row>
    <row r="40" spans="2:4">
      <c r="B40" s="61"/>
      <c r="C40" s="60"/>
      <c r="D40" s="60"/>
    </row>
    <row r="41" spans="2:4">
      <c r="B41" s="61"/>
      <c r="C41" s="60"/>
      <c r="D41" s="60"/>
    </row>
    <row r="42" spans="2:4">
      <c r="B42" s="61"/>
      <c r="C42" s="60"/>
      <c r="D42" s="60"/>
    </row>
    <row r="43" spans="2:4">
      <c r="B43" s="61"/>
      <c r="C43" s="60"/>
      <c r="D43" s="60"/>
    </row>
    <row r="44" spans="2:4">
      <c r="B44" s="61"/>
      <c r="C44" s="60"/>
      <c r="D44" s="60"/>
    </row>
    <row r="45" spans="2:4" ht="12.75" customHeight="1">
      <c r="B45" s="61"/>
      <c r="C45" s="60"/>
    </row>
    <row r="46" spans="2:4">
      <c r="B46" s="61"/>
      <c r="C46" s="60"/>
      <c r="D46" s="60"/>
    </row>
    <row r="47" spans="2:4">
      <c r="B47" s="61"/>
      <c r="C47" s="60"/>
      <c r="D47" s="60"/>
    </row>
    <row r="48" spans="2:4">
      <c r="B48" s="61"/>
      <c r="C48" s="60"/>
      <c r="D48" s="60"/>
    </row>
    <row r="49" spans="2:4">
      <c r="B49" s="61"/>
      <c r="C49" s="60"/>
      <c r="D49" s="60"/>
    </row>
    <row r="50" spans="2:4">
      <c r="B50" s="61"/>
      <c r="C50" s="60"/>
      <c r="D50" s="60"/>
    </row>
    <row r="51" spans="2:4">
      <c r="B51" s="61"/>
      <c r="C51" s="60"/>
      <c r="D51" s="60"/>
    </row>
    <row r="52" spans="2:4">
      <c r="B52" s="61"/>
      <c r="C52" s="60"/>
      <c r="D52" s="60"/>
    </row>
    <row r="53" spans="2:4">
      <c r="B53" s="61"/>
      <c r="C53" s="60"/>
      <c r="D53" s="60"/>
    </row>
    <row r="54" spans="2:4">
      <c r="B54" s="61"/>
      <c r="C54" s="60"/>
      <c r="D54" s="60"/>
    </row>
    <row r="55" spans="2:4">
      <c r="B55" s="61"/>
      <c r="C55" s="60"/>
      <c r="D55" s="60"/>
    </row>
    <row r="56" spans="2:4">
      <c r="B56" s="61"/>
      <c r="C56" s="60"/>
      <c r="D56" s="60"/>
    </row>
    <row r="57" spans="2:4">
      <c r="B57" s="61"/>
      <c r="C57" s="60"/>
      <c r="D57" s="60"/>
    </row>
    <row r="58" spans="2:4">
      <c r="B58" s="61"/>
      <c r="C58" s="60"/>
      <c r="D58" s="60"/>
    </row>
    <row r="59" spans="2:4">
      <c r="B59" s="61"/>
      <c r="C59" s="60"/>
      <c r="D59" s="60"/>
    </row>
    <row r="60" spans="2:4">
      <c r="B60" s="61"/>
      <c r="C60" s="60"/>
      <c r="D60" s="60"/>
    </row>
    <row r="61" spans="2:4" ht="12.75" customHeight="1">
      <c r="B61" s="61"/>
    </row>
    <row r="62" spans="2:4">
      <c r="B62" s="61"/>
      <c r="C62" s="60"/>
      <c r="D62" s="60"/>
    </row>
    <row r="63" spans="2:4">
      <c r="B63" s="61"/>
      <c r="C63" s="60"/>
      <c r="D63" s="60"/>
    </row>
    <row r="64" spans="2:4">
      <c r="B64" s="61"/>
      <c r="C64" s="60"/>
      <c r="D64" s="60"/>
    </row>
    <row r="65" spans="2:4">
      <c r="B65" s="61"/>
      <c r="C65" s="60"/>
      <c r="D65" s="60"/>
    </row>
    <row r="66" spans="2:4">
      <c r="B66" s="61"/>
      <c r="C66" s="60"/>
      <c r="D66" s="60"/>
    </row>
    <row r="67" spans="2:4">
      <c r="B67" s="61"/>
      <c r="C67" s="60"/>
      <c r="D67" s="60"/>
    </row>
    <row r="68" spans="2:4">
      <c r="B68" s="61"/>
      <c r="C68" s="60"/>
      <c r="D68" s="60"/>
    </row>
    <row r="69" spans="2:4">
      <c r="B69" s="61"/>
      <c r="C69" s="60"/>
      <c r="D69" s="60"/>
    </row>
    <row r="70" spans="2:4">
      <c r="B70" s="61"/>
      <c r="C70" s="60"/>
      <c r="D70" s="60"/>
    </row>
    <row r="71" spans="2:4">
      <c r="B71" s="61"/>
      <c r="C71" s="60"/>
      <c r="D71" s="60"/>
    </row>
    <row r="72" spans="2:4">
      <c r="B72" s="61"/>
      <c r="C72" s="60"/>
      <c r="D72" s="60"/>
    </row>
    <row r="73" spans="2:4">
      <c r="B73" s="61"/>
      <c r="C73" s="60"/>
      <c r="D73" s="60"/>
    </row>
    <row r="74" spans="2:4">
      <c r="B74" s="61"/>
      <c r="C74" s="60"/>
      <c r="D74" s="60"/>
    </row>
    <row r="75" spans="2:4">
      <c r="B75" s="61"/>
      <c r="C75" s="60"/>
      <c r="D75" s="60"/>
    </row>
    <row r="76" spans="2:4">
      <c r="B76" s="61"/>
      <c r="C76" s="60"/>
      <c r="D76" s="60"/>
    </row>
    <row r="77" spans="2:4">
      <c r="B77" s="61"/>
      <c r="C77" s="60"/>
      <c r="D77" s="60"/>
    </row>
    <row r="78" spans="2:4">
      <c r="B78" s="61"/>
      <c r="C78" s="60"/>
      <c r="D78" s="60"/>
    </row>
    <row r="79" spans="2:4">
      <c r="B79" s="61"/>
      <c r="C79" s="60"/>
      <c r="D79" s="60"/>
    </row>
    <row r="80" spans="2:4">
      <c r="B80" s="61"/>
      <c r="C80" s="60"/>
      <c r="D80" s="60"/>
    </row>
    <row r="81" spans="2:4">
      <c r="B81" s="61"/>
      <c r="C81" s="60"/>
      <c r="D81" s="60"/>
    </row>
    <row r="82" spans="2:4">
      <c r="B82" s="61"/>
      <c r="C82" s="60"/>
      <c r="D82" s="60"/>
    </row>
    <row r="83" spans="2:4">
      <c r="B83" s="61"/>
      <c r="C83" s="60"/>
      <c r="D83" s="60"/>
    </row>
    <row r="84" spans="2:4">
      <c r="B84" s="61"/>
      <c r="C84" s="60"/>
      <c r="D84" s="60"/>
    </row>
    <row r="85" spans="2:4">
      <c r="B85" s="61"/>
      <c r="C85" s="60"/>
      <c r="D85" s="60"/>
    </row>
    <row r="86" spans="2:4">
      <c r="B86" s="61"/>
      <c r="C86" s="60"/>
      <c r="D86" s="60"/>
    </row>
    <row r="87" spans="2:4">
      <c r="B87" s="61"/>
      <c r="C87" s="60"/>
      <c r="D87" s="60"/>
    </row>
    <row r="88" spans="2:4">
      <c r="B88" s="61"/>
      <c r="C88" s="60"/>
      <c r="D88" s="60"/>
    </row>
    <row r="89" spans="2:4">
      <c r="B89" s="61"/>
      <c r="C89" s="60"/>
      <c r="D89" s="60"/>
    </row>
    <row r="90" spans="2:4">
      <c r="B90" s="61"/>
      <c r="C90" s="60"/>
      <c r="D90" s="60"/>
    </row>
    <row r="91" spans="2:4">
      <c r="B91" s="61"/>
      <c r="C91" s="60"/>
      <c r="D91" s="60"/>
    </row>
    <row r="92" spans="2:4">
      <c r="B92" s="61"/>
      <c r="C92" s="60"/>
      <c r="D92" s="60"/>
    </row>
    <row r="93" spans="2:4" ht="12.75" customHeight="1">
      <c r="B93" s="61"/>
      <c r="C93" s="60"/>
    </row>
    <row r="94" spans="2:4">
      <c r="B94" s="61"/>
      <c r="C94" s="60"/>
      <c r="D94" s="60"/>
    </row>
    <row r="95" spans="2:4">
      <c r="B95" s="61"/>
      <c r="C95" s="60"/>
      <c r="D95" s="60"/>
    </row>
    <row r="96" spans="2:4">
      <c r="B96" s="61"/>
      <c r="C96" s="60"/>
      <c r="D96" s="60"/>
    </row>
    <row r="97" spans="2:4">
      <c r="B97" s="61"/>
      <c r="C97" s="60"/>
      <c r="D97" s="60"/>
    </row>
    <row r="98" spans="2:4">
      <c r="B98" s="61"/>
      <c r="C98" s="60"/>
      <c r="D98" s="60"/>
    </row>
    <row r="99" spans="2:4">
      <c r="B99" s="61"/>
      <c r="C99" s="60"/>
      <c r="D99" s="60"/>
    </row>
    <row r="100" spans="2:4">
      <c r="B100" s="61"/>
      <c r="C100" s="60"/>
      <c r="D100" s="60"/>
    </row>
    <row r="101" spans="2:4">
      <c r="B101" s="61"/>
      <c r="C101" s="60"/>
      <c r="D101" s="60"/>
    </row>
    <row r="102" spans="2:4">
      <c r="B102" s="61"/>
      <c r="C102" s="60"/>
      <c r="D102" s="60"/>
    </row>
    <row r="103" spans="2:4">
      <c r="B103" s="61"/>
      <c r="C103" s="60"/>
      <c r="D103" s="60"/>
    </row>
    <row r="104" spans="2:4">
      <c r="B104" s="61"/>
      <c r="C104" s="60"/>
      <c r="D104" s="60"/>
    </row>
    <row r="105" spans="2:4">
      <c r="B105" s="61"/>
      <c r="C105" s="60"/>
      <c r="D105" s="60"/>
    </row>
    <row r="106" spans="2:4">
      <c r="B106" s="61"/>
      <c r="C106" s="60"/>
      <c r="D106" s="60"/>
    </row>
    <row r="107" spans="2:4">
      <c r="B107" s="61"/>
      <c r="C107" s="60"/>
      <c r="D107" s="60"/>
    </row>
    <row r="108" spans="2:4">
      <c r="B108" s="61"/>
      <c r="C108" s="60"/>
      <c r="D108" s="60"/>
    </row>
    <row r="109" spans="2:4" ht="12.75" customHeight="1">
      <c r="B109" s="61"/>
      <c r="C109" s="60"/>
    </row>
    <row r="110" spans="2:4">
      <c r="B110" s="61"/>
      <c r="C110" s="60"/>
      <c r="D110" s="60"/>
    </row>
    <row r="111" spans="2:4">
      <c r="B111" s="61"/>
      <c r="C111" s="60"/>
      <c r="D111" s="60"/>
    </row>
    <row r="112" spans="2:4">
      <c r="B112" s="61"/>
      <c r="C112" s="60"/>
      <c r="D112" s="60"/>
    </row>
    <row r="113" spans="2:4">
      <c r="B113" s="61"/>
      <c r="C113" s="60"/>
      <c r="D113" s="60"/>
    </row>
    <row r="114" spans="2:4">
      <c r="B114" s="61"/>
      <c r="C114" s="60"/>
      <c r="D114" s="60"/>
    </row>
    <row r="115" spans="2:4">
      <c r="B115" s="61"/>
      <c r="C115" s="60"/>
      <c r="D115" s="60"/>
    </row>
    <row r="116" spans="2:4">
      <c r="B116" s="61"/>
      <c r="C116" s="60"/>
      <c r="D116" s="60"/>
    </row>
    <row r="117" spans="2:4">
      <c r="B117" s="61"/>
      <c r="C117" s="60"/>
      <c r="D117" s="60"/>
    </row>
    <row r="118" spans="2:4">
      <c r="B118" s="61"/>
      <c r="C118" s="60"/>
      <c r="D118" s="60"/>
    </row>
    <row r="119" spans="2:4">
      <c r="B119" s="61"/>
      <c r="C119" s="60"/>
      <c r="D119" s="60"/>
    </row>
    <row r="120" spans="2:4">
      <c r="B120" s="61"/>
      <c r="C120" s="60"/>
      <c r="D120" s="60"/>
    </row>
    <row r="121" spans="2:4">
      <c r="B121" s="61"/>
      <c r="C121" s="60"/>
      <c r="D121" s="60"/>
    </row>
    <row r="122" spans="2:4">
      <c r="B122" s="61"/>
      <c r="C122" s="60"/>
      <c r="D122" s="60"/>
    </row>
    <row r="123" spans="2:4">
      <c r="B123" s="61"/>
      <c r="C123" s="60"/>
      <c r="D123" s="60"/>
    </row>
    <row r="124" spans="2:4">
      <c r="B124" s="61"/>
      <c r="C124" s="60"/>
      <c r="D124" s="60"/>
    </row>
    <row r="125" spans="2:4" ht="12.75" customHeight="1">
      <c r="B125" s="61"/>
    </row>
    <row r="126" spans="2:4">
      <c r="B126" s="61"/>
      <c r="C126" s="60"/>
      <c r="D126" s="60"/>
    </row>
    <row r="127" spans="2:4">
      <c r="B127" s="61"/>
      <c r="C127" s="60"/>
      <c r="D127" s="60"/>
    </row>
    <row r="128" spans="2:4">
      <c r="B128" s="61"/>
      <c r="C128" s="60"/>
      <c r="D128" s="60"/>
    </row>
    <row r="129" spans="2:4">
      <c r="B129" s="61"/>
      <c r="C129" s="60"/>
      <c r="D129" s="60"/>
    </row>
    <row r="130" spans="2:4">
      <c r="B130" s="61"/>
      <c r="C130" s="60"/>
      <c r="D130" s="60"/>
    </row>
    <row r="131" spans="2:4">
      <c r="B131" s="61"/>
      <c r="C131" s="60"/>
      <c r="D131" s="60"/>
    </row>
    <row r="132" spans="2:4">
      <c r="B132" s="61"/>
      <c r="C132" s="60"/>
      <c r="D132" s="60"/>
    </row>
    <row r="133" spans="2:4">
      <c r="B133" s="61"/>
      <c r="C133" s="60"/>
      <c r="D133" s="60"/>
    </row>
    <row r="134" spans="2:4">
      <c r="B134" s="61"/>
      <c r="C134" s="60"/>
      <c r="D134" s="60"/>
    </row>
    <row r="135" spans="2:4">
      <c r="B135" s="61"/>
      <c r="C135" s="60"/>
      <c r="D135" s="60"/>
    </row>
    <row r="136" spans="2:4">
      <c r="B136" s="61"/>
      <c r="C136" s="60"/>
      <c r="D136" s="60"/>
    </row>
    <row r="137" spans="2:4">
      <c r="B137" s="61"/>
      <c r="C137" s="60"/>
      <c r="D137" s="60"/>
    </row>
    <row r="138" spans="2:4">
      <c r="B138" s="61"/>
      <c r="C138" s="60"/>
      <c r="D138" s="60"/>
    </row>
    <row r="139" spans="2:4">
      <c r="B139" s="61"/>
      <c r="C139" s="60"/>
      <c r="D139" s="60"/>
    </row>
    <row r="140" spans="2:4">
      <c r="B140" s="61"/>
      <c r="C140" s="60"/>
      <c r="D140" s="60"/>
    </row>
    <row r="141" spans="2:4" ht="12.75" customHeight="1">
      <c r="B141" s="61"/>
      <c r="C141" s="60"/>
    </row>
    <row r="142" spans="2:4">
      <c r="B142" s="61"/>
      <c r="C142" s="60"/>
      <c r="D142" s="60"/>
    </row>
    <row r="143" spans="2:4">
      <c r="B143" s="61"/>
      <c r="C143" s="60"/>
      <c r="D143" s="60"/>
    </row>
    <row r="144" spans="2:4">
      <c r="B144" s="61"/>
      <c r="C144" s="60"/>
      <c r="D144" s="60"/>
    </row>
    <row r="145" spans="2:4">
      <c r="B145" s="61"/>
      <c r="C145" s="60"/>
      <c r="D145" s="60"/>
    </row>
    <row r="146" spans="2:4">
      <c r="B146" s="61"/>
      <c r="C146" s="60"/>
      <c r="D146" s="60"/>
    </row>
    <row r="147" spans="2:4">
      <c r="B147" s="61"/>
      <c r="C147" s="60"/>
      <c r="D147" s="60"/>
    </row>
    <row r="148" spans="2:4">
      <c r="B148" s="61"/>
      <c r="C148" s="60"/>
      <c r="D148" s="60"/>
    </row>
    <row r="149" spans="2:4">
      <c r="B149" s="61"/>
      <c r="C149" s="60"/>
      <c r="D149" s="60"/>
    </row>
    <row r="150" spans="2:4">
      <c r="B150" s="61"/>
      <c r="C150" s="60"/>
      <c r="D150" s="60"/>
    </row>
    <row r="151" spans="2:4">
      <c r="B151" s="61"/>
      <c r="C151" s="60"/>
      <c r="D151" s="60"/>
    </row>
    <row r="152" spans="2:4">
      <c r="B152" s="61"/>
      <c r="C152" s="60"/>
      <c r="D152" s="60"/>
    </row>
    <row r="153" spans="2:4">
      <c r="B153" s="61"/>
      <c r="C153" s="60"/>
      <c r="D153" s="60"/>
    </row>
    <row r="154" spans="2:4">
      <c r="B154" s="61"/>
      <c r="C154" s="60"/>
      <c r="D154" s="60"/>
    </row>
    <row r="155" spans="2:4">
      <c r="B155" s="61"/>
      <c r="C155" s="60"/>
      <c r="D155" s="60"/>
    </row>
    <row r="156" spans="2:4">
      <c r="B156" s="61"/>
      <c r="C156" s="60"/>
      <c r="D156" s="60"/>
    </row>
    <row r="157" spans="2:4" ht="12.75" customHeight="1">
      <c r="B157" s="61"/>
      <c r="C157" s="60"/>
    </row>
    <row r="158" spans="2:4">
      <c r="B158" s="61"/>
      <c r="C158" s="60"/>
      <c r="D158" s="60"/>
    </row>
    <row r="159" spans="2:4">
      <c r="B159" s="61"/>
      <c r="C159" s="60"/>
      <c r="D159" s="60"/>
    </row>
    <row r="160" spans="2:4">
      <c r="B160" s="61"/>
      <c r="C160" s="60"/>
      <c r="D160" s="60"/>
    </row>
    <row r="161" spans="2:4">
      <c r="B161" s="61"/>
      <c r="C161" s="60"/>
      <c r="D161" s="60"/>
    </row>
    <row r="162" spans="2:4">
      <c r="B162" s="61"/>
      <c r="C162" s="60"/>
      <c r="D162" s="60"/>
    </row>
    <row r="163" spans="2:4">
      <c r="B163" s="61"/>
      <c r="C163" s="60"/>
      <c r="D163" s="60"/>
    </row>
    <row r="164" spans="2:4">
      <c r="B164" s="61"/>
      <c r="C164" s="60"/>
      <c r="D164" s="60"/>
    </row>
    <row r="165" spans="2:4">
      <c r="B165" s="61"/>
      <c r="C165" s="60"/>
      <c r="D165" s="60"/>
    </row>
    <row r="166" spans="2:4">
      <c r="B166" s="61"/>
      <c r="C166" s="60"/>
      <c r="D166" s="60"/>
    </row>
    <row r="167" spans="2:4">
      <c r="B167" s="61"/>
      <c r="C167" s="60"/>
      <c r="D167" s="60"/>
    </row>
    <row r="168" spans="2:4">
      <c r="B168" s="61"/>
      <c r="C168" s="60"/>
      <c r="D168" s="60"/>
    </row>
    <row r="169" spans="2:4">
      <c r="B169" s="61"/>
      <c r="C169" s="60"/>
      <c r="D169" s="60"/>
    </row>
    <row r="170" spans="2:4">
      <c r="B170" s="61"/>
      <c r="C170" s="60"/>
      <c r="D170" s="60"/>
    </row>
    <row r="171" spans="2:4">
      <c r="B171" s="61"/>
      <c r="C171" s="60"/>
      <c r="D171" s="60"/>
    </row>
    <row r="172" spans="2:4">
      <c r="B172" s="61"/>
      <c r="C172" s="60"/>
      <c r="D172" s="60"/>
    </row>
    <row r="173" spans="2:4" ht="12.75" customHeight="1">
      <c r="B173" s="61"/>
      <c r="C173" s="60"/>
    </row>
    <row r="174" spans="2:4">
      <c r="B174" s="61"/>
      <c r="C174" s="60"/>
      <c r="D174" s="60"/>
    </row>
    <row r="175" spans="2:4" ht="12.75" customHeight="1">
      <c r="B175" s="61"/>
      <c r="C175" s="60"/>
    </row>
    <row r="176" spans="2:4">
      <c r="B176" s="61"/>
      <c r="C176" s="60"/>
      <c r="D176" s="60"/>
    </row>
    <row r="177" spans="2:4" ht="12.75" customHeight="1">
      <c r="B177" s="61"/>
      <c r="C177" s="61"/>
    </row>
    <row r="178" spans="2:4">
      <c r="B178" s="61"/>
      <c r="C178" s="61"/>
      <c r="D178" s="60"/>
    </row>
    <row r="179" spans="2:4">
      <c r="B179" s="61"/>
      <c r="C179" s="61"/>
      <c r="D179" s="60"/>
    </row>
    <row r="180" spans="2:4">
      <c r="B180" s="61"/>
      <c r="C180" s="61"/>
      <c r="D180" s="60"/>
    </row>
    <row r="181" spans="2:4" ht="12.75" customHeight="1">
      <c r="B181" s="61"/>
      <c r="C181" s="61"/>
    </row>
    <row r="182" spans="2:4">
      <c r="B182" s="61"/>
      <c r="C182" s="61"/>
      <c r="D182" s="60"/>
    </row>
    <row r="183" spans="2:4">
      <c r="B183" s="61"/>
      <c r="C183" s="61"/>
      <c r="D183" s="60"/>
    </row>
    <row r="184" spans="2:4">
      <c r="B184" s="61"/>
      <c r="C184" s="61"/>
      <c r="D184" s="60"/>
    </row>
    <row r="185" spans="2:4" ht="12.75" customHeight="1">
      <c r="B185" s="61"/>
      <c r="C185" s="60"/>
      <c r="D185" s="60"/>
    </row>
    <row r="186" spans="2:4">
      <c r="B186" s="61"/>
      <c r="C186" s="60"/>
      <c r="D186" s="60"/>
    </row>
    <row r="187" spans="2:4">
      <c r="B187" s="61"/>
      <c r="C187" s="60"/>
      <c r="D187" s="60"/>
    </row>
    <row r="188" spans="2:4">
      <c r="B188" s="61"/>
      <c r="C188" s="60"/>
      <c r="D188" s="60"/>
    </row>
    <row r="189" spans="2:4" ht="12.75" customHeight="1">
      <c r="B189" s="61"/>
      <c r="C189" s="60"/>
      <c r="D189" s="60"/>
    </row>
    <row r="190" spans="2:4">
      <c r="B190" s="61"/>
      <c r="C190" s="60"/>
      <c r="D190" s="60"/>
    </row>
    <row r="191" spans="2:4">
      <c r="B191" s="61"/>
      <c r="C191" s="60"/>
      <c r="D191" s="60"/>
    </row>
    <row r="192" spans="2:4">
      <c r="B192" s="61"/>
      <c r="C192" s="60"/>
      <c r="D192" s="60"/>
    </row>
    <row r="193" spans="2:4" ht="12.75" customHeight="1">
      <c r="B193" s="61"/>
      <c r="C193" s="60"/>
      <c r="D193" s="60"/>
    </row>
    <row r="194" spans="2:4">
      <c r="B194" s="61"/>
      <c r="C194" s="60"/>
      <c r="D194" s="60"/>
    </row>
    <row r="195" spans="2:4">
      <c r="B195" s="61"/>
      <c r="C195" s="60"/>
      <c r="D195" s="60"/>
    </row>
    <row r="196" spans="2:4">
      <c r="B196" s="61"/>
      <c r="C196" s="60"/>
      <c r="D196" s="60"/>
    </row>
    <row r="197" spans="2:4" ht="12.75" customHeight="1">
      <c r="B197" s="61"/>
      <c r="C197" s="60"/>
      <c r="D197" s="60"/>
    </row>
    <row r="198" spans="2:4">
      <c r="B198" s="61"/>
      <c r="C198" s="60"/>
      <c r="D198" s="60"/>
    </row>
    <row r="199" spans="2:4">
      <c r="B199" s="61"/>
      <c r="C199" s="60"/>
      <c r="D199" s="60"/>
    </row>
    <row r="200" spans="2:4">
      <c r="B200" s="61"/>
      <c r="C200" s="60"/>
      <c r="D200" s="60"/>
    </row>
    <row r="201" spans="2:4" ht="12.75" customHeight="1">
      <c r="B201" s="61"/>
      <c r="C201" s="60"/>
      <c r="D201" s="60"/>
    </row>
    <row r="202" spans="2:4">
      <c r="B202" s="61"/>
      <c r="C202" s="60"/>
      <c r="D202" s="60"/>
    </row>
    <row r="203" spans="2:4">
      <c r="B203" s="61"/>
      <c r="C203" s="60"/>
      <c r="D203" s="60"/>
    </row>
    <row r="204" spans="2:4">
      <c r="B204" s="61"/>
      <c r="C204" s="60"/>
      <c r="D204" s="60"/>
    </row>
    <row r="205" spans="2:4" ht="12.75" customHeight="1">
      <c r="B205" s="61"/>
      <c r="C205" s="60"/>
      <c r="D205" s="60"/>
    </row>
    <row r="206" spans="2:4">
      <c r="B206" s="61"/>
      <c r="C206" s="60"/>
      <c r="D206" s="60"/>
    </row>
    <row r="207" spans="2:4">
      <c r="B207" s="61"/>
      <c r="C207" s="60"/>
      <c r="D207" s="60"/>
    </row>
    <row r="208" spans="2:4">
      <c r="B208" s="61"/>
      <c r="C208" s="60"/>
      <c r="D208" s="6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Calcul RT 2012</vt:lpstr>
      <vt:lpstr>Données Matériaux</vt:lpstr>
      <vt:lpstr>Données Météo</vt:lpstr>
      <vt:lpstr>Données Ponts Thermiques</vt:lpstr>
      <vt:lpstr>Données Graphiques</vt:lpstr>
      <vt:lpstr>Données calcul</vt:lpstr>
      <vt:lpstr>Tableau croisé dynamique</vt:lpstr>
      <vt:lpstr>annotation</vt:lpstr>
      <vt:lpstr>Béton</vt:lpstr>
      <vt:lpstr>Bois</vt:lpstr>
      <vt:lpstr>Chanvre</vt:lpstr>
      <vt:lpstr>Divers</vt:lpstr>
      <vt:lpstr>Fibre_de_bois</vt:lpstr>
      <vt:lpstr>Fixation</vt:lpstr>
      <vt:lpstr>Laine_de_roche</vt:lpstr>
      <vt:lpstr>Laine_de_verre</vt:lpstr>
      <vt:lpstr>Murs</vt:lpstr>
      <vt:lpstr>Ouate_de_cellulose</vt:lpstr>
      <vt:lpstr>Plâtre</vt:lpstr>
      <vt:lpstr>Toiture</vt:lpstr>
      <vt:lpstr>'Calcul RT 2012'!Zone_d_impression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Gruss</dc:creator>
  <cp:lastModifiedBy>Sylvain Gruss</cp:lastModifiedBy>
  <cp:lastPrinted>2020-01-16T09:47:36Z</cp:lastPrinted>
  <dcterms:created xsi:type="dcterms:W3CDTF">1996-10-21T11:03:58Z</dcterms:created>
  <dcterms:modified xsi:type="dcterms:W3CDTF">2020-01-16T09:47:39Z</dcterms:modified>
</cp:coreProperties>
</file>