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threadedComments/threadedComment1.xml" ContentType="application/vnd.ms-excel.threaded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codeName="ThisWorkbook" defaultThemeVersion="124226"/>
  <bookViews>
    <workbookView xWindow="15" yWindow="0" windowWidth="19170" windowHeight="12240" tabRatio="614"/>
  </bookViews>
  <sheets>
    <sheet name="Base de données" sheetId="1" r:id="rId1"/>
    <sheet name="achat" sheetId="9" r:id="rId2"/>
    <sheet name="vente " sheetId="10" r:id="rId3"/>
    <sheet name="listes" sheetId="11" r:id="rId4"/>
  </sheets>
  <externalReferences>
    <externalReference r:id="rId5"/>
  </externalReferences>
  <definedNames>
    <definedName name="_xlnm._FilterDatabase" localSheetId="0" hidden="1">'Base de données'!$S$1:$U$1</definedName>
    <definedName name="_xlnm._FilterDatabase" localSheetId="3" hidden="1">listes!#REF!</definedName>
    <definedName name="Dia">OFFSET(listes!$B$1,1,0,COUNTA(listes!$B:$B)-1,1)</definedName>
    <definedName name="formes">OFFSET(listes!$A$1,1,0,COUNTA(listes!$A:$A)-1,1)</definedName>
    <definedName name="matière">OFFSET(listes!$C$1,1,0,COUNTA(listes!$C:$C)-1,1)</definedName>
  </definedNames>
  <calcPr calcId="1257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4" i="10" a="1"/>
  <c r="L4" s="1"/>
  <c r="L5" a="1"/>
  <c r="L5" s="1"/>
  <c r="L6" a="1"/>
  <c r="L6" s="1"/>
  <c r="L7" a="1"/>
  <c r="L7" s="1"/>
  <c r="L8" a="1"/>
  <c r="L8" s="1"/>
  <c r="L9" a="1"/>
  <c r="L9" s="1"/>
  <c r="L10" a="1"/>
  <c r="L10" s="1"/>
  <c r="L11" a="1"/>
  <c r="L11" s="1"/>
  <c r="L12" a="1"/>
  <c r="L12" s="1"/>
  <c r="L13" a="1"/>
  <c r="L13" s="1"/>
  <c r="L14" a="1"/>
  <c r="L14" s="1"/>
  <c r="L15" a="1"/>
  <c r="L15" s="1"/>
  <c r="L16" a="1"/>
  <c r="L16" s="1"/>
  <c r="L17" a="1"/>
  <c r="L17" s="1"/>
  <c r="L18" a="1"/>
  <c r="L18" s="1"/>
  <c r="L19" a="1"/>
  <c r="L19" s="1"/>
  <c r="L20" a="1"/>
  <c r="L20" s="1"/>
  <c r="L21" a="1"/>
  <c r="L21" s="1"/>
  <c r="L22" a="1"/>
  <c r="L22" s="1"/>
  <c r="L3" a="1"/>
  <c r="L3" s="1"/>
  <c r="K4" a="1"/>
  <c r="K4" s="1"/>
  <c r="K5" a="1"/>
  <c r="K5" s="1"/>
  <c r="K6" a="1"/>
  <c r="K6" s="1"/>
  <c r="K7" a="1"/>
  <c r="K7" s="1"/>
  <c r="K8" a="1"/>
  <c r="K8" s="1"/>
  <c r="K9" a="1"/>
  <c r="K9" s="1"/>
  <c r="K10" a="1"/>
  <c r="K10" s="1"/>
  <c r="K11" a="1"/>
  <c r="K11" s="1"/>
  <c r="K12" a="1"/>
  <c r="K12" s="1"/>
  <c r="K13" a="1"/>
  <c r="K13" s="1"/>
  <c r="K14" a="1"/>
  <c r="K14" s="1"/>
  <c r="K15" a="1"/>
  <c r="K15" s="1"/>
  <c r="K16" a="1"/>
  <c r="K16" s="1"/>
  <c r="K17" a="1"/>
  <c r="K17" s="1"/>
  <c r="K18" a="1"/>
  <c r="K18" s="1"/>
  <c r="K19" a="1"/>
  <c r="K19" s="1"/>
  <c r="K20" a="1"/>
  <c r="K20" s="1"/>
  <c r="K21" a="1"/>
  <c r="K21" s="1"/>
  <c r="K22" a="1"/>
  <c r="K22" s="1"/>
  <c r="K3" a="1"/>
  <c r="K3" s="1"/>
  <c r="D30" i="9" l="1" a="1"/>
  <c r="D30" s="1"/>
  <c r="E30" a="1"/>
  <c r="E30" s="1"/>
  <c r="F30" s="1"/>
  <c r="D31" a="1"/>
  <c r="D31" s="1"/>
  <c r="E31" a="1"/>
  <c r="E31" s="1"/>
  <c r="D32" a="1"/>
  <c r="D32" s="1"/>
  <c r="O32" s="1" a="1"/>
  <c r="O32" s="1"/>
  <c r="E32" a="1"/>
  <c r="E32" s="1"/>
  <c r="F32" s="1"/>
  <c r="D33" a="1"/>
  <c r="D33" s="1"/>
  <c r="E33" a="1"/>
  <c r="E33" s="1"/>
  <c r="D34" a="1"/>
  <c r="D34" s="1"/>
  <c r="O34" s="1" a="1"/>
  <c r="O34" s="1"/>
  <c r="E34" a="1"/>
  <c r="E34" s="1"/>
  <c r="F34" s="1"/>
  <c r="D35" a="1"/>
  <c r="D35" s="1"/>
  <c r="E35" a="1"/>
  <c r="E35" s="1"/>
  <c r="D36" a="1"/>
  <c r="D36" s="1"/>
  <c r="O36" s="1" a="1"/>
  <c r="O36" s="1"/>
  <c r="E36" a="1"/>
  <c r="E36" s="1"/>
  <c r="D37" a="1"/>
  <c r="D37" s="1"/>
  <c r="E37" a="1"/>
  <c r="E37" s="1"/>
  <c r="D38" a="1"/>
  <c r="D38" s="1"/>
  <c r="O38" s="1" a="1"/>
  <c r="O38" s="1"/>
  <c r="E38" a="1"/>
  <c r="E38" s="1"/>
  <c r="B30" a="1"/>
  <c r="B30" s="1"/>
  <c r="A30" s="1"/>
  <c r="B31" a="1"/>
  <c r="B31" s="1"/>
  <c r="A31" s="1"/>
  <c r="B32" a="1"/>
  <c r="B32" s="1"/>
  <c r="A32" s="1"/>
  <c r="B33" a="1"/>
  <c r="B33" s="1"/>
  <c r="A33" s="1"/>
  <c r="B34" a="1"/>
  <c r="B34" s="1"/>
  <c r="A34" s="1"/>
  <c r="B35" a="1"/>
  <c r="B35" s="1"/>
  <c r="A35" s="1"/>
  <c r="B36" a="1"/>
  <c r="B36" s="1"/>
  <c r="A36" s="1"/>
  <c r="B37" a="1"/>
  <c r="B37" s="1"/>
  <c r="A37" s="1"/>
  <c r="B38" a="1"/>
  <c r="B38" s="1"/>
  <c r="A38" s="1"/>
  <c r="E7" a="1"/>
  <c r="E7" s="1"/>
  <c r="D27" a="1"/>
  <c r="D27" s="1"/>
  <c r="E27" a="1"/>
  <c r="E27" s="1"/>
  <c r="F27" s="1"/>
  <c r="D28" a="1"/>
  <c r="D28" s="1"/>
  <c r="O28" s="1" a="1"/>
  <c r="O28" s="1"/>
  <c r="E28" a="1"/>
  <c r="E28" s="1"/>
  <c r="F28" s="1"/>
  <c r="D29" a="1"/>
  <c r="D29" s="1"/>
  <c r="E29" a="1"/>
  <c r="E29" s="1"/>
  <c r="F29" s="1"/>
  <c r="B27" a="1"/>
  <c r="B27" s="1"/>
  <c r="A27" s="1"/>
  <c r="B28" a="1"/>
  <c r="B28" s="1"/>
  <c r="B29" a="1"/>
  <c r="B29" s="1"/>
  <c r="A29" s="1"/>
  <c r="B8" a="1"/>
  <c r="B8" s="1"/>
  <c r="D8" a="1"/>
  <c r="D8" s="1"/>
  <c r="E8" a="1"/>
  <c r="E8" s="1"/>
  <c r="G8" s="1"/>
  <c r="B9" a="1"/>
  <c r="B9" s="1"/>
  <c r="D9" a="1"/>
  <c r="D9" s="1"/>
  <c r="E9" a="1"/>
  <c r="E9" s="1"/>
  <c r="F9" s="1"/>
  <c r="B10" a="1"/>
  <c r="B10" s="1"/>
  <c r="A10" s="1"/>
  <c r="D10" a="1"/>
  <c r="D10" s="1"/>
  <c r="E10" a="1"/>
  <c r="E10" s="1"/>
  <c r="G10" s="1"/>
  <c r="B11" a="1"/>
  <c r="B11" s="1"/>
  <c r="A11" s="1"/>
  <c r="D11" a="1"/>
  <c r="D11" s="1"/>
  <c r="E11" a="1"/>
  <c r="E11" s="1"/>
  <c r="G11" s="1"/>
  <c r="B12" a="1"/>
  <c r="B12" s="1"/>
  <c r="A12" s="1"/>
  <c r="D12" a="1"/>
  <c r="D12" s="1"/>
  <c r="E12" a="1"/>
  <c r="E12" s="1"/>
  <c r="G12" s="1"/>
  <c r="B13" a="1"/>
  <c r="B13" s="1"/>
  <c r="A13" s="1"/>
  <c r="D13" a="1"/>
  <c r="D13" s="1"/>
  <c r="E13" a="1"/>
  <c r="E13" s="1"/>
  <c r="F13" s="1"/>
  <c r="B14" a="1"/>
  <c r="B14" s="1"/>
  <c r="A14" s="1"/>
  <c r="D14" a="1"/>
  <c r="D14" s="1"/>
  <c r="E14" a="1"/>
  <c r="E14" s="1"/>
  <c r="F14" s="1"/>
  <c r="B15" a="1"/>
  <c r="B15" s="1"/>
  <c r="D15" a="1"/>
  <c r="D15" s="1"/>
  <c r="E15" a="1"/>
  <c r="E15" s="1"/>
  <c r="F15" s="1"/>
  <c r="B16" a="1"/>
  <c r="B16" s="1"/>
  <c r="A16" s="1"/>
  <c r="D16" a="1"/>
  <c r="D16" s="1"/>
  <c r="E16" a="1"/>
  <c r="E16" s="1"/>
  <c r="F16" s="1"/>
  <c r="B17" a="1"/>
  <c r="B17" s="1"/>
  <c r="A17" s="1"/>
  <c r="D17" a="1"/>
  <c r="D17" s="1"/>
  <c r="E17" a="1"/>
  <c r="E17" s="1"/>
  <c r="F17" s="1"/>
  <c r="B18" a="1"/>
  <c r="B18" s="1"/>
  <c r="A18" s="1"/>
  <c r="D18" a="1"/>
  <c r="D18" s="1"/>
  <c r="E18" a="1"/>
  <c r="E18" s="1"/>
  <c r="F18" s="1"/>
  <c r="B19" a="1"/>
  <c r="B19" s="1"/>
  <c r="A19" s="1"/>
  <c r="D19" a="1"/>
  <c r="D19" s="1"/>
  <c r="E19" a="1"/>
  <c r="E19" s="1"/>
  <c r="F19" s="1"/>
  <c r="B20" a="1"/>
  <c r="B20" s="1"/>
  <c r="A20" s="1"/>
  <c r="D20" a="1"/>
  <c r="D20" s="1"/>
  <c r="E20" a="1"/>
  <c r="E20" s="1"/>
  <c r="F20" s="1"/>
  <c r="B21" a="1"/>
  <c r="B21" s="1"/>
  <c r="A21" s="1"/>
  <c r="D21" a="1"/>
  <c r="D21" s="1"/>
  <c r="E21" a="1"/>
  <c r="E21" s="1"/>
  <c r="F21" s="1"/>
  <c r="B22" a="1"/>
  <c r="B22" s="1"/>
  <c r="A22" s="1"/>
  <c r="D22" a="1"/>
  <c r="D22" s="1"/>
  <c r="E22" a="1"/>
  <c r="E22" s="1"/>
  <c r="F22" s="1"/>
  <c r="B23" a="1"/>
  <c r="B23" s="1"/>
  <c r="A23" s="1"/>
  <c r="D23" a="1"/>
  <c r="D23" s="1"/>
  <c r="E23" a="1"/>
  <c r="E23" s="1"/>
  <c r="F23" s="1"/>
  <c r="B24" a="1"/>
  <c r="B24" s="1"/>
  <c r="A24" s="1"/>
  <c r="D24" a="1"/>
  <c r="D24" s="1"/>
  <c r="E24" a="1"/>
  <c r="E24" s="1"/>
  <c r="F24" s="1"/>
  <c r="B25" a="1"/>
  <c r="B25" s="1"/>
  <c r="A25" s="1"/>
  <c r="D25" a="1"/>
  <c r="D25" s="1"/>
  <c r="E25" a="1"/>
  <c r="E25" s="1"/>
  <c r="F25" s="1"/>
  <c r="B26" a="1"/>
  <c r="B26" s="1"/>
  <c r="A26" s="1"/>
  <c r="D26" a="1"/>
  <c r="D26" s="1"/>
  <c r="E26" a="1"/>
  <c r="E26" s="1"/>
  <c r="F26" s="1"/>
  <c r="D7" a="1"/>
  <c r="D7" s="1"/>
  <c r="O7" s="1" a="1"/>
  <c r="O7" s="1"/>
  <c r="B7" a="1"/>
  <c r="B7" s="1"/>
  <c r="B4" i="10" a="1"/>
  <c r="B4" s="1"/>
  <c r="C4" a="1"/>
  <c r="C4" s="1"/>
  <c r="D4" a="1"/>
  <c r="D4" s="1"/>
  <c r="E4" a="1"/>
  <c r="E4" s="1"/>
  <c r="F4" a="1"/>
  <c r="F4" s="1"/>
  <c r="G4" a="1"/>
  <c r="G4" s="1"/>
  <c r="H4" a="1"/>
  <c r="H4" s="1"/>
  <c r="I4" a="1"/>
  <c r="I4" s="1"/>
  <c r="J4" a="1"/>
  <c r="J4" s="1"/>
  <c r="Q4" s="1"/>
  <c r="M4" a="1"/>
  <c r="M4" s="1"/>
  <c r="B5" a="1"/>
  <c r="B5" s="1"/>
  <c r="C5" a="1"/>
  <c r="C5" s="1"/>
  <c r="D5" a="1"/>
  <c r="D5" s="1"/>
  <c r="E5" a="1"/>
  <c r="E5" s="1"/>
  <c r="F5" a="1"/>
  <c r="F5" s="1"/>
  <c r="G5" a="1"/>
  <c r="G5" s="1"/>
  <c r="H5" a="1"/>
  <c r="H5" s="1"/>
  <c r="I5" a="1"/>
  <c r="I5" s="1"/>
  <c r="J5" a="1"/>
  <c r="J5" s="1"/>
  <c r="Q5" s="1"/>
  <c r="M5" a="1"/>
  <c r="M5" s="1"/>
  <c r="B6" a="1"/>
  <c r="B6" s="1"/>
  <c r="C6" a="1"/>
  <c r="C6" s="1"/>
  <c r="D6" a="1"/>
  <c r="D6" s="1"/>
  <c r="E6" a="1"/>
  <c r="E6" s="1"/>
  <c r="F6" a="1"/>
  <c r="F6" s="1"/>
  <c r="G6" a="1"/>
  <c r="G6" s="1"/>
  <c r="H6" a="1"/>
  <c r="H6" s="1"/>
  <c r="I6" a="1"/>
  <c r="I6" s="1"/>
  <c r="J6" a="1"/>
  <c r="J6" s="1"/>
  <c r="Q6" s="1"/>
  <c r="M6" a="1"/>
  <c r="M6" s="1"/>
  <c r="B7" a="1"/>
  <c r="B7" s="1"/>
  <c r="C7" a="1"/>
  <c r="C7" s="1"/>
  <c r="D7" a="1"/>
  <c r="D7" s="1"/>
  <c r="E7" a="1"/>
  <c r="E7" s="1"/>
  <c r="F7" a="1"/>
  <c r="F7" s="1"/>
  <c r="G7" a="1"/>
  <c r="G7" s="1"/>
  <c r="H7" a="1"/>
  <c r="H7" s="1"/>
  <c r="I7" a="1"/>
  <c r="I7" s="1"/>
  <c r="J7" a="1"/>
  <c r="J7" s="1"/>
  <c r="Q7" s="1"/>
  <c r="M7" a="1"/>
  <c r="M7" s="1"/>
  <c r="B8" a="1"/>
  <c r="B8" s="1"/>
  <c r="C8" a="1"/>
  <c r="C8" s="1"/>
  <c r="D8" a="1"/>
  <c r="D8" s="1"/>
  <c r="E8" a="1"/>
  <c r="E8" s="1"/>
  <c r="F8" a="1"/>
  <c r="F8" s="1"/>
  <c r="G8" a="1"/>
  <c r="G8" s="1"/>
  <c r="H8" a="1"/>
  <c r="H8" s="1"/>
  <c r="I8" a="1"/>
  <c r="I8" s="1"/>
  <c r="J8" a="1"/>
  <c r="J8" s="1"/>
  <c r="Q8" s="1"/>
  <c r="M8" a="1"/>
  <c r="M8" s="1"/>
  <c r="B9" a="1"/>
  <c r="B9" s="1"/>
  <c r="C9" a="1"/>
  <c r="C9" s="1"/>
  <c r="D9" a="1"/>
  <c r="D9" s="1"/>
  <c r="E9" a="1"/>
  <c r="E9" s="1"/>
  <c r="F9" a="1"/>
  <c r="F9" s="1"/>
  <c r="G9" a="1"/>
  <c r="G9" s="1"/>
  <c r="H9" a="1"/>
  <c r="H9" s="1"/>
  <c r="I9" a="1"/>
  <c r="I9" s="1"/>
  <c r="J9" a="1"/>
  <c r="J9" s="1"/>
  <c r="Q9" s="1"/>
  <c r="M9" a="1"/>
  <c r="M9" s="1"/>
  <c r="B10" a="1"/>
  <c r="B10" s="1"/>
  <c r="C10" a="1"/>
  <c r="C10" s="1"/>
  <c r="D10" a="1"/>
  <c r="D10" s="1"/>
  <c r="E10" a="1"/>
  <c r="E10" s="1"/>
  <c r="F10" a="1"/>
  <c r="F10" s="1"/>
  <c r="G10" a="1"/>
  <c r="G10" s="1"/>
  <c r="H10" a="1"/>
  <c r="H10" s="1"/>
  <c r="I10" a="1"/>
  <c r="I10" s="1"/>
  <c r="J10" a="1"/>
  <c r="J10" s="1"/>
  <c r="Q10" s="1"/>
  <c r="M10" a="1"/>
  <c r="M10" s="1"/>
  <c r="B11" a="1"/>
  <c r="B11" s="1"/>
  <c r="C11" a="1"/>
  <c r="C11" s="1"/>
  <c r="D11" a="1"/>
  <c r="D11" s="1"/>
  <c r="E11" a="1"/>
  <c r="E11" s="1"/>
  <c r="F11" a="1"/>
  <c r="F11" s="1"/>
  <c r="G11" a="1"/>
  <c r="G11" s="1"/>
  <c r="H11" a="1"/>
  <c r="H11" s="1"/>
  <c r="I11" a="1"/>
  <c r="I11" s="1"/>
  <c r="J11" a="1"/>
  <c r="J11" s="1"/>
  <c r="Q11" s="1"/>
  <c r="M11" a="1"/>
  <c r="M11" s="1"/>
  <c r="B12" a="1"/>
  <c r="B12" s="1"/>
  <c r="C12" a="1"/>
  <c r="C12" s="1"/>
  <c r="D12" a="1"/>
  <c r="D12" s="1"/>
  <c r="E12" a="1"/>
  <c r="E12" s="1"/>
  <c r="F12" a="1"/>
  <c r="F12" s="1"/>
  <c r="G12" a="1"/>
  <c r="G12" s="1"/>
  <c r="H12" a="1"/>
  <c r="H12" s="1"/>
  <c r="I12" a="1"/>
  <c r="I12" s="1"/>
  <c r="J12" a="1"/>
  <c r="J12" s="1"/>
  <c r="Q12" s="1"/>
  <c r="M12" a="1"/>
  <c r="M12" s="1"/>
  <c r="B13" a="1"/>
  <c r="B13" s="1"/>
  <c r="C13" a="1"/>
  <c r="C13" s="1"/>
  <c r="D13" a="1"/>
  <c r="D13" s="1"/>
  <c r="E13" a="1"/>
  <c r="E13" s="1"/>
  <c r="F13" a="1"/>
  <c r="F13" s="1"/>
  <c r="G13" a="1"/>
  <c r="G13" s="1"/>
  <c r="H13" a="1"/>
  <c r="H13" s="1"/>
  <c r="I13" a="1"/>
  <c r="I13" s="1"/>
  <c r="J13" a="1"/>
  <c r="J13" s="1"/>
  <c r="Q13" s="1"/>
  <c r="M13" a="1"/>
  <c r="M13" s="1"/>
  <c r="B14" a="1"/>
  <c r="B14" s="1"/>
  <c r="C14" a="1"/>
  <c r="C14" s="1"/>
  <c r="D14" a="1"/>
  <c r="D14" s="1"/>
  <c r="E14" a="1"/>
  <c r="E14" s="1"/>
  <c r="F14" a="1"/>
  <c r="F14" s="1"/>
  <c r="G14" a="1"/>
  <c r="G14" s="1"/>
  <c r="H14" a="1"/>
  <c r="H14" s="1"/>
  <c r="I14" a="1"/>
  <c r="I14" s="1"/>
  <c r="J14" a="1"/>
  <c r="J14" s="1"/>
  <c r="Q14" s="1"/>
  <c r="M14" a="1"/>
  <c r="M14" s="1"/>
  <c r="B15" a="1"/>
  <c r="B15" s="1"/>
  <c r="C15" a="1"/>
  <c r="C15" s="1"/>
  <c r="D15" a="1"/>
  <c r="D15" s="1"/>
  <c r="E15" a="1"/>
  <c r="E15" s="1"/>
  <c r="F15" a="1"/>
  <c r="F15" s="1"/>
  <c r="G15" a="1"/>
  <c r="G15" s="1"/>
  <c r="H15" a="1"/>
  <c r="H15" s="1"/>
  <c r="I15" a="1"/>
  <c r="I15" s="1"/>
  <c r="J15" a="1"/>
  <c r="J15" s="1"/>
  <c r="Q15" s="1"/>
  <c r="M15" a="1"/>
  <c r="M15" s="1"/>
  <c r="B16" a="1"/>
  <c r="B16" s="1"/>
  <c r="C16" a="1"/>
  <c r="C16" s="1"/>
  <c r="D16" a="1"/>
  <c r="D16" s="1"/>
  <c r="E16" a="1"/>
  <c r="E16" s="1"/>
  <c r="F16" a="1"/>
  <c r="F16" s="1"/>
  <c r="G16" a="1"/>
  <c r="G16" s="1"/>
  <c r="H16" a="1"/>
  <c r="H16" s="1"/>
  <c r="I16" a="1"/>
  <c r="I16" s="1"/>
  <c r="J16" a="1"/>
  <c r="J16" s="1"/>
  <c r="Q16" s="1"/>
  <c r="M16" a="1"/>
  <c r="M16" s="1"/>
  <c r="B17" a="1"/>
  <c r="B17" s="1"/>
  <c r="C17" a="1"/>
  <c r="C17" s="1"/>
  <c r="D17" a="1"/>
  <c r="D17" s="1"/>
  <c r="E17" a="1"/>
  <c r="E17" s="1"/>
  <c r="F17" a="1"/>
  <c r="F17" s="1"/>
  <c r="G17" a="1"/>
  <c r="G17" s="1"/>
  <c r="H17" a="1"/>
  <c r="H17" s="1"/>
  <c r="I17" a="1"/>
  <c r="I17" s="1"/>
  <c r="J17" a="1"/>
  <c r="J17" s="1"/>
  <c r="Q17" s="1"/>
  <c r="M17" a="1"/>
  <c r="M17" s="1"/>
  <c r="B18" a="1"/>
  <c r="B18" s="1"/>
  <c r="C18" a="1"/>
  <c r="C18" s="1"/>
  <c r="D18" a="1"/>
  <c r="D18" s="1"/>
  <c r="E18" a="1"/>
  <c r="E18" s="1"/>
  <c r="F18" a="1"/>
  <c r="F18" s="1"/>
  <c r="G18" a="1"/>
  <c r="G18" s="1"/>
  <c r="H18" a="1"/>
  <c r="H18" s="1"/>
  <c r="I18" a="1"/>
  <c r="I18" s="1"/>
  <c r="J18" a="1"/>
  <c r="J18" s="1"/>
  <c r="Q18" s="1"/>
  <c r="M18" a="1"/>
  <c r="M18" s="1"/>
  <c r="E3" a="1"/>
  <c r="E3" s="1"/>
  <c r="F3" a="1"/>
  <c r="F3" s="1"/>
  <c r="G3" a="1"/>
  <c r="G3" s="1"/>
  <c r="H3" a="1"/>
  <c r="H3" s="1"/>
  <c r="I3" a="1"/>
  <c r="I3" s="1"/>
  <c r="J3" a="1"/>
  <c r="J3" s="1"/>
  <c r="Q3" s="1"/>
  <c r="M3" a="1"/>
  <c r="M3" s="1"/>
  <c r="D3" a="1"/>
  <c r="D3" s="1"/>
  <c r="C3" a="1"/>
  <c r="C3" s="1"/>
  <c r="B3" a="1"/>
  <c r="B3" s="1"/>
  <c r="A4" a="1"/>
  <c r="A4" s="1"/>
  <c r="A5" a="1"/>
  <c r="A5" s="1"/>
  <c r="A6" a="1"/>
  <c r="A6" s="1"/>
  <c r="A3" a="1"/>
  <c r="A3" s="1"/>
  <c r="J13" i="9" l="1" a="1"/>
  <c r="J13" s="1"/>
  <c r="O13" a="1"/>
  <c r="O13" s="1"/>
  <c r="J11" a="1"/>
  <c r="J11" s="1"/>
  <c r="O11" a="1"/>
  <c r="O11" s="1"/>
  <c r="J9" a="1"/>
  <c r="J9" s="1"/>
  <c r="O9" a="1"/>
  <c r="O9" s="1"/>
  <c r="N4" i="10"/>
  <c r="I7" i="9" a="1"/>
  <c r="I7" s="1"/>
  <c r="I8" s="1" a="1"/>
  <c r="I8" s="1"/>
  <c r="I9" s="1" a="1"/>
  <c r="I9" s="1"/>
  <c r="I10" s="1" a="1"/>
  <c r="I10" s="1"/>
  <c r="I11" s="1" a="1"/>
  <c r="I11" s="1"/>
  <c r="I12" s="1" a="1"/>
  <c r="I12" s="1"/>
  <c r="J12" a="1"/>
  <c r="J12" s="1"/>
  <c r="O12" a="1"/>
  <c r="O12" s="1"/>
  <c r="J10" a="1"/>
  <c r="J10" s="1"/>
  <c r="O10" a="1"/>
  <c r="O10" s="1"/>
  <c r="J8" a="1"/>
  <c r="J8" s="1"/>
  <c r="O8" a="1"/>
  <c r="O8" s="1"/>
  <c r="N3" i="10"/>
  <c r="N11"/>
  <c r="N7"/>
  <c r="N8"/>
  <c r="N5"/>
  <c r="N16"/>
  <c r="N13"/>
  <c r="N9"/>
  <c r="N18"/>
  <c r="N6"/>
  <c r="N15"/>
  <c r="N12"/>
  <c r="N17"/>
  <c r="N14"/>
  <c r="N10"/>
  <c r="J24" i="9" a="1"/>
  <c r="J24" s="1"/>
  <c r="O24" a="1"/>
  <c r="O24" s="1"/>
  <c r="J20" a="1"/>
  <c r="J20" s="1"/>
  <c r="O20" a="1"/>
  <c r="O20" s="1"/>
  <c r="J16" a="1"/>
  <c r="J16" s="1"/>
  <c r="O16" a="1"/>
  <c r="O16" s="1"/>
  <c r="J37" a="1"/>
  <c r="J37" s="1"/>
  <c r="O37" a="1"/>
  <c r="O37" s="1"/>
  <c r="J35" a="1"/>
  <c r="J35" s="1"/>
  <c r="O35" a="1"/>
  <c r="O35" s="1"/>
  <c r="J33" a="1"/>
  <c r="J33" s="1"/>
  <c r="O33" a="1"/>
  <c r="O33" s="1"/>
  <c r="J31" a="1"/>
  <c r="J31" s="1"/>
  <c r="O31" a="1"/>
  <c r="O31" s="1"/>
  <c r="J25" a="1"/>
  <c r="J25" s="1"/>
  <c r="O25" a="1"/>
  <c r="O25" s="1"/>
  <c r="J21" a="1"/>
  <c r="J21" s="1"/>
  <c r="O21" a="1"/>
  <c r="O21" s="1"/>
  <c r="J17" a="1"/>
  <c r="J17" s="1"/>
  <c r="O17" a="1"/>
  <c r="O17" s="1"/>
  <c r="J26" a="1"/>
  <c r="J26" s="1"/>
  <c r="O26" a="1"/>
  <c r="O26" s="1"/>
  <c r="J22" a="1"/>
  <c r="J22" s="1"/>
  <c r="O22" a="1"/>
  <c r="O22" s="1"/>
  <c r="J18" a="1"/>
  <c r="J18" s="1"/>
  <c r="O18" a="1"/>
  <c r="O18" s="1"/>
  <c r="J14" a="1"/>
  <c r="J14" s="1"/>
  <c r="O14" a="1"/>
  <c r="O14" s="1"/>
  <c r="J29" a="1"/>
  <c r="J29" s="1"/>
  <c r="O29" a="1"/>
  <c r="O29" s="1"/>
  <c r="J27" a="1"/>
  <c r="J27" s="1"/>
  <c r="O27" a="1"/>
  <c r="O27" s="1"/>
  <c r="I30" a="1"/>
  <c r="I30" s="1"/>
  <c r="I31" s="1" a="1"/>
  <c r="I31" s="1"/>
  <c r="I32" s="1" a="1"/>
  <c r="I32" s="1"/>
  <c r="I33" s="1" a="1"/>
  <c r="I33" s="1"/>
  <c r="I34" s="1" a="1"/>
  <c r="I34" s="1"/>
  <c r="I35" s="1" a="1"/>
  <c r="I35" s="1"/>
  <c r="O30" a="1"/>
  <c r="O30" s="1"/>
  <c r="J23" a="1"/>
  <c r="J23" s="1"/>
  <c r="N23" s="1"/>
  <c r="O23" a="1"/>
  <c r="O23" s="1"/>
  <c r="J19" a="1"/>
  <c r="J19" s="1"/>
  <c r="O19" a="1"/>
  <c r="O19" s="1"/>
  <c r="J15" a="1"/>
  <c r="J15" s="1"/>
  <c r="O15" a="1"/>
  <c r="O15" s="1"/>
  <c r="I28" a="1"/>
  <c r="I28" s="1"/>
  <c r="I29" s="1" a="1"/>
  <c r="I29" s="1"/>
  <c r="I15" a="1"/>
  <c r="I15" s="1"/>
  <c r="I16" s="1" a="1"/>
  <c r="I16" s="1"/>
  <c r="I17" s="1" a="1"/>
  <c r="I17" s="1"/>
  <c r="I18" s="1" a="1"/>
  <c r="I18" s="1"/>
  <c r="I19" s="1" a="1"/>
  <c r="I19" s="1"/>
  <c r="I20" s="1" a="1"/>
  <c r="I20" s="1"/>
  <c r="I21" s="1" a="1"/>
  <c r="I21" s="1"/>
  <c r="I22" s="1" a="1"/>
  <c r="I22" s="1"/>
  <c r="I23" s="1" a="1"/>
  <c r="I23" s="1"/>
  <c r="I24" s="1" a="1"/>
  <c r="I24" s="1"/>
  <c r="I25" s="1" a="1"/>
  <c r="I25" s="1"/>
  <c r="I26" s="1" a="1"/>
  <c r="I26" s="1"/>
  <c r="I27" s="1" a="1"/>
  <c r="I27" s="1"/>
  <c r="I13" a="1"/>
  <c r="I13" s="1"/>
  <c r="I14" s="1" a="1"/>
  <c r="I14" s="1"/>
  <c r="I36" a="1"/>
  <c r="I36" s="1"/>
  <c r="I37" s="1" a="1"/>
  <c r="I37" s="1"/>
  <c r="I38" s="1" a="1"/>
  <c r="I38" s="1"/>
  <c r="G38"/>
  <c r="F38"/>
  <c r="G36"/>
  <c r="F36"/>
  <c r="J38" a="1"/>
  <c r="J38" s="1"/>
  <c r="M38" a="1"/>
  <c r="M38" s="1"/>
  <c r="M36" a="1"/>
  <c r="M36" s="1"/>
  <c r="J36" a="1"/>
  <c r="J36" s="1"/>
  <c r="H31"/>
  <c r="F31"/>
  <c r="G31"/>
  <c r="H33"/>
  <c r="F33"/>
  <c r="G33"/>
  <c r="M30" a="1"/>
  <c r="M30" s="1"/>
  <c r="J30" a="1"/>
  <c r="J30" s="1"/>
  <c r="H37"/>
  <c r="F37"/>
  <c r="G37"/>
  <c r="H35"/>
  <c r="F35"/>
  <c r="G35"/>
  <c r="M32" a="1"/>
  <c r="M32" s="1"/>
  <c r="J32" a="1"/>
  <c r="J32" s="1"/>
  <c r="M34" a="1"/>
  <c r="M34" s="1"/>
  <c r="J34" a="1"/>
  <c r="J34" s="1"/>
  <c r="H38"/>
  <c r="H36"/>
  <c r="H34"/>
  <c r="M37" a="1"/>
  <c r="M37" s="1"/>
  <c r="L37" s="1"/>
  <c r="M35" a="1"/>
  <c r="M35" s="1"/>
  <c r="L35" s="1"/>
  <c r="M33" a="1"/>
  <c r="M33" s="1"/>
  <c r="L33" s="1"/>
  <c r="H32"/>
  <c r="M31" a="1"/>
  <c r="M31" s="1"/>
  <c r="L31" s="1"/>
  <c r="H30"/>
  <c r="G34"/>
  <c r="G32"/>
  <c r="G30"/>
  <c r="F8"/>
  <c r="H11"/>
  <c r="H9"/>
  <c r="M8" a="1"/>
  <c r="M8" s="1"/>
  <c r="L8" s="1"/>
  <c r="M7" a="1"/>
  <c r="M7" s="1"/>
  <c r="F11"/>
  <c r="F12"/>
  <c r="G9"/>
  <c r="F10"/>
  <c r="H12"/>
  <c r="H10"/>
  <c r="H8"/>
  <c r="M10" a="1"/>
  <c r="M10" s="1"/>
  <c r="L10" s="1"/>
  <c r="M9" a="1"/>
  <c r="M9" s="1"/>
  <c r="L9" s="1"/>
  <c r="M12" a="1"/>
  <c r="M12" s="1"/>
  <c r="L12" s="1"/>
  <c r="M11" a="1"/>
  <c r="M11" s="1"/>
  <c r="L11" s="1"/>
  <c r="N19"/>
  <c r="M27" a="1"/>
  <c r="M27" s="1"/>
  <c r="L27" s="1"/>
  <c r="M14" a="1"/>
  <c r="M14" s="1"/>
  <c r="M16" a="1"/>
  <c r="M16" s="1"/>
  <c r="L16" s="1"/>
  <c r="M13" a="1"/>
  <c r="M13" s="1"/>
  <c r="L13" s="1"/>
  <c r="M29" a="1"/>
  <c r="M29" s="1"/>
  <c r="L29" s="1"/>
  <c r="M15" a="1"/>
  <c r="M15" s="1"/>
  <c r="M28" a="1"/>
  <c r="M28" s="1"/>
  <c r="M26" a="1"/>
  <c r="M26" s="1"/>
  <c r="L26" s="1"/>
  <c r="M24" a="1"/>
  <c r="M24" s="1"/>
  <c r="L24" s="1"/>
  <c r="M22" a="1"/>
  <c r="M22" s="1"/>
  <c r="L22" s="1"/>
  <c r="M20" a="1"/>
  <c r="M20" s="1"/>
  <c r="L20" s="1"/>
  <c r="M18" a="1"/>
  <c r="M18" s="1"/>
  <c r="L18" s="1"/>
  <c r="M25" a="1"/>
  <c r="M25" s="1"/>
  <c r="L25" s="1"/>
  <c r="M23" a="1"/>
  <c r="M23" s="1"/>
  <c r="M21" a="1"/>
  <c r="M21" s="1"/>
  <c r="L21" s="1"/>
  <c r="M19" a="1"/>
  <c r="M19" s="1"/>
  <c r="L19" s="1"/>
  <c r="M17" a="1"/>
  <c r="M17" s="1"/>
  <c r="L17" s="1"/>
  <c r="N13"/>
  <c r="N27"/>
  <c r="N29"/>
  <c r="N21"/>
  <c r="N15"/>
  <c r="N26"/>
  <c r="N22"/>
  <c r="N20"/>
  <c r="N18"/>
  <c r="N16"/>
  <c r="G7"/>
  <c r="F7"/>
  <c r="H7"/>
  <c r="H17"/>
  <c r="H13"/>
  <c r="G13"/>
  <c r="H29"/>
  <c r="H27"/>
  <c r="H25"/>
  <c r="H23"/>
  <c r="H21"/>
  <c r="H19"/>
  <c r="H15"/>
  <c r="G29"/>
  <c r="G27"/>
  <c r="G25"/>
  <c r="G23"/>
  <c r="G21"/>
  <c r="G19"/>
  <c r="G17"/>
  <c r="G15"/>
  <c r="H28"/>
  <c r="H26"/>
  <c r="H24"/>
  <c r="H22"/>
  <c r="H20"/>
  <c r="H18"/>
  <c r="H16"/>
  <c r="H14"/>
  <c r="G28"/>
  <c r="G26"/>
  <c r="G24"/>
  <c r="G22"/>
  <c r="G20"/>
  <c r="G18"/>
  <c r="G16"/>
  <c r="G14"/>
  <c r="A8"/>
  <c r="J7" a="1"/>
  <c r="J7" s="1"/>
  <c r="N7" s="1"/>
  <c r="A9"/>
  <c r="J28" a="1"/>
  <c r="J28" s="1"/>
  <c r="N28" s="1"/>
  <c r="A7"/>
  <c r="A28"/>
  <c r="A15"/>
  <c r="L15" l="1"/>
  <c r="L23"/>
  <c r="L14"/>
  <c r="L34"/>
  <c r="L38"/>
  <c r="L36"/>
  <c r="P34"/>
  <c r="N34"/>
  <c r="L30"/>
  <c r="P38"/>
  <c r="N38"/>
  <c r="N31"/>
  <c r="P31"/>
  <c r="N35"/>
  <c r="P35"/>
  <c r="L32"/>
  <c r="P30"/>
  <c r="N30"/>
  <c r="N37"/>
  <c r="P37"/>
  <c r="P32"/>
  <c r="N32"/>
  <c r="N33"/>
  <c r="P33"/>
  <c r="P36"/>
  <c r="N36"/>
  <c r="P28"/>
  <c r="P9"/>
  <c r="N9"/>
  <c r="L7"/>
  <c r="P13"/>
  <c r="N10"/>
  <c r="P10"/>
  <c r="N11"/>
  <c r="P11"/>
  <c r="P7"/>
  <c r="P12"/>
  <c r="N12"/>
  <c r="N8"/>
  <c r="P8"/>
  <c r="P19"/>
  <c r="P18"/>
  <c r="P26"/>
  <c r="P27"/>
  <c r="P21"/>
  <c r="P20"/>
  <c r="P15"/>
  <c r="P23"/>
  <c r="P22"/>
  <c r="P16"/>
  <c r="P29"/>
  <c r="N17"/>
  <c r="P17"/>
  <c r="N25"/>
  <c r="P25"/>
  <c r="N24"/>
  <c r="P24"/>
  <c r="N14"/>
  <c r="P14"/>
  <c r="L28"/>
  <c r="V4" i="1" l="1"/>
  <c r="V5"/>
  <c r="V6"/>
  <c r="V7"/>
  <c r="V8"/>
  <c r="V9"/>
  <c r="V10"/>
  <c r="V11"/>
  <c r="V12"/>
  <c r="V13"/>
  <c r="V14"/>
  <c r="V15"/>
  <c r="V16"/>
  <c r="V17"/>
  <c r="V18"/>
  <c r="V19"/>
  <c r="V20"/>
  <c r="V21"/>
  <c r="V22"/>
  <c r="V23"/>
  <c r="V24"/>
  <c r="V25"/>
  <c r="V26"/>
  <c r="V27"/>
  <c r="V28"/>
  <c r="V29"/>
  <c r="V30"/>
  <c r="V31"/>
  <c r="V32"/>
  <c r="V33"/>
  <c r="V34"/>
  <c r="V35"/>
  <c r="V36"/>
  <c r="V37"/>
  <c r="V38"/>
  <c r="V39"/>
  <c r="V40"/>
  <c r="V41"/>
  <c r="V42"/>
  <c r="V43"/>
  <c r="V44"/>
  <c r="V45"/>
  <c r="V46"/>
  <c r="V47"/>
  <c r="V48"/>
  <c r="V49"/>
  <c r="V50"/>
  <c r="V51"/>
  <c r="V52"/>
  <c r="V53"/>
  <c r="V54"/>
  <c r="V55"/>
  <c r="V56"/>
  <c r="V57"/>
  <c r="V58"/>
  <c r="V59"/>
  <c r="V60"/>
  <c r="V61"/>
  <c r="V62"/>
  <c r="V63"/>
  <c r="V64"/>
  <c r="V65"/>
  <c r="V66"/>
  <c r="V67"/>
  <c r="V68"/>
  <c r="V69"/>
  <c r="V70"/>
  <c r="V71"/>
  <c r="V72"/>
  <c r="V73"/>
  <c r="V74"/>
  <c r="V75"/>
  <c r="V76"/>
  <c r="V77"/>
  <c r="V78"/>
  <c r="V79"/>
  <c r="V80"/>
  <c r="V81"/>
  <c r="V82"/>
  <c r="V83"/>
  <c r="V84"/>
  <c r="V85"/>
  <c r="V86"/>
  <c r="V87"/>
  <c r="V88"/>
  <c r="V89"/>
  <c r="V90"/>
  <c r="V91"/>
  <c r="V92"/>
  <c r="V93"/>
  <c r="V94"/>
  <c r="V95"/>
  <c r="V96"/>
  <c r="V97"/>
  <c r="V98"/>
  <c r="V99"/>
  <c r="V100"/>
  <c r="V101"/>
  <c r="V102"/>
  <c r="V103"/>
  <c r="V104"/>
  <c r="V105"/>
  <c r="V106"/>
  <c r="V107"/>
  <c r="V108"/>
  <c r="V109"/>
  <c r="V110"/>
  <c r="V111"/>
  <c r="V112"/>
  <c r="V113"/>
  <c r="V114"/>
  <c r="V3"/>
  <c r="K7" i="9" l="1"/>
  <c r="T1" i="1" l="1"/>
  <c r="U1"/>
  <c r="S1"/>
  <c r="O30" l="1"/>
  <c r="O28"/>
  <c r="O31"/>
  <c r="O32"/>
  <c r="O33"/>
  <c r="O38"/>
  <c r="O35"/>
  <c r="O36"/>
  <c r="O37"/>
  <c r="O41"/>
  <c r="O42"/>
  <c r="O43"/>
  <c r="O44"/>
  <c r="O45"/>
  <c r="O46"/>
  <c r="O48"/>
  <c r="O49"/>
  <c r="O50"/>
  <c r="O51"/>
  <c r="O52"/>
  <c r="O53"/>
  <c r="O54"/>
  <c r="O55"/>
  <c r="O61"/>
  <c r="O62"/>
  <c r="O63"/>
  <c r="O64"/>
  <c r="O65"/>
  <c r="O66"/>
  <c r="O67"/>
  <c r="O68"/>
  <c r="O69"/>
  <c r="O70"/>
  <c r="O71"/>
  <c r="O72"/>
  <c r="O73"/>
  <c r="O74"/>
  <c r="O75"/>
  <c r="O76"/>
  <c r="O77"/>
  <c r="O80"/>
  <c r="O78"/>
  <c r="O79"/>
  <c r="O83"/>
  <c r="O84"/>
  <c r="O85"/>
  <c r="O86"/>
  <c r="O87"/>
  <c r="O89"/>
  <c r="O90"/>
  <c r="O91"/>
  <c r="O92"/>
  <c r="O93"/>
  <c r="O94"/>
  <c r="O95"/>
  <c r="O96"/>
  <c r="O97"/>
  <c r="O98"/>
  <c r="O104"/>
  <c r="O105"/>
  <c r="O106"/>
  <c r="O109"/>
  <c r="O110"/>
  <c r="O112"/>
  <c r="O113"/>
  <c r="Q113" l="1"/>
  <c r="Q106"/>
  <c r="Q105"/>
  <c r="Q104"/>
  <c r="Q97"/>
  <c r="Q96"/>
  <c r="Q95"/>
  <c r="Q93"/>
  <c r="Q91"/>
  <c r="Q89"/>
  <c r="Q86"/>
  <c r="Q85"/>
  <c r="Q83"/>
  <c r="Q79"/>
  <c r="Q80"/>
  <c r="Q76"/>
  <c r="Q74"/>
  <c r="Q73"/>
  <c r="Q72"/>
  <c r="Q71"/>
  <c r="Q69"/>
  <c r="Q68"/>
  <c r="Q66"/>
  <c r="Q64"/>
  <c r="Q55"/>
  <c r="Q53"/>
  <c r="Q52"/>
  <c r="Q51"/>
  <c r="Q50"/>
  <c r="Q49"/>
  <c r="Q46"/>
  <c r="Q45"/>
  <c r="Q43"/>
  <c r="Q42"/>
  <c r="Q37"/>
  <c r="Q38"/>
  <c r="Q33"/>
  <c r="Q32"/>
  <c r="Q30"/>
  <c r="Q28"/>
  <c r="P113"/>
  <c r="P106"/>
  <c r="Y106" s="1"/>
  <c r="Z106" s="1"/>
  <c r="P105"/>
  <c r="P104"/>
  <c r="P97"/>
  <c r="P96"/>
  <c r="P95"/>
  <c r="Y95" s="1"/>
  <c r="Z95" s="1"/>
  <c r="P93"/>
  <c r="Y93" s="1"/>
  <c r="P91"/>
  <c r="P89"/>
  <c r="P86"/>
  <c r="Y86" s="1"/>
  <c r="P85"/>
  <c r="Y85" s="1"/>
  <c r="Z85" s="1"/>
  <c r="P83"/>
  <c r="P79"/>
  <c r="P80"/>
  <c r="P76"/>
  <c r="Y76" s="1"/>
  <c r="Z76" s="1"/>
  <c r="P74"/>
  <c r="Y74" s="1"/>
  <c r="P73"/>
  <c r="P72"/>
  <c r="P71"/>
  <c r="Y71" s="1"/>
  <c r="P69"/>
  <c r="P68"/>
  <c r="Y68" s="1"/>
  <c r="Z68" s="1"/>
  <c r="P66"/>
  <c r="P64"/>
  <c r="P55"/>
  <c r="Y55" s="1"/>
  <c r="Z55" s="1"/>
  <c r="P53"/>
  <c r="P52"/>
  <c r="P51"/>
  <c r="P50"/>
  <c r="Y50" s="1"/>
  <c r="P49"/>
  <c r="P46"/>
  <c r="Y46" s="1"/>
  <c r="Z46" s="1"/>
  <c r="P45"/>
  <c r="Y45" s="1"/>
  <c r="Z45" s="1"/>
  <c r="P43"/>
  <c r="P42"/>
  <c r="P37"/>
  <c r="P38"/>
  <c r="Y38" s="1"/>
  <c r="P33"/>
  <c r="P32"/>
  <c r="P30"/>
  <c r="Y30" s="1"/>
  <c r="P28"/>
  <c r="Y28" s="1"/>
  <c r="Z28" s="1"/>
  <c r="P112"/>
  <c r="P110"/>
  <c r="Y110" s="1"/>
  <c r="Z110" s="1"/>
  <c r="P109"/>
  <c r="Y109" s="1"/>
  <c r="Z109" s="1"/>
  <c r="P98"/>
  <c r="Y98" s="1"/>
  <c r="Z98" s="1"/>
  <c r="P94"/>
  <c r="Y94" s="1"/>
  <c r="Z94" s="1"/>
  <c r="P92"/>
  <c r="O18" i="10" s="1" a="1"/>
  <c r="O18" s="1"/>
  <c r="P90" i="1"/>
  <c r="P87"/>
  <c r="O16" i="10" s="1" a="1"/>
  <c r="O16" s="1"/>
  <c r="P84" i="1"/>
  <c r="P78"/>
  <c r="P77"/>
  <c r="O13" i="10" s="1" a="1"/>
  <c r="O13" s="1"/>
  <c r="P75" i="1"/>
  <c r="P70"/>
  <c r="O11" i="10" s="1" a="1"/>
  <c r="O11" s="1"/>
  <c r="P67" i="1"/>
  <c r="P65"/>
  <c r="O9" i="10" s="1" a="1"/>
  <c r="O9" s="1"/>
  <c r="P63" i="1"/>
  <c r="P62"/>
  <c r="P61"/>
  <c r="O8" i="10" s="1" a="1"/>
  <c r="O8" s="1"/>
  <c r="P54" i="1"/>
  <c r="P48"/>
  <c r="P44"/>
  <c r="P41"/>
  <c r="Y41" s="1"/>
  <c r="Z41" s="1"/>
  <c r="P36"/>
  <c r="O3" i="10" s="1" a="1"/>
  <c r="O3" s="1"/>
  <c r="P35" i="1"/>
  <c r="Y35" s="1"/>
  <c r="P31"/>
  <c r="R3" i="10" l="1"/>
  <c r="P3"/>
  <c r="P9"/>
  <c r="R9"/>
  <c r="P16"/>
  <c r="R16"/>
  <c r="P13"/>
  <c r="R13"/>
  <c r="P8"/>
  <c r="R8"/>
  <c r="P18"/>
  <c r="R18"/>
  <c r="P11"/>
  <c r="R11"/>
  <c r="O5" a="1"/>
  <c r="O5" s="1"/>
  <c r="O4" a="1"/>
  <c r="O4" s="1"/>
  <c r="Y67" i="1"/>
  <c r="Z67" s="1"/>
  <c r="O10" i="10" a="1"/>
  <c r="O10" s="1"/>
  <c r="Y78" i="1"/>
  <c r="Z78" s="1"/>
  <c r="O14" i="10" a="1"/>
  <c r="O14" s="1"/>
  <c r="Y54" i="1"/>
  <c r="Z54" s="1"/>
  <c r="O7" i="10" a="1"/>
  <c r="O7" s="1"/>
  <c r="Y90" i="1"/>
  <c r="Z90" s="1"/>
  <c r="O17" i="10" a="1"/>
  <c r="O17" s="1"/>
  <c r="Y84" i="1"/>
  <c r="Z84" s="1"/>
  <c r="O15" i="10" a="1"/>
  <c r="O15" s="1"/>
  <c r="Y75" i="1"/>
  <c r="Z75" s="1"/>
  <c r="O12" i="10" a="1"/>
  <c r="O12" s="1"/>
  <c r="Y63" i="1"/>
  <c r="Z63" s="1"/>
  <c r="O6" i="10" a="1"/>
  <c r="O6" s="1"/>
  <c r="Z35" i="1"/>
  <c r="Z38"/>
  <c r="Z93"/>
  <c r="Z30"/>
  <c r="Z86"/>
  <c r="Z71"/>
  <c r="Z50"/>
  <c r="Z74"/>
  <c r="W28"/>
  <c r="X28" s="1"/>
  <c r="W30"/>
  <c r="X30" s="1"/>
  <c r="W90"/>
  <c r="X90" s="1"/>
  <c r="W71"/>
  <c r="X71" s="1"/>
  <c r="W50"/>
  <c r="X50" s="1"/>
  <c r="W42"/>
  <c r="X42" s="1"/>
  <c r="Y42"/>
  <c r="Z42" s="1"/>
  <c r="W49"/>
  <c r="X49" s="1"/>
  <c r="Y49"/>
  <c r="Z49" s="1"/>
  <c r="Y89"/>
  <c r="W89"/>
  <c r="X89" s="1"/>
  <c r="W77"/>
  <c r="X77" s="1"/>
  <c r="Y77"/>
  <c r="W37"/>
  <c r="X37" s="1"/>
  <c r="Y37"/>
  <c r="Z37" s="1"/>
  <c r="W52"/>
  <c r="X52" s="1"/>
  <c r="Y52"/>
  <c r="Z52" s="1"/>
  <c r="Y66"/>
  <c r="W66"/>
  <c r="X66" s="1"/>
  <c r="Y72"/>
  <c r="W72"/>
  <c r="X72" s="1"/>
  <c r="Y80"/>
  <c r="W80"/>
  <c r="X80" s="1"/>
  <c r="W105"/>
  <c r="X105" s="1"/>
  <c r="Y105"/>
  <c r="W106"/>
  <c r="X106" s="1"/>
  <c r="W68"/>
  <c r="X68" s="1"/>
  <c r="W45"/>
  <c r="X45" s="1"/>
  <c r="W67"/>
  <c r="X67" s="1"/>
  <c r="W85"/>
  <c r="X85" s="1"/>
  <c r="W109"/>
  <c r="X109" s="1"/>
  <c r="W93"/>
  <c r="X93" s="1"/>
  <c r="W55"/>
  <c r="X55" s="1"/>
  <c r="W95"/>
  <c r="X95" s="1"/>
  <c r="W92"/>
  <c r="X92" s="1"/>
  <c r="Y92"/>
  <c r="Z92" s="1"/>
  <c r="W32"/>
  <c r="X32" s="1"/>
  <c r="Y32"/>
  <c r="Z32" s="1"/>
  <c r="Y53"/>
  <c r="W53"/>
  <c r="X53" s="1"/>
  <c r="W73"/>
  <c r="X73" s="1"/>
  <c r="Y73"/>
  <c r="Z73" s="1"/>
  <c r="W79"/>
  <c r="X79" s="1"/>
  <c r="Y79"/>
  <c r="Z79" s="1"/>
  <c r="W36"/>
  <c r="X36" s="1"/>
  <c r="Y36"/>
  <c r="Z36" s="1"/>
  <c r="W65"/>
  <c r="X65" s="1"/>
  <c r="Y65"/>
  <c r="Z65" s="1"/>
  <c r="W48"/>
  <c r="X48" s="1"/>
  <c r="Y48"/>
  <c r="Z48" s="1"/>
  <c r="W87"/>
  <c r="X87" s="1"/>
  <c r="Y87"/>
  <c r="Z87" s="1"/>
  <c r="Y51"/>
  <c r="W51"/>
  <c r="X51" s="1"/>
  <c r="W64"/>
  <c r="X64" s="1"/>
  <c r="Y64"/>
  <c r="W104"/>
  <c r="X104" s="1"/>
  <c r="Y104"/>
  <c r="Z104" s="1"/>
  <c r="W110"/>
  <c r="X110" s="1"/>
  <c r="W41"/>
  <c r="X41" s="1"/>
  <c r="W63"/>
  <c r="X63" s="1"/>
  <c r="W78"/>
  <c r="X78" s="1"/>
  <c r="W98"/>
  <c r="X98" s="1"/>
  <c r="W84"/>
  <c r="X84" s="1"/>
  <c r="W46"/>
  <c r="X46" s="1"/>
  <c r="W86"/>
  <c r="X86" s="1"/>
  <c r="W61"/>
  <c r="X61" s="1"/>
  <c r="Y61"/>
  <c r="Z61" s="1"/>
  <c r="W96"/>
  <c r="X96" s="1"/>
  <c r="Y96"/>
  <c r="Z96" s="1"/>
  <c r="W31"/>
  <c r="X31" s="1"/>
  <c r="Y31"/>
  <c r="Z31" s="1"/>
  <c r="Y44"/>
  <c r="Z44" s="1"/>
  <c r="W44"/>
  <c r="X44" s="1"/>
  <c r="W62"/>
  <c r="X62" s="1"/>
  <c r="Y62"/>
  <c r="Z62" s="1"/>
  <c r="W70"/>
  <c r="X70" s="1"/>
  <c r="Y70"/>
  <c r="Z70" s="1"/>
  <c r="W112"/>
  <c r="X112" s="1"/>
  <c r="Y112"/>
  <c r="Z112" s="1"/>
  <c r="Y33"/>
  <c r="W33"/>
  <c r="X33" s="1"/>
  <c r="W43"/>
  <c r="X43" s="1"/>
  <c r="Y43"/>
  <c r="W69"/>
  <c r="X69" s="1"/>
  <c r="Y69"/>
  <c r="W83"/>
  <c r="X83" s="1"/>
  <c r="Y83"/>
  <c r="Y91"/>
  <c r="W91"/>
  <c r="X91" s="1"/>
  <c r="Y97"/>
  <c r="Z97" s="1"/>
  <c r="W97"/>
  <c r="X97" s="1"/>
  <c r="W113"/>
  <c r="X113" s="1"/>
  <c r="Y113"/>
  <c r="Z113" s="1"/>
  <c r="W38"/>
  <c r="X38" s="1"/>
  <c r="W54"/>
  <c r="X54" s="1"/>
  <c r="W75"/>
  <c r="X75" s="1"/>
  <c r="W94"/>
  <c r="X94" s="1"/>
  <c r="W74"/>
  <c r="X74" s="1"/>
  <c r="W35"/>
  <c r="X35" s="1"/>
  <c r="W76"/>
  <c r="X76" s="1"/>
  <c r="R113"/>
  <c r="Q112"/>
  <c r="Q110"/>
  <c r="Q109"/>
  <c r="Q98"/>
  <c r="Q94"/>
  <c r="Q92"/>
  <c r="Q90"/>
  <c r="Q87"/>
  <c r="Q84"/>
  <c r="Q78"/>
  <c r="Q77"/>
  <c r="Q75"/>
  <c r="Q70"/>
  <c r="Q67"/>
  <c r="Q65"/>
  <c r="Q63"/>
  <c r="Q62"/>
  <c r="Q61"/>
  <c r="Q54"/>
  <c r="Q48"/>
  <c r="Q44"/>
  <c r="Q41"/>
  <c r="Q36"/>
  <c r="Q35"/>
  <c r="Q31"/>
  <c r="R4" i="10" l="1"/>
  <c r="P4"/>
  <c r="P5"/>
  <c r="R5"/>
  <c r="P15"/>
  <c r="R15"/>
  <c r="P10"/>
  <c r="R10"/>
  <c r="P6"/>
  <c r="R6"/>
  <c r="P7"/>
  <c r="R7"/>
  <c r="P12"/>
  <c r="R12"/>
  <c r="P14"/>
  <c r="R14"/>
  <c r="P17"/>
  <c r="R17"/>
  <c r="Z80" i="1"/>
  <c r="Z105"/>
  <c r="Z77"/>
  <c r="Z69"/>
  <c r="Z66"/>
  <c r="Z89"/>
  <c r="Z91"/>
  <c r="Z33"/>
  <c r="Z51"/>
  <c r="Z83"/>
  <c r="Z43"/>
  <c r="Z64"/>
  <c r="Z72"/>
  <c r="Z53"/>
  <c r="AA113"/>
  <c r="R62"/>
  <c r="R112"/>
  <c r="R110"/>
  <c r="R109"/>
  <c r="R106"/>
  <c r="R105"/>
  <c r="R104"/>
  <c r="R98"/>
  <c r="R97"/>
  <c r="R96"/>
  <c r="R95"/>
  <c r="R94"/>
  <c r="R93"/>
  <c r="R92"/>
  <c r="R91"/>
  <c r="R90"/>
  <c r="R89"/>
  <c r="R87"/>
  <c r="R86"/>
  <c r="R85"/>
  <c r="R84"/>
  <c r="R83"/>
  <c r="R79"/>
  <c r="R78"/>
  <c r="R80"/>
  <c r="R77"/>
  <c r="R76"/>
  <c r="R75"/>
  <c r="R74"/>
  <c r="R73"/>
  <c r="R72"/>
  <c r="R71"/>
  <c r="R70"/>
  <c r="R69"/>
  <c r="R68"/>
  <c r="R67"/>
  <c r="R66"/>
  <c r="R65"/>
  <c r="R64"/>
  <c r="R63"/>
  <c r="R61"/>
  <c r="R55"/>
  <c r="R54"/>
  <c r="R53"/>
  <c r="R52"/>
  <c r="R51"/>
  <c r="R50"/>
  <c r="R49"/>
  <c r="R48"/>
  <c r="R46"/>
  <c r="R45"/>
  <c r="R44"/>
  <c r="R43"/>
  <c r="R42"/>
  <c r="R41"/>
  <c r="R37"/>
  <c r="R36"/>
  <c r="R35"/>
  <c r="R38"/>
  <c r="R33"/>
  <c r="R32"/>
  <c r="R31"/>
  <c r="R30"/>
  <c r="R28"/>
  <c r="AA44" l="1"/>
  <c r="AA75"/>
  <c r="AA90"/>
  <c r="AA96"/>
  <c r="AA112"/>
  <c r="AA41"/>
  <c r="AA45"/>
  <c r="AA70"/>
  <c r="AA76"/>
  <c r="AA92"/>
  <c r="AA106"/>
  <c r="AA31"/>
  <c r="AA35"/>
  <c r="AA42"/>
  <c r="AA46"/>
  <c r="AA55"/>
  <c r="AA67"/>
  <c r="AA77"/>
  <c r="AA85"/>
  <c r="AA94"/>
  <c r="AA98"/>
  <c r="AA109"/>
  <c r="AA28"/>
  <c r="AA37"/>
  <c r="AA49"/>
  <c r="AA63"/>
  <c r="AA79"/>
  <c r="AA54"/>
  <c r="AA65"/>
  <c r="AA84"/>
  <c r="AA97"/>
  <c r="AA62"/>
  <c r="AA32"/>
  <c r="AA36"/>
  <c r="AA48"/>
  <c r="AA52"/>
  <c r="AA61"/>
  <c r="AA68"/>
  <c r="AA73"/>
  <c r="AA78"/>
  <c r="AA87"/>
  <c r="AA95"/>
  <c r="AA104"/>
  <c r="AA110"/>
  <c r="AA66"/>
  <c r="AA71"/>
  <c r="AA93"/>
  <c r="AA33"/>
  <c r="AA53"/>
  <c r="AA69"/>
  <c r="AA74"/>
  <c r="AA89"/>
  <c r="AA105"/>
  <c r="AA51"/>
  <c r="AA72"/>
  <c r="AA43"/>
  <c r="AA80"/>
  <c r="AA86"/>
  <c r="AA38"/>
  <c r="AA50"/>
  <c r="AA64"/>
  <c r="AA83"/>
  <c r="AA91"/>
  <c r="AA30"/>
  <c r="AA26"/>
  <c r="A21" i="10" a="1"/>
  <c r="A21" s="1"/>
  <c r="A15" a="1"/>
  <c r="A15" s="1"/>
  <c r="A11" a="1"/>
  <c r="A11" s="1"/>
  <c r="A8" a="1"/>
  <c r="A8" s="1"/>
  <c r="A20" a="1"/>
  <c r="A20" s="1"/>
  <c r="A22" a="1"/>
  <c r="A22" s="1"/>
  <c r="A14" a="1"/>
  <c r="A14" s="1"/>
  <c r="A19" a="1"/>
  <c r="A19" s="1"/>
  <c r="A13" a="1"/>
  <c r="A13" s="1"/>
  <c r="A12" a="1"/>
  <c r="A12" s="1"/>
  <c r="A17" a="1"/>
  <c r="A17" s="1"/>
  <c r="A18" a="1"/>
  <c r="A18" s="1"/>
  <c r="A16" a="1"/>
  <c r="A16" s="1"/>
  <c r="A7" a="1"/>
  <c r="A7" s="1"/>
  <c r="A10" a="1"/>
  <c r="A10" s="1"/>
  <c r="A9" a="1"/>
  <c r="A9" s="1"/>
  <c r="A82" a="1"/>
  <c r="A82" s="1"/>
  <c r="A59" a="1"/>
  <c r="A59" s="1"/>
  <c r="A56" a="1"/>
  <c r="A56" s="1"/>
  <c r="A61" a="1"/>
  <c r="A61" s="1"/>
  <c r="A54" a="1"/>
  <c r="A54" s="1"/>
  <c r="A70" a="1"/>
  <c r="A70" s="1"/>
  <c r="A86" a="1"/>
  <c r="A86" s="1"/>
  <c r="A57" a="1"/>
  <c r="A57" s="1"/>
  <c r="A47" a="1"/>
  <c r="A47" s="1"/>
  <c r="A63" a="1"/>
  <c r="A63" s="1"/>
  <c r="A79" a="1"/>
  <c r="A79" s="1"/>
  <c r="A95" a="1"/>
  <c r="A95" s="1"/>
  <c r="A89" a="1"/>
  <c r="A89" s="1"/>
  <c r="A60" a="1"/>
  <c r="A60" s="1"/>
  <c r="A76" a="1"/>
  <c r="A76" s="1"/>
  <c r="A92" a="1"/>
  <c r="A92" s="1"/>
  <c r="A73" a="1"/>
  <c r="A73" s="1"/>
  <c r="A50" a="1"/>
  <c r="A50" s="1"/>
  <c r="A75" a="1"/>
  <c r="A75" s="1"/>
  <c r="A77" a="1"/>
  <c r="A77" s="1"/>
  <c r="A88" a="1"/>
  <c r="A88" s="1"/>
  <c r="A58" a="1"/>
  <c r="A58" s="1"/>
  <c r="A74" a="1"/>
  <c r="A74" s="1"/>
  <c r="A90" a="1"/>
  <c r="A90" s="1"/>
  <c r="A69" a="1"/>
  <c r="A69" s="1"/>
  <c r="A51" a="1"/>
  <c r="A51" s="1"/>
  <c r="A67" a="1"/>
  <c r="A67" s="1"/>
  <c r="A83" a="1"/>
  <c r="A83" s="1"/>
  <c r="A53" a="1"/>
  <c r="A53" s="1"/>
  <c r="A48" a="1"/>
  <c r="A48" s="1"/>
  <c r="A64" a="1"/>
  <c r="A64" s="1"/>
  <c r="A80" a="1"/>
  <c r="A80" s="1"/>
  <c r="A96" a="1"/>
  <c r="A96" s="1"/>
  <c r="A66" a="1"/>
  <c r="A66" s="1"/>
  <c r="A93" a="1"/>
  <c r="A93" s="1"/>
  <c r="A91" a="1"/>
  <c r="A91" s="1"/>
  <c r="A72" a="1"/>
  <c r="A72" s="1"/>
  <c r="A97" a="1"/>
  <c r="A97" s="1"/>
  <c r="A46" a="1"/>
  <c r="A46" s="1"/>
  <c r="A62" a="1"/>
  <c r="A62" s="1"/>
  <c r="A78" a="1"/>
  <c r="A78" s="1"/>
  <c r="A94" a="1"/>
  <c r="A94" s="1"/>
  <c r="A81" a="1"/>
  <c r="A81" s="1"/>
  <c r="A55" a="1"/>
  <c r="A55" s="1"/>
  <c r="A71" a="1"/>
  <c r="A71" s="1"/>
  <c r="A87" a="1"/>
  <c r="A87" s="1"/>
  <c r="A65" a="1"/>
  <c r="A65" s="1"/>
  <c r="A52" a="1"/>
  <c r="A52" s="1"/>
  <c r="A68" a="1"/>
  <c r="A68" s="1"/>
  <c r="A84" a="1"/>
  <c r="A84" s="1"/>
  <c r="A49" a="1"/>
  <c r="A49" s="1"/>
  <c r="A85" a="1"/>
  <c r="A85" s="1"/>
  <c r="R32" l="1"/>
  <c r="R35"/>
  <c r="R43"/>
  <c r="R44"/>
  <c r="R37"/>
  <c r="R39"/>
  <c r="R34"/>
  <c r="R33"/>
  <c r="R41"/>
  <c r="R31"/>
  <c r="R36"/>
  <c r="R40"/>
  <c r="R38"/>
  <c r="R42"/>
  <c r="D21"/>
  <c r="B19"/>
  <c r="C20"/>
  <c r="E21"/>
  <c r="B21"/>
  <c r="C22"/>
  <c r="M19"/>
  <c r="E20"/>
  <c r="I21"/>
  <c r="B22"/>
  <c r="D20"/>
  <c r="G22"/>
  <c r="I20"/>
  <c r="B20"/>
  <c r="D19"/>
  <c r="D22"/>
  <c r="F19"/>
  <c r="F22"/>
  <c r="O21"/>
  <c r="C21"/>
  <c r="G19"/>
  <c r="G20"/>
  <c r="G21"/>
  <c r="J19"/>
  <c r="Q19" s="1"/>
  <c r="H19"/>
  <c r="J20"/>
  <c r="Q20" s="1"/>
  <c r="M21"/>
  <c r="J21"/>
  <c r="Q21" s="1"/>
  <c r="E19"/>
  <c r="E22"/>
  <c r="C19"/>
  <c r="F20"/>
  <c r="F21"/>
  <c r="O19"/>
  <c r="R19" s="1"/>
  <c r="I19"/>
  <c r="H20"/>
  <c r="M22"/>
  <c r="H22"/>
  <c r="O20"/>
  <c r="M20"/>
  <c r="H21"/>
  <c r="J22"/>
  <c r="Q22" s="1"/>
  <c r="I22"/>
  <c r="O22"/>
  <c r="R20" l="1"/>
  <c r="R22"/>
  <c r="R21"/>
  <c r="P20"/>
  <c r="P22"/>
  <c r="N20"/>
  <c r="P19"/>
  <c r="N21"/>
  <c r="P21"/>
  <c r="N22"/>
  <c r="N19"/>
</calcChain>
</file>

<file path=xl/comments1.xml><?xml version="1.0" encoding="utf-8"?>
<comments xmlns="http://schemas.openxmlformats.org/spreadsheetml/2006/main">
  <authors>
    <author>tc={BC15870E-BEF1-4931-AD6A-00E60C0DC8B3}</author>
  </authors>
  <commentList>
    <comment ref="A5" authorId="0">
      <text>
        <r>
          <rPr>
            <sz val="11"/>
            <color theme="1"/>
            <rFont val="Calibri"/>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date de l'achat</t>
        </r>
      </text>
    </comment>
  </commentList>
</comments>
</file>

<file path=xl/sharedStrings.xml><?xml version="1.0" encoding="utf-8"?>
<sst xmlns="http://schemas.openxmlformats.org/spreadsheetml/2006/main" count="483" uniqueCount="71">
  <si>
    <t>Facture N°</t>
  </si>
  <si>
    <t>N° déclarat° export</t>
  </si>
  <si>
    <t>Date déclarat° export</t>
  </si>
  <si>
    <t>Réf article</t>
  </si>
  <si>
    <t>Désignation</t>
  </si>
  <si>
    <t>N° déclarat° import</t>
  </si>
  <si>
    <t>Qté livrée</t>
  </si>
  <si>
    <t>Poids net/ pièce</t>
  </si>
  <si>
    <t>Participat° dans la FB</t>
  </si>
  <si>
    <t>Poids déchet  fin de barre total</t>
  </si>
  <si>
    <t>LAITON</t>
  </si>
  <si>
    <t>INSERTO ESAG,M6 8*6</t>
  </si>
  <si>
    <t>BRONZINA 16/18X10.3</t>
  </si>
  <si>
    <t>HEX</t>
  </si>
  <si>
    <t>ROND</t>
  </si>
  <si>
    <t>INSERTI M8 12*12 laiton hex12</t>
  </si>
  <si>
    <t>EMBOUT DE TIGE</t>
  </si>
  <si>
    <t>PERNO DISINNESTO RULLO G16922290</t>
  </si>
  <si>
    <t>INSERT D8</t>
  </si>
  <si>
    <t>INSERT LAITON D8</t>
  </si>
  <si>
    <t>POIDS NET TOTAL</t>
  </si>
  <si>
    <t xml:space="preserve">POIDS DECHET total </t>
  </si>
  <si>
    <t>vente</t>
  </si>
  <si>
    <t>achat</t>
  </si>
  <si>
    <t>30*22</t>
  </si>
  <si>
    <t>Carrée</t>
  </si>
  <si>
    <t>STOCK INITIAL</t>
  </si>
  <si>
    <t xml:space="preserve">TUBE </t>
  </si>
  <si>
    <t>Origine</t>
  </si>
  <si>
    <t>forme</t>
  </si>
  <si>
    <t>QTE STOCK INIT (Kg)</t>
  </si>
  <si>
    <t>stock (Kg)</t>
  </si>
  <si>
    <t>longueur pièce</t>
  </si>
  <si>
    <t>nbre pièces /barre</t>
  </si>
  <si>
    <t>pids par barre</t>
  </si>
  <si>
    <t>N° facture</t>
  </si>
  <si>
    <t>Type</t>
  </si>
  <si>
    <t>N° Déclaration</t>
  </si>
  <si>
    <t>Date 
Déclaration</t>
  </si>
  <si>
    <t xml:space="preserve">Qté importée
</t>
  </si>
  <si>
    <t xml:space="preserve">Qté utilisée
</t>
  </si>
  <si>
    <t>N°
fiche</t>
  </si>
  <si>
    <t>Déchet copeaux</t>
  </si>
  <si>
    <t>Déchet fin de barre</t>
  </si>
  <si>
    <t>Taux Déchet total</t>
  </si>
  <si>
    <t>Matière</t>
  </si>
  <si>
    <t>Forme</t>
  </si>
  <si>
    <t>Taille</t>
  </si>
  <si>
    <t>Taux</t>
  </si>
  <si>
    <t>Poids brut/pièce</t>
  </si>
  <si>
    <t>Poids brut total</t>
  </si>
  <si>
    <t>Poids déchet  copeaux total</t>
  </si>
  <si>
    <t>% Déchet</t>
  </si>
  <si>
    <t>Qté utilisée</t>
  </si>
  <si>
    <t>Qté importée</t>
  </si>
  <si>
    <t>N° fiche</t>
  </si>
  <si>
    <t>Poids copeaux/
pièce</t>
  </si>
  <si>
    <t>matière</t>
  </si>
  <si>
    <t>taille</t>
  </si>
  <si>
    <t>Date Facture d'achat</t>
  </si>
  <si>
    <t xml:space="preserve">Poids déchet  fin de barre total </t>
  </si>
  <si>
    <t>poids copeaux total</t>
  </si>
  <si>
    <t>hex</t>
  </si>
  <si>
    <t>rond</t>
  </si>
  <si>
    <t>carrée</t>
  </si>
  <si>
    <t>tube</t>
  </si>
  <si>
    <t>Laiton</t>
  </si>
  <si>
    <t>formes</t>
  </si>
  <si>
    <t>Dia</t>
  </si>
  <si>
    <t>or</t>
  </si>
  <si>
    <t>diamant</t>
  </si>
</sst>
</file>

<file path=xl/styles.xml><?xml version="1.0" encoding="utf-8"?>
<styleSheet xmlns="http://schemas.openxmlformats.org/spreadsheetml/2006/main">
  <numFmts count="4">
    <numFmt numFmtId="164" formatCode="0.000"/>
    <numFmt numFmtId="165" formatCode="#,##0.000000&quot; Kg&quot;"/>
    <numFmt numFmtId="166" formatCode="0;0;"/>
    <numFmt numFmtId="167" formatCode="#,##0.000"/>
  </numFmts>
  <fonts count="20">
    <font>
      <sz val="11"/>
      <color theme="1"/>
      <name val="Calibri"/>
      <family val="2"/>
      <scheme val="minor"/>
    </font>
    <font>
      <sz val="11"/>
      <color theme="1"/>
      <name val="Calibri"/>
      <family val="2"/>
      <scheme val="minor"/>
    </font>
    <font>
      <sz val="10"/>
      <color indexed="8"/>
      <name val="Arial"/>
      <family val="2"/>
    </font>
    <font>
      <u/>
      <sz val="12.3"/>
      <color theme="10"/>
      <name val="Calibri"/>
      <family val="2"/>
    </font>
    <font>
      <sz val="10"/>
      <name val="Cambria"/>
      <family val="1"/>
      <scheme val="major"/>
    </font>
    <font>
      <sz val="10"/>
      <color rgb="FFFF0000"/>
      <name val="Cambria"/>
      <family val="1"/>
      <scheme val="major"/>
    </font>
    <font>
      <sz val="10"/>
      <color theme="1"/>
      <name val="Cambria"/>
      <family val="1"/>
      <scheme val="major"/>
    </font>
    <font>
      <sz val="10"/>
      <color rgb="FF000000"/>
      <name val="Cambria"/>
      <family val="1"/>
      <scheme val="major"/>
    </font>
    <font>
      <sz val="10"/>
      <name val="Arial"/>
      <family val="2"/>
    </font>
    <font>
      <u/>
      <sz val="11"/>
      <color theme="10"/>
      <name val="Calibri"/>
      <family val="2"/>
    </font>
    <font>
      <sz val="11"/>
      <name val="Calibri"/>
      <family val="2"/>
    </font>
    <font>
      <sz val="11"/>
      <name val="Calibri"/>
      <family val="2"/>
      <scheme val="minor"/>
    </font>
    <font>
      <sz val="9"/>
      <color theme="1"/>
      <name val="Cambria"/>
      <family val="1"/>
      <scheme val="major"/>
    </font>
    <font>
      <sz val="8"/>
      <name val="Calibri"/>
      <family val="2"/>
      <scheme val="minor"/>
    </font>
    <font>
      <b/>
      <sz val="11"/>
      <name val="Times New Roman"/>
      <family val="1"/>
    </font>
    <font>
      <sz val="10"/>
      <name val="Cambria"/>
      <family val="2"/>
      <scheme val="major"/>
    </font>
    <font>
      <b/>
      <sz val="9"/>
      <name val="Calibri"/>
      <family val="2"/>
      <scheme val="minor"/>
    </font>
    <font>
      <b/>
      <sz val="9"/>
      <color theme="1"/>
      <name val="Calibri"/>
      <family val="2"/>
      <scheme val="minor"/>
    </font>
    <font>
      <sz val="11"/>
      <name val="Times New Roman"/>
      <family val="1"/>
    </font>
    <font>
      <b/>
      <sz val="10"/>
      <name val="Cambria"/>
      <family val="1"/>
      <scheme val="major"/>
    </font>
  </fonts>
  <fills count="20">
    <fill>
      <patternFill patternType="none"/>
    </fill>
    <fill>
      <patternFill patternType="gray125"/>
    </fill>
    <fill>
      <patternFill patternType="solid">
        <fgColor rgb="FF00B0F0"/>
        <bgColor indexed="64"/>
      </patternFill>
    </fill>
    <fill>
      <patternFill patternType="solid">
        <fgColor indexed="65"/>
        <bgColor indexed="64"/>
      </patternFill>
    </fill>
    <fill>
      <patternFill patternType="solid">
        <fgColor theme="8" tint="0.39997558519241921"/>
        <bgColor indexed="64"/>
      </patternFill>
    </fill>
    <fill>
      <patternFill patternType="solid">
        <fgColor theme="4" tint="0.79998168889431442"/>
        <bgColor indexed="64"/>
      </patternFill>
    </fill>
    <fill>
      <patternFill patternType="solid">
        <fgColor rgb="FF008080"/>
        <bgColor indexed="64"/>
      </patternFill>
    </fill>
    <fill>
      <patternFill patternType="solid">
        <fgColor theme="5" tint="0.59999389629810485"/>
        <bgColor indexed="64"/>
      </patternFill>
    </fill>
    <fill>
      <patternFill patternType="solid">
        <fgColor theme="5"/>
        <bgColor indexed="64"/>
      </patternFill>
    </fill>
    <fill>
      <patternFill patternType="solid">
        <fgColor theme="1" tint="0.499984740745262"/>
        <bgColor indexed="64"/>
      </patternFill>
    </fill>
    <fill>
      <patternFill patternType="solid">
        <fgColor rgb="FFFFFF00"/>
        <bgColor indexed="64"/>
      </patternFill>
    </fill>
    <fill>
      <patternFill patternType="solid">
        <fgColor rgb="FF92D050"/>
        <bgColor indexed="64"/>
      </patternFill>
    </fill>
    <fill>
      <patternFill patternType="solid">
        <fgColor rgb="FF7030A0"/>
        <bgColor indexed="64"/>
      </patternFill>
    </fill>
    <fill>
      <patternFill patternType="solid">
        <fgColor theme="2" tint="-9.9978637043366805E-2"/>
        <bgColor indexed="64"/>
      </patternFill>
    </fill>
    <fill>
      <patternFill patternType="solid">
        <fgColor theme="7" tint="-0.249977111117893"/>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4" tint="-0.499984740745262"/>
        <bgColor indexed="64"/>
      </patternFill>
    </fill>
    <fill>
      <patternFill patternType="solid">
        <fgColor theme="6" tint="0.79998168889431442"/>
        <bgColor indexed="64"/>
      </patternFill>
    </fill>
    <fill>
      <patternFill patternType="solid">
        <fgColor rgb="FFFFC0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s>
  <cellStyleXfs count="8">
    <xf numFmtId="0" fontId="0" fillId="0" borderId="0"/>
    <xf numFmtId="0" fontId="2" fillId="0" borderId="0">
      <alignment vertical="top"/>
    </xf>
    <xf numFmtId="0" fontId="3" fillId="0" borderId="0" applyNumberFormat="0" applyFill="0" applyBorder="0" applyAlignment="0" applyProtection="0">
      <alignment vertical="top"/>
      <protection locked="0"/>
    </xf>
    <xf numFmtId="0" fontId="1" fillId="0" borderId="0"/>
    <xf numFmtId="9" fontId="1" fillId="0" borderId="0" applyFont="0" applyFill="0" applyBorder="0" applyAlignment="0" applyProtection="0"/>
    <xf numFmtId="0" fontId="8" fillId="0" borderId="0"/>
    <xf numFmtId="0" fontId="9" fillId="0" borderId="0" applyNumberFormat="0" applyFill="0" applyBorder="0" applyAlignment="0" applyProtection="0">
      <alignment vertical="top"/>
      <protection locked="0"/>
    </xf>
    <xf numFmtId="9" fontId="1" fillId="0" borderId="0" applyFont="0" applyFill="0" applyBorder="0" applyAlignment="0" applyProtection="0"/>
  </cellStyleXfs>
  <cellXfs count="123">
    <xf numFmtId="0" fontId="0" fillId="0" borderId="0" xfId="0"/>
    <xf numFmtId="0" fontId="6" fillId="0" borderId="0" xfId="0" applyFont="1" applyAlignment="1">
      <alignment horizontal="center" vertical="center"/>
    </xf>
    <xf numFmtId="0" fontId="5" fillId="0" borderId="0" xfId="0" applyFont="1" applyAlignment="1">
      <alignment horizontal="center" vertical="center"/>
    </xf>
    <xf numFmtId="49" fontId="6" fillId="0" borderId="0" xfId="0" applyNumberFormat="1" applyFont="1" applyAlignment="1">
      <alignment horizontal="center" vertical="center"/>
    </xf>
    <xf numFmtId="0" fontId="6" fillId="0" borderId="0" xfId="0" applyFont="1" applyFill="1" applyAlignment="1">
      <alignment horizontal="center" vertical="center"/>
    </xf>
    <xf numFmtId="0" fontId="0" fillId="0" borderId="1" xfId="0" applyBorder="1" applyAlignment="1">
      <alignment horizontal="center" vertical="center"/>
    </xf>
    <xf numFmtId="0" fontId="4" fillId="0" borderId="6"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4" borderId="6" xfId="0" applyFont="1" applyFill="1" applyBorder="1" applyAlignment="1">
      <alignment horizontal="center" vertical="center" wrapText="1"/>
    </xf>
    <xf numFmtId="49" fontId="4" fillId="4" borderId="6" xfId="0" applyNumberFormat="1" applyFont="1" applyFill="1" applyBorder="1" applyAlignment="1">
      <alignment horizontal="center" vertical="center" wrapText="1"/>
    </xf>
    <xf numFmtId="0" fontId="6" fillId="3" borderId="0" xfId="0" applyNumberFormat="1" applyFont="1" applyFill="1" applyAlignment="1">
      <alignment horizontal="center" vertical="center"/>
    </xf>
    <xf numFmtId="0" fontId="6" fillId="0" borderId="0" xfId="0" applyNumberFormat="1" applyFont="1" applyAlignment="1">
      <alignment horizontal="center" vertical="center"/>
    </xf>
    <xf numFmtId="166" fontId="6" fillId="0" borderId="0" xfId="0" applyNumberFormat="1" applyFont="1" applyAlignment="1">
      <alignment horizontal="center" vertical="center"/>
    </xf>
    <xf numFmtId="0" fontId="0" fillId="0" borderId="0" xfId="0" applyAlignment="1">
      <alignment horizontal="center" vertical="center"/>
    </xf>
    <xf numFmtId="0" fontId="14" fillId="5" borderId="3" xfId="1" applyFont="1" applyFill="1" applyBorder="1" applyAlignment="1">
      <alignment horizontal="center" vertical="center"/>
    </xf>
    <xf numFmtId="10" fontId="14" fillId="0" borderId="1" xfId="1" applyNumberFormat="1" applyFont="1" applyBorder="1" applyAlignment="1">
      <alignment horizontal="center" vertical="center" wrapText="1"/>
    </xf>
    <xf numFmtId="167" fontId="14" fillId="8" borderId="1" xfId="1" applyNumberFormat="1" applyFont="1" applyFill="1" applyBorder="1" applyAlignment="1">
      <alignment horizontal="center" vertical="center" wrapText="1"/>
    </xf>
    <xf numFmtId="0" fontId="14" fillId="0" borderId="1" xfId="1" applyFont="1" applyBorder="1" applyAlignment="1">
      <alignment horizontal="center" vertical="center" wrapText="1"/>
    </xf>
    <xf numFmtId="167" fontId="14" fillId="9" borderId="1" xfId="1" applyNumberFormat="1" applyFont="1" applyFill="1" applyBorder="1" applyAlignment="1">
      <alignment horizontal="center" vertical="center" wrapText="1"/>
    </xf>
    <xf numFmtId="14" fontId="0" fillId="10" borderId="1" xfId="0" applyNumberFormat="1" applyFill="1" applyBorder="1" applyAlignment="1">
      <alignment horizontal="center"/>
    </xf>
    <xf numFmtId="0" fontId="0" fillId="0" borderId="1" xfId="0" applyBorder="1" applyAlignment="1">
      <alignment horizontal="center"/>
    </xf>
    <xf numFmtId="0" fontId="0" fillId="5" borderId="1" xfId="0" applyFill="1" applyBorder="1" applyAlignment="1">
      <alignment horizontal="center"/>
    </xf>
    <xf numFmtId="10" fontId="0" fillId="0" borderId="1" xfId="0" applyNumberFormat="1" applyBorder="1" applyAlignment="1">
      <alignment horizontal="center"/>
    </xf>
    <xf numFmtId="0" fontId="0" fillId="0" borderId="0" xfId="0" applyAlignment="1">
      <alignment horizontal="center"/>
    </xf>
    <xf numFmtId="0" fontId="4" fillId="11" borderId="11"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4" fillId="12" borderId="12" xfId="0" applyFont="1" applyFill="1" applyBorder="1" applyAlignment="1">
      <alignment horizontal="center" vertical="center" wrapText="1"/>
    </xf>
    <xf numFmtId="0" fontId="16" fillId="13" borderId="1" xfId="0" applyFont="1" applyFill="1" applyBorder="1" applyAlignment="1">
      <alignment horizontal="center" vertical="center" wrapText="1"/>
    </xf>
    <xf numFmtId="0" fontId="4" fillId="7" borderId="12" xfId="0" applyFont="1" applyFill="1" applyBorder="1" applyAlignment="1">
      <alignment horizontal="center" vertical="center" wrapText="1"/>
    </xf>
    <xf numFmtId="0" fontId="4" fillId="9" borderId="12" xfId="0" applyFont="1" applyFill="1" applyBorder="1" applyAlignment="1">
      <alignment horizontal="center" vertical="center" wrapText="1"/>
    </xf>
    <xf numFmtId="0" fontId="16" fillId="14" borderId="1" xfId="0" applyFont="1" applyFill="1" applyBorder="1" applyAlignment="1">
      <alignment horizontal="center" vertical="center" wrapText="1"/>
    </xf>
    <xf numFmtId="0" fontId="16" fillId="15" borderId="1" xfId="0" applyFont="1" applyFill="1" applyBorder="1" applyAlignment="1">
      <alignment horizontal="center" vertical="center" wrapText="1"/>
    </xf>
    <xf numFmtId="0" fontId="16" fillId="16" borderId="1" xfId="0" applyFont="1" applyFill="1" applyBorder="1" applyAlignment="1">
      <alignment horizontal="center" vertical="center" wrapText="1"/>
    </xf>
    <xf numFmtId="0" fontId="16" fillId="0" borderId="2" xfId="0" applyFont="1" applyBorder="1" applyAlignment="1">
      <alignment horizontal="center" vertical="center" wrapText="1"/>
    </xf>
    <xf numFmtId="0" fontId="17" fillId="0" borderId="2" xfId="0" applyFont="1" applyBorder="1" applyAlignment="1">
      <alignment horizontal="center" vertical="center" wrapText="1"/>
    </xf>
    <xf numFmtId="10" fontId="16" fillId="0" borderId="2" xfId="7" applyNumberFormat="1" applyFont="1" applyFill="1" applyBorder="1" applyAlignment="1">
      <alignment horizontal="center" vertical="center" wrapText="1"/>
    </xf>
    <xf numFmtId="0" fontId="18" fillId="5" borderId="3" xfId="1" applyFont="1" applyFill="1" applyBorder="1" applyAlignment="1">
      <alignment horizontal="center" vertical="center"/>
    </xf>
    <xf numFmtId="0" fontId="14" fillId="5" borderId="10" xfId="1" applyFont="1" applyFill="1" applyBorder="1" applyAlignment="1">
      <alignment horizontal="center" vertical="center"/>
    </xf>
    <xf numFmtId="0" fontId="14" fillId="5" borderId="3" xfId="1" applyFont="1" applyFill="1" applyBorder="1" applyAlignment="1">
      <alignment horizontal="center" vertical="center"/>
    </xf>
    <xf numFmtId="0" fontId="14" fillId="7" borderId="2" xfId="1" applyFont="1" applyFill="1" applyBorder="1" applyAlignment="1">
      <alignment horizontal="center" vertical="center" wrapText="1"/>
    </xf>
    <xf numFmtId="167" fontId="14" fillId="6" borderId="2" xfId="1" applyNumberFormat="1" applyFont="1" applyFill="1" applyBorder="1" applyAlignment="1">
      <alignment vertical="center"/>
    </xf>
    <xf numFmtId="0" fontId="14" fillId="7" borderId="6" xfId="1" applyFont="1" applyFill="1" applyBorder="1" applyAlignment="1">
      <alignment vertical="center" wrapText="1"/>
    </xf>
    <xf numFmtId="14" fontId="14" fillId="0" borderId="2" xfId="1" applyNumberFormat="1" applyFont="1" applyBorder="1" applyAlignment="1">
      <alignment vertical="center" wrapText="1"/>
    </xf>
    <xf numFmtId="14" fontId="14" fillId="0" borderId="6" xfId="1" applyNumberFormat="1" applyFont="1" applyBorder="1" applyAlignment="1">
      <alignment vertical="center" wrapText="1"/>
    </xf>
    <xf numFmtId="0" fontId="14" fillId="0" borderId="2" xfId="1" applyFont="1" applyBorder="1" applyAlignment="1">
      <alignment vertical="center" wrapText="1"/>
    </xf>
    <xf numFmtId="0" fontId="14" fillId="0" borderId="6" xfId="1" applyFont="1" applyBorder="1" applyAlignment="1">
      <alignment vertical="center" wrapText="1"/>
    </xf>
    <xf numFmtId="0" fontId="4" fillId="17" borderId="6" xfId="0" applyFont="1" applyFill="1" applyBorder="1" applyAlignment="1">
      <alignment horizontal="center" vertical="center" wrapText="1"/>
    </xf>
    <xf numFmtId="167" fontId="14" fillId="6" borderId="5" xfId="1" applyNumberFormat="1" applyFont="1" applyFill="1" applyBorder="1" applyAlignment="1">
      <alignment vertical="center"/>
    </xf>
    <xf numFmtId="0" fontId="19" fillId="17" borderId="2" xfId="0" applyFont="1" applyFill="1" applyBorder="1" applyAlignment="1">
      <alignment horizontal="center" vertical="center" wrapText="1"/>
    </xf>
    <xf numFmtId="0" fontId="0" fillId="0" borderId="6" xfId="0" applyBorder="1" applyAlignment="1">
      <alignment horizontal="center"/>
    </xf>
    <xf numFmtId="167" fontId="14" fillId="6" borderId="4" xfId="1" applyNumberFormat="1" applyFont="1" applyFill="1" applyBorder="1" applyAlignment="1">
      <alignment vertical="center"/>
    </xf>
    <xf numFmtId="0" fontId="19" fillId="17" borderId="6" xfId="0" applyFont="1" applyFill="1" applyBorder="1" applyAlignment="1">
      <alignment horizontal="center" vertical="center" wrapText="1"/>
    </xf>
    <xf numFmtId="0" fontId="4" fillId="18" borderId="9" xfId="0" applyFont="1" applyFill="1" applyBorder="1" applyAlignment="1">
      <alignment horizontal="center" vertical="center" wrapText="1"/>
    </xf>
    <xf numFmtId="0" fontId="4" fillId="18" borderId="6" xfId="0" applyFont="1" applyFill="1" applyBorder="1" applyAlignment="1">
      <alignment horizontal="center" vertical="center" wrapText="1"/>
    </xf>
    <xf numFmtId="0" fontId="0" fillId="18" borderId="1" xfId="0" applyNumberFormat="1" applyFill="1" applyBorder="1" applyAlignment="1" applyProtection="1">
      <alignment horizontal="center" vertical="center" wrapText="1"/>
    </xf>
    <xf numFmtId="0" fontId="6" fillId="18" borderId="3" xfId="0" applyFont="1" applyFill="1" applyBorder="1" applyAlignment="1">
      <alignment horizontal="center" vertical="center"/>
    </xf>
    <xf numFmtId="0" fontId="12" fillId="18" borderId="1" xfId="0" applyFont="1" applyFill="1" applyBorder="1" applyAlignment="1">
      <alignment horizontal="center" vertical="center" wrapText="1"/>
    </xf>
    <xf numFmtId="0" fontId="6" fillId="18" borderId="1" xfId="0" applyFont="1" applyFill="1" applyBorder="1" applyAlignment="1">
      <alignment horizontal="center" vertical="center"/>
    </xf>
    <xf numFmtId="14" fontId="6" fillId="18" borderId="1" xfId="0" applyNumberFormat="1" applyFont="1" applyFill="1" applyBorder="1" applyAlignment="1">
      <alignment horizontal="center" vertical="center"/>
    </xf>
    <xf numFmtId="1" fontId="7" fillId="18" borderId="1" xfId="0" applyNumberFormat="1" applyFont="1" applyFill="1" applyBorder="1" applyAlignment="1">
      <alignment horizontal="center" vertical="center" wrapText="1"/>
    </xf>
    <xf numFmtId="0" fontId="0" fillId="18" borderId="1" xfId="0" applyFill="1" applyBorder="1" applyAlignment="1">
      <alignment horizontal="center" vertical="center"/>
    </xf>
    <xf numFmtId="0" fontId="10" fillId="18" borderId="1" xfId="6" applyFont="1" applyFill="1" applyBorder="1" applyAlignment="1" applyProtection="1">
      <alignment horizontal="center" vertical="center"/>
      <protection locked="0"/>
    </xf>
    <xf numFmtId="0" fontId="10" fillId="18" borderId="1" xfId="6" applyNumberFormat="1" applyFont="1" applyFill="1" applyBorder="1" applyAlignment="1" applyProtection="1">
      <alignment horizontal="center" vertical="center"/>
      <protection locked="0"/>
    </xf>
    <xf numFmtId="0" fontId="5" fillId="18" borderId="1" xfId="0" applyFont="1" applyFill="1" applyBorder="1" applyAlignment="1">
      <alignment horizontal="center" vertical="center"/>
    </xf>
    <xf numFmtId="166" fontId="6" fillId="18" borderId="1" xfId="0" applyNumberFormat="1" applyFont="1" applyFill="1" applyBorder="1" applyAlignment="1">
      <alignment horizontal="center" vertical="center"/>
    </xf>
    <xf numFmtId="0" fontId="6" fillId="18" borderId="1" xfId="0" applyNumberFormat="1" applyFont="1" applyFill="1" applyBorder="1" applyAlignment="1">
      <alignment horizontal="center" vertical="center"/>
    </xf>
    <xf numFmtId="0" fontId="6" fillId="18" borderId="7" xfId="0" applyFont="1" applyFill="1" applyBorder="1" applyAlignment="1">
      <alignment horizontal="center" vertical="center"/>
    </xf>
    <xf numFmtId="0" fontId="11" fillId="18" borderId="1" xfId="0" applyFont="1" applyFill="1" applyBorder="1" applyAlignment="1" applyProtection="1">
      <alignment horizontal="center" vertical="center"/>
      <protection locked="0"/>
    </xf>
    <xf numFmtId="164" fontId="6" fillId="18" borderId="1" xfId="0" applyNumberFormat="1" applyFont="1" applyFill="1" applyBorder="1" applyAlignment="1">
      <alignment horizontal="center" vertical="center"/>
    </xf>
    <xf numFmtId="14" fontId="8" fillId="18" borderId="1" xfId="0" applyNumberFormat="1" applyFont="1" applyFill="1" applyBorder="1" applyAlignment="1">
      <alignment horizontal="center" vertical="center"/>
    </xf>
    <xf numFmtId="0" fontId="8" fillId="18" borderId="1" xfId="5" applyFont="1" applyFill="1" applyBorder="1" applyAlignment="1">
      <alignment horizontal="center" vertical="center" wrapText="1"/>
    </xf>
    <xf numFmtId="0" fontId="8" fillId="18" borderId="1" xfId="0" applyNumberFormat="1" applyFont="1" applyFill="1" applyBorder="1" applyAlignment="1">
      <alignment horizontal="center" vertical="center"/>
    </xf>
    <xf numFmtId="0" fontId="8" fillId="18" borderId="1" xfId="1" applyNumberFormat="1" applyFont="1" applyFill="1" applyBorder="1" applyAlignment="1">
      <alignment horizontal="center" vertical="center"/>
    </xf>
    <xf numFmtId="0" fontId="4" fillId="18" borderId="3" xfId="0" applyFont="1" applyFill="1" applyBorder="1" applyAlignment="1">
      <alignment horizontal="center" vertical="center" wrapText="1"/>
    </xf>
    <xf numFmtId="0" fontId="4" fillId="18" borderId="1" xfId="0" applyFont="1" applyFill="1" applyBorder="1" applyAlignment="1">
      <alignment horizontal="center" vertical="center" wrapText="1"/>
    </xf>
    <xf numFmtId="0" fontId="6" fillId="18" borderId="1" xfId="0" applyNumberFormat="1" applyFont="1" applyFill="1" applyBorder="1" applyAlignment="1">
      <alignment horizontal="center" vertical="center" wrapText="1"/>
    </xf>
    <xf numFmtId="0" fontId="7" fillId="18" borderId="1" xfId="0" applyFont="1" applyFill="1" applyBorder="1" applyAlignment="1">
      <alignment horizontal="center" vertical="center" wrapText="1"/>
    </xf>
    <xf numFmtId="0" fontId="4" fillId="18" borderId="1" xfId="0" applyNumberFormat="1" applyFont="1" applyFill="1" applyBorder="1" applyAlignment="1">
      <alignment horizontal="center" vertical="center" wrapText="1"/>
    </xf>
    <xf numFmtId="3" fontId="6" fillId="18" borderId="1" xfId="0" applyNumberFormat="1" applyFont="1" applyFill="1" applyBorder="1" applyAlignment="1">
      <alignment horizontal="center" vertical="center" wrapText="1"/>
    </xf>
    <xf numFmtId="165" fontId="4" fillId="18" borderId="1" xfId="0" applyNumberFormat="1" applyFont="1" applyFill="1" applyBorder="1" applyAlignment="1">
      <alignment horizontal="center" vertical="center" wrapText="1"/>
    </xf>
    <xf numFmtId="3" fontId="4" fillId="18" borderId="1" xfId="0" applyNumberFormat="1" applyFont="1" applyFill="1" applyBorder="1" applyAlignment="1">
      <alignment horizontal="center" vertical="center" wrapText="1"/>
    </xf>
    <xf numFmtId="164" fontId="6" fillId="18" borderId="1" xfId="0" applyNumberFormat="1" applyFont="1" applyFill="1" applyBorder="1" applyAlignment="1">
      <alignment horizontal="center" vertical="center" wrapText="1"/>
    </xf>
    <xf numFmtId="4" fontId="7" fillId="18" borderId="1" xfId="0" applyNumberFormat="1" applyFont="1" applyFill="1" applyBorder="1" applyAlignment="1">
      <alignment horizontal="center" vertical="center" wrapText="1"/>
    </xf>
    <xf numFmtId="0" fontId="6" fillId="18" borderId="1" xfId="0" applyFont="1" applyFill="1" applyBorder="1" applyAlignment="1">
      <alignment horizontal="center" vertical="center" wrapText="1"/>
    </xf>
    <xf numFmtId="164" fontId="4" fillId="18" borderId="1" xfId="0" applyNumberFormat="1" applyFont="1" applyFill="1" applyBorder="1" applyAlignment="1">
      <alignment horizontal="center" vertical="center" wrapText="1"/>
    </xf>
    <xf numFmtId="4" fontId="4" fillId="18" borderId="1" xfId="0" applyNumberFormat="1" applyFont="1" applyFill="1" applyBorder="1" applyAlignment="1">
      <alignment horizontal="center" vertical="center" wrapText="1"/>
    </xf>
    <xf numFmtId="0" fontId="6" fillId="18" borderId="3" xfId="0" applyNumberFormat="1" applyFont="1" applyFill="1" applyBorder="1" applyAlignment="1">
      <alignment horizontal="center" vertical="center" wrapText="1"/>
    </xf>
    <xf numFmtId="3" fontId="6" fillId="18" borderId="1" xfId="0" applyNumberFormat="1" applyFont="1" applyFill="1" applyBorder="1" applyAlignment="1">
      <alignment horizontal="center" vertical="center"/>
    </xf>
    <xf numFmtId="49" fontId="4" fillId="18" borderId="1" xfId="0" applyNumberFormat="1" applyFont="1" applyFill="1" applyBorder="1" applyAlignment="1">
      <alignment horizontal="center" vertical="center" wrapText="1"/>
    </xf>
    <xf numFmtId="0" fontId="0" fillId="18" borderId="1" xfId="0" applyNumberFormat="1" applyFill="1" applyBorder="1" applyAlignment="1">
      <alignment horizontal="center" vertical="center"/>
    </xf>
    <xf numFmtId="0" fontId="6" fillId="18" borderId="4" xfId="0" applyFont="1" applyFill="1" applyBorder="1" applyAlignment="1">
      <alignment horizontal="center" vertical="center"/>
    </xf>
    <xf numFmtId="14" fontId="8" fillId="18" borderId="2" xfId="0" applyNumberFormat="1" applyFont="1" applyFill="1" applyBorder="1" applyAlignment="1">
      <alignment horizontal="center" vertical="center"/>
    </xf>
    <xf numFmtId="0" fontId="6" fillId="18" borderId="2" xfId="0" applyFont="1" applyFill="1" applyBorder="1" applyAlignment="1">
      <alignment horizontal="center" vertical="center"/>
    </xf>
    <xf numFmtId="1" fontId="7" fillId="18" borderId="2" xfId="0" applyNumberFormat="1" applyFont="1" applyFill="1" applyBorder="1" applyAlignment="1">
      <alignment horizontal="center" vertical="center" wrapText="1"/>
    </xf>
    <xf numFmtId="0" fontId="4" fillId="18" borderId="2" xfId="0" applyFont="1" applyFill="1" applyBorder="1" applyAlignment="1">
      <alignment horizontal="center" vertical="center" wrapText="1"/>
    </xf>
    <xf numFmtId="0" fontId="0" fillId="18" borderId="2" xfId="0" applyFill="1" applyBorder="1" applyAlignment="1">
      <alignment horizontal="center" vertical="center"/>
    </xf>
    <xf numFmtId="0" fontId="0" fillId="18" borderId="2" xfId="0" applyNumberFormat="1" applyFill="1" applyBorder="1" applyAlignment="1">
      <alignment horizontal="center" vertical="center"/>
    </xf>
    <xf numFmtId="0" fontId="5" fillId="18" borderId="2" xfId="0" applyFont="1" applyFill="1" applyBorder="1" applyAlignment="1">
      <alignment horizontal="center" vertical="center"/>
    </xf>
    <xf numFmtId="166" fontId="6" fillId="18" borderId="2" xfId="0" applyNumberFormat="1" applyFont="1" applyFill="1" applyBorder="1" applyAlignment="1">
      <alignment horizontal="center" vertical="center"/>
    </xf>
    <xf numFmtId="0" fontId="8" fillId="18" borderId="2" xfId="1" applyNumberFormat="1" applyFont="1" applyFill="1" applyBorder="1" applyAlignment="1">
      <alignment horizontal="center" vertical="center"/>
    </xf>
    <xf numFmtId="0" fontId="6" fillId="18" borderId="8" xfId="0" applyFont="1" applyFill="1" applyBorder="1" applyAlignment="1">
      <alignment horizontal="center" vertical="center"/>
    </xf>
    <xf numFmtId="0" fontId="0" fillId="10" borderId="1" xfId="0" applyFill="1" applyBorder="1" applyAlignment="1">
      <alignment horizontal="center" vertical="center"/>
    </xf>
    <xf numFmtId="14" fontId="0" fillId="0" borderId="0" xfId="0" applyNumberFormat="1"/>
    <xf numFmtId="0" fontId="19" fillId="18" borderId="1" xfId="0" applyFont="1" applyFill="1" applyBorder="1" applyAlignment="1">
      <alignment horizontal="center" vertical="center" wrapText="1"/>
    </xf>
    <xf numFmtId="0" fontId="0" fillId="10" borderId="0" xfId="0" applyFill="1"/>
    <xf numFmtId="0" fontId="0" fillId="10" borderId="1" xfId="0" applyNumberFormat="1" applyFill="1" applyBorder="1" applyAlignment="1">
      <alignment horizontal="center" vertical="center"/>
    </xf>
    <xf numFmtId="14" fontId="4" fillId="12" borderId="12" xfId="0" applyNumberFormat="1" applyFont="1" applyFill="1" applyBorder="1" applyAlignment="1">
      <alignment horizontal="center" vertical="center" wrapText="1"/>
    </xf>
    <xf numFmtId="0" fontId="0" fillId="19" borderId="0" xfId="0" applyFill="1"/>
    <xf numFmtId="0" fontId="0" fillId="19" borderId="0" xfId="0" applyFill="1" applyAlignment="1">
      <alignment horizontal="center"/>
    </xf>
    <xf numFmtId="0" fontId="0" fillId="0" borderId="0" xfId="0" applyNumberFormat="1"/>
    <xf numFmtId="14" fontId="0" fillId="0" borderId="1" xfId="0" applyNumberFormat="1" applyFill="1" applyBorder="1" applyAlignment="1">
      <alignment horizontal="center"/>
    </xf>
    <xf numFmtId="14" fontId="0" fillId="0" borderId="0" xfId="0" applyNumberFormat="1" applyFill="1" applyBorder="1" applyAlignment="1">
      <alignment horizontal="center"/>
    </xf>
    <xf numFmtId="14" fontId="0" fillId="10" borderId="2" xfId="0" applyNumberFormat="1" applyFill="1" applyBorder="1" applyAlignment="1">
      <alignment horizontal="center"/>
    </xf>
    <xf numFmtId="0" fontId="0" fillId="0" borderId="0" xfId="0" applyBorder="1"/>
    <xf numFmtId="0" fontId="0" fillId="0" borderId="1" xfId="0" applyFill="1" applyBorder="1" applyAlignment="1">
      <alignment horizontal="center"/>
    </xf>
    <xf numFmtId="0" fontId="10" fillId="0" borderId="0" xfId="6" applyNumberFormat="1" applyFont="1" applyFill="1" applyBorder="1" applyAlignment="1" applyProtection="1">
      <alignment horizontal="center" vertical="center"/>
      <protection locked="0"/>
    </xf>
    <xf numFmtId="0" fontId="0" fillId="0" borderId="0" xfId="0" applyNumberFormat="1" applyFill="1" applyBorder="1" applyAlignment="1" applyProtection="1">
      <alignment horizontal="center" vertical="center" wrapText="1"/>
    </xf>
    <xf numFmtId="0" fontId="8" fillId="0" borderId="0" xfId="0" applyNumberFormat="1" applyFont="1" applyFill="1" applyBorder="1" applyAlignment="1">
      <alignment horizontal="center" vertical="center"/>
    </xf>
    <xf numFmtId="0" fontId="0" fillId="0" borderId="0" xfId="0" applyNumberFormat="1" applyFill="1" applyBorder="1" applyAlignment="1">
      <alignment horizontal="center" vertical="center"/>
    </xf>
    <xf numFmtId="0" fontId="14" fillId="5" borderId="7" xfId="1" applyFont="1" applyFill="1" applyBorder="1" applyAlignment="1">
      <alignment horizontal="center" vertical="center"/>
    </xf>
    <xf numFmtId="0" fontId="14" fillId="5" borderId="10" xfId="1" applyFont="1" applyFill="1" applyBorder="1" applyAlignment="1">
      <alignment horizontal="center" vertical="center"/>
    </xf>
    <xf numFmtId="0" fontId="14" fillId="0" borderId="7" xfId="1" applyFont="1" applyBorder="1" applyAlignment="1">
      <alignment horizontal="center" vertical="center" wrapText="1"/>
    </xf>
    <xf numFmtId="0" fontId="14" fillId="0" borderId="3" xfId="1" applyFont="1" applyBorder="1" applyAlignment="1">
      <alignment horizontal="center" vertical="center" wrapText="1"/>
    </xf>
  </cellXfs>
  <cellStyles count="8">
    <cellStyle name="Lien hypertexte" xfId="6" builtinId="8"/>
    <cellStyle name="Lien hypertexte 2" xfId="2"/>
    <cellStyle name="Normal" xfId="0" builtinId="0"/>
    <cellStyle name="Normal 2" xfId="1"/>
    <cellStyle name="Normal 2 2" xfId="3"/>
    <cellStyle name="Normal 3" xfId="5"/>
    <cellStyle name="Pourcentage" xfId="7" builtinId="5"/>
    <cellStyle name="Pourcentage 2" xfId="4"/>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63240"/>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11</xdr:col>
      <xdr:colOff>533400</xdr:colOff>
      <xdr:row>38</xdr:row>
      <xdr:rowOff>123825</xdr:rowOff>
    </xdr:from>
    <xdr:to>
      <xdr:col>17</xdr:col>
      <xdr:colOff>714375</xdr:colOff>
      <xdr:row>44</xdr:row>
      <xdr:rowOff>180975</xdr:rowOff>
    </xdr:to>
    <xdr:sp macro="" textlink="">
      <xdr:nvSpPr>
        <xdr:cNvPr id="2" name="ZoneTexte 1">
          <a:extLst>
            <a:ext uri="{FF2B5EF4-FFF2-40B4-BE49-F238E27FC236}">
              <a16:creationId xmlns="" xmlns:a16="http://schemas.microsoft.com/office/drawing/2014/main" id="{FD8C81A6-A796-4CCF-AC15-1F661EC346D0}"/>
            </a:ext>
          </a:extLst>
        </xdr:cNvPr>
        <xdr:cNvSpPr txBox="1"/>
      </xdr:nvSpPr>
      <xdr:spPr>
        <a:xfrm>
          <a:off x="9058275" y="7924800"/>
          <a:ext cx="6019800" cy="1200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a:t>je veux que quand je choisis la forme en B2 et la dimension en B3 du laiton, les données des colonnes colorées seront remplies à partir de la "Base de données"</a:t>
          </a:r>
          <a:br>
            <a:rPr lang="fr-BE"/>
          </a:br>
          <a:r>
            <a:rPr lang="fr-BE"/>
            <a:t>la feuille "achat laiton" sera remplie par les données d'achat du laiton</a:t>
          </a:r>
          <a:br>
            <a:rPr lang="fr-BE"/>
          </a:br>
          <a:r>
            <a:rPr lang="fr-BE"/>
            <a:t>la feuille vente du laiton sera remplie par les données de vente</a:t>
          </a:r>
          <a:br>
            <a:rPr lang="fr-BE"/>
          </a:br>
          <a:r>
            <a:rPr lang="fr-BE"/>
            <a:t>les colonnes dans les feuilles et celles de la Base de données portent les même noms</a:t>
          </a:r>
          <a:br>
            <a:rPr lang="fr-BE"/>
          </a:br>
          <a:r>
            <a:rPr lang="fr-BE"/>
            <a:t>j'ai fais une correspondance de couleurs entre la source des données et les feuilles à remplir</a:t>
          </a:r>
          <a:endParaRPr lang="fr-BE"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561975</xdr:colOff>
      <xdr:row>25</xdr:row>
      <xdr:rowOff>180974</xdr:rowOff>
    </xdr:from>
    <xdr:to>
      <xdr:col>15</xdr:col>
      <xdr:colOff>638175</xdr:colOff>
      <xdr:row>37</xdr:row>
      <xdr:rowOff>152399</xdr:rowOff>
    </xdr:to>
    <xdr:sp macro="" textlink="">
      <xdr:nvSpPr>
        <xdr:cNvPr id="2" name="ZoneTexte 1">
          <a:extLst>
            <a:ext uri="{FF2B5EF4-FFF2-40B4-BE49-F238E27FC236}">
              <a16:creationId xmlns="" xmlns:a16="http://schemas.microsoft.com/office/drawing/2014/main" id="{5A734B78-DF47-4D50-B4EE-C169E7B6B84B}"/>
            </a:ext>
          </a:extLst>
        </xdr:cNvPr>
        <xdr:cNvSpPr txBox="1"/>
      </xdr:nvSpPr>
      <xdr:spPr>
        <a:xfrm>
          <a:off x="8963025" y="5257799"/>
          <a:ext cx="4648200" cy="2257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BE"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28575</xdr:colOff>
      <xdr:row>1</xdr:row>
      <xdr:rowOff>0</xdr:rowOff>
    </xdr:from>
    <xdr:to>
      <xdr:col>11</xdr:col>
      <xdr:colOff>285750</xdr:colOff>
      <xdr:row>5</xdr:row>
      <xdr:rowOff>142875</xdr:rowOff>
    </xdr:to>
    <xdr:sp macro="" textlink="">
      <xdr:nvSpPr>
        <xdr:cNvPr id="2" name="ZoneTexte 1">
          <a:extLst>
            <a:ext uri="{FF2B5EF4-FFF2-40B4-BE49-F238E27FC236}">
              <a16:creationId xmlns="" xmlns:a16="http://schemas.microsoft.com/office/drawing/2014/main" id="{E331BAFC-AA28-4AB2-AF6B-E6B00B15654E}"/>
            </a:ext>
          </a:extLst>
        </xdr:cNvPr>
        <xdr:cNvSpPr txBox="1"/>
      </xdr:nvSpPr>
      <xdr:spPr>
        <a:xfrm>
          <a:off x="3838575" y="190500"/>
          <a:ext cx="4829175" cy="904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a:t>une dernière question, en ce qui concerne la feuille " liste" , on alimentant la base de données avec d'autres types de laiton comment dois-je procéder , est ce que je dois tout simplement saisir le nouveau type dans les deux colonnes E et G de la feuille "liste"?</a:t>
          </a:r>
        </a:p>
      </xdr:txBody>
    </xdr:sp>
    <xdr:clientData/>
  </xdr:twoCellAnchor>
  <xdr:twoCellAnchor>
    <xdr:from>
      <xdr:col>5</xdr:col>
      <xdr:colOff>9525</xdr:colOff>
      <xdr:row>6</xdr:row>
      <xdr:rowOff>180975</xdr:rowOff>
    </xdr:from>
    <xdr:to>
      <xdr:col>11</xdr:col>
      <xdr:colOff>219075</xdr:colOff>
      <xdr:row>13</xdr:row>
      <xdr:rowOff>66675</xdr:rowOff>
    </xdr:to>
    <xdr:sp macro="" textlink="">
      <xdr:nvSpPr>
        <xdr:cNvPr id="3" name="ZoneTexte 2">
          <a:extLst>
            <a:ext uri="{FF2B5EF4-FFF2-40B4-BE49-F238E27FC236}">
              <a16:creationId xmlns="" xmlns:a16="http://schemas.microsoft.com/office/drawing/2014/main" id="{74A53501-CE2B-4886-AC7D-A91487CB9775}"/>
            </a:ext>
          </a:extLst>
        </xdr:cNvPr>
        <xdr:cNvSpPr txBox="1"/>
      </xdr:nvSpPr>
      <xdr:spPr>
        <a:xfrm>
          <a:off x="3819525" y="1323975"/>
          <a:ext cx="4781550" cy="121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a:t>Les listes sont dynamiques</a:t>
          </a:r>
        </a:p>
        <a:p>
          <a:r>
            <a:rPr lang="fr-BE" sz="1100"/>
            <a:t>tu peux ajouter (ou supprimer) autant de forme ou de dia ou de matière que tu veux.</a:t>
          </a:r>
        </a:p>
        <a:p>
          <a:r>
            <a:rPr lang="fr-BE" sz="1100"/>
            <a:t>On peut aussi faire des listes spécifiques. Par exemple une liste de dia qui correspond seulement au rond, ce qui fait que tu mets rondon ne propose que les dia  spécifiques des rond</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toshiba\Desktop\dev\mise%20&#224;%20jour\achat%20et%20vente%20du%20laiton%20rond%20diam%20%202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uil1"/>
      <sheetName val="achat laiton rond 22"/>
      <sheetName val="vente laiton rond 22"/>
    </sheetNames>
    <sheetDataSet>
      <sheetData sheetId="0">
        <row r="27">
          <cell r="D27">
            <v>42754</v>
          </cell>
        </row>
        <row r="30">
          <cell r="G30">
            <v>146</v>
          </cell>
        </row>
      </sheetData>
      <sheetData sheetId="1"/>
      <sheetData sheetId="2"/>
    </sheetDataSet>
  </externalBook>
</externalLink>
</file>

<file path=xl/persons/person.xml><?xml version="1.0" encoding="utf-8"?>
<personList xmlns="http://schemas.microsoft.com/office/spreadsheetml/2018/threadedcomments" xmlns:x="http://schemas.openxmlformats.org/spreadsheetml/2006/main">
  <person displayName="TOSHIBA" id="{87B01068-E7F2-4D90-8BA3-7B4B96EC8C08}" userId="TOSHIBA" providerId="None"/>
</personList>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1" dT="2020-02-22T08:56:23.40" personId="{87B01068-E7F2-4D90-8BA3-7B4B96EC8C08}" id="{BC15870E-BEF1-4931-AD6A-00E60C0DC8B3}">
    <text>date de l'achat</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codeName="Feuil3"/>
  <dimension ref="A1:AA116"/>
  <sheetViews>
    <sheetView tabSelected="1" topLeftCell="H1" zoomScale="96" zoomScaleNormal="96" workbookViewId="0">
      <pane ySplit="2" topLeftCell="A21" activePane="bottomLeft" state="frozen"/>
      <selection pane="bottomLeft" activeCell="A26" sqref="A26"/>
    </sheetView>
  </sheetViews>
  <sheetFormatPr baseColWidth="10" defaultColWidth="11.5703125" defaultRowHeight="12.75"/>
  <cols>
    <col min="1" max="1" width="12.140625" style="1" customWidth="1"/>
    <col min="2" max="2" width="10.5703125" style="1" customWidth="1"/>
    <col min="3" max="3" width="19.5703125" style="1" customWidth="1"/>
    <col min="4" max="4" width="14.85546875" style="11" customWidth="1"/>
    <col min="5" max="5" width="12" style="3" customWidth="1"/>
    <col min="6" max="6" width="24.28515625" style="1" customWidth="1"/>
    <col min="7" max="7" width="8.5703125" style="4" customWidth="1"/>
    <col min="8" max="8" width="9" style="1" customWidth="1"/>
    <col min="9" max="9" width="8.28515625" style="1" customWidth="1"/>
    <col min="10" max="10" width="7.5703125" style="10" customWidth="1"/>
    <col min="11" max="11" width="19.85546875" style="1" customWidth="1"/>
    <col min="12" max="12" width="11.5703125" style="1" customWidth="1"/>
    <col min="13" max="13" width="12" style="1" customWidth="1"/>
    <col min="14" max="14" width="9.7109375" style="1" bestFit="1" customWidth="1"/>
    <col min="15" max="15" width="11" style="2" bestFit="1" customWidth="1"/>
    <col min="16" max="16" width="10.42578125" style="1" bestFit="1" customWidth="1"/>
    <col min="17" max="17" width="10.5703125" style="1" bestFit="1" customWidth="1"/>
    <col min="18" max="18" width="12" style="1" bestFit="1" customWidth="1"/>
    <col min="19" max="19" width="12.5703125" style="12" bestFit="1" customWidth="1"/>
    <col min="20" max="20" width="13.5703125" style="1" bestFit="1" customWidth="1"/>
    <col min="21" max="21" width="15.28515625" style="1" bestFit="1" customWidth="1"/>
    <col min="22" max="22" width="14.28515625" style="1" bestFit="1" customWidth="1"/>
    <col min="23" max="23" width="24" style="1" bestFit="1" customWidth="1"/>
    <col min="24" max="24" width="26" style="1" bestFit="1" customWidth="1"/>
    <col min="25" max="25" width="24.140625" style="1" bestFit="1" customWidth="1"/>
    <col min="26" max="26" width="32.42578125" style="1" bestFit="1" customWidth="1"/>
    <col min="27" max="27" width="23" style="1" bestFit="1" customWidth="1"/>
    <col min="28" max="16384" width="11.5703125" style="1"/>
  </cols>
  <sheetData>
    <row r="1" spans="1:27" ht="13.5" thickBot="1">
      <c r="S1" s="12">
        <f>SUBTOTAL(9,S2:S107)</f>
        <v>0</v>
      </c>
      <c r="T1" s="12">
        <f t="shared" ref="T1:U1" si="0">SUBTOTAL(9,T2:T107)</f>
        <v>1032.32</v>
      </c>
      <c r="U1" s="12">
        <f t="shared" si="0"/>
        <v>0</v>
      </c>
    </row>
    <row r="2" spans="1:27" ht="52.5" customHeight="1" thickTop="1">
      <c r="A2" s="24" t="s">
        <v>0</v>
      </c>
      <c r="B2" s="7" t="s">
        <v>28</v>
      </c>
      <c r="C2" s="25" t="s">
        <v>1</v>
      </c>
      <c r="D2" s="26" t="s">
        <v>2</v>
      </c>
      <c r="E2" s="27" t="s">
        <v>3</v>
      </c>
      <c r="F2" s="27" t="s">
        <v>4</v>
      </c>
      <c r="G2" s="28" t="s">
        <v>55</v>
      </c>
      <c r="H2" s="38" t="s">
        <v>57</v>
      </c>
      <c r="I2" s="38" t="s">
        <v>29</v>
      </c>
      <c r="J2" s="38" t="s">
        <v>58</v>
      </c>
      <c r="K2" s="6" t="s">
        <v>5</v>
      </c>
      <c r="L2" s="29" t="s">
        <v>6</v>
      </c>
      <c r="M2" s="8" t="s">
        <v>7</v>
      </c>
      <c r="N2" s="9" t="s">
        <v>32</v>
      </c>
      <c r="O2" s="8" t="s">
        <v>33</v>
      </c>
      <c r="P2" s="8" t="s">
        <v>34</v>
      </c>
      <c r="Q2" s="8" t="s">
        <v>20</v>
      </c>
      <c r="R2" s="8" t="s">
        <v>49</v>
      </c>
      <c r="S2" s="40" t="s">
        <v>53</v>
      </c>
      <c r="T2" s="46" t="s">
        <v>54</v>
      </c>
      <c r="U2" s="53" t="s">
        <v>30</v>
      </c>
      <c r="V2" s="8" t="s">
        <v>31</v>
      </c>
      <c r="W2" s="53" t="s">
        <v>56</v>
      </c>
      <c r="X2" s="16" t="s">
        <v>61</v>
      </c>
      <c r="Y2" s="18" t="s">
        <v>8</v>
      </c>
      <c r="Z2" s="18" t="s">
        <v>9</v>
      </c>
      <c r="AA2" s="52" t="s">
        <v>21</v>
      </c>
    </row>
    <row r="3" spans="1:27" ht="24.95" hidden="1" customHeight="1">
      <c r="A3" s="55"/>
      <c r="B3" s="56" t="s">
        <v>26</v>
      </c>
      <c r="C3" s="57"/>
      <c r="D3" s="58">
        <v>42735</v>
      </c>
      <c r="E3" s="59"/>
      <c r="F3" s="57"/>
      <c r="G3" s="57"/>
      <c r="H3" s="60" t="s">
        <v>10</v>
      </c>
      <c r="I3" s="61" t="s">
        <v>25</v>
      </c>
      <c r="J3" s="62">
        <v>6</v>
      </c>
      <c r="K3" s="57"/>
      <c r="L3" s="57"/>
      <c r="M3" s="57"/>
      <c r="N3" s="57"/>
      <c r="O3" s="63"/>
      <c r="P3" s="57"/>
      <c r="Q3" s="57"/>
      <c r="R3" s="57"/>
      <c r="S3" s="64">
        <v>0</v>
      </c>
      <c r="T3" s="65"/>
      <c r="U3" s="54">
        <v>123.69000000000001</v>
      </c>
      <c r="V3" s="54">
        <f>IF(SUMPRODUCT(MAX((#REF!)*((#REF!=#REF!)*(#REF!=#REF!)*(#REF!=#REF!))))&lt;&gt;#REF!,"",SUMPRODUCT((-#REF!+#REF!+#REF!)*((#REF!=#REF!)*(#REF!=#REF!)*(#REF!=#REF!))))</f>
        <v>123.69000000000001</v>
      </c>
      <c r="W3" s="57"/>
      <c r="X3" s="57"/>
      <c r="Y3" s="57"/>
      <c r="Z3" s="57"/>
      <c r="AA3" s="66"/>
    </row>
    <row r="4" spans="1:27" ht="24.95" hidden="1" customHeight="1">
      <c r="A4" s="55"/>
      <c r="B4" s="56" t="s">
        <v>26</v>
      </c>
      <c r="C4" s="57"/>
      <c r="D4" s="58">
        <v>42735</v>
      </c>
      <c r="E4" s="59"/>
      <c r="F4" s="57"/>
      <c r="G4" s="57"/>
      <c r="H4" s="60" t="s">
        <v>10</v>
      </c>
      <c r="I4" s="61" t="s">
        <v>13</v>
      </c>
      <c r="J4" s="54">
        <v>8</v>
      </c>
      <c r="K4" s="57"/>
      <c r="L4" s="57"/>
      <c r="M4" s="57"/>
      <c r="N4" s="57"/>
      <c r="O4" s="63"/>
      <c r="P4" s="57"/>
      <c r="Q4" s="57"/>
      <c r="R4" s="57"/>
      <c r="S4" s="64">
        <v>0</v>
      </c>
      <c r="T4" s="65"/>
      <c r="U4" s="54">
        <v>40.067999999999998</v>
      </c>
      <c r="V4" s="54" t="str">
        <f>IF(SUMPRODUCT(MAX((#REF!)*((#REF!=#REF!)*(#REF!=#REF!)*(#REF!=#REF!))))&lt;&gt;#REF!,"",SUMPRODUCT((-#REF!+#REF!+#REF!)*((#REF!=#REF!)*(#REF!=#REF!)*(#REF!=#REF!))))</f>
        <v/>
      </c>
      <c r="W4" s="57"/>
      <c r="X4" s="57"/>
      <c r="Y4" s="57"/>
      <c r="Z4" s="57"/>
      <c r="AA4" s="66"/>
    </row>
    <row r="5" spans="1:27" ht="24.95" hidden="1" customHeight="1">
      <c r="A5" s="55"/>
      <c r="B5" s="56" t="s">
        <v>26</v>
      </c>
      <c r="C5" s="57"/>
      <c r="D5" s="58">
        <v>42735</v>
      </c>
      <c r="E5" s="59"/>
      <c r="F5" s="57"/>
      <c r="G5" s="57"/>
      <c r="H5" s="60" t="s">
        <v>10</v>
      </c>
      <c r="I5" s="61" t="s">
        <v>13</v>
      </c>
      <c r="J5" s="62">
        <v>10</v>
      </c>
      <c r="K5" s="57"/>
      <c r="L5" s="57"/>
      <c r="M5" s="57"/>
      <c r="N5" s="57"/>
      <c r="O5" s="63"/>
      <c r="P5" s="57"/>
      <c r="Q5" s="57"/>
      <c r="R5" s="57"/>
      <c r="S5" s="64">
        <v>0</v>
      </c>
      <c r="T5" s="65"/>
      <c r="U5" s="54">
        <v>346.42499999999995</v>
      </c>
      <c r="V5" s="54">
        <f>IF(SUMPRODUCT(MAX((#REF!)*((#REF!=#REF!)*(#REF!=#REF!)*(#REF!=#REF!))))&lt;&gt;#REF!,"",SUMPRODUCT((-#REF!+#REF!+#REF!)*((#REF!=#REF!)*(#REF!=#REF!)*(#REF!=#REF!))))</f>
        <v>346.42499999999995</v>
      </c>
      <c r="W5" s="57"/>
      <c r="X5" s="57"/>
      <c r="Y5" s="57"/>
      <c r="Z5" s="57"/>
      <c r="AA5" s="66"/>
    </row>
    <row r="6" spans="1:27" ht="24.95" hidden="1" customHeight="1">
      <c r="A6" s="55"/>
      <c r="B6" s="56" t="s">
        <v>26</v>
      </c>
      <c r="C6" s="57"/>
      <c r="D6" s="58">
        <v>42735</v>
      </c>
      <c r="E6" s="59"/>
      <c r="F6" s="57"/>
      <c r="G6" s="57"/>
      <c r="H6" s="60" t="s">
        <v>10</v>
      </c>
      <c r="I6" s="61" t="s">
        <v>13</v>
      </c>
      <c r="J6" s="62">
        <v>12</v>
      </c>
      <c r="K6" s="57"/>
      <c r="L6" s="57"/>
      <c r="M6" s="57"/>
      <c r="N6" s="57"/>
      <c r="O6" s="63"/>
      <c r="P6" s="57"/>
      <c r="Q6" s="57"/>
      <c r="R6" s="57"/>
      <c r="S6" s="64">
        <v>0</v>
      </c>
      <c r="T6" s="65"/>
      <c r="U6" s="54">
        <v>77.183999999999997</v>
      </c>
      <c r="V6" s="54" t="str">
        <f>IF(SUMPRODUCT(MAX((#REF!)*((#REF!=#REF!)*(#REF!=#REF!)*(#REF!=#REF!))))&lt;&gt;#REF!,"",SUMPRODUCT((-#REF!+#REF!+#REF!)*((#REF!=#REF!)*(#REF!=#REF!)*(#REF!=#REF!))))</f>
        <v/>
      </c>
      <c r="W6" s="57"/>
      <c r="X6" s="57"/>
      <c r="Y6" s="57"/>
      <c r="Z6" s="57"/>
      <c r="AA6" s="66"/>
    </row>
    <row r="7" spans="1:27" ht="24.95" hidden="1" customHeight="1">
      <c r="A7" s="55"/>
      <c r="B7" s="56" t="s">
        <v>26</v>
      </c>
      <c r="C7" s="57"/>
      <c r="D7" s="58">
        <v>42735</v>
      </c>
      <c r="E7" s="59"/>
      <c r="F7" s="57"/>
      <c r="G7" s="57"/>
      <c r="H7" s="60" t="s">
        <v>10</v>
      </c>
      <c r="I7" s="61" t="s">
        <v>13</v>
      </c>
      <c r="J7" s="62">
        <v>14</v>
      </c>
      <c r="K7" s="57"/>
      <c r="L7" s="57"/>
      <c r="M7" s="57"/>
      <c r="N7" s="57"/>
      <c r="O7" s="63"/>
      <c r="P7" s="57"/>
      <c r="Q7" s="57"/>
      <c r="R7" s="57"/>
      <c r="S7" s="64">
        <v>0</v>
      </c>
      <c r="T7" s="65"/>
      <c r="U7" s="54">
        <v>293.25899999999996</v>
      </c>
      <c r="V7" s="54">
        <f>IF(SUMPRODUCT(MAX((#REF!)*((#REF!=#REF!)*(#REF!=#REF!)*(#REF!=#REF!))))&lt;&gt;#REF!,"",SUMPRODUCT((-#REF!+#REF!+#REF!)*((#REF!=#REF!)*(#REF!=#REF!)*(#REF!=#REF!))))</f>
        <v>293.25899999999996</v>
      </c>
      <c r="W7" s="57"/>
      <c r="X7" s="57"/>
      <c r="Y7" s="57"/>
      <c r="Z7" s="57"/>
      <c r="AA7" s="66"/>
    </row>
    <row r="8" spans="1:27" ht="24.95" hidden="1" customHeight="1">
      <c r="A8" s="55"/>
      <c r="B8" s="56" t="s">
        <v>26</v>
      </c>
      <c r="C8" s="57"/>
      <c r="D8" s="58">
        <v>42735</v>
      </c>
      <c r="E8" s="59"/>
      <c r="F8" s="57"/>
      <c r="G8" s="57"/>
      <c r="H8" s="60" t="s">
        <v>10</v>
      </c>
      <c r="I8" s="61" t="s">
        <v>13</v>
      </c>
      <c r="J8" s="62">
        <v>17</v>
      </c>
      <c r="K8" s="57"/>
      <c r="L8" s="57"/>
      <c r="M8" s="57"/>
      <c r="N8" s="57"/>
      <c r="O8" s="63"/>
      <c r="P8" s="57"/>
      <c r="Q8" s="57"/>
      <c r="R8" s="57"/>
      <c r="S8" s="64">
        <v>0</v>
      </c>
      <c r="T8" s="65"/>
      <c r="U8" s="54">
        <v>238.87200000000001</v>
      </c>
      <c r="V8" s="54">
        <f>IF(SUMPRODUCT(MAX((#REF!)*((#REF!=#REF!)*(#REF!=#REF!)*(#REF!=#REF!))))&lt;&gt;#REF!,"",SUMPRODUCT((-#REF!+#REF!+#REF!)*((#REF!=#REF!)*(#REF!=#REF!)*(#REF!=#REF!))))</f>
        <v>238.87200000000001</v>
      </c>
      <c r="W8" s="57"/>
      <c r="X8" s="57"/>
      <c r="Y8" s="57"/>
      <c r="Z8" s="57"/>
      <c r="AA8" s="66"/>
    </row>
    <row r="9" spans="1:27" ht="24.95" hidden="1" customHeight="1">
      <c r="A9" s="55"/>
      <c r="B9" s="56" t="s">
        <v>26</v>
      </c>
      <c r="C9" s="57"/>
      <c r="D9" s="58">
        <v>42735</v>
      </c>
      <c r="E9" s="59"/>
      <c r="F9" s="57"/>
      <c r="G9" s="57"/>
      <c r="H9" s="60" t="s">
        <v>10</v>
      </c>
      <c r="I9" s="61" t="s">
        <v>13</v>
      </c>
      <c r="J9" s="62">
        <v>19</v>
      </c>
      <c r="K9" s="57"/>
      <c r="L9" s="57"/>
      <c r="M9" s="57"/>
      <c r="N9" s="57"/>
      <c r="O9" s="63"/>
      <c r="P9" s="57"/>
      <c r="Q9" s="57"/>
      <c r="R9" s="57"/>
      <c r="S9" s="64">
        <v>0</v>
      </c>
      <c r="T9" s="65"/>
      <c r="U9" s="54">
        <v>24.21</v>
      </c>
      <c r="V9" s="54">
        <f>IF(SUMPRODUCT(MAX((#REF!)*((#REF!=#REF!)*(#REF!=#REF!)*(#REF!=#REF!))))&lt;&gt;#REF!,"",SUMPRODUCT((-#REF!+#REF!+#REF!)*((#REF!=#REF!)*(#REF!=#REF!)*(#REF!=#REF!))))</f>
        <v>24.21</v>
      </c>
      <c r="W9" s="57"/>
      <c r="X9" s="57"/>
      <c r="Y9" s="57"/>
      <c r="Z9" s="57"/>
      <c r="AA9" s="66"/>
    </row>
    <row r="10" spans="1:27" ht="24.95" hidden="1" customHeight="1">
      <c r="A10" s="55"/>
      <c r="B10" s="56" t="s">
        <v>26</v>
      </c>
      <c r="C10" s="57"/>
      <c r="D10" s="58">
        <v>42735</v>
      </c>
      <c r="E10" s="59"/>
      <c r="F10" s="57"/>
      <c r="G10" s="57"/>
      <c r="H10" s="60" t="s">
        <v>10</v>
      </c>
      <c r="I10" s="61" t="s">
        <v>13</v>
      </c>
      <c r="J10" s="62">
        <v>27</v>
      </c>
      <c r="K10" s="57"/>
      <c r="L10" s="57"/>
      <c r="M10" s="57"/>
      <c r="N10" s="57"/>
      <c r="O10" s="63"/>
      <c r="P10" s="57"/>
      <c r="Q10" s="57"/>
      <c r="R10" s="57"/>
      <c r="S10" s="64">
        <v>0</v>
      </c>
      <c r="T10" s="65"/>
      <c r="U10" s="54">
        <v>48.87</v>
      </c>
      <c r="V10" s="54">
        <f>IF(SUMPRODUCT(MAX((#REF!)*((#REF!=#REF!)*(#REF!=#REF!)*(#REF!=#REF!))))&lt;&gt;#REF!,"",SUMPRODUCT((-#REF!+#REF!+#REF!)*((#REF!=#REF!)*(#REF!=#REF!)*(#REF!=#REF!))))</f>
        <v>48.87</v>
      </c>
      <c r="W10" s="57"/>
      <c r="X10" s="57"/>
      <c r="Y10" s="57"/>
      <c r="Z10" s="57"/>
      <c r="AA10" s="66"/>
    </row>
    <row r="11" spans="1:27" ht="24.95" hidden="1" customHeight="1">
      <c r="A11" s="55"/>
      <c r="B11" s="56" t="s">
        <v>26</v>
      </c>
      <c r="C11" s="57"/>
      <c r="D11" s="58">
        <v>42735</v>
      </c>
      <c r="E11" s="59"/>
      <c r="F11" s="57"/>
      <c r="G11" s="57"/>
      <c r="H11" s="60" t="s">
        <v>10</v>
      </c>
      <c r="I11" s="61" t="s">
        <v>14</v>
      </c>
      <c r="J11" s="62">
        <v>4</v>
      </c>
      <c r="K11" s="57"/>
      <c r="L11" s="57"/>
      <c r="M11" s="57"/>
      <c r="N11" s="57"/>
      <c r="O11" s="63"/>
      <c r="P11" s="57"/>
      <c r="Q11" s="57"/>
      <c r="R11" s="57"/>
      <c r="S11" s="64">
        <v>0</v>
      </c>
      <c r="T11" s="65"/>
      <c r="U11" s="54">
        <v>47.628</v>
      </c>
      <c r="V11" s="54">
        <f>IF(SUMPRODUCT(MAX((#REF!)*((#REF!=#REF!)*(#REF!=#REF!)*(#REF!=#REF!))))&lt;&gt;#REF!,"",SUMPRODUCT((-#REF!+#REF!+#REF!)*((#REF!=#REF!)*(#REF!=#REF!)*(#REF!=#REF!))))</f>
        <v>47.628</v>
      </c>
      <c r="W11" s="57"/>
      <c r="X11" s="57"/>
      <c r="Y11" s="57"/>
      <c r="Z11" s="57"/>
      <c r="AA11" s="66"/>
    </row>
    <row r="12" spans="1:27" ht="24.95" hidden="1" customHeight="1">
      <c r="A12" s="55"/>
      <c r="B12" s="56" t="s">
        <v>26</v>
      </c>
      <c r="C12" s="57"/>
      <c r="D12" s="58">
        <v>42735</v>
      </c>
      <c r="E12" s="59"/>
      <c r="F12" s="57"/>
      <c r="G12" s="57"/>
      <c r="H12" s="60" t="s">
        <v>10</v>
      </c>
      <c r="I12" s="67" t="s">
        <v>14</v>
      </c>
      <c r="J12" s="62">
        <v>5</v>
      </c>
      <c r="K12" s="57"/>
      <c r="L12" s="57"/>
      <c r="M12" s="57"/>
      <c r="N12" s="57"/>
      <c r="O12" s="63"/>
      <c r="P12" s="57"/>
      <c r="Q12" s="57"/>
      <c r="R12" s="57"/>
      <c r="S12" s="64">
        <v>0</v>
      </c>
      <c r="T12" s="65"/>
      <c r="U12" s="54">
        <v>82.641000000000005</v>
      </c>
      <c r="V12" s="54">
        <f>IF(SUMPRODUCT(MAX((#REF!)*((#REF!=#REF!)*(#REF!=#REF!)*(#REF!=#REF!))))&lt;&gt;#REF!,"",SUMPRODUCT((-#REF!+#REF!+#REF!)*((#REF!=#REF!)*(#REF!=#REF!)*(#REF!=#REF!))))</f>
        <v>82.641000000000005</v>
      </c>
      <c r="W12" s="57"/>
      <c r="X12" s="57"/>
      <c r="Y12" s="57"/>
      <c r="Z12" s="57"/>
      <c r="AA12" s="66"/>
    </row>
    <row r="13" spans="1:27" ht="24.95" hidden="1" customHeight="1">
      <c r="A13" s="55"/>
      <c r="B13" s="56" t="s">
        <v>26</v>
      </c>
      <c r="C13" s="57"/>
      <c r="D13" s="58">
        <v>42735</v>
      </c>
      <c r="E13" s="59"/>
      <c r="F13" s="57"/>
      <c r="G13" s="57"/>
      <c r="H13" s="60" t="s">
        <v>10</v>
      </c>
      <c r="I13" s="67" t="s">
        <v>14</v>
      </c>
      <c r="J13" s="62">
        <v>6</v>
      </c>
      <c r="K13" s="57"/>
      <c r="L13" s="57"/>
      <c r="M13" s="57"/>
      <c r="N13" s="57"/>
      <c r="O13" s="63"/>
      <c r="P13" s="57"/>
      <c r="Q13" s="57"/>
      <c r="R13" s="57"/>
      <c r="S13" s="64">
        <v>0</v>
      </c>
      <c r="T13" s="65"/>
      <c r="U13" s="54">
        <v>48.113999999999997</v>
      </c>
      <c r="V13" s="54" t="str">
        <f>IF(SUMPRODUCT(MAX((#REF!)*((#REF!=#REF!)*(#REF!=#REF!)*(#REF!=#REF!))))&lt;&gt;#REF!,"",SUMPRODUCT((-#REF!+#REF!+#REF!)*((#REF!=#REF!)*(#REF!=#REF!)*(#REF!=#REF!))))</f>
        <v/>
      </c>
      <c r="W13" s="57"/>
      <c r="X13" s="57"/>
      <c r="Y13" s="57"/>
      <c r="Z13" s="57"/>
      <c r="AA13" s="66"/>
    </row>
    <row r="14" spans="1:27" ht="24.95" hidden="1" customHeight="1">
      <c r="A14" s="55"/>
      <c r="B14" s="56" t="s">
        <v>26</v>
      </c>
      <c r="C14" s="57"/>
      <c r="D14" s="58">
        <v>42735</v>
      </c>
      <c r="E14" s="59"/>
      <c r="F14" s="57"/>
      <c r="G14" s="57"/>
      <c r="H14" s="60" t="s">
        <v>10</v>
      </c>
      <c r="I14" s="67" t="s">
        <v>14</v>
      </c>
      <c r="J14" s="62">
        <v>7</v>
      </c>
      <c r="K14" s="57"/>
      <c r="L14" s="57"/>
      <c r="M14" s="57"/>
      <c r="N14" s="57"/>
      <c r="O14" s="63"/>
      <c r="P14" s="57"/>
      <c r="Q14" s="57"/>
      <c r="R14" s="57"/>
      <c r="S14" s="64">
        <v>0</v>
      </c>
      <c r="T14" s="65"/>
      <c r="U14" s="54">
        <v>100.29300000000001</v>
      </c>
      <c r="V14" s="54" t="str">
        <f>IF(SUMPRODUCT(MAX((#REF!)*((#REF!=#REF!)*(#REF!=#REF!)*(#REF!=#REF!))))&lt;&gt;#REF!,"",SUMPRODUCT((-#REF!+#REF!+#REF!)*((#REF!=#REF!)*(#REF!=#REF!)*(#REF!=#REF!))))</f>
        <v/>
      </c>
      <c r="W14" s="57"/>
      <c r="X14" s="57"/>
      <c r="Y14" s="57"/>
      <c r="Z14" s="57"/>
      <c r="AA14" s="66"/>
    </row>
    <row r="15" spans="1:27" ht="24.95" hidden="1" customHeight="1">
      <c r="A15" s="55"/>
      <c r="B15" s="56" t="s">
        <v>26</v>
      </c>
      <c r="C15" s="57"/>
      <c r="D15" s="58">
        <v>42735</v>
      </c>
      <c r="E15" s="59"/>
      <c r="F15" s="57"/>
      <c r="G15" s="57"/>
      <c r="H15" s="60" t="s">
        <v>10</v>
      </c>
      <c r="I15" s="61" t="s">
        <v>14</v>
      </c>
      <c r="J15" s="62">
        <v>9</v>
      </c>
      <c r="K15" s="57"/>
      <c r="L15" s="57"/>
      <c r="M15" s="57"/>
      <c r="N15" s="57"/>
      <c r="O15" s="63"/>
      <c r="P15" s="57"/>
      <c r="Q15" s="57"/>
      <c r="R15" s="57"/>
      <c r="S15" s="64">
        <v>0</v>
      </c>
      <c r="T15" s="65"/>
      <c r="U15" s="54">
        <v>116.511</v>
      </c>
      <c r="V15" s="54">
        <f>IF(SUMPRODUCT(MAX((#REF!)*((#REF!=#REF!)*(#REF!=#REF!)*(#REF!=#REF!))))&lt;&gt;#REF!,"",SUMPRODUCT((-#REF!+#REF!+#REF!)*((#REF!=#REF!)*(#REF!=#REF!)*(#REF!=#REF!))))</f>
        <v>116.511</v>
      </c>
      <c r="W15" s="57"/>
      <c r="X15" s="57"/>
      <c r="Y15" s="57"/>
      <c r="Z15" s="57"/>
      <c r="AA15" s="66"/>
    </row>
    <row r="16" spans="1:27" ht="24.95" hidden="1" customHeight="1">
      <c r="A16" s="55"/>
      <c r="B16" s="56" t="s">
        <v>26</v>
      </c>
      <c r="C16" s="57"/>
      <c r="D16" s="58">
        <v>42735</v>
      </c>
      <c r="E16" s="59"/>
      <c r="F16" s="57"/>
      <c r="G16" s="57"/>
      <c r="H16" s="60" t="s">
        <v>10</v>
      </c>
      <c r="I16" s="61" t="s">
        <v>14</v>
      </c>
      <c r="J16" s="62">
        <v>10.5</v>
      </c>
      <c r="K16" s="57"/>
      <c r="L16" s="57"/>
      <c r="M16" s="57"/>
      <c r="N16" s="57"/>
      <c r="O16" s="63"/>
      <c r="P16" s="57"/>
      <c r="Q16" s="57"/>
      <c r="R16" s="57"/>
      <c r="S16" s="64">
        <v>0</v>
      </c>
      <c r="T16" s="65"/>
      <c r="U16" s="54">
        <v>182.25</v>
      </c>
      <c r="V16" s="54">
        <f>IF(SUMPRODUCT(MAX((#REF!)*((#REF!=#REF!)*(#REF!=#REF!)*(#REF!=#REF!))))&lt;&gt;#REF!,"",SUMPRODUCT((-#REF!+#REF!+#REF!)*((#REF!=#REF!)*(#REF!=#REF!)*(#REF!=#REF!))))</f>
        <v>182.25</v>
      </c>
      <c r="W16" s="57"/>
      <c r="X16" s="57"/>
      <c r="Y16" s="57"/>
      <c r="Z16" s="57"/>
      <c r="AA16" s="66"/>
    </row>
    <row r="17" spans="1:27" ht="24.95" hidden="1" customHeight="1">
      <c r="A17" s="55"/>
      <c r="B17" s="56" t="s">
        <v>26</v>
      </c>
      <c r="C17" s="57"/>
      <c r="D17" s="58">
        <v>42735</v>
      </c>
      <c r="E17" s="59"/>
      <c r="F17" s="57"/>
      <c r="G17" s="57"/>
      <c r="H17" s="60" t="s">
        <v>10</v>
      </c>
      <c r="I17" s="61" t="s">
        <v>14</v>
      </c>
      <c r="J17" s="62">
        <v>11</v>
      </c>
      <c r="K17" s="57"/>
      <c r="L17" s="57"/>
      <c r="M17" s="57"/>
      <c r="N17" s="57"/>
      <c r="O17" s="63"/>
      <c r="P17" s="57"/>
      <c r="Q17" s="57"/>
      <c r="R17" s="57"/>
      <c r="S17" s="64">
        <v>0</v>
      </c>
      <c r="T17" s="65"/>
      <c r="U17" s="54">
        <v>61.274999999999999</v>
      </c>
      <c r="V17" s="54">
        <f>IF(SUMPRODUCT(MAX((#REF!)*((#REF!=#REF!)*(#REF!=#REF!)*(#REF!=#REF!))))&lt;&gt;#REF!,"",SUMPRODUCT((-#REF!+#REF!+#REF!)*((#REF!=#REF!)*(#REF!=#REF!)*(#REF!=#REF!))))</f>
        <v>61.274999999999999</v>
      </c>
      <c r="W17" s="57"/>
      <c r="X17" s="57"/>
      <c r="Y17" s="57"/>
      <c r="Z17" s="57"/>
      <c r="AA17" s="66"/>
    </row>
    <row r="18" spans="1:27" ht="24.95" hidden="1" customHeight="1">
      <c r="A18" s="55"/>
      <c r="B18" s="56" t="s">
        <v>26</v>
      </c>
      <c r="C18" s="57"/>
      <c r="D18" s="58">
        <v>42735</v>
      </c>
      <c r="E18" s="59"/>
      <c r="F18" s="57"/>
      <c r="G18" s="57"/>
      <c r="H18" s="60" t="s">
        <v>10</v>
      </c>
      <c r="I18" s="61" t="s">
        <v>14</v>
      </c>
      <c r="J18" s="62">
        <v>12</v>
      </c>
      <c r="K18" s="57"/>
      <c r="L18" s="57"/>
      <c r="M18" s="57"/>
      <c r="N18" s="57"/>
      <c r="O18" s="63"/>
      <c r="P18" s="57"/>
      <c r="Q18" s="57"/>
      <c r="R18" s="57"/>
      <c r="S18" s="64">
        <v>0</v>
      </c>
      <c r="T18" s="65"/>
      <c r="U18" s="54">
        <v>23.352</v>
      </c>
      <c r="V18" s="54">
        <f>IF(SUMPRODUCT(MAX((#REF!)*((#REF!=#REF!)*(#REF!=#REF!)*(#REF!=#REF!))))&lt;&gt;#REF!,"",SUMPRODUCT((-#REF!+#REF!+#REF!)*((#REF!=#REF!)*(#REF!=#REF!)*(#REF!=#REF!))))</f>
        <v>23.352</v>
      </c>
      <c r="W18" s="57"/>
      <c r="X18" s="57"/>
      <c r="Y18" s="57"/>
      <c r="Z18" s="57"/>
      <c r="AA18" s="66"/>
    </row>
    <row r="19" spans="1:27" ht="24.95" hidden="1" customHeight="1">
      <c r="A19" s="55"/>
      <c r="B19" s="56" t="s">
        <v>26</v>
      </c>
      <c r="C19" s="57"/>
      <c r="D19" s="58">
        <v>42735</v>
      </c>
      <c r="E19" s="59"/>
      <c r="F19" s="57"/>
      <c r="G19" s="57"/>
      <c r="H19" s="60" t="s">
        <v>10</v>
      </c>
      <c r="I19" s="61" t="s">
        <v>14</v>
      </c>
      <c r="J19" s="62">
        <v>13</v>
      </c>
      <c r="K19" s="57"/>
      <c r="L19" s="57"/>
      <c r="M19" s="57"/>
      <c r="N19" s="57"/>
      <c r="O19" s="63"/>
      <c r="P19" s="57"/>
      <c r="Q19" s="57"/>
      <c r="R19" s="57"/>
      <c r="S19" s="64">
        <v>0</v>
      </c>
      <c r="T19" s="65"/>
      <c r="U19" s="54">
        <v>140.34299999999999</v>
      </c>
      <c r="V19" s="54">
        <f>IF(SUMPRODUCT(MAX((#REF!)*((#REF!=#REF!)*(#REF!=#REF!)*(#REF!=#REF!))))&lt;&gt;#REF!,"",SUMPRODUCT((-#REF!+#REF!+#REF!)*((#REF!=#REF!)*(#REF!=#REF!)*(#REF!=#REF!))))</f>
        <v>140.34299999999999</v>
      </c>
      <c r="W19" s="57"/>
      <c r="X19" s="57"/>
      <c r="Y19" s="57"/>
      <c r="Z19" s="57"/>
      <c r="AA19" s="66"/>
    </row>
    <row r="20" spans="1:27" ht="24.95" hidden="1" customHeight="1">
      <c r="A20" s="55"/>
      <c r="B20" s="56" t="s">
        <v>26</v>
      </c>
      <c r="C20" s="57"/>
      <c r="D20" s="58">
        <v>42735</v>
      </c>
      <c r="E20" s="59"/>
      <c r="F20" s="57"/>
      <c r="G20" s="57"/>
      <c r="H20" s="60" t="s">
        <v>10</v>
      </c>
      <c r="I20" s="61" t="s">
        <v>14</v>
      </c>
      <c r="J20" s="62">
        <v>14</v>
      </c>
      <c r="K20" s="57"/>
      <c r="L20" s="57"/>
      <c r="M20" s="57"/>
      <c r="N20" s="57"/>
      <c r="O20" s="63"/>
      <c r="P20" s="57"/>
      <c r="Q20" s="57"/>
      <c r="R20" s="57"/>
      <c r="S20" s="64">
        <v>0</v>
      </c>
      <c r="T20" s="65"/>
      <c r="U20" s="54">
        <v>460.75200000000001</v>
      </c>
      <c r="V20" s="54">
        <f>IF(SUMPRODUCT(MAX((#REF!)*((#REF!=#REF!)*(#REF!=#REF!)*(#REF!=#REF!))))&lt;&gt;#REF!,"",SUMPRODUCT((-#REF!+#REF!+#REF!)*((#REF!=#REF!)*(#REF!=#REF!)*(#REF!=#REF!))))</f>
        <v>460.75200000000001</v>
      </c>
      <c r="W20" s="57"/>
      <c r="X20" s="57"/>
      <c r="Y20" s="57"/>
      <c r="Z20" s="57"/>
      <c r="AA20" s="66"/>
    </row>
    <row r="21" spans="1:27" ht="24.95" hidden="1" customHeight="1">
      <c r="A21" s="55"/>
      <c r="B21" s="56" t="s">
        <v>26</v>
      </c>
      <c r="C21" s="57"/>
      <c r="D21" s="58">
        <v>42735</v>
      </c>
      <c r="E21" s="59"/>
      <c r="F21" s="57"/>
      <c r="G21" s="57"/>
      <c r="H21" s="60" t="s">
        <v>10</v>
      </c>
      <c r="I21" s="61" t="s">
        <v>14</v>
      </c>
      <c r="J21" s="62">
        <v>15</v>
      </c>
      <c r="K21" s="57"/>
      <c r="L21" s="57"/>
      <c r="M21" s="57"/>
      <c r="N21" s="57"/>
      <c r="O21" s="63"/>
      <c r="P21" s="57"/>
      <c r="Q21" s="57"/>
      <c r="R21" s="57"/>
      <c r="S21" s="64">
        <v>0</v>
      </c>
      <c r="T21" s="65"/>
      <c r="U21" s="54">
        <v>68.399999999999991</v>
      </c>
      <c r="V21" s="54">
        <f>IF(SUMPRODUCT(MAX((#REF!)*((#REF!=#REF!)*(#REF!=#REF!)*(#REF!=#REF!))))&lt;&gt;#REF!,"",SUMPRODUCT((-#REF!+#REF!+#REF!)*((#REF!=#REF!)*(#REF!=#REF!)*(#REF!=#REF!))))</f>
        <v>68.399999999999991</v>
      </c>
      <c r="W21" s="57"/>
      <c r="X21" s="57"/>
      <c r="Y21" s="57"/>
      <c r="Z21" s="57"/>
      <c r="AA21" s="66"/>
    </row>
    <row r="22" spans="1:27" ht="24.95" hidden="1" customHeight="1">
      <c r="A22" s="55"/>
      <c r="B22" s="56" t="s">
        <v>26</v>
      </c>
      <c r="C22" s="57"/>
      <c r="D22" s="58">
        <v>42735</v>
      </c>
      <c r="E22" s="59"/>
      <c r="F22" s="57"/>
      <c r="G22" s="57"/>
      <c r="H22" s="60" t="s">
        <v>10</v>
      </c>
      <c r="I22" s="61" t="s">
        <v>14</v>
      </c>
      <c r="J22" s="62">
        <v>17</v>
      </c>
      <c r="K22" s="57"/>
      <c r="L22" s="57"/>
      <c r="M22" s="57"/>
      <c r="N22" s="57"/>
      <c r="O22" s="63"/>
      <c r="P22" s="57"/>
      <c r="Q22" s="57"/>
      <c r="R22" s="57"/>
      <c r="S22" s="64">
        <v>0</v>
      </c>
      <c r="T22" s="65"/>
      <c r="U22" s="54">
        <v>122.976</v>
      </c>
      <c r="V22" s="54">
        <f>IF(SUMPRODUCT(MAX((#REF!)*((#REF!=#REF!)*(#REF!=#REF!)*(#REF!=#REF!))))&lt;&gt;#REF!,"",SUMPRODUCT((-#REF!+#REF!+#REF!)*((#REF!=#REF!)*(#REF!=#REF!)*(#REF!=#REF!))))</f>
        <v>122.976</v>
      </c>
      <c r="W22" s="57"/>
      <c r="X22" s="57"/>
      <c r="Y22" s="57"/>
      <c r="Z22" s="57"/>
      <c r="AA22" s="66"/>
    </row>
    <row r="23" spans="1:27" ht="24.95" hidden="1" customHeight="1">
      <c r="A23" s="55"/>
      <c r="B23" s="56" t="s">
        <v>26</v>
      </c>
      <c r="C23" s="57"/>
      <c r="D23" s="58">
        <v>42735</v>
      </c>
      <c r="E23" s="59"/>
      <c r="F23" s="57"/>
      <c r="G23" s="57"/>
      <c r="H23" s="60" t="s">
        <v>10</v>
      </c>
      <c r="I23" s="61" t="s">
        <v>14</v>
      </c>
      <c r="J23" s="62">
        <v>22</v>
      </c>
      <c r="K23" s="57"/>
      <c r="L23" s="68"/>
      <c r="M23" s="57"/>
      <c r="N23" s="57"/>
      <c r="O23" s="63"/>
      <c r="P23" s="57"/>
      <c r="Q23" s="57"/>
      <c r="R23" s="57"/>
      <c r="S23" s="64">
        <v>0</v>
      </c>
      <c r="T23" s="65"/>
      <c r="U23" s="54">
        <v>206.01000000000002</v>
      </c>
      <c r="V23" s="54" t="str">
        <f>IF(SUMPRODUCT(MAX((#REF!)*((#REF!=#REF!)*(#REF!=#REF!)*(#REF!=#REF!))))&lt;&gt;#REF!,"",SUMPRODUCT((-#REF!+#REF!+#REF!)*((#REF!=#REF!)*(#REF!=#REF!)*(#REF!=#REF!))))</f>
        <v/>
      </c>
      <c r="W23" s="57"/>
      <c r="X23" s="57"/>
      <c r="Y23" s="57"/>
      <c r="Z23" s="57"/>
      <c r="AA23" s="66"/>
    </row>
    <row r="24" spans="1:27" ht="24.95" hidden="1" customHeight="1">
      <c r="A24" s="55"/>
      <c r="B24" s="56" t="s">
        <v>26</v>
      </c>
      <c r="C24" s="57"/>
      <c r="D24" s="58">
        <v>42735</v>
      </c>
      <c r="E24" s="59"/>
      <c r="F24" s="57"/>
      <c r="G24" s="57"/>
      <c r="H24" s="60" t="s">
        <v>10</v>
      </c>
      <c r="I24" s="61" t="s">
        <v>14</v>
      </c>
      <c r="J24" s="62">
        <v>23</v>
      </c>
      <c r="K24" s="57"/>
      <c r="L24" s="57"/>
      <c r="M24" s="57"/>
      <c r="N24" s="57"/>
      <c r="O24" s="63"/>
      <c r="P24" s="57"/>
      <c r="Q24" s="57"/>
      <c r="R24" s="57"/>
      <c r="S24" s="64">
        <v>0</v>
      </c>
      <c r="T24" s="65"/>
      <c r="U24" s="54">
        <v>299.88</v>
      </c>
      <c r="V24" s="54">
        <f>IF(SUMPRODUCT(MAX((#REF!)*((#REF!=#REF!)*(#REF!=#REF!)*(#REF!=#REF!))))&lt;&gt;#REF!,"",SUMPRODUCT((-#REF!+#REF!+#REF!)*((#REF!=#REF!)*(#REF!=#REF!)*(#REF!=#REF!))))</f>
        <v>299.88</v>
      </c>
      <c r="W24" s="57"/>
      <c r="X24" s="57"/>
      <c r="Y24" s="57"/>
      <c r="Z24" s="57"/>
      <c r="AA24" s="66"/>
    </row>
    <row r="25" spans="1:27" ht="24.95" hidden="1" customHeight="1">
      <c r="A25" s="55"/>
      <c r="B25" s="56" t="s">
        <v>26</v>
      </c>
      <c r="C25" s="57"/>
      <c r="D25" s="58">
        <v>42735</v>
      </c>
      <c r="E25" s="59"/>
      <c r="F25" s="57"/>
      <c r="G25" s="57"/>
      <c r="H25" s="60" t="s">
        <v>10</v>
      </c>
      <c r="I25" s="61" t="s">
        <v>14</v>
      </c>
      <c r="J25" s="62">
        <v>24</v>
      </c>
      <c r="K25" s="57"/>
      <c r="L25" s="57"/>
      <c r="M25" s="57"/>
      <c r="N25" s="57"/>
      <c r="O25" s="63"/>
      <c r="P25" s="57"/>
      <c r="Q25" s="57"/>
      <c r="R25" s="57"/>
      <c r="S25" s="64">
        <v>0</v>
      </c>
      <c r="T25" s="65"/>
      <c r="U25" s="54">
        <v>46.68</v>
      </c>
      <c r="V25" s="54">
        <f>IF(SUMPRODUCT(MAX((#REF!)*((#REF!=#REF!)*(#REF!=#REF!)*(#REF!=#REF!))))&lt;&gt;#REF!,"",SUMPRODUCT((-#REF!+#REF!+#REF!)*((#REF!=#REF!)*(#REF!=#REF!)*(#REF!=#REF!))))</f>
        <v>46.68</v>
      </c>
      <c r="W25" s="57"/>
      <c r="X25" s="57"/>
      <c r="Y25" s="57"/>
      <c r="Z25" s="57"/>
      <c r="AA25" s="66"/>
    </row>
    <row r="26" spans="1:27" ht="24.95" hidden="1" customHeight="1">
      <c r="A26" s="55"/>
      <c r="B26" s="69" t="s">
        <v>23</v>
      </c>
      <c r="C26" s="57"/>
      <c r="D26" s="58">
        <v>42754</v>
      </c>
      <c r="E26" s="59"/>
      <c r="F26" s="57"/>
      <c r="G26" s="57"/>
      <c r="H26" s="70" t="s">
        <v>10</v>
      </c>
      <c r="I26" s="69" t="s">
        <v>14</v>
      </c>
      <c r="J26" s="71">
        <v>18</v>
      </c>
      <c r="K26" s="57"/>
      <c r="L26" s="57"/>
      <c r="M26" s="57"/>
      <c r="N26" s="57"/>
      <c r="O26" s="63"/>
      <c r="P26" s="57"/>
      <c r="Q26" s="57"/>
      <c r="R26" s="57"/>
      <c r="S26" s="64">
        <v>0</v>
      </c>
      <c r="T26" s="72">
        <v>211</v>
      </c>
      <c r="U26" s="72"/>
      <c r="V26" s="54" t="str">
        <f>IF(SUMPRODUCT(MAX((#REF!)*((#REF!=#REF!)*(#REF!=#REF!)*(#REF!=#REF!))))&lt;&gt;#REF!,"",SUMPRODUCT((-#REF!+#REF!+#REF!)*((#REF!=#REF!)*(#REF!=#REF!)*(#REF!=#REF!))))</f>
        <v/>
      </c>
      <c r="W26" s="57"/>
      <c r="X26" s="57"/>
      <c r="Y26" s="57"/>
      <c r="Z26" s="57"/>
      <c r="AA26" s="66">
        <f>SUBTOTAL(9,AA3:AA25)</f>
        <v>0</v>
      </c>
    </row>
    <row r="27" spans="1:27" ht="24.95" hidden="1" customHeight="1">
      <c r="A27" s="55"/>
      <c r="B27" s="69" t="s">
        <v>23</v>
      </c>
      <c r="C27" s="57"/>
      <c r="D27" s="58">
        <v>42754</v>
      </c>
      <c r="E27" s="59"/>
      <c r="F27" s="57"/>
      <c r="G27" s="57"/>
      <c r="H27" s="70" t="s">
        <v>10</v>
      </c>
      <c r="I27" s="69" t="s">
        <v>14</v>
      </c>
      <c r="J27" s="71">
        <v>22</v>
      </c>
      <c r="K27" s="57"/>
      <c r="L27" s="68"/>
      <c r="M27" s="57"/>
      <c r="N27" s="57"/>
      <c r="O27" s="63"/>
      <c r="P27" s="57"/>
      <c r="Q27" s="57"/>
      <c r="R27" s="57"/>
      <c r="S27" s="64">
        <v>0</v>
      </c>
      <c r="T27" s="72">
        <v>1964</v>
      </c>
      <c r="U27" s="72"/>
      <c r="V27" s="54" t="str">
        <f>IF(SUMPRODUCT(MAX((#REF!)*((#REF!=#REF!)*(#REF!=#REF!)*(#REF!=#REF!))))&lt;&gt;#REF!,"",SUMPRODUCT((-#REF!+#REF!+#REF!)*((#REF!=#REF!)*(#REF!=#REF!)*(#REF!=#REF!))))</f>
        <v/>
      </c>
      <c r="W27" s="57"/>
      <c r="X27" s="57"/>
      <c r="Y27" s="57"/>
      <c r="Z27" s="57"/>
      <c r="AA27" s="66"/>
    </row>
    <row r="28" spans="1:27" ht="24.95" hidden="1" customHeight="1">
      <c r="A28" s="73"/>
      <c r="B28" s="74" t="s">
        <v>22</v>
      </c>
      <c r="C28" s="75">
        <v>546390</v>
      </c>
      <c r="D28" s="58">
        <v>42801</v>
      </c>
      <c r="E28" s="59">
        <v>512800</v>
      </c>
      <c r="F28" s="76" t="s">
        <v>17</v>
      </c>
      <c r="G28" s="74"/>
      <c r="H28" s="74" t="s">
        <v>10</v>
      </c>
      <c r="I28" s="57" t="s">
        <v>14</v>
      </c>
      <c r="J28" s="77">
        <v>7</v>
      </c>
      <c r="K28" s="57"/>
      <c r="L28" s="78">
        <v>1000</v>
      </c>
      <c r="M28" s="79">
        <v>3.421E-3</v>
      </c>
      <c r="N28" s="57">
        <v>24.5</v>
      </c>
      <c r="O28" s="57">
        <f>INT(2800/(N28+3))</f>
        <v>101</v>
      </c>
      <c r="P28" s="57">
        <f>((J28/2)*(J28/2)*3.14*9*3)/1000</f>
        <v>1.0385550000000003</v>
      </c>
      <c r="Q28" s="74">
        <f>+M28*L28</f>
        <v>3.4209999999999998</v>
      </c>
      <c r="R28" s="57">
        <f>P28/O28</f>
        <v>1.0282722772277231E-2</v>
      </c>
      <c r="S28" s="64">
        <v>10.28272277227723</v>
      </c>
      <c r="T28" s="65"/>
      <c r="U28" s="65"/>
      <c r="V28" s="54" t="str">
        <f>IF(SUMPRODUCT(MAX((#REF!)*((#REF!=#REF!)*(#REF!=#REF!)*(#REF!=#REF!))))&lt;&gt;#REF!,"",SUMPRODUCT((-#REF!+#REF!+#REF!)*((#REF!=#REF!)*(#REF!=#REF!)*(#REF!=#REF!))))</f>
        <v/>
      </c>
      <c r="W28" s="57">
        <f>(((P28/3000)*2880)-(M28*O28))/O28</f>
        <v>6.4504138613861416E-3</v>
      </c>
      <c r="X28" s="57">
        <f>+W28*L28</f>
        <v>6.4504138613861413</v>
      </c>
      <c r="Y28" s="57">
        <f>+((P28/3000)*120)/101</f>
        <v>4.1130891089108927E-4</v>
      </c>
      <c r="Z28" s="57">
        <f>Y28*L28</f>
        <v>0.41130891089108929</v>
      </c>
      <c r="AA28" s="66">
        <f>S28-Q28</f>
        <v>6.8617227722772309</v>
      </c>
    </row>
    <row r="29" spans="1:27" ht="24.95" hidden="1" customHeight="1">
      <c r="A29" s="55"/>
      <c r="B29" s="69" t="s">
        <v>23</v>
      </c>
      <c r="C29" s="57"/>
      <c r="D29" s="58">
        <v>42816</v>
      </c>
      <c r="E29" s="59"/>
      <c r="F29" s="57"/>
      <c r="G29" s="57"/>
      <c r="H29" s="70" t="s">
        <v>10</v>
      </c>
      <c r="I29" s="69" t="s">
        <v>14</v>
      </c>
      <c r="J29" s="71">
        <v>7</v>
      </c>
      <c r="K29" s="57"/>
      <c r="L29" s="57"/>
      <c r="M29" s="57"/>
      <c r="N29" s="57"/>
      <c r="O29" s="63"/>
      <c r="P29" s="57"/>
      <c r="Q29" s="57"/>
      <c r="R29" s="57"/>
      <c r="S29" s="64">
        <v>0</v>
      </c>
      <c r="T29" s="72">
        <v>250</v>
      </c>
      <c r="U29" s="72"/>
      <c r="V29" s="54" t="str">
        <f>IF(SUMPRODUCT(MAX((#REF!)*((#REF!=#REF!)*(#REF!=#REF!)*(#REF!=#REF!))))&lt;&gt;#REF!,"",SUMPRODUCT((-#REF!+#REF!+#REF!)*((#REF!=#REF!)*(#REF!=#REF!)*(#REF!=#REF!))))</f>
        <v/>
      </c>
      <c r="W29" s="57"/>
      <c r="X29" s="57"/>
      <c r="Y29" s="57"/>
      <c r="Z29" s="57"/>
      <c r="AA29" s="66"/>
    </row>
    <row r="30" spans="1:27" ht="24.95" hidden="1" customHeight="1">
      <c r="A30" s="73">
        <v>201700021</v>
      </c>
      <c r="B30" s="74" t="s">
        <v>22</v>
      </c>
      <c r="C30" s="80">
        <v>546763</v>
      </c>
      <c r="D30" s="58">
        <v>42818</v>
      </c>
      <c r="E30" s="59">
        <v>200200</v>
      </c>
      <c r="F30" s="76" t="s">
        <v>16</v>
      </c>
      <c r="G30" s="76">
        <v>146</v>
      </c>
      <c r="H30" s="74" t="s">
        <v>10</v>
      </c>
      <c r="I30" s="57" t="s">
        <v>14</v>
      </c>
      <c r="J30" s="65">
        <v>22</v>
      </c>
      <c r="K30" s="57"/>
      <c r="L30" s="81">
        <v>2000</v>
      </c>
      <c r="M30" s="79">
        <v>7.4759999999999993E-2</v>
      </c>
      <c r="N30" s="82">
        <v>39.5</v>
      </c>
      <c r="O30" s="57">
        <f>INT(2800/(N30+3))</f>
        <v>65</v>
      </c>
      <c r="P30" s="57">
        <f>((J30/2)*(J30/2)*3.14*9*3)/1000</f>
        <v>10.258380000000001</v>
      </c>
      <c r="Q30" s="74">
        <f>+M30*L30</f>
        <v>149.51999999999998</v>
      </c>
      <c r="R30" s="57">
        <f>P30/O30</f>
        <v>0.15782123076923077</v>
      </c>
      <c r="S30" s="64">
        <v>315.64246153846153</v>
      </c>
      <c r="T30" s="65"/>
      <c r="U30" s="72"/>
      <c r="V30" s="54" t="str">
        <f>IF(SUMPRODUCT(MAX((#REF!)*((#REF!=#REF!)*(#REF!=#REF!)*(#REF!=#REF!))))&lt;&gt;#REF!,"",SUMPRODUCT((-#REF!+#REF!+#REF!)*((#REF!=#REF!)*(#REF!=#REF!)*(#REF!=#REF!))))</f>
        <v/>
      </c>
      <c r="W30" s="57">
        <f>(((P30/3000)*2880)-(M30*O30))/O30</f>
        <v>7.6748381538461544E-2</v>
      </c>
      <c r="X30" s="57">
        <f>+W30*L30</f>
        <v>153.49676307692309</v>
      </c>
      <c r="Y30" s="57">
        <f>+((P30/3000)*120)/101</f>
        <v>4.0627247524752472E-3</v>
      </c>
      <c r="Z30" s="57">
        <f>Y30*L30</f>
        <v>8.1254495049504953</v>
      </c>
      <c r="AA30" s="66">
        <f>S30-Q30</f>
        <v>166.12246153846155</v>
      </c>
    </row>
    <row r="31" spans="1:27" ht="24.95" hidden="1" customHeight="1">
      <c r="A31" s="73">
        <v>201700027</v>
      </c>
      <c r="B31" s="74" t="s">
        <v>22</v>
      </c>
      <c r="C31" s="80">
        <v>547184</v>
      </c>
      <c r="D31" s="58">
        <v>42832</v>
      </c>
      <c r="E31" s="59">
        <v>510020</v>
      </c>
      <c r="F31" s="76" t="s">
        <v>11</v>
      </c>
      <c r="G31" s="83">
        <v>139</v>
      </c>
      <c r="H31" s="74" t="s">
        <v>10</v>
      </c>
      <c r="I31" s="74" t="s">
        <v>13</v>
      </c>
      <c r="J31" s="77">
        <v>8</v>
      </c>
      <c r="K31" s="57"/>
      <c r="L31" s="78">
        <v>20000</v>
      </c>
      <c r="M31" s="79">
        <v>1.446E-3</v>
      </c>
      <c r="N31" s="57">
        <v>6</v>
      </c>
      <c r="O31" s="57">
        <f>INT(2800/(N31+3))</f>
        <v>311</v>
      </c>
      <c r="P31" s="57">
        <f>((J31*J31)*0.866*9*3)/1000</f>
        <v>1.4964479999999998</v>
      </c>
      <c r="Q31" s="74">
        <f>+L31*M31</f>
        <v>28.92</v>
      </c>
      <c r="R31" s="57">
        <f>P31/O31</f>
        <v>4.8117299035369768E-3</v>
      </c>
      <c r="S31" s="64">
        <v>96.234598070739537</v>
      </c>
      <c r="T31" s="65"/>
      <c r="U31" s="65"/>
      <c r="V31" s="54" t="str">
        <f>IF(SUMPRODUCT(MAX((#REF!)*((#REF!=#REF!)*(#REF!=#REF!)*(#REF!=#REF!))))&lt;&gt;#REF!,"",SUMPRODUCT((-#REF!+#REF!+#REF!)*((#REF!=#REF!)*(#REF!=#REF!)*(#REF!=#REF!))))</f>
        <v/>
      </c>
      <c r="W31" s="57">
        <f>(((P31/3000)*2880)-(M31*O31))/O31</f>
        <v>3.1732607073954979E-3</v>
      </c>
      <c r="X31" s="57">
        <f>+W31*L31</f>
        <v>63.465214147909954</v>
      </c>
      <c r="Y31" s="57">
        <f>+((P31/3000)*120)/101</f>
        <v>5.9265267326732659E-4</v>
      </c>
      <c r="Z31" s="57">
        <f>Y31*L31</f>
        <v>11.853053465346532</v>
      </c>
      <c r="AA31" s="66">
        <f>S31-Q31</f>
        <v>67.314598070739535</v>
      </c>
    </row>
    <row r="32" spans="1:27" ht="24.95" hidden="1" customHeight="1">
      <c r="A32" s="73">
        <v>201700027</v>
      </c>
      <c r="B32" s="74" t="s">
        <v>22</v>
      </c>
      <c r="C32" s="80">
        <v>547184</v>
      </c>
      <c r="D32" s="58">
        <v>42832</v>
      </c>
      <c r="E32" s="59">
        <v>512800</v>
      </c>
      <c r="F32" s="76" t="s">
        <v>17</v>
      </c>
      <c r="G32" s="74"/>
      <c r="H32" s="74" t="s">
        <v>10</v>
      </c>
      <c r="I32" s="57" t="s">
        <v>14</v>
      </c>
      <c r="J32" s="77">
        <v>7</v>
      </c>
      <c r="K32" s="57"/>
      <c r="L32" s="78">
        <v>10000</v>
      </c>
      <c r="M32" s="79">
        <v>3.421E-3</v>
      </c>
      <c r="N32" s="57">
        <v>24.5</v>
      </c>
      <c r="O32" s="57">
        <f>INT(2800/(N32+3))</f>
        <v>101</v>
      </c>
      <c r="P32" s="57">
        <f>((J32/2)*(J32/2)*3.14*9*3)/1000</f>
        <v>1.0385550000000003</v>
      </c>
      <c r="Q32" s="74">
        <f>+M32*L32</f>
        <v>34.21</v>
      </c>
      <c r="R32" s="57">
        <f>P32/O32</f>
        <v>1.0282722772277231E-2</v>
      </c>
      <c r="S32" s="64">
        <v>102.82722772277231</v>
      </c>
      <c r="T32" s="65"/>
      <c r="U32" s="65"/>
      <c r="V32" s="54" t="str">
        <f>IF(SUMPRODUCT(MAX((#REF!)*((#REF!=#REF!)*(#REF!=#REF!)*(#REF!=#REF!))))&lt;&gt;#REF!,"",SUMPRODUCT((-#REF!+#REF!+#REF!)*((#REF!=#REF!)*(#REF!=#REF!)*(#REF!=#REF!))))</f>
        <v/>
      </c>
      <c r="W32" s="57">
        <f>(((P32/3000)*2880)-(M32*O32))/O32</f>
        <v>6.4504138613861416E-3</v>
      </c>
      <c r="X32" s="57">
        <f>+W32*L32</f>
        <v>64.504138613861414</v>
      </c>
      <c r="Y32" s="57">
        <f>+((P32/3000)*120)/101</f>
        <v>4.1130891089108927E-4</v>
      </c>
      <c r="Z32" s="57">
        <f>Y32*L32</f>
        <v>4.1130891089108923</v>
      </c>
      <c r="AA32" s="66">
        <f>S32-Q32</f>
        <v>68.617227722772299</v>
      </c>
    </row>
    <row r="33" spans="1:27" ht="24.95" hidden="1" customHeight="1">
      <c r="A33" s="73">
        <v>201700034</v>
      </c>
      <c r="B33" s="74" t="s">
        <v>22</v>
      </c>
      <c r="C33" s="80">
        <v>547321</v>
      </c>
      <c r="D33" s="58">
        <v>42839</v>
      </c>
      <c r="E33" s="59">
        <v>200200</v>
      </c>
      <c r="F33" s="76" t="s">
        <v>16</v>
      </c>
      <c r="G33" s="76"/>
      <c r="H33" s="74" t="s">
        <v>10</v>
      </c>
      <c r="I33" s="57" t="s">
        <v>14</v>
      </c>
      <c r="J33" s="65">
        <v>22</v>
      </c>
      <c r="K33" s="77"/>
      <c r="L33" s="84">
        <v>2500</v>
      </c>
      <c r="M33" s="79">
        <v>7.4759999999999993E-2</v>
      </c>
      <c r="N33" s="82">
        <v>39.5</v>
      </c>
      <c r="O33" s="57">
        <f>INT(2800/(N33+3))</f>
        <v>65</v>
      </c>
      <c r="P33" s="57">
        <f>((J33/2)*(J33/2)*3.14*9*3)/1000</f>
        <v>10.258380000000001</v>
      </c>
      <c r="Q33" s="74">
        <f>+M33*L33</f>
        <v>186.89999999999998</v>
      </c>
      <c r="R33" s="57">
        <f>P33/O33</f>
        <v>0.15782123076923077</v>
      </c>
      <c r="S33" s="64">
        <v>394.5530769230769</v>
      </c>
      <c r="T33" s="65"/>
      <c r="U33" s="65"/>
      <c r="V33" s="54" t="str">
        <f>IF(SUMPRODUCT(MAX((#REF!)*((#REF!=#REF!)*(#REF!=#REF!)*(#REF!=#REF!))))&lt;&gt;#REF!,"",SUMPRODUCT((-#REF!+#REF!+#REF!)*((#REF!=#REF!)*(#REF!=#REF!)*(#REF!=#REF!))))</f>
        <v/>
      </c>
      <c r="W33" s="57">
        <f>(((P33/3000)*2880)-(M33*O33))/O33</f>
        <v>7.6748381538461544E-2</v>
      </c>
      <c r="X33" s="57">
        <f>+W33*L33</f>
        <v>191.87095384615387</v>
      </c>
      <c r="Y33" s="57">
        <f>+((P33/3000)*120)/101</f>
        <v>4.0627247524752472E-3</v>
      </c>
      <c r="Z33" s="57">
        <f>Y33*L33</f>
        <v>10.156811881188117</v>
      </c>
      <c r="AA33" s="66">
        <f>S33-Q33</f>
        <v>207.65307692307692</v>
      </c>
    </row>
    <row r="34" spans="1:27" ht="24.95" hidden="1" customHeight="1">
      <c r="A34" s="73"/>
      <c r="B34" s="69" t="s">
        <v>23</v>
      </c>
      <c r="C34" s="55"/>
      <c r="D34" s="58">
        <v>42857</v>
      </c>
      <c r="E34" s="59"/>
      <c r="F34" s="57"/>
      <c r="G34" s="57"/>
      <c r="H34" s="70" t="s">
        <v>10</v>
      </c>
      <c r="I34" s="69" t="s">
        <v>13</v>
      </c>
      <c r="J34" s="71">
        <v>8</v>
      </c>
      <c r="K34" s="57"/>
      <c r="L34" s="57"/>
      <c r="M34" s="57"/>
      <c r="N34" s="57"/>
      <c r="O34" s="63"/>
      <c r="P34" s="57"/>
      <c r="Q34" s="57"/>
      <c r="R34" s="57"/>
      <c r="S34" s="64">
        <v>0</v>
      </c>
      <c r="T34" s="72">
        <v>150.4</v>
      </c>
      <c r="U34" s="72"/>
      <c r="V34" s="54" t="str">
        <f>IF(SUMPRODUCT(MAX((#REF!)*((#REF!=#REF!)*(#REF!=#REF!)*(#REF!=#REF!))))&lt;&gt;#REF!,"",SUMPRODUCT((-#REF!+#REF!+#REF!)*((#REF!=#REF!)*(#REF!=#REF!)*(#REF!=#REF!))))</f>
        <v/>
      </c>
      <c r="W34" s="57"/>
      <c r="X34" s="57"/>
      <c r="Y34" s="57"/>
      <c r="Z34" s="57"/>
      <c r="AA34" s="66"/>
    </row>
    <row r="35" spans="1:27" ht="24.95" hidden="1" customHeight="1">
      <c r="A35" s="73">
        <v>201700044</v>
      </c>
      <c r="B35" s="74" t="s">
        <v>22</v>
      </c>
      <c r="C35" s="80">
        <v>547817</v>
      </c>
      <c r="D35" s="58">
        <v>42861</v>
      </c>
      <c r="E35" s="59">
        <v>510020</v>
      </c>
      <c r="F35" s="76" t="s">
        <v>11</v>
      </c>
      <c r="G35" s="83">
        <v>139</v>
      </c>
      <c r="H35" s="74" t="s">
        <v>10</v>
      </c>
      <c r="I35" s="74" t="s">
        <v>13</v>
      </c>
      <c r="J35" s="77">
        <v>8</v>
      </c>
      <c r="K35" s="57"/>
      <c r="L35" s="78">
        <v>3540</v>
      </c>
      <c r="M35" s="79">
        <v>1.446E-3</v>
      </c>
      <c r="N35" s="57">
        <v>6</v>
      </c>
      <c r="O35" s="57">
        <f>INT(2800/(N35+3))</f>
        <v>311</v>
      </c>
      <c r="P35" s="57">
        <f>((J35*J35)*0.866*9*3)/1000</f>
        <v>1.4964479999999998</v>
      </c>
      <c r="Q35" s="74">
        <f>+L35*M35</f>
        <v>5.1188400000000005</v>
      </c>
      <c r="R35" s="57">
        <f>P35/O35</f>
        <v>4.8117299035369768E-3</v>
      </c>
      <c r="S35" s="64">
        <v>17.033523858520898</v>
      </c>
      <c r="T35" s="65"/>
      <c r="U35" s="65"/>
      <c r="V35" s="54" t="str">
        <f>IF(SUMPRODUCT(MAX((#REF!)*((#REF!=#REF!)*(#REF!=#REF!)*(#REF!=#REF!))))&lt;&gt;#REF!,"",SUMPRODUCT((-#REF!+#REF!+#REF!)*((#REF!=#REF!)*(#REF!=#REF!)*(#REF!=#REF!))))</f>
        <v/>
      </c>
      <c r="W35" s="57">
        <f>(((P35/3000)*2880)-(M35*O35))/O35</f>
        <v>3.1732607073954979E-3</v>
      </c>
      <c r="X35" s="57">
        <f>+W35*L35</f>
        <v>11.233342904180063</v>
      </c>
      <c r="Y35" s="57">
        <f>+((P35/3000)*120)/101</f>
        <v>5.9265267326732659E-4</v>
      </c>
      <c r="Z35" s="57">
        <f>Y35*L35</f>
        <v>2.0979904633663362</v>
      </c>
      <c r="AA35" s="66">
        <f>S35-Q35</f>
        <v>11.914683858520897</v>
      </c>
    </row>
    <row r="36" spans="1:27" ht="24.95" hidden="1" customHeight="1">
      <c r="A36" s="73">
        <v>201700044</v>
      </c>
      <c r="B36" s="74" t="s">
        <v>22</v>
      </c>
      <c r="C36" s="80">
        <v>547817</v>
      </c>
      <c r="D36" s="58">
        <v>42861</v>
      </c>
      <c r="E36" s="59">
        <v>510090</v>
      </c>
      <c r="F36" s="83" t="s">
        <v>15</v>
      </c>
      <c r="G36" s="83">
        <v>141</v>
      </c>
      <c r="H36" s="74" t="s">
        <v>10</v>
      </c>
      <c r="I36" s="74" t="s">
        <v>13</v>
      </c>
      <c r="J36" s="75">
        <v>12</v>
      </c>
      <c r="K36" s="57"/>
      <c r="L36" s="78">
        <v>5100</v>
      </c>
      <c r="M36" s="79">
        <v>3.2499999999999999E-3</v>
      </c>
      <c r="N36" s="85">
        <v>12</v>
      </c>
      <c r="O36" s="57">
        <f>INT(2800/(N36+3))</f>
        <v>186</v>
      </c>
      <c r="P36" s="57">
        <f>((J36*J36)*0.866*9*3)/1000</f>
        <v>3.3670079999999998</v>
      </c>
      <c r="Q36" s="74">
        <f>+L36*M36</f>
        <v>16.574999999999999</v>
      </c>
      <c r="R36" s="57">
        <f>P36/O36</f>
        <v>1.8102193548387095E-2</v>
      </c>
      <c r="S36" s="64">
        <v>92.321187096774182</v>
      </c>
      <c r="T36" s="65"/>
      <c r="U36" s="65"/>
      <c r="V36" s="54" t="str">
        <f>IF(SUMPRODUCT(MAX((#REF!)*((#REF!=#REF!)*(#REF!=#REF!)*(#REF!=#REF!))))&lt;&gt;#REF!,"",SUMPRODUCT((-#REF!+#REF!+#REF!)*((#REF!=#REF!)*(#REF!=#REF!)*(#REF!=#REF!))))</f>
        <v/>
      </c>
      <c r="W36" s="57">
        <f>(((P36/3000)*2880)-(M36*O36))/O36</f>
        <v>1.4128105806451612E-2</v>
      </c>
      <c r="X36" s="57">
        <f>+W36*L36</f>
        <v>72.053339612903216</v>
      </c>
      <c r="Y36" s="57">
        <f>+((P36/3000)*120)/101</f>
        <v>1.3334685148514848E-3</v>
      </c>
      <c r="Z36" s="57">
        <f>Y36*L36</f>
        <v>6.8006894257425721</v>
      </c>
      <c r="AA36" s="66">
        <f>S36-Q36</f>
        <v>75.746187096774179</v>
      </c>
    </row>
    <row r="37" spans="1:27" ht="24.95" hidden="1" customHeight="1">
      <c r="A37" s="73">
        <v>201700044</v>
      </c>
      <c r="B37" s="74" t="s">
        <v>22</v>
      </c>
      <c r="C37" s="80">
        <v>547817</v>
      </c>
      <c r="D37" s="58">
        <v>42861</v>
      </c>
      <c r="E37" s="59">
        <v>512800</v>
      </c>
      <c r="F37" s="76" t="s">
        <v>17</v>
      </c>
      <c r="G37" s="83"/>
      <c r="H37" s="74" t="s">
        <v>10</v>
      </c>
      <c r="I37" s="57" t="s">
        <v>14</v>
      </c>
      <c r="J37" s="77">
        <v>7</v>
      </c>
      <c r="K37" s="57"/>
      <c r="L37" s="78">
        <v>17400</v>
      </c>
      <c r="M37" s="79">
        <v>3.421E-3</v>
      </c>
      <c r="N37" s="57">
        <v>24.5</v>
      </c>
      <c r="O37" s="57">
        <f>INT(2800/(N37+3))</f>
        <v>101</v>
      </c>
      <c r="P37" s="57">
        <f>((J37/2)*(J37/2)*3.14*9*3)/1000</f>
        <v>1.0385550000000003</v>
      </c>
      <c r="Q37" s="74">
        <f>+M37*L37</f>
        <v>59.525399999999998</v>
      </c>
      <c r="R37" s="57">
        <f>P37/O37</f>
        <v>1.0282722772277231E-2</v>
      </c>
      <c r="S37" s="64">
        <v>178.91937623762382</v>
      </c>
      <c r="T37" s="65"/>
      <c r="U37" s="65"/>
      <c r="V37" s="54" t="str">
        <f>IF(SUMPRODUCT(MAX((#REF!)*((#REF!=#REF!)*(#REF!=#REF!)*(#REF!=#REF!))))&lt;&gt;#REF!,"",SUMPRODUCT((-#REF!+#REF!+#REF!)*((#REF!=#REF!)*(#REF!=#REF!)*(#REF!=#REF!))))</f>
        <v/>
      </c>
      <c r="W37" s="57">
        <f>(((P37/3000)*2880)-(M37*O37))/O37</f>
        <v>6.4504138613861416E-3</v>
      </c>
      <c r="X37" s="57">
        <f>+W37*L37</f>
        <v>112.23720118811886</v>
      </c>
      <c r="Y37" s="57">
        <f>+((P37/3000)*120)/101</f>
        <v>4.1130891089108927E-4</v>
      </c>
      <c r="Z37" s="57">
        <f>Y37*L37</f>
        <v>7.1567750495049536</v>
      </c>
      <c r="AA37" s="66">
        <f>S37-Q37</f>
        <v>119.39397623762383</v>
      </c>
    </row>
    <row r="38" spans="1:27" ht="24.95" hidden="1" customHeight="1">
      <c r="A38" s="73">
        <v>201700038</v>
      </c>
      <c r="B38" s="74" t="s">
        <v>22</v>
      </c>
      <c r="C38" s="75">
        <v>547903</v>
      </c>
      <c r="D38" s="58">
        <v>42866</v>
      </c>
      <c r="E38" s="59">
        <v>200200</v>
      </c>
      <c r="F38" s="76" t="s">
        <v>16</v>
      </c>
      <c r="G38" s="76"/>
      <c r="H38" s="74" t="s">
        <v>10</v>
      </c>
      <c r="I38" s="57" t="s">
        <v>14</v>
      </c>
      <c r="J38" s="65">
        <v>22</v>
      </c>
      <c r="K38" s="57"/>
      <c r="L38" s="81">
        <v>1500</v>
      </c>
      <c r="M38" s="79">
        <v>7.4759999999999993E-2</v>
      </c>
      <c r="N38" s="82">
        <v>39.5</v>
      </c>
      <c r="O38" s="57">
        <f>INT(2800/(N38+3))</f>
        <v>65</v>
      </c>
      <c r="P38" s="57">
        <f>((J38/2)*(J38/2)*3.14*9*3)/1000</f>
        <v>10.258380000000001</v>
      </c>
      <c r="Q38" s="74">
        <f>+M38*L38</f>
        <v>112.13999999999999</v>
      </c>
      <c r="R38" s="57">
        <f>P38/O38</f>
        <v>0.15782123076923077</v>
      </c>
      <c r="S38" s="64">
        <v>236.73184615384616</v>
      </c>
      <c r="T38" s="65"/>
      <c r="U38" s="65"/>
      <c r="V38" s="54" t="str">
        <f>IF(SUMPRODUCT(MAX((#REF!)*((#REF!=#REF!)*(#REF!=#REF!)*(#REF!=#REF!))))&lt;&gt;#REF!,"",SUMPRODUCT((-#REF!+#REF!+#REF!)*((#REF!=#REF!)*(#REF!=#REF!)*(#REF!=#REF!))))</f>
        <v/>
      </c>
      <c r="W38" s="57">
        <f>(((P38/3000)*2880)-(M38*O38))/O38</f>
        <v>7.6748381538461544E-2</v>
      </c>
      <c r="X38" s="57">
        <f>+W38*L38</f>
        <v>115.12257230769231</v>
      </c>
      <c r="Y38" s="57">
        <f>+((P38/3000)*120)/101</f>
        <v>4.0627247524752472E-3</v>
      </c>
      <c r="Z38" s="57">
        <f>Y38*L38</f>
        <v>6.0940871287128706</v>
      </c>
      <c r="AA38" s="66">
        <f>S38-Q38</f>
        <v>124.59184615384618</v>
      </c>
    </row>
    <row r="39" spans="1:27" ht="24.95" hidden="1" customHeight="1">
      <c r="A39" s="55"/>
      <c r="B39" s="69" t="s">
        <v>23</v>
      </c>
      <c r="C39" s="57"/>
      <c r="D39" s="58">
        <v>42885</v>
      </c>
      <c r="E39" s="59"/>
      <c r="F39" s="57"/>
      <c r="G39" s="57"/>
      <c r="H39" s="70" t="s">
        <v>10</v>
      </c>
      <c r="I39" s="69" t="s">
        <v>14</v>
      </c>
      <c r="J39" s="71">
        <v>7</v>
      </c>
      <c r="K39" s="57"/>
      <c r="L39" s="57"/>
      <c r="M39" s="57"/>
      <c r="N39" s="57"/>
      <c r="O39" s="63"/>
      <c r="P39" s="57"/>
      <c r="Q39" s="57"/>
      <c r="R39" s="57"/>
      <c r="S39" s="64">
        <v>0</v>
      </c>
      <c r="T39" s="72">
        <v>250</v>
      </c>
      <c r="U39" s="72"/>
      <c r="V39" s="54" t="str">
        <f>IF(SUMPRODUCT(MAX((#REF!)*((#REF!=#REF!)*(#REF!=#REF!)*(#REF!=#REF!))))&lt;&gt;#REF!,"",SUMPRODUCT((-#REF!+#REF!+#REF!)*((#REF!=#REF!)*(#REF!=#REF!)*(#REF!=#REF!))))</f>
        <v/>
      </c>
      <c r="W39" s="57"/>
      <c r="X39" s="57"/>
      <c r="Y39" s="57"/>
      <c r="Z39" s="57"/>
      <c r="AA39" s="66"/>
    </row>
    <row r="40" spans="1:27" ht="24.95" hidden="1" customHeight="1">
      <c r="A40" s="55"/>
      <c r="B40" s="69" t="s">
        <v>23</v>
      </c>
      <c r="C40" s="57"/>
      <c r="D40" s="58">
        <v>42885</v>
      </c>
      <c r="E40" s="59"/>
      <c r="F40" s="57"/>
      <c r="G40" s="57"/>
      <c r="H40" s="70" t="s">
        <v>10</v>
      </c>
      <c r="I40" s="69" t="s">
        <v>13</v>
      </c>
      <c r="J40" s="71">
        <v>12</v>
      </c>
      <c r="K40" s="57"/>
      <c r="L40" s="57"/>
      <c r="M40" s="57"/>
      <c r="N40" s="57"/>
      <c r="O40" s="63"/>
      <c r="P40" s="57"/>
      <c r="Q40" s="57"/>
      <c r="R40" s="57"/>
      <c r="S40" s="64">
        <v>0</v>
      </c>
      <c r="T40" s="72">
        <v>250</v>
      </c>
      <c r="U40" s="72"/>
      <c r="V40" s="54" t="str">
        <f>IF(SUMPRODUCT(MAX((#REF!)*((#REF!=#REF!)*(#REF!=#REF!)*(#REF!=#REF!))))&lt;&gt;#REF!,"",SUMPRODUCT((-#REF!+#REF!+#REF!)*((#REF!=#REF!)*(#REF!=#REF!)*(#REF!=#REF!))))</f>
        <v/>
      </c>
      <c r="W40" s="57"/>
      <c r="X40" s="57"/>
      <c r="Y40" s="57"/>
      <c r="Z40" s="57"/>
      <c r="AA40" s="66"/>
    </row>
    <row r="41" spans="1:27" ht="24.95" hidden="1" customHeight="1">
      <c r="A41" s="73">
        <v>201700054</v>
      </c>
      <c r="B41" s="74" t="s">
        <v>22</v>
      </c>
      <c r="C41" s="75">
        <v>548450</v>
      </c>
      <c r="D41" s="58">
        <v>42893</v>
      </c>
      <c r="E41" s="59">
        <v>510020</v>
      </c>
      <c r="F41" s="76" t="s">
        <v>11</v>
      </c>
      <c r="G41" s="83">
        <v>139</v>
      </c>
      <c r="H41" s="74" t="s">
        <v>10</v>
      </c>
      <c r="I41" s="74" t="s">
        <v>13</v>
      </c>
      <c r="J41" s="77">
        <v>8</v>
      </c>
      <c r="K41" s="57"/>
      <c r="L41" s="78">
        <v>26460</v>
      </c>
      <c r="M41" s="79">
        <v>1.446E-3</v>
      </c>
      <c r="N41" s="57">
        <v>6</v>
      </c>
      <c r="O41" s="57">
        <f t="shared" ref="O41:O46" si="1">INT(2800/(N41+3))</f>
        <v>311</v>
      </c>
      <c r="P41" s="57">
        <f>((J41*J41)*0.866*9*3)/1000</f>
        <v>1.4964479999999998</v>
      </c>
      <c r="Q41" s="74">
        <f>+L41*M41</f>
        <v>38.261160000000004</v>
      </c>
      <c r="R41" s="57">
        <f t="shared" ref="R41:R46" si="2">P41/O41</f>
        <v>4.8117299035369768E-3</v>
      </c>
      <c r="S41" s="64">
        <v>127.31837324758841</v>
      </c>
      <c r="T41" s="65"/>
      <c r="U41" s="65"/>
      <c r="V41" s="54" t="str">
        <f>IF(SUMPRODUCT(MAX((#REF!)*((#REF!=#REF!)*(#REF!=#REF!)*(#REF!=#REF!))))&lt;&gt;#REF!,"",SUMPRODUCT((-#REF!+#REF!+#REF!)*((#REF!=#REF!)*(#REF!=#REF!)*(#REF!=#REF!))))</f>
        <v/>
      </c>
      <c r="W41" s="57">
        <f t="shared" ref="W41:W46" si="3">(((P41/3000)*2880)-(M41*O41))/O41</f>
        <v>3.1732607073954979E-3</v>
      </c>
      <c r="X41" s="57">
        <f t="shared" ref="X41:X46" si="4">+W41*L41</f>
        <v>83.964478317684879</v>
      </c>
      <c r="Y41" s="57">
        <f t="shared" ref="Y41:Y46" si="5">+((P41/3000)*120)/101</f>
        <v>5.9265267326732659E-4</v>
      </c>
      <c r="Z41" s="57">
        <f t="shared" ref="Z41:Z46" si="6">Y41*L41</f>
        <v>15.681589734653462</v>
      </c>
      <c r="AA41" s="66">
        <f t="shared" ref="AA41:AA46" si="7">S41-Q41</f>
        <v>89.057213247588408</v>
      </c>
    </row>
    <row r="42" spans="1:27" ht="24.95" hidden="1" customHeight="1">
      <c r="A42" s="73">
        <v>201700054</v>
      </c>
      <c r="B42" s="74" t="s">
        <v>22</v>
      </c>
      <c r="C42" s="75">
        <v>548450</v>
      </c>
      <c r="D42" s="58">
        <v>42893</v>
      </c>
      <c r="E42" s="59">
        <v>512800</v>
      </c>
      <c r="F42" s="76" t="s">
        <v>17</v>
      </c>
      <c r="G42" s="83"/>
      <c r="H42" s="74" t="s">
        <v>10</v>
      </c>
      <c r="I42" s="57" t="s">
        <v>14</v>
      </c>
      <c r="J42" s="77">
        <v>7</v>
      </c>
      <c r="K42" s="57"/>
      <c r="L42" s="78">
        <v>9100</v>
      </c>
      <c r="M42" s="79">
        <v>3.421E-3</v>
      </c>
      <c r="N42" s="57">
        <v>24.5</v>
      </c>
      <c r="O42" s="57">
        <f t="shared" si="1"/>
        <v>101</v>
      </c>
      <c r="P42" s="57">
        <f>((J42/2)*(J42/2)*3.14*9*3)/1000</f>
        <v>1.0385550000000003</v>
      </c>
      <c r="Q42" s="74">
        <f>+M42*L42</f>
        <v>31.1311</v>
      </c>
      <c r="R42" s="57">
        <f t="shared" si="2"/>
        <v>1.0282722772277231E-2</v>
      </c>
      <c r="S42" s="64">
        <v>93.57277722772281</v>
      </c>
      <c r="T42" s="65"/>
      <c r="U42" s="65"/>
      <c r="V42" s="54" t="str">
        <f>IF(SUMPRODUCT(MAX((#REF!)*((#REF!=#REF!)*(#REF!=#REF!)*(#REF!=#REF!))))&lt;&gt;#REF!,"",SUMPRODUCT((-#REF!+#REF!+#REF!)*((#REF!=#REF!)*(#REF!=#REF!)*(#REF!=#REF!))))</f>
        <v/>
      </c>
      <c r="W42" s="57">
        <f t="shared" si="3"/>
        <v>6.4504138613861416E-3</v>
      </c>
      <c r="X42" s="57">
        <f t="shared" si="4"/>
        <v>58.698766138613891</v>
      </c>
      <c r="Y42" s="57">
        <f t="shared" si="5"/>
        <v>4.1130891089108927E-4</v>
      </c>
      <c r="Z42" s="57">
        <f t="shared" si="6"/>
        <v>3.7429110891089121</v>
      </c>
      <c r="AA42" s="66">
        <f t="shared" si="7"/>
        <v>62.441677227722806</v>
      </c>
    </row>
    <row r="43" spans="1:27" ht="24.95" hidden="1" customHeight="1">
      <c r="A43" s="73">
        <v>201700061</v>
      </c>
      <c r="B43" s="74" t="s">
        <v>22</v>
      </c>
      <c r="C43" s="75">
        <v>549084</v>
      </c>
      <c r="D43" s="58">
        <v>42923</v>
      </c>
      <c r="E43" s="59">
        <v>200200</v>
      </c>
      <c r="F43" s="76" t="s">
        <v>16</v>
      </c>
      <c r="G43" s="83"/>
      <c r="H43" s="74" t="s">
        <v>10</v>
      </c>
      <c r="I43" s="57" t="s">
        <v>14</v>
      </c>
      <c r="J43" s="65">
        <v>22</v>
      </c>
      <c r="K43" s="57"/>
      <c r="L43" s="81">
        <v>1500</v>
      </c>
      <c r="M43" s="79">
        <v>7.4759999999999993E-2</v>
      </c>
      <c r="N43" s="82">
        <v>39.5</v>
      </c>
      <c r="O43" s="57">
        <f t="shared" si="1"/>
        <v>65</v>
      </c>
      <c r="P43" s="57">
        <f>((J43/2)*(J43/2)*3.14*9*3)/1000</f>
        <v>10.258380000000001</v>
      </c>
      <c r="Q43" s="74">
        <f>+M43*L43</f>
        <v>112.13999999999999</v>
      </c>
      <c r="R43" s="57">
        <f t="shared" si="2"/>
        <v>0.15782123076923077</v>
      </c>
      <c r="S43" s="64">
        <v>236.73184615384616</v>
      </c>
      <c r="T43" s="65"/>
      <c r="U43" s="65"/>
      <c r="V43" s="54" t="str">
        <f>IF(SUMPRODUCT(MAX((#REF!)*((#REF!=#REF!)*(#REF!=#REF!)*(#REF!=#REF!))))&lt;&gt;#REF!,"",SUMPRODUCT((-#REF!+#REF!+#REF!)*((#REF!=#REF!)*(#REF!=#REF!)*(#REF!=#REF!))))</f>
        <v/>
      </c>
      <c r="W43" s="57">
        <f t="shared" si="3"/>
        <v>7.6748381538461544E-2</v>
      </c>
      <c r="X43" s="57">
        <f t="shared" si="4"/>
        <v>115.12257230769231</v>
      </c>
      <c r="Y43" s="57">
        <f t="shared" si="5"/>
        <v>4.0627247524752472E-3</v>
      </c>
      <c r="Z43" s="57">
        <f t="shared" si="6"/>
        <v>6.0940871287128706</v>
      </c>
      <c r="AA43" s="66">
        <f t="shared" si="7"/>
        <v>124.59184615384618</v>
      </c>
    </row>
    <row r="44" spans="1:27" ht="24.95" hidden="1" customHeight="1">
      <c r="A44" s="73">
        <v>201700065</v>
      </c>
      <c r="B44" s="74" t="s">
        <v>22</v>
      </c>
      <c r="C44" s="75">
        <v>549089</v>
      </c>
      <c r="D44" s="58">
        <v>42923</v>
      </c>
      <c r="E44" s="59">
        <v>510020</v>
      </c>
      <c r="F44" s="76" t="s">
        <v>11</v>
      </c>
      <c r="G44" s="83">
        <v>139</v>
      </c>
      <c r="H44" s="74" t="s">
        <v>10</v>
      </c>
      <c r="I44" s="74" t="s">
        <v>13</v>
      </c>
      <c r="J44" s="77">
        <v>8</v>
      </c>
      <c r="K44" s="57"/>
      <c r="L44" s="78">
        <v>15517</v>
      </c>
      <c r="M44" s="79">
        <v>1.446E-3</v>
      </c>
      <c r="N44" s="57">
        <v>6</v>
      </c>
      <c r="O44" s="57">
        <f t="shared" si="1"/>
        <v>311</v>
      </c>
      <c r="P44" s="57">
        <f>((J44*J44)*0.866*9*3)/1000</f>
        <v>1.4964479999999998</v>
      </c>
      <c r="Q44" s="74">
        <f>+L44*M44</f>
        <v>22.437581999999999</v>
      </c>
      <c r="R44" s="57">
        <f t="shared" si="2"/>
        <v>4.8117299035369768E-3</v>
      </c>
      <c r="S44" s="64">
        <v>74.663612913183272</v>
      </c>
      <c r="T44" s="65"/>
      <c r="U44" s="65"/>
      <c r="V44" s="54" t="str">
        <f>IF(SUMPRODUCT(MAX((#REF!)*((#REF!=#REF!)*(#REF!=#REF!)*(#REF!=#REF!))))&lt;&gt;#REF!,"",SUMPRODUCT((-#REF!+#REF!+#REF!)*((#REF!=#REF!)*(#REF!=#REF!)*(#REF!=#REF!))))</f>
        <v/>
      </c>
      <c r="W44" s="57">
        <f t="shared" si="3"/>
        <v>3.1732607073954979E-3</v>
      </c>
      <c r="X44" s="57">
        <f t="shared" si="4"/>
        <v>49.239486396655941</v>
      </c>
      <c r="Y44" s="57">
        <f t="shared" si="5"/>
        <v>5.9265267326732659E-4</v>
      </c>
      <c r="Z44" s="57">
        <f t="shared" si="6"/>
        <v>9.1961915310891076</v>
      </c>
      <c r="AA44" s="66">
        <f t="shared" si="7"/>
        <v>52.226030913183273</v>
      </c>
    </row>
    <row r="45" spans="1:27" ht="24.95" hidden="1" customHeight="1">
      <c r="A45" s="73">
        <v>201700065</v>
      </c>
      <c r="B45" s="74" t="s">
        <v>22</v>
      </c>
      <c r="C45" s="75">
        <v>549089</v>
      </c>
      <c r="D45" s="58">
        <v>42923</v>
      </c>
      <c r="E45" s="59">
        <v>511040</v>
      </c>
      <c r="F45" s="76" t="s">
        <v>12</v>
      </c>
      <c r="G45" s="83">
        <v>138</v>
      </c>
      <c r="H45" s="74" t="s">
        <v>10</v>
      </c>
      <c r="I45" s="57" t="s">
        <v>14</v>
      </c>
      <c r="J45" s="75">
        <v>18</v>
      </c>
      <c r="K45" s="57"/>
      <c r="L45" s="78">
        <v>865</v>
      </c>
      <c r="M45" s="79">
        <v>3.676E-3</v>
      </c>
      <c r="N45" s="57">
        <v>10.3</v>
      </c>
      <c r="O45" s="57">
        <f t="shared" si="1"/>
        <v>210</v>
      </c>
      <c r="P45" s="57">
        <f>((J45/2)*(J45/2)*3.14*9*3)/1000</f>
        <v>6.8671800000000003</v>
      </c>
      <c r="Q45" s="74">
        <f>+M45*L45</f>
        <v>3.1797400000000002</v>
      </c>
      <c r="R45" s="57">
        <f t="shared" si="2"/>
        <v>3.2700857142857143E-2</v>
      </c>
      <c r="S45" s="64">
        <v>28.286241428571429</v>
      </c>
      <c r="T45" s="65"/>
      <c r="U45" s="65"/>
      <c r="V45" s="54" t="str">
        <f>IF(SUMPRODUCT(MAX((#REF!)*((#REF!=#REF!)*(#REF!=#REF!)*(#REF!=#REF!))))&lt;&gt;#REF!,"",SUMPRODUCT((-#REF!+#REF!+#REF!)*((#REF!=#REF!)*(#REF!=#REF!)*(#REF!=#REF!))))</f>
        <v/>
      </c>
      <c r="W45" s="57">
        <f t="shared" si="3"/>
        <v>2.7716822857142855E-2</v>
      </c>
      <c r="X45" s="57">
        <f t="shared" si="4"/>
        <v>23.975051771428571</v>
      </c>
      <c r="Y45" s="57">
        <f t="shared" si="5"/>
        <v>2.719675247524752E-3</v>
      </c>
      <c r="Z45" s="57">
        <f t="shared" si="6"/>
        <v>2.3525190891089105</v>
      </c>
      <c r="AA45" s="66">
        <f t="shared" si="7"/>
        <v>25.106501428571431</v>
      </c>
    </row>
    <row r="46" spans="1:27" ht="24.95" hidden="1" customHeight="1">
      <c r="A46" s="73">
        <v>201700065</v>
      </c>
      <c r="B46" s="74" t="s">
        <v>22</v>
      </c>
      <c r="C46" s="75">
        <v>549089</v>
      </c>
      <c r="D46" s="58">
        <v>42923</v>
      </c>
      <c r="E46" s="59">
        <v>512800</v>
      </c>
      <c r="F46" s="76" t="s">
        <v>17</v>
      </c>
      <c r="G46" s="83"/>
      <c r="H46" s="74" t="s">
        <v>10</v>
      </c>
      <c r="I46" s="57" t="s">
        <v>14</v>
      </c>
      <c r="J46" s="77">
        <v>7</v>
      </c>
      <c r="K46" s="57"/>
      <c r="L46" s="78">
        <v>6000</v>
      </c>
      <c r="M46" s="79">
        <v>3.421E-3</v>
      </c>
      <c r="N46" s="57">
        <v>24.5</v>
      </c>
      <c r="O46" s="57">
        <f t="shared" si="1"/>
        <v>101</v>
      </c>
      <c r="P46" s="57">
        <f>((J46/2)*(J46/2)*3.14*9*3)/1000</f>
        <v>1.0385550000000003</v>
      </c>
      <c r="Q46" s="74">
        <f>+M46*L46</f>
        <v>20.526</v>
      </c>
      <c r="R46" s="57">
        <f t="shared" si="2"/>
        <v>1.0282722772277231E-2</v>
      </c>
      <c r="S46" s="64">
        <v>61.696336633663385</v>
      </c>
      <c r="T46" s="65"/>
      <c r="U46" s="65"/>
      <c r="V46" s="54" t="str">
        <f>IF(SUMPRODUCT(MAX((#REF!)*((#REF!=#REF!)*(#REF!=#REF!)*(#REF!=#REF!))))&lt;&gt;#REF!,"",SUMPRODUCT((-#REF!+#REF!+#REF!)*((#REF!=#REF!)*(#REF!=#REF!)*(#REF!=#REF!))))</f>
        <v/>
      </c>
      <c r="W46" s="57">
        <f t="shared" si="3"/>
        <v>6.4504138613861416E-3</v>
      </c>
      <c r="X46" s="57">
        <f t="shared" si="4"/>
        <v>38.702483168316853</v>
      </c>
      <c r="Y46" s="57">
        <f t="shared" si="5"/>
        <v>4.1130891089108927E-4</v>
      </c>
      <c r="Z46" s="57">
        <f t="shared" si="6"/>
        <v>2.4678534653465358</v>
      </c>
      <c r="AA46" s="66">
        <f t="shared" si="7"/>
        <v>41.170336633663382</v>
      </c>
    </row>
    <row r="47" spans="1:27" ht="24.95" hidden="1" customHeight="1">
      <c r="A47" s="55"/>
      <c r="B47" s="69" t="s">
        <v>23</v>
      </c>
      <c r="C47" s="57"/>
      <c r="D47" s="58">
        <v>42923</v>
      </c>
      <c r="E47" s="59"/>
      <c r="F47" s="57"/>
      <c r="G47" s="57"/>
      <c r="H47" s="70" t="s">
        <v>10</v>
      </c>
      <c r="I47" s="69" t="s">
        <v>13</v>
      </c>
      <c r="J47" s="71">
        <v>8</v>
      </c>
      <c r="K47" s="57"/>
      <c r="L47" s="57"/>
      <c r="M47" s="57"/>
      <c r="N47" s="57"/>
      <c r="O47" s="63"/>
      <c r="P47" s="57"/>
      <c r="Q47" s="57"/>
      <c r="R47" s="57"/>
      <c r="S47" s="64">
        <v>0</v>
      </c>
      <c r="T47" s="72">
        <v>150.4</v>
      </c>
      <c r="U47" s="72"/>
      <c r="V47" s="54" t="str">
        <f>IF(SUMPRODUCT(MAX((#REF!)*((#REF!=#REF!)*(#REF!=#REF!)*(#REF!=#REF!))))&lt;&gt;#REF!,"",SUMPRODUCT((-#REF!+#REF!+#REF!)*((#REF!=#REF!)*(#REF!=#REF!)*(#REF!=#REF!))))</f>
        <v/>
      </c>
      <c r="W47" s="57"/>
      <c r="X47" s="57"/>
      <c r="Y47" s="57"/>
      <c r="Z47" s="57"/>
      <c r="AA47" s="66"/>
    </row>
    <row r="48" spans="1:27" ht="24.95" hidden="1" customHeight="1">
      <c r="A48" s="73">
        <v>201700072</v>
      </c>
      <c r="B48" s="74" t="s">
        <v>22</v>
      </c>
      <c r="C48" s="75">
        <v>549600</v>
      </c>
      <c r="D48" s="58">
        <v>42950</v>
      </c>
      <c r="E48" s="59">
        <v>510090</v>
      </c>
      <c r="F48" s="83" t="s">
        <v>15</v>
      </c>
      <c r="G48" s="83">
        <v>141</v>
      </c>
      <c r="H48" s="74" t="s">
        <v>10</v>
      </c>
      <c r="I48" s="74" t="s">
        <v>13</v>
      </c>
      <c r="J48" s="75">
        <v>12</v>
      </c>
      <c r="K48" s="57"/>
      <c r="L48" s="78">
        <v>3000</v>
      </c>
      <c r="M48" s="79">
        <v>3.2499999999999999E-3</v>
      </c>
      <c r="N48" s="85">
        <v>12</v>
      </c>
      <c r="O48" s="57">
        <f t="shared" ref="O48:O55" si="8">INT(2800/(N48+3))</f>
        <v>186</v>
      </c>
      <c r="P48" s="57">
        <f>((J48*J48)*0.866*9*3)/1000</f>
        <v>3.3670079999999998</v>
      </c>
      <c r="Q48" s="74">
        <f>+L48*M48</f>
        <v>9.75</v>
      </c>
      <c r="R48" s="57">
        <f t="shared" ref="R48:R55" si="9">P48/O48</f>
        <v>1.8102193548387095E-2</v>
      </c>
      <c r="S48" s="64">
        <v>54.306580645161283</v>
      </c>
      <c r="T48" s="65"/>
      <c r="U48" s="65"/>
      <c r="V48" s="54" t="str">
        <f>IF(SUMPRODUCT(MAX((#REF!)*((#REF!=#REF!)*(#REF!=#REF!)*(#REF!=#REF!))))&lt;&gt;#REF!,"",SUMPRODUCT((-#REF!+#REF!+#REF!)*((#REF!=#REF!)*(#REF!=#REF!)*(#REF!=#REF!))))</f>
        <v/>
      </c>
      <c r="W48" s="57">
        <f t="shared" ref="W48:W55" si="10">(((P48/3000)*2880)-(M48*O48))/O48</f>
        <v>1.4128105806451612E-2</v>
      </c>
      <c r="X48" s="57">
        <f t="shared" ref="X48:X55" si="11">+W48*L48</f>
        <v>42.384317419354836</v>
      </c>
      <c r="Y48" s="57">
        <f t="shared" ref="Y48:Y55" si="12">+((P48/3000)*120)/101</f>
        <v>1.3334685148514848E-3</v>
      </c>
      <c r="Z48" s="57">
        <f t="shared" ref="Z48:Z55" si="13">Y48*L48</f>
        <v>4.0004055445544546</v>
      </c>
      <c r="AA48" s="66">
        <f t="shared" ref="AA48:AA55" si="14">S48-Q48</f>
        <v>44.556580645161283</v>
      </c>
    </row>
    <row r="49" spans="1:27" ht="24.95" hidden="1" customHeight="1">
      <c r="A49" s="73">
        <v>201700072</v>
      </c>
      <c r="B49" s="74" t="s">
        <v>22</v>
      </c>
      <c r="C49" s="75">
        <v>549600</v>
      </c>
      <c r="D49" s="58">
        <v>42950</v>
      </c>
      <c r="E49" s="59">
        <v>512800</v>
      </c>
      <c r="F49" s="76" t="s">
        <v>17</v>
      </c>
      <c r="G49" s="83"/>
      <c r="H49" s="74" t="s">
        <v>10</v>
      </c>
      <c r="I49" s="57" t="s">
        <v>14</v>
      </c>
      <c r="J49" s="77">
        <v>7</v>
      </c>
      <c r="K49" s="57"/>
      <c r="L49" s="78">
        <v>3000</v>
      </c>
      <c r="M49" s="79">
        <v>3.421E-3</v>
      </c>
      <c r="N49" s="57">
        <v>24.5</v>
      </c>
      <c r="O49" s="57">
        <f t="shared" si="8"/>
        <v>101</v>
      </c>
      <c r="P49" s="57">
        <f>((J49/2)*(J49/2)*3.14*9*3)/1000</f>
        <v>1.0385550000000003</v>
      </c>
      <c r="Q49" s="74">
        <f>+M49*L49</f>
        <v>10.263</v>
      </c>
      <c r="R49" s="57">
        <f t="shared" si="9"/>
        <v>1.0282722772277231E-2</v>
      </c>
      <c r="S49" s="64">
        <v>30.848168316831693</v>
      </c>
      <c r="T49" s="65"/>
      <c r="U49" s="65"/>
      <c r="V49" s="54" t="str">
        <f>IF(SUMPRODUCT(MAX((#REF!)*((#REF!=#REF!)*(#REF!=#REF!)*(#REF!=#REF!))))&lt;&gt;#REF!,"",SUMPRODUCT((-#REF!+#REF!+#REF!)*((#REF!=#REF!)*(#REF!=#REF!)*(#REF!=#REF!))))</f>
        <v/>
      </c>
      <c r="W49" s="57">
        <f t="shared" si="10"/>
        <v>6.4504138613861416E-3</v>
      </c>
      <c r="X49" s="57">
        <f t="shared" si="11"/>
        <v>19.351241584158426</v>
      </c>
      <c r="Y49" s="57">
        <f t="shared" si="12"/>
        <v>4.1130891089108927E-4</v>
      </c>
      <c r="Z49" s="57">
        <f t="shared" si="13"/>
        <v>1.2339267326732679</v>
      </c>
      <c r="AA49" s="66">
        <f t="shared" si="14"/>
        <v>20.585168316831691</v>
      </c>
    </row>
    <row r="50" spans="1:27" ht="24.95" hidden="1" customHeight="1">
      <c r="A50" s="73">
        <v>201700076</v>
      </c>
      <c r="B50" s="74" t="s">
        <v>22</v>
      </c>
      <c r="C50" s="75">
        <v>530052</v>
      </c>
      <c r="D50" s="58">
        <v>42984</v>
      </c>
      <c r="E50" s="59">
        <v>200200</v>
      </c>
      <c r="F50" s="76" t="s">
        <v>16</v>
      </c>
      <c r="G50" s="83"/>
      <c r="H50" s="74" t="s">
        <v>10</v>
      </c>
      <c r="I50" s="57" t="s">
        <v>14</v>
      </c>
      <c r="J50" s="65">
        <v>22</v>
      </c>
      <c r="K50" s="57"/>
      <c r="L50" s="81">
        <v>1500</v>
      </c>
      <c r="M50" s="79">
        <v>7.4759999999999993E-2</v>
      </c>
      <c r="N50" s="82">
        <v>39.5</v>
      </c>
      <c r="O50" s="57">
        <f t="shared" si="8"/>
        <v>65</v>
      </c>
      <c r="P50" s="57">
        <f>((J50/2)*(J50/2)*3.14*9*3)/1000</f>
        <v>10.258380000000001</v>
      </c>
      <c r="Q50" s="74">
        <f>+M50*L50</f>
        <v>112.13999999999999</v>
      </c>
      <c r="R50" s="57">
        <f t="shared" si="9"/>
        <v>0.15782123076923077</v>
      </c>
      <c r="S50" s="64">
        <v>236.73184615384616</v>
      </c>
      <c r="T50" s="65"/>
      <c r="U50" s="65"/>
      <c r="V50" s="54" t="str">
        <f>IF(SUMPRODUCT(MAX((#REF!)*((#REF!=#REF!)*(#REF!=#REF!)*(#REF!=#REF!))))&lt;&gt;#REF!,"",SUMPRODUCT((-#REF!+#REF!+#REF!)*((#REF!=#REF!)*(#REF!=#REF!)*(#REF!=#REF!))))</f>
        <v/>
      </c>
      <c r="W50" s="57">
        <f t="shared" si="10"/>
        <v>7.6748381538461544E-2</v>
      </c>
      <c r="X50" s="57">
        <f t="shared" si="11"/>
        <v>115.12257230769231</v>
      </c>
      <c r="Y50" s="57">
        <f t="shared" si="12"/>
        <v>4.0627247524752472E-3</v>
      </c>
      <c r="Z50" s="57">
        <f t="shared" si="13"/>
        <v>6.0940871287128706</v>
      </c>
      <c r="AA50" s="66">
        <f t="shared" si="14"/>
        <v>124.59184615384618</v>
      </c>
    </row>
    <row r="51" spans="1:27" ht="24.95" hidden="1" customHeight="1">
      <c r="A51" s="73">
        <v>201700081</v>
      </c>
      <c r="B51" s="74" t="s">
        <v>22</v>
      </c>
      <c r="C51" s="75">
        <v>530407</v>
      </c>
      <c r="D51" s="58">
        <v>43003</v>
      </c>
      <c r="E51" s="59">
        <v>200200</v>
      </c>
      <c r="F51" s="76" t="s">
        <v>16</v>
      </c>
      <c r="G51" s="83"/>
      <c r="H51" s="74" t="s">
        <v>10</v>
      </c>
      <c r="I51" s="57" t="s">
        <v>14</v>
      </c>
      <c r="J51" s="65">
        <v>22</v>
      </c>
      <c r="K51" s="57"/>
      <c r="L51" s="81">
        <v>1100</v>
      </c>
      <c r="M51" s="79">
        <v>7.4759999999999993E-2</v>
      </c>
      <c r="N51" s="82">
        <v>39.5</v>
      </c>
      <c r="O51" s="57">
        <f t="shared" si="8"/>
        <v>65</v>
      </c>
      <c r="P51" s="57">
        <f>((J51/2)*(J51/2)*3.14*9*3)/1000</f>
        <v>10.258380000000001</v>
      </c>
      <c r="Q51" s="74">
        <f>+M51*L51</f>
        <v>82.23599999999999</v>
      </c>
      <c r="R51" s="57">
        <f t="shared" si="9"/>
        <v>0.15782123076923077</v>
      </c>
      <c r="S51" s="64">
        <v>173.60335384615385</v>
      </c>
      <c r="T51" s="65"/>
      <c r="U51" s="65"/>
      <c r="V51" s="54" t="str">
        <f>IF(SUMPRODUCT(MAX((#REF!)*((#REF!=#REF!)*(#REF!=#REF!)*(#REF!=#REF!))))&lt;&gt;#REF!,"",SUMPRODUCT((-#REF!+#REF!+#REF!)*((#REF!=#REF!)*(#REF!=#REF!)*(#REF!=#REF!))))</f>
        <v/>
      </c>
      <c r="W51" s="57">
        <f t="shared" si="10"/>
        <v>7.6748381538461544E-2</v>
      </c>
      <c r="X51" s="57">
        <f t="shared" si="11"/>
        <v>84.423219692307697</v>
      </c>
      <c r="Y51" s="57">
        <f t="shared" si="12"/>
        <v>4.0627247524752472E-3</v>
      </c>
      <c r="Z51" s="57">
        <f t="shared" si="13"/>
        <v>4.4689972277227721</v>
      </c>
      <c r="AA51" s="66">
        <f t="shared" si="14"/>
        <v>91.367353846153861</v>
      </c>
    </row>
    <row r="52" spans="1:27" ht="24.95" hidden="1" customHeight="1">
      <c r="A52" s="73">
        <v>201700085</v>
      </c>
      <c r="B52" s="74" t="s">
        <v>22</v>
      </c>
      <c r="C52" s="75">
        <v>530684</v>
      </c>
      <c r="D52" s="58">
        <v>43017</v>
      </c>
      <c r="E52" s="59">
        <v>511040</v>
      </c>
      <c r="F52" s="76" t="s">
        <v>12</v>
      </c>
      <c r="G52" s="83">
        <v>138</v>
      </c>
      <c r="H52" s="74" t="s">
        <v>10</v>
      </c>
      <c r="I52" s="57" t="s">
        <v>14</v>
      </c>
      <c r="J52" s="75">
        <v>18</v>
      </c>
      <c r="K52" s="57"/>
      <c r="L52" s="78">
        <v>4200</v>
      </c>
      <c r="M52" s="79">
        <v>3.676E-3</v>
      </c>
      <c r="N52" s="57">
        <v>10.3</v>
      </c>
      <c r="O52" s="57">
        <f t="shared" si="8"/>
        <v>210</v>
      </c>
      <c r="P52" s="57">
        <f>((J52/2)*(J52/2)*3.14*9*3)/1000</f>
        <v>6.8671800000000003</v>
      </c>
      <c r="Q52" s="74">
        <f>+M52*L52</f>
        <v>15.4392</v>
      </c>
      <c r="R52" s="57">
        <f t="shared" si="9"/>
        <v>3.2700857142857143E-2</v>
      </c>
      <c r="S52" s="64">
        <v>137.34360000000001</v>
      </c>
      <c r="T52" s="65"/>
      <c r="U52" s="65"/>
      <c r="V52" s="54" t="str">
        <f>IF(SUMPRODUCT(MAX((#REF!)*((#REF!=#REF!)*(#REF!=#REF!)*(#REF!=#REF!))))&lt;&gt;#REF!,"",SUMPRODUCT((-#REF!+#REF!+#REF!)*((#REF!=#REF!)*(#REF!=#REF!)*(#REF!=#REF!))))</f>
        <v/>
      </c>
      <c r="W52" s="57">
        <f t="shared" si="10"/>
        <v>2.7716822857142855E-2</v>
      </c>
      <c r="X52" s="57">
        <f t="shared" si="11"/>
        <v>116.41065599999999</v>
      </c>
      <c r="Y52" s="57">
        <f t="shared" si="12"/>
        <v>2.719675247524752E-3</v>
      </c>
      <c r="Z52" s="57">
        <f t="shared" si="13"/>
        <v>11.422636039603958</v>
      </c>
      <c r="AA52" s="66">
        <f t="shared" si="14"/>
        <v>121.90440000000001</v>
      </c>
    </row>
    <row r="53" spans="1:27" ht="24.95" hidden="1" customHeight="1">
      <c r="A53" s="73">
        <v>201700095</v>
      </c>
      <c r="B53" s="74" t="s">
        <v>22</v>
      </c>
      <c r="C53" s="75">
        <v>531288</v>
      </c>
      <c r="D53" s="58">
        <v>43043</v>
      </c>
      <c r="E53" s="59">
        <v>200200</v>
      </c>
      <c r="F53" s="76" t="s">
        <v>16</v>
      </c>
      <c r="G53" s="83"/>
      <c r="H53" s="74" t="s">
        <v>10</v>
      </c>
      <c r="I53" s="57" t="s">
        <v>14</v>
      </c>
      <c r="J53" s="65">
        <v>22</v>
      </c>
      <c r="K53" s="57"/>
      <c r="L53" s="81">
        <v>1300</v>
      </c>
      <c r="M53" s="79">
        <v>7.4759999999999993E-2</v>
      </c>
      <c r="N53" s="82">
        <v>39.5</v>
      </c>
      <c r="O53" s="57">
        <f t="shared" si="8"/>
        <v>65</v>
      </c>
      <c r="P53" s="57">
        <f>((J53/2)*(J53/2)*3.14*9*3)/1000</f>
        <v>10.258380000000001</v>
      </c>
      <c r="Q53" s="74">
        <f>+M53*L53</f>
        <v>97.187999999999988</v>
      </c>
      <c r="R53" s="57">
        <f t="shared" si="9"/>
        <v>0.15782123076923077</v>
      </c>
      <c r="S53" s="64">
        <v>205.16759999999999</v>
      </c>
      <c r="T53" s="65"/>
      <c r="U53" s="65"/>
      <c r="V53" s="54" t="str">
        <f>IF(SUMPRODUCT(MAX((#REF!)*((#REF!=#REF!)*(#REF!=#REF!)*(#REF!=#REF!))))&lt;&gt;#REF!,"",SUMPRODUCT((-#REF!+#REF!+#REF!)*((#REF!=#REF!)*(#REF!=#REF!)*(#REF!=#REF!))))</f>
        <v/>
      </c>
      <c r="W53" s="57">
        <f t="shared" si="10"/>
        <v>7.6748381538461544E-2</v>
      </c>
      <c r="X53" s="57">
        <f t="shared" si="11"/>
        <v>99.772896000000003</v>
      </c>
      <c r="Y53" s="57">
        <f t="shared" si="12"/>
        <v>4.0627247524752472E-3</v>
      </c>
      <c r="Z53" s="57">
        <f t="shared" si="13"/>
        <v>5.2815421782178218</v>
      </c>
      <c r="AA53" s="66">
        <f t="shared" si="14"/>
        <v>107.9796</v>
      </c>
    </row>
    <row r="54" spans="1:27" ht="24.95" hidden="1" customHeight="1">
      <c r="A54" s="73">
        <v>201700098</v>
      </c>
      <c r="B54" s="74" t="s">
        <v>22</v>
      </c>
      <c r="C54" s="75">
        <v>531306</v>
      </c>
      <c r="D54" s="58">
        <v>43045</v>
      </c>
      <c r="E54" s="59">
        <v>510020</v>
      </c>
      <c r="F54" s="76" t="s">
        <v>11</v>
      </c>
      <c r="G54" s="83">
        <v>139</v>
      </c>
      <c r="H54" s="74" t="s">
        <v>10</v>
      </c>
      <c r="I54" s="74" t="s">
        <v>13</v>
      </c>
      <c r="J54" s="77">
        <v>8</v>
      </c>
      <c r="K54" s="57"/>
      <c r="L54" s="78">
        <v>25000</v>
      </c>
      <c r="M54" s="79">
        <v>1.446E-3</v>
      </c>
      <c r="N54" s="57">
        <v>6</v>
      </c>
      <c r="O54" s="57">
        <f t="shared" si="8"/>
        <v>311</v>
      </c>
      <c r="P54" s="57">
        <f>((J54*J54)*0.866*9*3)/1000</f>
        <v>1.4964479999999998</v>
      </c>
      <c r="Q54" s="74">
        <f>+L54*M54</f>
        <v>36.15</v>
      </c>
      <c r="R54" s="57">
        <f t="shared" si="9"/>
        <v>4.8117299035369768E-3</v>
      </c>
      <c r="S54" s="64">
        <v>120.29324758842442</v>
      </c>
      <c r="T54" s="65"/>
      <c r="U54" s="65"/>
      <c r="V54" s="54" t="str">
        <f>IF(SUMPRODUCT(MAX((#REF!)*((#REF!=#REF!)*(#REF!=#REF!)*(#REF!=#REF!))))&lt;&gt;#REF!,"",SUMPRODUCT((-#REF!+#REF!+#REF!)*((#REF!=#REF!)*(#REF!=#REF!)*(#REF!=#REF!))))</f>
        <v/>
      </c>
      <c r="W54" s="57">
        <f t="shared" si="10"/>
        <v>3.1732607073954979E-3</v>
      </c>
      <c r="X54" s="57">
        <f t="shared" si="11"/>
        <v>79.331517684887444</v>
      </c>
      <c r="Y54" s="57">
        <f t="shared" si="12"/>
        <v>5.9265267326732659E-4</v>
      </c>
      <c r="Z54" s="57">
        <f t="shared" si="13"/>
        <v>14.816316831683165</v>
      </c>
      <c r="AA54" s="66">
        <f t="shared" si="14"/>
        <v>84.14324758842443</v>
      </c>
    </row>
    <row r="55" spans="1:27" ht="24.95" hidden="1" customHeight="1">
      <c r="A55" s="73">
        <v>201700098</v>
      </c>
      <c r="B55" s="74" t="s">
        <v>22</v>
      </c>
      <c r="C55" s="75">
        <v>531306</v>
      </c>
      <c r="D55" s="58">
        <v>43045</v>
      </c>
      <c r="E55" s="59">
        <v>512800</v>
      </c>
      <c r="F55" s="76" t="s">
        <v>17</v>
      </c>
      <c r="G55" s="83"/>
      <c r="H55" s="74" t="s">
        <v>10</v>
      </c>
      <c r="I55" s="57" t="s">
        <v>14</v>
      </c>
      <c r="J55" s="77">
        <v>7</v>
      </c>
      <c r="K55" s="57"/>
      <c r="L55" s="78">
        <v>12000</v>
      </c>
      <c r="M55" s="79">
        <v>3.421E-3</v>
      </c>
      <c r="N55" s="57">
        <v>24.5</v>
      </c>
      <c r="O55" s="57">
        <f t="shared" si="8"/>
        <v>101</v>
      </c>
      <c r="P55" s="57">
        <f>((J55/2)*(J55/2)*3.14*9*3)/1000</f>
        <v>1.0385550000000003</v>
      </c>
      <c r="Q55" s="74">
        <f>+M55*L55</f>
        <v>41.052</v>
      </c>
      <c r="R55" s="57">
        <f t="shared" si="9"/>
        <v>1.0282722772277231E-2</v>
      </c>
      <c r="S55" s="64">
        <v>123.39267326732677</v>
      </c>
      <c r="T55" s="65"/>
      <c r="U55" s="65"/>
      <c r="V55" s="54" t="str">
        <f>IF(SUMPRODUCT(MAX((#REF!)*((#REF!=#REF!)*(#REF!=#REF!)*(#REF!=#REF!))))&lt;&gt;#REF!,"",SUMPRODUCT((-#REF!+#REF!+#REF!)*((#REF!=#REF!)*(#REF!=#REF!)*(#REF!=#REF!))))</f>
        <v/>
      </c>
      <c r="W55" s="57">
        <f t="shared" si="10"/>
        <v>6.4504138613861416E-3</v>
      </c>
      <c r="X55" s="57">
        <f t="shared" si="11"/>
        <v>77.404966336633706</v>
      </c>
      <c r="Y55" s="57">
        <f t="shared" si="12"/>
        <v>4.1130891089108927E-4</v>
      </c>
      <c r="Z55" s="57">
        <f t="shared" si="13"/>
        <v>4.9357069306930716</v>
      </c>
      <c r="AA55" s="66">
        <f t="shared" si="14"/>
        <v>82.340673267326764</v>
      </c>
    </row>
    <row r="56" spans="1:27" ht="24.95" hidden="1" customHeight="1">
      <c r="A56" s="55"/>
      <c r="B56" s="69" t="s">
        <v>23</v>
      </c>
      <c r="C56" s="57"/>
      <c r="D56" s="58">
        <v>43067</v>
      </c>
      <c r="E56" s="59"/>
      <c r="F56" s="57"/>
      <c r="G56" s="57"/>
      <c r="H56" s="70" t="s">
        <v>10</v>
      </c>
      <c r="I56" s="69" t="s">
        <v>14</v>
      </c>
      <c r="J56" s="71">
        <v>22</v>
      </c>
      <c r="K56" s="57"/>
      <c r="L56" s="68"/>
      <c r="M56" s="57"/>
      <c r="N56" s="57"/>
      <c r="O56" s="63"/>
      <c r="P56" s="57"/>
      <c r="Q56" s="57"/>
      <c r="R56" s="57"/>
      <c r="S56" s="64">
        <v>0</v>
      </c>
      <c r="T56" s="72">
        <v>2548</v>
      </c>
      <c r="U56" s="72"/>
      <c r="V56" s="54" t="str">
        <f>IF(SUMPRODUCT(MAX((#REF!)*((#REF!=#REF!)*(#REF!=#REF!)*(#REF!=#REF!))))&lt;&gt;#REF!,"",SUMPRODUCT((-#REF!+#REF!+#REF!)*((#REF!=#REF!)*(#REF!=#REF!)*(#REF!=#REF!))))</f>
        <v/>
      </c>
      <c r="W56" s="57"/>
      <c r="X56" s="57"/>
      <c r="Y56" s="57"/>
      <c r="Z56" s="57"/>
      <c r="AA56" s="66"/>
    </row>
    <row r="57" spans="1:27" ht="24.95" hidden="1" customHeight="1">
      <c r="A57" s="55"/>
      <c r="B57" s="69" t="s">
        <v>23</v>
      </c>
      <c r="C57" s="57"/>
      <c r="D57" s="58">
        <v>43067</v>
      </c>
      <c r="E57" s="59"/>
      <c r="F57" s="57"/>
      <c r="G57" s="57"/>
      <c r="H57" s="70" t="s">
        <v>10</v>
      </c>
      <c r="I57" s="69" t="s">
        <v>14</v>
      </c>
      <c r="J57" s="71">
        <v>18</v>
      </c>
      <c r="K57" s="57"/>
      <c r="L57" s="57"/>
      <c r="M57" s="57"/>
      <c r="N57" s="57"/>
      <c r="O57" s="63"/>
      <c r="P57" s="57"/>
      <c r="Q57" s="57"/>
      <c r="R57" s="57"/>
      <c r="S57" s="64">
        <v>0</v>
      </c>
      <c r="T57" s="72">
        <v>314</v>
      </c>
      <c r="U57" s="72"/>
      <c r="V57" s="54" t="str">
        <f>IF(SUMPRODUCT(MAX((#REF!)*((#REF!=#REF!)*(#REF!=#REF!)*(#REF!=#REF!))))&lt;&gt;#REF!,"",SUMPRODUCT((-#REF!+#REF!+#REF!)*((#REF!=#REF!)*(#REF!=#REF!)*(#REF!=#REF!))))</f>
        <v/>
      </c>
      <c r="W57" s="57"/>
      <c r="X57" s="57"/>
      <c r="Y57" s="57"/>
      <c r="Z57" s="57"/>
      <c r="AA57" s="66"/>
    </row>
    <row r="58" spans="1:27" ht="24.95" hidden="1" customHeight="1">
      <c r="A58" s="55"/>
      <c r="B58" s="69" t="s">
        <v>23</v>
      </c>
      <c r="C58" s="57"/>
      <c r="D58" s="58">
        <v>43067</v>
      </c>
      <c r="E58" s="59"/>
      <c r="F58" s="57"/>
      <c r="G58" s="57"/>
      <c r="H58" s="70" t="s">
        <v>10</v>
      </c>
      <c r="I58" s="69" t="s">
        <v>14</v>
      </c>
      <c r="J58" s="71">
        <v>7</v>
      </c>
      <c r="K58" s="57"/>
      <c r="L58" s="57"/>
      <c r="M58" s="57"/>
      <c r="N58" s="57"/>
      <c r="O58" s="63"/>
      <c r="P58" s="57"/>
      <c r="Q58" s="57"/>
      <c r="R58" s="57"/>
      <c r="S58" s="64">
        <v>0</v>
      </c>
      <c r="T58" s="72">
        <v>306</v>
      </c>
      <c r="U58" s="72"/>
      <c r="V58" s="54" t="str">
        <f>IF(SUMPRODUCT(MAX((#REF!)*((#REF!=#REF!)*(#REF!=#REF!)*(#REF!=#REF!))))&lt;&gt;#REF!,"",SUMPRODUCT((-#REF!+#REF!+#REF!)*((#REF!=#REF!)*(#REF!=#REF!)*(#REF!=#REF!))))</f>
        <v/>
      </c>
      <c r="W58" s="57"/>
      <c r="X58" s="57"/>
      <c r="Y58" s="57"/>
      <c r="Z58" s="57"/>
      <c r="AA58" s="66"/>
    </row>
    <row r="59" spans="1:27" ht="24.95" hidden="1" customHeight="1">
      <c r="A59" s="55"/>
      <c r="B59" s="69" t="s">
        <v>23</v>
      </c>
      <c r="C59" s="57"/>
      <c r="D59" s="58">
        <v>43067</v>
      </c>
      <c r="E59" s="59"/>
      <c r="F59" s="57"/>
      <c r="G59" s="57"/>
      <c r="H59" s="70" t="s">
        <v>10</v>
      </c>
      <c r="I59" s="69" t="s">
        <v>13</v>
      </c>
      <c r="J59" s="71">
        <v>12</v>
      </c>
      <c r="K59" s="57"/>
      <c r="L59" s="57"/>
      <c r="M59" s="57"/>
      <c r="N59" s="57"/>
      <c r="O59" s="63"/>
      <c r="P59" s="57"/>
      <c r="Q59" s="57"/>
      <c r="R59" s="57"/>
      <c r="S59" s="64">
        <v>0</v>
      </c>
      <c r="T59" s="72">
        <v>201</v>
      </c>
      <c r="U59" s="72"/>
      <c r="V59" s="54" t="str">
        <f>IF(SUMPRODUCT(MAX((#REF!)*((#REF!=#REF!)*(#REF!=#REF!)*(#REF!=#REF!))))&lt;&gt;#REF!,"",SUMPRODUCT((-#REF!+#REF!+#REF!)*((#REF!=#REF!)*(#REF!=#REF!)*(#REF!=#REF!))))</f>
        <v/>
      </c>
      <c r="W59" s="57"/>
      <c r="X59" s="57"/>
      <c r="Y59" s="57"/>
      <c r="Z59" s="57"/>
      <c r="AA59" s="66"/>
    </row>
    <row r="60" spans="1:27" ht="24.95" hidden="1" customHeight="1">
      <c r="A60" s="55"/>
      <c r="B60" s="69" t="s">
        <v>23</v>
      </c>
      <c r="C60" s="57"/>
      <c r="D60" s="58">
        <v>43067</v>
      </c>
      <c r="E60" s="59"/>
      <c r="F60" s="57"/>
      <c r="G60" s="57"/>
      <c r="H60" s="70" t="s">
        <v>10</v>
      </c>
      <c r="I60" s="69" t="s">
        <v>13</v>
      </c>
      <c r="J60" s="71">
        <v>8</v>
      </c>
      <c r="K60" s="57"/>
      <c r="L60" s="57"/>
      <c r="M60" s="57"/>
      <c r="N60" s="57"/>
      <c r="O60" s="63"/>
      <c r="P60" s="57"/>
      <c r="Q60" s="57"/>
      <c r="R60" s="57"/>
      <c r="S60" s="64">
        <v>0</v>
      </c>
      <c r="T60" s="72">
        <v>447</v>
      </c>
      <c r="U60" s="72"/>
      <c r="V60" s="54" t="str">
        <f>IF(SUMPRODUCT(MAX((#REF!)*((#REF!=#REF!)*(#REF!=#REF!)*(#REF!=#REF!))))&lt;&gt;#REF!,"",SUMPRODUCT((-#REF!+#REF!+#REF!)*((#REF!=#REF!)*(#REF!=#REF!)*(#REF!=#REF!))))</f>
        <v/>
      </c>
      <c r="W60" s="57"/>
      <c r="X60" s="57"/>
      <c r="Y60" s="57"/>
      <c r="Z60" s="57"/>
      <c r="AA60" s="66"/>
    </row>
    <row r="61" spans="1:27" ht="24.95" hidden="1" customHeight="1">
      <c r="A61" s="73">
        <v>201700108</v>
      </c>
      <c r="B61" s="74" t="s">
        <v>22</v>
      </c>
      <c r="C61" s="75">
        <v>531987</v>
      </c>
      <c r="D61" s="58">
        <v>43076</v>
      </c>
      <c r="E61" s="59">
        <v>510020</v>
      </c>
      <c r="F61" s="76" t="s">
        <v>11</v>
      </c>
      <c r="G61" s="83">
        <v>139</v>
      </c>
      <c r="H61" s="74" t="s">
        <v>10</v>
      </c>
      <c r="I61" s="74" t="s">
        <v>13</v>
      </c>
      <c r="J61" s="77">
        <v>8</v>
      </c>
      <c r="K61" s="57"/>
      <c r="L61" s="78">
        <v>6568</v>
      </c>
      <c r="M61" s="79">
        <v>1.446E-3</v>
      </c>
      <c r="N61" s="57">
        <v>6</v>
      </c>
      <c r="O61" s="57">
        <f t="shared" ref="O61:O80" si="15">INT(2800/(N61+3))</f>
        <v>311</v>
      </c>
      <c r="P61" s="57">
        <f>((J61*J61)*0.866*9*3)/1000</f>
        <v>1.4964479999999998</v>
      </c>
      <c r="Q61" s="74">
        <f>+L61*M61</f>
        <v>9.4973279999999995</v>
      </c>
      <c r="R61" s="57">
        <f t="shared" ref="R61:R80" si="16">P61/O61</f>
        <v>4.8117299035369768E-3</v>
      </c>
      <c r="S61" s="64">
        <v>31.603442006430864</v>
      </c>
      <c r="T61" s="65"/>
      <c r="U61" s="65"/>
      <c r="V61" s="54" t="str">
        <f>IF(SUMPRODUCT(MAX((#REF!)*((#REF!=#REF!)*(#REF!=#REF!)*(#REF!=#REF!))))&lt;&gt;#REF!,"",SUMPRODUCT((-#REF!+#REF!+#REF!)*((#REF!=#REF!)*(#REF!=#REF!)*(#REF!=#REF!))))</f>
        <v/>
      </c>
      <c r="W61" s="57">
        <f t="shared" ref="W61:W80" si="17">(((P61/3000)*2880)-(M61*O61))/O61</f>
        <v>3.1732607073954979E-3</v>
      </c>
      <c r="X61" s="57">
        <f t="shared" ref="X61:X80" si="18">+W61*L61</f>
        <v>20.841976326173629</v>
      </c>
      <c r="Y61" s="57">
        <f t="shared" ref="Y61:Y80" si="19">+((P61/3000)*120)/101</f>
        <v>5.9265267326732659E-4</v>
      </c>
      <c r="Z61" s="57">
        <f t="shared" ref="Z61:Z80" si="20">Y61*L61</f>
        <v>3.8925427580198009</v>
      </c>
      <c r="AA61" s="66">
        <f t="shared" ref="AA61:AA80" si="21">S61-Q61</f>
        <v>22.106114006430865</v>
      </c>
    </row>
    <row r="62" spans="1:27" ht="24.95" hidden="1" customHeight="1">
      <c r="A62" s="73">
        <v>201700108</v>
      </c>
      <c r="B62" s="74" t="s">
        <v>22</v>
      </c>
      <c r="C62" s="75">
        <v>531987</v>
      </c>
      <c r="D62" s="58">
        <v>43076</v>
      </c>
      <c r="E62" s="59">
        <v>510090</v>
      </c>
      <c r="F62" s="83" t="s">
        <v>15</v>
      </c>
      <c r="G62" s="83">
        <v>141</v>
      </c>
      <c r="H62" s="74" t="s">
        <v>10</v>
      </c>
      <c r="I62" s="74" t="s">
        <v>13</v>
      </c>
      <c r="J62" s="75">
        <v>12</v>
      </c>
      <c r="K62" s="57"/>
      <c r="L62" s="78">
        <v>3000</v>
      </c>
      <c r="M62" s="79">
        <v>3.2499999999999999E-3</v>
      </c>
      <c r="N62" s="85">
        <v>12</v>
      </c>
      <c r="O62" s="57">
        <f t="shared" si="15"/>
        <v>186</v>
      </c>
      <c r="P62" s="57">
        <f>((J62*J62)*0.866*9*3)/1000</f>
        <v>3.3670079999999998</v>
      </c>
      <c r="Q62" s="74">
        <f>+L62*M62</f>
        <v>9.75</v>
      </c>
      <c r="R62" s="57">
        <f t="shared" si="16"/>
        <v>1.8102193548387095E-2</v>
      </c>
      <c r="S62" s="64">
        <v>54.306580645161283</v>
      </c>
      <c r="T62" s="65"/>
      <c r="U62" s="65"/>
      <c r="V62" s="54" t="str">
        <f>IF(SUMPRODUCT(MAX((#REF!)*((#REF!=#REF!)*(#REF!=#REF!)*(#REF!=#REF!))))&lt;&gt;#REF!,"",SUMPRODUCT((-#REF!+#REF!+#REF!)*((#REF!=#REF!)*(#REF!=#REF!)*(#REF!=#REF!))))</f>
        <v/>
      </c>
      <c r="W62" s="57">
        <f t="shared" si="17"/>
        <v>1.4128105806451612E-2</v>
      </c>
      <c r="X62" s="57">
        <f t="shared" si="18"/>
        <v>42.384317419354836</v>
      </c>
      <c r="Y62" s="57">
        <f t="shared" si="19"/>
        <v>1.3334685148514848E-3</v>
      </c>
      <c r="Z62" s="57">
        <f t="shared" si="20"/>
        <v>4.0004055445544546</v>
      </c>
      <c r="AA62" s="66">
        <f t="shared" si="21"/>
        <v>44.556580645161283</v>
      </c>
    </row>
    <row r="63" spans="1:27" ht="24.95" hidden="1" customHeight="1">
      <c r="A63" s="73">
        <v>201700114</v>
      </c>
      <c r="B63" s="74" t="s">
        <v>22</v>
      </c>
      <c r="C63" s="75">
        <v>532603</v>
      </c>
      <c r="D63" s="58">
        <v>43106</v>
      </c>
      <c r="E63" s="59">
        <v>510090</v>
      </c>
      <c r="F63" s="83" t="s">
        <v>15</v>
      </c>
      <c r="G63" s="83">
        <v>141</v>
      </c>
      <c r="H63" s="74" t="s">
        <v>10</v>
      </c>
      <c r="I63" s="74" t="s">
        <v>13</v>
      </c>
      <c r="J63" s="75">
        <v>12</v>
      </c>
      <c r="K63" s="57"/>
      <c r="L63" s="78">
        <v>6000</v>
      </c>
      <c r="M63" s="79">
        <v>3.2499999999999999E-3</v>
      </c>
      <c r="N63" s="85">
        <v>12</v>
      </c>
      <c r="O63" s="57">
        <f t="shared" si="15"/>
        <v>186</v>
      </c>
      <c r="P63" s="57">
        <f>((J63*J63)*0.866*9*3)/1000</f>
        <v>3.3670079999999998</v>
      </c>
      <c r="Q63" s="74">
        <f>+L63*M63</f>
        <v>19.5</v>
      </c>
      <c r="R63" s="57">
        <f t="shared" si="16"/>
        <v>1.8102193548387095E-2</v>
      </c>
      <c r="S63" s="64">
        <v>108.61316129032257</v>
      </c>
      <c r="T63" s="65"/>
      <c r="U63" s="65"/>
      <c r="V63" s="54">
        <f>IF(SUMPRODUCT(MAX((#REF!)*((#REF!=#REF!)*(#REF!=#REF!)*(#REF!=#REF!))))&lt;&gt;#REF!,"",SUMPRODUCT((-#REF!+#REF!+#REF!)*((#REF!=#REF!)*(#REF!=#REF!)*(#REF!=#REF!))))</f>
        <v>218.63649032258064</v>
      </c>
      <c r="W63" s="57">
        <f t="shared" si="17"/>
        <v>1.4128105806451612E-2</v>
      </c>
      <c r="X63" s="57">
        <f t="shared" si="18"/>
        <v>84.768634838709673</v>
      </c>
      <c r="Y63" s="57">
        <f t="shared" si="19"/>
        <v>1.3334685148514848E-3</v>
      </c>
      <c r="Z63" s="57">
        <f t="shared" si="20"/>
        <v>8.0008110891089093</v>
      </c>
      <c r="AA63" s="66">
        <f t="shared" si="21"/>
        <v>89.113161290322566</v>
      </c>
    </row>
    <row r="64" spans="1:27" ht="24.95" hidden="1" customHeight="1">
      <c r="A64" s="86">
        <v>201800002</v>
      </c>
      <c r="B64" s="74" t="s">
        <v>22</v>
      </c>
      <c r="C64" s="75">
        <v>532778</v>
      </c>
      <c r="D64" s="58">
        <v>43113</v>
      </c>
      <c r="E64" s="59">
        <v>200200</v>
      </c>
      <c r="F64" s="76" t="s">
        <v>16</v>
      </c>
      <c r="G64" s="76"/>
      <c r="H64" s="74" t="s">
        <v>10</v>
      </c>
      <c r="I64" s="57" t="s">
        <v>14</v>
      </c>
      <c r="J64" s="65">
        <v>22</v>
      </c>
      <c r="K64" s="57"/>
      <c r="L64" s="81">
        <v>1900</v>
      </c>
      <c r="M64" s="79">
        <v>7.4759999999999993E-2</v>
      </c>
      <c r="N64" s="82">
        <v>39.5</v>
      </c>
      <c r="O64" s="57">
        <f t="shared" si="15"/>
        <v>65</v>
      </c>
      <c r="P64" s="57">
        <f>((J64/2)*(J64/2)*3.14*9*3)/1000</f>
        <v>10.258380000000001</v>
      </c>
      <c r="Q64" s="74">
        <f>+M64*L64</f>
        <v>142.04399999999998</v>
      </c>
      <c r="R64" s="57">
        <f t="shared" si="16"/>
        <v>0.15782123076923077</v>
      </c>
      <c r="S64" s="64">
        <v>299.86033846153845</v>
      </c>
      <c r="T64" s="65"/>
      <c r="U64" s="65"/>
      <c r="V64" s="54" t="str">
        <f>IF(SUMPRODUCT(MAX((#REF!)*((#REF!=#REF!)*(#REF!=#REF!)*(#REF!=#REF!))))&lt;&gt;#REF!,"",SUMPRODUCT((-#REF!+#REF!+#REF!)*((#REF!=#REF!)*(#REF!=#REF!)*(#REF!=#REF!))))</f>
        <v/>
      </c>
      <c r="W64" s="57">
        <f t="shared" si="17"/>
        <v>7.6748381538461544E-2</v>
      </c>
      <c r="X64" s="57">
        <f t="shared" si="18"/>
        <v>145.82192492307692</v>
      </c>
      <c r="Y64" s="57">
        <f t="shared" si="19"/>
        <v>4.0627247524752472E-3</v>
      </c>
      <c r="Z64" s="57">
        <f t="shared" si="20"/>
        <v>7.71917702970297</v>
      </c>
      <c r="AA64" s="66">
        <f t="shared" si="21"/>
        <v>157.81633846153846</v>
      </c>
    </row>
    <row r="65" spans="1:27" ht="24.95" hidden="1" customHeight="1">
      <c r="A65" s="73">
        <v>201800007</v>
      </c>
      <c r="B65" s="74" t="s">
        <v>22</v>
      </c>
      <c r="C65" s="80">
        <v>533273</v>
      </c>
      <c r="D65" s="58">
        <v>43138</v>
      </c>
      <c r="E65" s="59">
        <v>510020</v>
      </c>
      <c r="F65" s="76" t="s">
        <v>11</v>
      </c>
      <c r="G65" s="83">
        <v>139</v>
      </c>
      <c r="H65" s="74" t="s">
        <v>10</v>
      </c>
      <c r="I65" s="74" t="s">
        <v>13</v>
      </c>
      <c r="J65" s="77">
        <v>8</v>
      </c>
      <c r="K65" s="77"/>
      <c r="L65" s="80">
        <v>19000</v>
      </c>
      <c r="M65" s="79">
        <v>1.446E-3</v>
      </c>
      <c r="N65" s="57">
        <v>6</v>
      </c>
      <c r="O65" s="57">
        <f t="shared" si="15"/>
        <v>311</v>
      </c>
      <c r="P65" s="57">
        <f>((J65*J65)*0.866*9*3)/1000</f>
        <v>1.4964479999999998</v>
      </c>
      <c r="Q65" s="74">
        <f>+L65*M65</f>
        <v>27.474</v>
      </c>
      <c r="R65" s="57">
        <f t="shared" si="16"/>
        <v>4.8117299035369768E-3</v>
      </c>
      <c r="S65" s="64">
        <v>91.422868167202566</v>
      </c>
      <c r="T65" s="65"/>
      <c r="U65" s="65"/>
      <c r="V65" s="54" t="str">
        <f>IF(SUMPRODUCT(MAX((#REF!)*((#REF!=#REF!)*(#REF!=#REF!)*(#REF!=#REF!))))&lt;&gt;#REF!,"",SUMPRODUCT((-#REF!+#REF!+#REF!)*((#REF!=#REF!)*(#REF!=#REF!)*(#REF!=#REF!))))</f>
        <v/>
      </c>
      <c r="W65" s="57">
        <f t="shared" si="17"/>
        <v>3.1732607073954979E-3</v>
      </c>
      <c r="X65" s="57">
        <f t="shared" si="18"/>
        <v>60.291953440514462</v>
      </c>
      <c r="Y65" s="57">
        <f t="shared" si="19"/>
        <v>5.9265267326732659E-4</v>
      </c>
      <c r="Z65" s="57">
        <f t="shared" si="20"/>
        <v>11.260400792079205</v>
      </c>
      <c r="AA65" s="66">
        <f t="shared" si="21"/>
        <v>63.948868167202562</v>
      </c>
    </row>
    <row r="66" spans="1:27" ht="24.95" hidden="1" customHeight="1">
      <c r="A66" s="86">
        <v>201800011</v>
      </c>
      <c r="B66" s="74" t="s">
        <v>22</v>
      </c>
      <c r="C66" s="75">
        <v>533503</v>
      </c>
      <c r="D66" s="58">
        <v>43148</v>
      </c>
      <c r="E66" s="59">
        <v>200200</v>
      </c>
      <c r="F66" s="76" t="s">
        <v>16</v>
      </c>
      <c r="G66" s="76"/>
      <c r="H66" s="74" t="s">
        <v>10</v>
      </c>
      <c r="I66" s="57" t="s">
        <v>14</v>
      </c>
      <c r="J66" s="65">
        <v>22</v>
      </c>
      <c r="K66" s="57"/>
      <c r="L66" s="81">
        <v>550</v>
      </c>
      <c r="M66" s="79">
        <v>7.4759999999999993E-2</v>
      </c>
      <c r="N66" s="82">
        <v>39.5</v>
      </c>
      <c r="O66" s="57">
        <f t="shared" si="15"/>
        <v>65</v>
      </c>
      <c r="P66" s="57">
        <f>((J66/2)*(J66/2)*3.14*9*3)/1000</f>
        <v>10.258380000000001</v>
      </c>
      <c r="Q66" s="74">
        <f>+M66*L66</f>
        <v>41.117999999999995</v>
      </c>
      <c r="R66" s="57">
        <f t="shared" si="16"/>
        <v>0.15782123076923077</v>
      </c>
      <c r="S66" s="64">
        <v>86.801676923076926</v>
      </c>
      <c r="T66" s="65"/>
      <c r="U66" s="65"/>
      <c r="V66" s="54" t="str">
        <f>IF(SUMPRODUCT(MAX((#REF!)*((#REF!=#REF!)*(#REF!=#REF!)*(#REF!=#REF!))))&lt;&gt;#REF!,"",SUMPRODUCT((-#REF!+#REF!+#REF!)*((#REF!=#REF!)*(#REF!=#REF!)*(#REF!=#REF!))))</f>
        <v/>
      </c>
      <c r="W66" s="57">
        <f t="shared" si="17"/>
        <v>7.6748381538461544E-2</v>
      </c>
      <c r="X66" s="57">
        <f t="shared" si="18"/>
        <v>42.211609846153848</v>
      </c>
      <c r="Y66" s="57">
        <f t="shared" si="19"/>
        <v>4.0627247524752472E-3</v>
      </c>
      <c r="Z66" s="57">
        <f t="shared" si="20"/>
        <v>2.234498613861386</v>
      </c>
      <c r="AA66" s="66">
        <f t="shared" si="21"/>
        <v>45.683676923076931</v>
      </c>
    </row>
    <row r="67" spans="1:27" ht="24.95" hidden="1" customHeight="1">
      <c r="A67" s="73">
        <v>201800014</v>
      </c>
      <c r="B67" s="74" t="s">
        <v>22</v>
      </c>
      <c r="C67" s="80">
        <v>533899</v>
      </c>
      <c r="D67" s="58">
        <v>43166</v>
      </c>
      <c r="E67" s="59">
        <v>510020</v>
      </c>
      <c r="F67" s="76" t="s">
        <v>11</v>
      </c>
      <c r="G67" s="83">
        <v>139</v>
      </c>
      <c r="H67" s="74" t="s">
        <v>10</v>
      </c>
      <c r="I67" s="74" t="s">
        <v>13</v>
      </c>
      <c r="J67" s="77">
        <v>8</v>
      </c>
      <c r="K67" s="77"/>
      <c r="L67" s="80">
        <v>21500</v>
      </c>
      <c r="M67" s="79">
        <v>1.446E-3</v>
      </c>
      <c r="N67" s="57">
        <v>6</v>
      </c>
      <c r="O67" s="57">
        <f t="shared" si="15"/>
        <v>311</v>
      </c>
      <c r="P67" s="57">
        <f>((J67*J67)*0.866*9*3)/1000</f>
        <v>1.4964479999999998</v>
      </c>
      <c r="Q67" s="74">
        <f>+L67*M67</f>
        <v>31.089000000000002</v>
      </c>
      <c r="R67" s="57">
        <f t="shared" si="16"/>
        <v>4.8117299035369768E-3</v>
      </c>
      <c r="S67" s="64">
        <v>103.452192926045</v>
      </c>
      <c r="T67" s="65"/>
      <c r="U67" s="65"/>
      <c r="V67" s="54" t="str">
        <f>IF(SUMPRODUCT(MAX((#REF!)*((#REF!=#REF!)*(#REF!=#REF!)*(#REF!=#REF!))))&lt;&gt;#REF!,"",SUMPRODUCT((-#REF!+#REF!+#REF!)*((#REF!=#REF!)*(#REF!=#REF!)*(#REF!=#REF!))))</f>
        <v/>
      </c>
      <c r="W67" s="57">
        <f t="shared" si="17"/>
        <v>3.1732607073954979E-3</v>
      </c>
      <c r="X67" s="57">
        <f t="shared" si="18"/>
        <v>68.225105209003203</v>
      </c>
      <c r="Y67" s="57">
        <f t="shared" si="19"/>
        <v>5.9265267326732659E-4</v>
      </c>
      <c r="Z67" s="57">
        <f t="shared" si="20"/>
        <v>12.742032475247521</v>
      </c>
      <c r="AA67" s="66">
        <f t="shared" si="21"/>
        <v>72.363192926045002</v>
      </c>
    </row>
    <row r="68" spans="1:27" ht="24.95" hidden="1" customHeight="1">
      <c r="A68" s="73">
        <v>201800014</v>
      </c>
      <c r="B68" s="74" t="s">
        <v>22</v>
      </c>
      <c r="C68" s="80">
        <v>533899</v>
      </c>
      <c r="D68" s="58">
        <v>43166</v>
      </c>
      <c r="E68" s="59">
        <v>512800</v>
      </c>
      <c r="F68" s="76" t="s">
        <v>17</v>
      </c>
      <c r="G68" s="74"/>
      <c r="H68" s="74" t="s">
        <v>10</v>
      </c>
      <c r="I68" s="57" t="s">
        <v>14</v>
      </c>
      <c r="J68" s="77">
        <v>7</v>
      </c>
      <c r="K68" s="77"/>
      <c r="L68" s="80">
        <v>6000</v>
      </c>
      <c r="M68" s="79">
        <v>3.421E-3</v>
      </c>
      <c r="N68" s="57">
        <v>24.5</v>
      </c>
      <c r="O68" s="57">
        <f t="shared" si="15"/>
        <v>101</v>
      </c>
      <c r="P68" s="57">
        <f>((J68/2)*(J68/2)*3.14*9*3)/1000</f>
        <v>1.0385550000000003</v>
      </c>
      <c r="Q68" s="74">
        <f>+M68*L68</f>
        <v>20.526</v>
      </c>
      <c r="R68" s="57">
        <f t="shared" si="16"/>
        <v>1.0282722772277231E-2</v>
      </c>
      <c r="S68" s="64">
        <v>61.696336633663385</v>
      </c>
      <c r="T68" s="65"/>
      <c r="U68" s="65"/>
      <c r="V68" s="54" t="str">
        <f>IF(SUMPRODUCT(MAX((#REF!)*((#REF!=#REF!)*(#REF!=#REF!)*(#REF!=#REF!))))&lt;&gt;#REF!,"",SUMPRODUCT((-#REF!+#REF!+#REF!)*((#REF!=#REF!)*(#REF!=#REF!)*(#REF!=#REF!))))</f>
        <v/>
      </c>
      <c r="W68" s="57">
        <f t="shared" si="17"/>
        <v>6.4504138613861416E-3</v>
      </c>
      <c r="X68" s="57">
        <f t="shared" si="18"/>
        <v>38.702483168316853</v>
      </c>
      <c r="Y68" s="57">
        <f t="shared" si="19"/>
        <v>4.1130891089108927E-4</v>
      </c>
      <c r="Z68" s="57">
        <f t="shared" si="20"/>
        <v>2.4678534653465358</v>
      </c>
      <c r="AA68" s="66">
        <f t="shared" si="21"/>
        <v>41.170336633663382</v>
      </c>
    </row>
    <row r="69" spans="1:27" ht="24.95" hidden="1" customHeight="1">
      <c r="A69" s="73">
        <v>201800023</v>
      </c>
      <c r="B69" s="74" t="s">
        <v>22</v>
      </c>
      <c r="C69" s="75">
        <v>534593</v>
      </c>
      <c r="D69" s="58">
        <v>43194</v>
      </c>
      <c r="E69" s="59">
        <v>200200</v>
      </c>
      <c r="F69" s="76" t="s">
        <v>16</v>
      </c>
      <c r="G69" s="76"/>
      <c r="H69" s="74" t="s">
        <v>10</v>
      </c>
      <c r="I69" s="57" t="s">
        <v>14</v>
      </c>
      <c r="J69" s="65">
        <v>22</v>
      </c>
      <c r="K69" s="57"/>
      <c r="L69" s="81">
        <v>2700</v>
      </c>
      <c r="M69" s="79">
        <v>7.4759999999999993E-2</v>
      </c>
      <c r="N69" s="82">
        <v>39.5</v>
      </c>
      <c r="O69" s="57">
        <f t="shared" si="15"/>
        <v>65</v>
      </c>
      <c r="P69" s="57">
        <f>((J69/2)*(J69/2)*3.14*9*3)/1000</f>
        <v>10.258380000000001</v>
      </c>
      <c r="Q69" s="74">
        <f>+M69*L69</f>
        <v>201.85199999999998</v>
      </c>
      <c r="R69" s="57">
        <f t="shared" si="16"/>
        <v>0.15782123076923077</v>
      </c>
      <c r="S69" s="64">
        <v>426.11732307692307</v>
      </c>
      <c r="T69" s="65"/>
      <c r="U69" s="65"/>
      <c r="V69" s="54" t="str">
        <f>IF(SUMPRODUCT(MAX((#REF!)*((#REF!=#REF!)*(#REF!=#REF!)*(#REF!=#REF!))))&lt;&gt;#REF!,"",SUMPRODUCT((-#REF!+#REF!+#REF!)*((#REF!=#REF!)*(#REF!=#REF!)*(#REF!=#REF!))))</f>
        <v/>
      </c>
      <c r="W69" s="57">
        <f t="shared" si="17"/>
        <v>7.6748381538461544E-2</v>
      </c>
      <c r="X69" s="57">
        <f t="shared" si="18"/>
        <v>207.22063015384617</v>
      </c>
      <c r="Y69" s="57">
        <f t="shared" si="19"/>
        <v>4.0627247524752472E-3</v>
      </c>
      <c r="Z69" s="57">
        <f t="shared" si="20"/>
        <v>10.969356831683168</v>
      </c>
      <c r="AA69" s="66">
        <f t="shared" si="21"/>
        <v>224.2653230769231</v>
      </c>
    </row>
    <row r="70" spans="1:27" ht="24.95" hidden="1" customHeight="1">
      <c r="A70" s="73">
        <v>201800026</v>
      </c>
      <c r="B70" s="74" t="s">
        <v>22</v>
      </c>
      <c r="C70" s="80">
        <v>534802</v>
      </c>
      <c r="D70" s="58">
        <v>43200</v>
      </c>
      <c r="E70" s="59">
        <v>510020</v>
      </c>
      <c r="F70" s="76" t="s">
        <v>11</v>
      </c>
      <c r="G70" s="83">
        <v>139</v>
      </c>
      <c r="H70" s="74" t="s">
        <v>10</v>
      </c>
      <c r="I70" s="74" t="s">
        <v>13</v>
      </c>
      <c r="J70" s="77">
        <v>8</v>
      </c>
      <c r="K70" s="77"/>
      <c r="L70" s="80">
        <v>15733</v>
      </c>
      <c r="M70" s="79">
        <v>1.446E-3</v>
      </c>
      <c r="N70" s="57">
        <v>6</v>
      </c>
      <c r="O70" s="57">
        <f t="shared" si="15"/>
        <v>311</v>
      </c>
      <c r="P70" s="57">
        <f>((J70*J70)*0.866*9*3)/1000</f>
        <v>1.4964479999999998</v>
      </c>
      <c r="Q70" s="74">
        <f>+L70*M70</f>
        <v>22.749918000000001</v>
      </c>
      <c r="R70" s="57">
        <f t="shared" si="16"/>
        <v>4.8117299035369768E-3</v>
      </c>
      <c r="S70" s="64">
        <v>75.702946572347258</v>
      </c>
      <c r="T70" s="65"/>
      <c r="U70" s="65"/>
      <c r="V70" s="54" t="str">
        <f>IF(SUMPRODUCT(MAX((#REF!)*((#REF!=#REF!)*(#REF!=#REF!)*(#REF!=#REF!))))&lt;&gt;#REF!,"",SUMPRODUCT((-#REF!+#REF!+#REF!)*((#REF!=#REF!)*(#REF!=#REF!)*(#REF!=#REF!))))</f>
        <v/>
      </c>
      <c r="W70" s="57">
        <f t="shared" si="17"/>
        <v>3.1732607073954979E-3</v>
      </c>
      <c r="X70" s="57">
        <f t="shared" si="18"/>
        <v>49.924910709453371</v>
      </c>
      <c r="Y70" s="57">
        <f t="shared" si="19"/>
        <v>5.9265267326732659E-4</v>
      </c>
      <c r="Z70" s="57">
        <f t="shared" si="20"/>
        <v>9.3242045085148497</v>
      </c>
      <c r="AA70" s="66">
        <f t="shared" si="21"/>
        <v>52.953028572347257</v>
      </c>
    </row>
    <row r="71" spans="1:27" ht="24.95" hidden="1" customHeight="1">
      <c r="A71" s="86">
        <v>201800033</v>
      </c>
      <c r="B71" s="74" t="s">
        <v>22</v>
      </c>
      <c r="C71" s="75">
        <v>535277</v>
      </c>
      <c r="D71" s="58">
        <v>43217</v>
      </c>
      <c r="E71" s="59">
        <v>200200</v>
      </c>
      <c r="F71" s="76" t="s">
        <v>16</v>
      </c>
      <c r="G71" s="76"/>
      <c r="H71" s="74" t="s">
        <v>10</v>
      </c>
      <c r="I71" s="57" t="s">
        <v>14</v>
      </c>
      <c r="J71" s="65">
        <v>22</v>
      </c>
      <c r="K71" s="57"/>
      <c r="L71" s="81">
        <v>1200</v>
      </c>
      <c r="M71" s="79">
        <v>7.4759999999999993E-2</v>
      </c>
      <c r="N71" s="82">
        <v>39.5</v>
      </c>
      <c r="O71" s="57">
        <f t="shared" si="15"/>
        <v>65</v>
      </c>
      <c r="P71" s="57">
        <f>((J71/2)*(J71/2)*3.14*9*3)/1000</f>
        <v>10.258380000000001</v>
      </c>
      <c r="Q71" s="74">
        <f>+M71*L71</f>
        <v>89.711999999999989</v>
      </c>
      <c r="R71" s="57">
        <f t="shared" si="16"/>
        <v>0.15782123076923077</v>
      </c>
      <c r="S71" s="64">
        <v>189.38547692307694</v>
      </c>
      <c r="T71" s="65"/>
      <c r="U71" s="65"/>
      <c r="V71" s="54" t="str">
        <f>IF(SUMPRODUCT(MAX((#REF!)*((#REF!=#REF!)*(#REF!=#REF!)*(#REF!=#REF!))))&lt;&gt;#REF!,"",SUMPRODUCT((-#REF!+#REF!+#REF!)*((#REF!=#REF!)*(#REF!=#REF!)*(#REF!=#REF!))))</f>
        <v/>
      </c>
      <c r="W71" s="57">
        <f t="shared" si="17"/>
        <v>7.6748381538461544E-2</v>
      </c>
      <c r="X71" s="57">
        <f t="shared" si="18"/>
        <v>92.09805784615385</v>
      </c>
      <c r="Y71" s="57">
        <f t="shared" si="19"/>
        <v>4.0627247524752472E-3</v>
      </c>
      <c r="Z71" s="57">
        <f t="shared" si="20"/>
        <v>4.8752697029702965</v>
      </c>
      <c r="AA71" s="66">
        <f t="shared" si="21"/>
        <v>99.673476923076947</v>
      </c>
    </row>
    <row r="72" spans="1:27" ht="24.95" hidden="1" customHeight="1">
      <c r="A72" s="73">
        <v>201800048</v>
      </c>
      <c r="B72" s="74" t="s">
        <v>22</v>
      </c>
      <c r="C72" s="75">
        <v>536321</v>
      </c>
      <c r="D72" s="58">
        <v>43263</v>
      </c>
      <c r="E72" s="59">
        <v>200200</v>
      </c>
      <c r="F72" s="76" t="s">
        <v>16</v>
      </c>
      <c r="G72" s="76"/>
      <c r="H72" s="74" t="s">
        <v>10</v>
      </c>
      <c r="I72" s="57" t="s">
        <v>14</v>
      </c>
      <c r="J72" s="65">
        <v>22</v>
      </c>
      <c r="K72" s="57"/>
      <c r="L72" s="81">
        <v>1000</v>
      </c>
      <c r="M72" s="79">
        <v>7.4759999999999993E-2</v>
      </c>
      <c r="N72" s="82">
        <v>39.5</v>
      </c>
      <c r="O72" s="57">
        <f t="shared" si="15"/>
        <v>65</v>
      </c>
      <c r="P72" s="57">
        <f>((J72/2)*(J72/2)*3.14*9*3)/1000</f>
        <v>10.258380000000001</v>
      </c>
      <c r="Q72" s="74">
        <f>+M72*L72</f>
        <v>74.759999999999991</v>
      </c>
      <c r="R72" s="57">
        <f t="shared" si="16"/>
        <v>0.15782123076923077</v>
      </c>
      <c r="S72" s="64">
        <v>157.82123076923077</v>
      </c>
      <c r="T72" s="65"/>
      <c r="U72" s="65"/>
      <c r="V72" s="54" t="str">
        <f>IF(SUMPRODUCT(MAX((#REF!)*((#REF!=#REF!)*(#REF!=#REF!)*(#REF!=#REF!))))&lt;&gt;#REF!,"",SUMPRODUCT((-#REF!+#REF!+#REF!)*((#REF!=#REF!)*(#REF!=#REF!)*(#REF!=#REF!))))</f>
        <v/>
      </c>
      <c r="W72" s="57">
        <f t="shared" si="17"/>
        <v>7.6748381538461544E-2</v>
      </c>
      <c r="X72" s="57">
        <f t="shared" si="18"/>
        <v>76.748381538461544</v>
      </c>
      <c r="Y72" s="57">
        <f t="shared" si="19"/>
        <v>4.0627247524752472E-3</v>
      </c>
      <c r="Z72" s="57">
        <f t="shared" si="20"/>
        <v>4.0627247524752477</v>
      </c>
      <c r="AA72" s="66">
        <f t="shared" si="21"/>
        <v>83.061230769230775</v>
      </c>
    </row>
    <row r="73" spans="1:27" ht="24.95" hidden="1" customHeight="1">
      <c r="A73" s="73">
        <v>201800052</v>
      </c>
      <c r="B73" s="74" t="s">
        <v>22</v>
      </c>
      <c r="C73" s="75">
        <v>536867</v>
      </c>
      <c r="D73" s="58">
        <v>43289</v>
      </c>
      <c r="E73" s="59">
        <v>512800</v>
      </c>
      <c r="F73" s="76" t="s">
        <v>17</v>
      </c>
      <c r="G73" s="74"/>
      <c r="H73" s="74" t="s">
        <v>10</v>
      </c>
      <c r="I73" s="57" t="s">
        <v>14</v>
      </c>
      <c r="J73" s="77">
        <v>7</v>
      </c>
      <c r="K73" s="57"/>
      <c r="L73" s="78">
        <v>27000</v>
      </c>
      <c r="M73" s="79">
        <v>3.421E-3</v>
      </c>
      <c r="N73" s="57">
        <v>24.5</v>
      </c>
      <c r="O73" s="57">
        <f t="shared" si="15"/>
        <v>101</v>
      </c>
      <c r="P73" s="57">
        <f>((J73/2)*(J73/2)*3.14*9*3)/1000</f>
        <v>1.0385550000000003</v>
      </c>
      <c r="Q73" s="74">
        <f>+M73*L73</f>
        <v>92.367000000000004</v>
      </c>
      <c r="R73" s="57">
        <f t="shared" si="16"/>
        <v>1.0282722772277231E-2</v>
      </c>
      <c r="S73" s="64">
        <v>277.63351485148524</v>
      </c>
      <c r="T73" s="65"/>
      <c r="U73" s="65"/>
      <c r="V73" s="54" t="str">
        <f>IF(SUMPRODUCT(MAX((#REF!)*((#REF!=#REF!)*(#REF!=#REF!)*(#REF!=#REF!))))&lt;&gt;#REF!,"",SUMPRODUCT((-#REF!+#REF!+#REF!)*((#REF!=#REF!)*(#REF!=#REF!)*(#REF!=#REF!))))</f>
        <v/>
      </c>
      <c r="W73" s="57">
        <f t="shared" si="17"/>
        <v>6.4504138613861416E-3</v>
      </c>
      <c r="X73" s="57">
        <f t="shared" si="18"/>
        <v>174.16117425742581</v>
      </c>
      <c r="Y73" s="57">
        <f t="shared" si="19"/>
        <v>4.1130891089108927E-4</v>
      </c>
      <c r="Z73" s="57">
        <f t="shared" si="20"/>
        <v>11.10534059405941</v>
      </c>
      <c r="AA73" s="66">
        <f t="shared" si="21"/>
        <v>185.26651485148523</v>
      </c>
    </row>
    <row r="74" spans="1:27" ht="24.95" hidden="1" customHeight="1">
      <c r="A74" s="86">
        <v>201800056</v>
      </c>
      <c r="B74" s="74" t="s">
        <v>22</v>
      </c>
      <c r="C74" s="75">
        <v>537031</v>
      </c>
      <c r="D74" s="58">
        <v>43297</v>
      </c>
      <c r="E74" s="59">
        <v>200200</v>
      </c>
      <c r="F74" s="76" t="s">
        <v>16</v>
      </c>
      <c r="G74" s="76"/>
      <c r="H74" s="74" t="s">
        <v>10</v>
      </c>
      <c r="I74" s="57" t="s">
        <v>14</v>
      </c>
      <c r="J74" s="65">
        <v>22</v>
      </c>
      <c r="K74" s="57"/>
      <c r="L74" s="81">
        <v>1550</v>
      </c>
      <c r="M74" s="79">
        <v>7.4759999999999993E-2</v>
      </c>
      <c r="N74" s="82">
        <v>39.5</v>
      </c>
      <c r="O74" s="57">
        <f t="shared" si="15"/>
        <v>65</v>
      </c>
      <c r="P74" s="57">
        <f>((J74/2)*(J74/2)*3.14*9*3)/1000</f>
        <v>10.258380000000001</v>
      </c>
      <c r="Q74" s="74">
        <f>+M74*L74</f>
        <v>115.87799999999999</v>
      </c>
      <c r="R74" s="57">
        <f t="shared" si="16"/>
        <v>0.15782123076923077</v>
      </c>
      <c r="S74" s="64">
        <v>244.62290769230771</v>
      </c>
      <c r="T74" s="65"/>
      <c r="U74" s="65"/>
      <c r="V74" s="54" t="str">
        <f>IF(SUMPRODUCT(MAX((#REF!)*((#REF!=#REF!)*(#REF!=#REF!)*(#REF!=#REF!))))&lt;&gt;#REF!,"",SUMPRODUCT((-#REF!+#REF!+#REF!)*((#REF!=#REF!)*(#REF!=#REF!)*(#REF!=#REF!))))</f>
        <v/>
      </c>
      <c r="W74" s="57">
        <f t="shared" si="17"/>
        <v>7.6748381538461544E-2</v>
      </c>
      <c r="X74" s="57">
        <f t="shared" si="18"/>
        <v>118.95999138461539</v>
      </c>
      <c r="Y74" s="57">
        <f t="shared" si="19"/>
        <v>4.0627247524752472E-3</v>
      </c>
      <c r="Z74" s="57">
        <f t="shared" si="20"/>
        <v>6.2972233663366328</v>
      </c>
      <c r="AA74" s="66">
        <f t="shared" si="21"/>
        <v>128.74490769230772</v>
      </c>
    </row>
    <row r="75" spans="1:27" ht="24.95" hidden="1" customHeight="1">
      <c r="A75" s="73">
        <v>201800060</v>
      </c>
      <c r="B75" s="74" t="s">
        <v>22</v>
      </c>
      <c r="C75" s="80">
        <v>537461</v>
      </c>
      <c r="D75" s="58">
        <v>43320</v>
      </c>
      <c r="E75" s="59">
        <v>510020</v>
      </c>
      <c r="F75" s="76" t="s">
        <v>11</v>
      </c>
      <c r="G75" s="83">
        <v>139</v>
      </c>
      <c r="H75" s="74" t="s">
        <v>10</v>
      </c>
      <c r="I75" s="74" t="s">
        <v>13</v>
      </c>
      <c r="J75" s="77">
        <v>8</v>
      </c>
      <c r="K75" s="77"/>
      <c r="L75" s="80">
        <v>1000</v>
      </c>
      <c r="M75" s="79">
        <v>1.446E-3</v>
      </c>
      <c r="N75" s="57">
        <v>6</v>
      </c>
      <c r="O75" s="57">
        <f t="shared" si="15"/>
        <v>311</v>
      </c>
      <c r="P75" s="57">
        <f>((J75*J75)*0.866*9*3)/1000</f>
        <v>1.4964479999999998</v>
      </c>
      <c r="Q75" s="74">
        <f>+L75*M75</f>
        <v>1.446</v>
      </c>
      <c r="R75" s="57">
        <f t="shared" si="16"/>
        <v>4.8117299035369768E-3</v>
      </c>
      <c r="S75" s="64">
        <v>4.8117299035369765</v>
      </c>
      <c r="T75" s="65"/>
      <c r="U75" s="65"/>
      <c r="V75" s="54" t="str">
        <f>IF(SUMPRODUCT(MAX((#REF!)*((#REF!=#REF!)*(#REF!=#REF!)*(#REF!=#REF!))))&lt;&gt;#REF!,"",SUMPRODUCT((-#REF!+#REF!+#REF!)*((#REF!=#REF!)*(#REF!=#REF!)*(#REF!=#REF!))))</f>
        <v/>
      </c>
      <c r="W75" s="57">
        <f t="shared" si="17"/>
        <v>3.1732607073954979E-3</v>
      </c>
      <c r="X75" s="57">
        <f t="shared" si="18"/>
        <v>3.1732607073954977</v>
      </c>
      <c r="Y75" s="57">
        <f t="shared" si="19"/>
        <v>5.9265267326732659E-4</v>
      </c>
      <c r="Z75" s="57">
        <f t="shared" si="20"/>
        <v>0.59265267326732662</v>
      </c>
      <c r="AA75" s="66">
        <f t="shared" si="21"/>
        <v>3.3657299035369768</v>
      </c>
    </row>
    <row r="76" spans="1:27" ht="24.95" hidden="1" customHeight="1">
      <c r="A76" s="73">
        <v>201800060</v>
      </c>
      <c r="B76" s="74" t="s">
        <v>22</v>
      </c>
      <c r="C76" s="75">
        <v>537461</v>
      </c>
      <c r="D76" s="58">
        <v>43320</v>
      </c>
      <c r="E76" s="59">
        <v>511040</v>
      </c>
      <c r="F76" s="76" t="s">
        <v>12</v>
      </c>
      <c r="G76" s="83">
        <v>138</v>
      </c>
      <c r="H76" s="74" t="s">
        <v>10</v>
      </c>
      <c r="I76" s="57" t="s">
        <v>14</v>
      </c>
      <c r="J76" s="75">
        <v>18</v>
      </c>
      <c r="K76" s="57"/>
      <c r="L76" s="78">
        <v>5000</v>
      </c>
      <c r="M76" s="79">
        <v>3.676E-3</v>
      </c>
      <c r="N76" s="57">
        <v>10.3</v>
      </c>
      <c r="O76" s="57">
        <f t="shared" si="15"/>
        <v>210</v>
      </c>
      <c r="P76" s="57">
        <f>((J76/2)*(J76/2)*3.14*9*3)/1000</f>
        <v>6.8671800000000003</v>
      </c>
      <c r="Q76" s="74">
        <f>+M76*L76</f>
        <v>18.38</v>
      </c>
      <c r="R76" s="57">
        <f t="shared" si="16"/>
        <v>3.2700857142857143E-2</v>
      </c>
      <c r="S76" s="64">
        <v>163.50428571428571</v>
      </c>
      <c r="T76" s="65"/>
      <c r="U76" s="65"/>
      <c r="V76" s="54" t="str">
        <f>IF(SUMPRODUCT(MAX((#REF!)*((#REF!=#REF!)*(#REF!=#REF!)*(#REF!=#REF!))))&lt;&gt;#REF!,"",SUMPRODUCT((-#REF!+#REF!+#REF!)*((#REF!=#REF!)*(#REF!=#REF!)*(#REF!=#REF!))))</f>
        <v/>
      </c>
      <c r="W76" s="57">
        <f t="shared" si="17"/>
        <v>2.7716822857142855E-2</v>
      </c>
      <c r="X76" s="57">
        <f t="shared" si="18"/>
        <v>138.58411428571426</v>
      </c>
      <c r="Y76" s="57">
        <f t="shared" si="19"/>
        <v>2.719675247524752E-3</v>
      </c>
      <c r="Z76" s="57">
        <f t="shared" si="20"/>
        <v>13.598376237623759</v>
      </c>
      <c r="AA76" s="66">
        <f t="shared" si="21"/>
        <v>145.12428571428572</v>
      </c>
    </row>
    <row r="77" spans="1:27" ht="24.95" hidden="1" customHeight="1">
      <c r="A77" s="73">
        <v>201800073</v>
      </c>
      <c r="B77" s="74" t="s">
        <v>22</v>
      </c>
      <c r="C77" s="80">
        <v>537851</v>
      </c>
      <c r="D77" s="58">
        <v>43350</v>
      </c>
      <c r="E77" s="59">
        <v>510020</v>
      </c>
      <c r="F77" s="76" t="s">
        <v>11</v>
      </c>
      <c r="G77" s="83">
        <v>139</v>
      </c>
      <c r="H77" s="74" t="s">
        <v>10</v>
      </c>
      <c r="I77" s="74" t="s">
        <v>13</v>
      </c>
      <c r="J77" s="77">
        <v>8</v>
      </c>
      <c r="K77" s="77"/>
      <c r="L77" s="80">
        <v>20000</v>
      </c>
      <c r="M77" s="79">
        <v>1.446E-3</v>
      </c>
      <c r="N77" s="57">
        <v>6</v>
      </c>
      <c r="O77" s="57">
        <f t="shared" si="15"/>
        <v>311</v>
      </c>
      <c r="P77" s="57">
        <f>((J77*J77)*0.866*9*3)/1000</f>
        <v>1.4964479999999998</v>
      </c>
      <c r="Q77" s="74">
        <f>+L77*M77</f>
        <v>28.92</v>
      </c>
      <c r="R77" s="57">
        <f t="shared" si="16"/>
        <v>4.8117299035369768E-3</v>
      </c>
      <c r="S77" s="64">
        <v>96.234598070739537</v>
      </c>
      <c r="T77" s="65"/>
      <c r="U77" s="65"/>
      <c r="V77" s="54" t="str">
        <f>IF(SUMPRODUCT(MAX((#REF!)*((#REF!=#REF!)*(#REF!=#REF!)*(#REF!=#REF!))))&lt;&gt;#REF!,"",SUMPRODUCT((-#REF!+#REF!+#REF!)*((#REF!=#REF!)*(#REF!=#REF!)*(#REF!=#REF!))))</f>
        <v/>
      </c>
      <c r="W77" s="57">
        <f t="shared" si="17"/>
        <v>3.1732607073954979E-3</v>
      </c>
      <c r="X77" s="57">
        <f t="shared" si="18"/>
        <v>63.465214147909954</v>
      </c>
      <c r="Y77" s="57">
        <f t="shared" si="19"/>
        <v>5.9265267326732659E-4</v>
      </c>
      <c r="Z77" s="57">
        <f t="shared" si="20"/>
        <v>11.853053465346532</v>
      </c>
      <c r="AA77" s="66">
        <f t="shared" si="21"/>
        <v>67.314598070739535</v>
      </c>
    </row>
    <row r="78" spans="1:27" ht="24.95" hidden="1" customHeight="1">
      <c r="A78" s="73">
        <v>201800084</v>
      </c>
      <c r="B78" s="74" t="s">
        <v>22</v>
      </c>
      <c r="C78" s="87">
        <v>539092</v>
      </c>
      <c r="D78" s="58">
        <v>43411</v>
      </c>
      <c r="E78" s="59">
        <v>510020</v>
      </c>
      <c r="F78" s="76" t="s">
        <v>11</v>
      </c>
      <c r="G78" s="83">
        <v>139</v>
      </c>
      <c r="H78" s="74" t="s">
        <v>10</v>
      </c>
      <c r="I78" s="74" t="s">
        <v>13</v>
      </c>
      <c r="J78" s="77">
        <v>8</v>
      </c>
      <c r="K78" s="77"/>
      <c r="L78" s="80">
        <v>20000</v>
      </c>
      <c r="M78" s="79">
        <v>1.446E-3</v>
      </c>
      <c r="N78" s="57">
        <v>6</v>
      </c>
      <c r="O78" s="57">
        <f t="shared" si="15"/>
        <v>311</v>
      </c>
      <c r="P78" s="57">
        <f>((J78*J78)*0.866*9*3)/1000</f>
        <v>1.4964479999999998</v>
      </c>
      <c r="Q78" s="74">
        <f>+L78*M78</f>
        <v>28.92</v>
      </c>
      <c r="R78" s="57">
        <f t="shared" si="16"/>
        <v>4.8117299035369768E-3</v>
      </c>
      <c r="S78" s="64">
        <v>96.234598070739537</v>
      </c>
      <c r="T78" s="65"/>
      <c r="U78" s="65"/>
      <c r="V78" s="54" t="str">
        <f>IF(SUMPRODUCT(MAX((#REF!)*((#REF!=#REF!)*(#REF!=#REF!)*(#REF!=#REF!))))&lt;&gt;#REF!,"",SUMPRODUCT((-#REF!+#REF!+#REF!)*((#REF!=#REF!)*(#REF!=#REF!)*(#REF!=#REF!))))</f>
        <v/>
      </c>
      <c r="W78" s="57">
        <f t="shared" si="17"/>
        <v>3.1732607073954979E-3</v>
      </c>
      <c r="X78" s="57">
        <f t="shared" si="18"/>
        <v>63.465214147909954</v>
      </c>
      <c r="Y78" s="57">
        <f t="shared" si="19"/>
        <v>5.9265267326732659E-4</v>
      </c>
      <c r="Z78" s="57">
        <f t="shared" si="20"/>
        <v>11.853053465346532</v>
      </c>
      <c r="AA78" s="66">
        <f t="shared" si="21"/>
        <v>67.314598070739535</v>
      </c>
    </row>
    <row r="79" spans="1:27" ht="24.95" hidden="1" customHeight="1">
      <c r="A79" s="73">
        <v>201800084</v>
      </c>
      <c r="B79" s="74" t="s">
        <v>22</v>
      </c>
      <c r="C79" s="75">
        <v>539092</v>
      </c>
      <c r="D79" s="58">
        <v>43411</v>
      </c>
      <c r="E79" s="59">
        <v>512800</v>
      </c>
      <c r="F79" s="76" t="s">
        <v>17</v>
      </c>
      <c r="G79" s="74"/>
      <c r="H79" s="74" t="s">
        <v>10</v>
      </c>
      <c r="I79" s="57" t="s">
        <v>14</v>
      </c>
      <c r="J79" s="77">
        <v>7</v>
      </c>
      <c r="K79" s="57"/>
      <c r="L79" s="78">
        <v>6109</v>
      </c>
      <c r="M79" s="79">
        <v>3.421E-3</v>
      </c>
      <c r="N79" s="57">
        <v>24.5</v>
      </c>
      <c r="O79" s="57">
        <f t="shared" si="15"/>
        <v>101</v>
      </c>
      <c r="P79" s="57">
        <f>((J79/2)*(J79/2)*3.14*9*3)/1000</f>
        <v>1.0385550000000003</v>
      </c>
      <c r="Q79" s="74">
        <f>+M79*L79</f>
        <v>20.898889</v>
      </c>
      <c r="R79" s="57">
        <f t="shared" si="16"/>
        <v>1.0282722772277231E-2</v>
      </c>
      <c r="S79" s="64">
        <v>62.817153415841602</v>
      </c>
      <c r="T79" s="65"/>
      <c r="U79" s="65"/>
      <c r="V79" s="54" t="str">
        <f>IF(SUMPRODUCT(MAX((#REF!)*((#REF!=#REF!)*(#REF!=#REF!)*(#REF!=#REF!))))&lt;&gt;#REF!,"",SUMPRODUCT((-#REF!+#REF!+#REF!)*((#REF!=#REF!)*(#REF!=#REF!)*(#REF!=#REF!))))</f>
        <v/>
      </c>
      <c r="W79" s="57">
        <f t="shared" si="17"/>
        <v>6.4504138613861416E-3</v>
      </c>
      <c r="X79" s="57">
        <f t="shared" si="18"/>
        <v>39.405578279207937</v>
      </c>
      <c r="Y79" s="57">
        <f t="shared" si="19"/>
        <v>4.1130891089108927E-4</v>
      </c>
      <c r="Z79" s="57">
        <f t="shared" si="20"/>
        <v>2.5126861366336644</v>
      </c>
      <c r="AA79" s="66">
        <f t="shared" si="21"/>
        <v>41.918264415841605</v>
      </c>
    </row>
    <row r="80" spans="1:27" ht="24.95" hidden="1" customHeight="1">
      <c r="A80" s="86">
        <v>201800081</v>
      </c>
      <c r="B80" s="74" t="s">
        <v>22</v>
      </c>
      <c r="C80" s="75">
        <v>539116</v>
      </c>
      <c r="D80" s="58">
        <v>43412</v>
      </c>
      <c r="E80" s="59">
        <v>200200</v>
      </c>
      <c r="F80" s="76" t="s">
        <v>16</v>
      </c>
      <c r="G80" s="76"/>
      <c r="H80" s="74" t="s">
        <v>10</v>
      </c>
      <c r="I80" s="57" t="s">
        <v>14</v>
      </c>
      <c r="J80" s="65">
        <v>22</v>
      </c>
      <c r="K80" s="57"/>
      <c r="L80" s="81">
        <v>1700</v>
      </c>
      <c r="M80" s="79">
        <v>7.4759999999999993E-2</v>
      </c>
      <c r="N80" s="82">
        <v>39.5</v>
      </c>
      <c r="O80" s="57">
        <f t="shared" si="15"/>
        <v>65</v>
      </c>
      <c r="P80" s="57">
        <f>((J80/2)*(J80/2)*3.14*9*3)/1000</f>
        <v>10.258380000000001</v>
      </c>
      <c r="Q80" s="74">
        <f>+M80*L80</f>
        <v>127.09199999999998</v>
      </c>
      <c r="R80" s="57">
        <f t="shared" si="16"/>
        <v>0.15782123076923077</v>
      </c>
      <c r="S80" s="64">
        <v>268.29609230769233</v>
      </c>
      <c r="T80" s="65"/>
      <c r="U80" s="65"/>
      <c r="V80" s="54" t="str">
        <f>IF(SUMPRODUCT(MAX((#REF!)*((#REF!=#REF!)*(#REF!=#REF!)*(#REF!=#REF!))))&lt;&gt;#REF!,"",SUMPRODUCT((-#REF!+#REF!+#REF!)*((#REF!=#REF!)*(#REF!=#REF!)*(#REF!=#REF!))))</f>
        <v/>
      </c>
      <c r="W80" s="57">
        <f t="shared" si="17"/>
        <v>7.6748381538461544E-2</v>
      </c>
      <c r="X80" s="57">
        <f t="shared" si="18"/>
        <v>130.47224861538461</v>
      </c>
      <c r="Y80" s="57">
        <f t="shared" si="19"/>
        <v>4.0627247524752472E-3</v>
      </c>
      <c r="Z80" s="57">
        <f t="shared" si="20"/>
        <v>6.9066320792079203</v>
      </c>
      <c r="AA80" s="66">
        <f t="shared" si="21"/>
        <v>141.20409230769235</v>
      </c>
    </row>
    <row r="81" spans="1:27" ht="24.95" hidden="1" customHeight="1">
      <c r="A81" s="55"/>
      <c r="B81" s="69" t="s">
        <v>23</v>
      </c>
      <c r="C81" s="57"/>
      <c r="D81" s="58">
        <v>43416</v>
      </c>
      <c r="E81" s="59"/>
      <c r="F81" s="57"/>
      <c r="G81" s="57"/>
      <c r="H81" s="70" t="s">
        <v>10</v>
      </c>
      <c r="I81" s="69" t="s">
        <v>14</v>
      </c>
      <c r="J81" s="71">
        <v>7</v>
      </c>
      <c r="K81" s="57"/>
      <c r="L81" s="57"/>
      <c r="M81" s="57"/>
      <c r="N81" s="57"/>
      <c r="O81" s="63"/>
      <c r="P81" s="57"/>
      <c r="Q81" s="57"/>
      <c r="R81" s="57"/>
      <c r="S81" s="64">
        <v>0</v>
      </c>
      <c r="T81" s="72">
        <v>150</v>
      </c>
      <c r="U81" s="72"/>
      <c r="V81" s="54" t="str">
        <f>IF(SUMPRODUCT(MAX((#REF!)*((#REF!=#REF!)*(#REF!=#REF!)*(#REF!=#REF!))))&lt;&gt;#REF!,"",SUMPRODUCT((-#REF!+#REF!+#REF!)*((#REF!=#REF!)*(#REF!=#REF!)*(#REF!=#REF!))))</f>
        <v/>
      </c>
      <c r="W81" s="57"/>
      <c r="X81" s="57"/>
      <c r="Y81" s="57"/>
      <c r="Z81" s="57"/>
      <c r="AA81" s="66"/>
    </row>
    <row r="82" spans="1:27" ht="24.95" hidden="1" customHeight="1">
      <c r="A82" s="55"/>
      <c r="B82" s="69" t="s">
        <v>23</v>
      </c>
      <c r="C82" s="57"/>
      <c r="D82" s="58">
        <v>43416</v>
      </c>
      <c r="E82" s="59"/>
      <c r="F82" s="57"/>
      <c r="G82" s="57"/>
      <c r="H82" s="70" t="s">
        <v>10</v>
      </c>
      <c r="I82" s="69" t="s">
        <v>13</v>
      </c>
      <c r="J82" s="71">
        <v>8</v>
      </c>
      <c r="K82" s="57"/>
      <c r="L82" s="57"/>
      <c r="M82" s="57"/>
      <c r="N82" s="57"/>
      <c r="O82" s="63"/>
      <c r="P82" s="57"/>
      <c r="Q82" s="57"/>
      <c r="R82" s="57"/>
      <c r="S82" s="64">
        <v>0</v>
      </c>
      <c r="T82" s="72">
        <v>200</v>
      </c>
      <c r="U82" s="72"/>
      <c r="V82" s="54" t="str">
        <f>IF(SUMPRODUCT(MAX((#REF!)*((#REF!=#REF!)*(#REF!=#REF!)*(#REF!=#REF!))))&lt;&gt;#REF!,"",SUMPRODUCT((-#REF!+#REF!+#REF!)*((#REF!=#REF!)*(#REF!=#REF!)*(#REF!=#REF!))))</f>
        <v/>
      </c>
      <c r="W82" s="57"/>
      <c r="X82" s="57"/>
      <c r="Y82" s="57"/>
      <c r="Z82" s="57"/>
      <c r="AA82" s="66"/>
    </row>
    <row r="83" spans="1:27" ht="24.95" hidden="1" customHeight="1">
      <c r="A83" s="86">
        <v>201800087</v>
      </c>
      <c r="B83" s="74" t="s">
        <v>22</v>
      </c>
      <c r="C83" s="65">
        <v>539596</v>
      </c>
      <c r="D83" s="58">
        <v>43435</v>
      </c>
      <c r="E83" s="59">
        <v>200200</v>
      </c>
      <c r="F83" s="76" t="s">
        <v>16</v>
      </c>
      <c r="G83" s="76"/>
      <c r="H83" s="74" t="s">
        <v>10</v>
      </c>
      <c r="I83" s="57" t="s">
        <v>14</v>
      </c>
      <c r="J83" s="65">
        <v>22</v>
      </c>
      <c r="K83" s="57"/>
      <c r="L83" s="81">
        <v>1450</v>
      </c>
      <c r="M83" s="79">
        <v>7.4759999999999993E-2</v>
      </c>
      <c r="N83" s="82">
        <v>39.5</v>
      </c>
      <c r="O83" s="57">
        <f>INT(2800/(N83+3))</f>
        <v>65</v>
      </c>
      <c r="P83" s="57">
        <f>((J83/2)*(J83/2)*3.14*9*3)/1000</f>
        <v>10.258380000000001</v>
      </c>
      <c r="Q83" s="74">
        <f>+M83*L83</f>
        <v>108.40199999999999</v>
      </c>
      <c r="R83" s="57">
        <f>P83/O83</f>
        <v>0.15782123076923077</v>
      </c>
      <c r="S83" s="64">
        <v>228.84078461538462</v>
      </c>
      <c r="T83" s="65"/>
      <c r="U83" s="65"/>
      <c r="V83" s="54" t="str">
        <f>IF(SUMPRODUCT(MAX((#REF!)*((#REF!=#REF!)*(#REF!=#REF!)*(#REF!=#REF!))))&lt;&gt;#REF!,"",SUMPRODUCT((-#REF!+#REF!+#REF!)*((#REF!=#REF!)*(#REF!=#REF!)*(#REF!=#REF!))))</f>
        <v/>
      </c>
      <c r="W83" s="57">
        <f>(((P83/3000)*2880)-(M83*O83))/O83</f>
        <v>7.6748381538461544E-2</v>
      </c>
      <c r="X83" s="57">
        <f>+W83*L83</f>
        <v>111.28515323076924</v>
      </c>
      <c r="Y83" s="57">
        <f>+((P83/3000)*120)/101</f>
        <v>4.0627247524752472E-3</v>
      </c>
      <c r="Z83" s="57">
        <f>Y83*L83</f>
        <v>5.8909508910891084</v>
      </c>
      <c r="AA83" s="66">
        <f>S83-Q83</f>
        <v>120.43878461538463</v>
      </c>
    </row>
    <row r="84" spans="1:27" ht="24.95" hidden="1" customHeight="1">
      <c r="A84" s="73">
        <v>201800102</v>
      </c>
      <c r="B84" s="74" t="s">
        <v>22</v>
      </c>
      <c r="C84" s="80">
        <v>540304</v>
      </c>
      <c r="D84" s="58">
        <v>43470</v>
      </c>
      <c r="E84" s="59">
        <v>510020</v>
      </c>
      <c r="F84" s="76" t="s">
        <v>11</v>
      </c>
      <c r="G84" s="83">
        <v>139</v>
      </c>
      <c r="H84" s="74" t="s">
        <v>10</v>
      </c>
      <c r="I84" s="74" t="s">
        <v>13</v>
      </c>
      <c r="J84" s="77">
        <v>8</v>
      </c>
      <c r="K84" s="77"/>
      <c r="L84" s="80">
        <v>16772</v>
      </c>
      <c r="M84" s="79">
        <v>1.446E-3</v>
      </c>
      <c r="N84" s="57">
        <v>6</v>
      </c>
      <c r="O84" s="57">
        <f>INT(2800/(N84+3))</f>
        <v>311</v>
      </c>
      <c r="P84" s="57">
        <f>((J84*J84)*0.866*9*3)/1000</f>
        <v>1.4964479999999998</v>
      </c>
      <c r="Q84" s="74">
        <f>+L84*M84</f>
        <v>24.252312</v>
      </c>
      <c r="R84" s="57">
        <f>P84/O84</f>
        <v>4.8117299035369768E-3</v>
      </c>
      <c r="S84" s="64">
        <v>80.702333942122181</v>
      </c>
      <c r="T84" s="65"/>
      <c r="U84" s="65"/>
      <c r="V84" s="54" t="str">
        <f>IF(SUMPRODUCT(MAX((#REF!)*((#REF!=#REF!)*(#REF!=#REF!)*(#REF!=#REF!))))&lt;&gt;#REF!,"",SUMPRODUCT((-#REF!+#REF!+#REF!)*((#REF!=#REF!)*(#REF!=#REF!)*(#REF!=#REF!))))</f>
        <v/>
      </c>
      <c r="W84" s="57">
        <f>(((P84/3000)*2880)-(M84*O84))/O84</f>
        <v>3.1732607073954979E-3</v>
      </c>
      <c r="X84" s="57">
        <f>+W84*L84</f>
        <v>53.221928584437293</v>
      </c>
      <c r="Y84" s="57">
        <f>+((P84/3000)*120)/101</f>
        <v>5.9265267326732659E-4</v>
      </c>
      <c r="Z84" s="57">
        <f>Y84*L84</f>
        <v>9.9399706360396021</v>
      </c>
      <c r="AA84" s="66">
        <f>S84-Q84</f>
        <v>56.450021942122177</v>
      </c>
    </row>
    <row r="85" spans="1:27" ht="24.95" hidden="1" customHeight="1">
      <c r="A85" s="73">
        <v>201800102</v>
      </c>
      <c r="B85" s="74" t="s">
        <v>22</v>
      </c>
      <c r="C85" s="80">
        <v>540304</v>
      </c>
      <c r="D85" s="58">
        <v>43470</v>
      </c>
      <c r="E85" s="59">
        <v>512800</v>
      </c>
      <c r="F85" s="76" t="s">
        <v>17</v>
      </c>
      <c r="G85" s="74"/>
      <c r="H85" s="74" t="s">
        <v>10</v>
      </c>
      <c r="I85" s="57" t="s">
        <v>14</v>
      </c>
      <c r="J85" s="77">
        <v>7</v>
      </c>
      <c r="K85" s="77"/>
      <c r="L85" s="80">
        <v>1000</v>
      </c>
      <c r="M85" s="79">
        <v>3.421E-3</v>
      </c>
      <c r="N85" s="57">
        <v>24.5</v>
      </c>
      <c r="O85" s="57">
        <f>INT(2800/(N85+3))</f>
        <v>101</v>
      </c>
      <c r="P85" s="57">
        <f>((J85/2)*(J85/2)*3.14*9*3)/1000</f>
        <v>1.0385550000000003</v>
      </c>
      <c r="Q85" s="74">
        <f>+M85*L85</f>
        <v>3.4209999999999998</v>
      </c>
      <c r="R85" s="57">
        <f>P85/O85</f>
        <v>1.0282722772277231E-2</v>
      </c>
      <c r="S85" s="64">
        <v>10.28272277227723</v>
      </c>
      <c r="T85" s="65"/>
      <c r="U85" s="65"/>
      <c r="V85" s="54" t="str">
        <f>IF(SUMPRODUCT(MAX((#REF!)*((#REF!=#REF!)*(#REF!=#REF!)*(#REF!=#REF!))))&lt;&gt;#REF!,"",SUMPRODUCT((-#REF!+#REF!+#REF!)*((#REF!=#REF!)*(#REF!=#REF!)*(#REF!=#REF!))))</f>
        <v/>
      </c>
      <c r="W85" s="57">
        <f>(((P85/3000)*2880)-(M85*O85))/O85</f>
        <v>6.4504138613861416E-3</v>
      </c>
      <c r="X85" s="57">
        <f>+W85*L85</f>
        <v>6.4504138613861413</v>
      </c>
      <c r="Y85" s="57">
        <f>+((P85/3000)*120)/101</f>
        <v>4.1130891089108927E-4</v>
      </c>
      <c r="Z85" s="57">
        <f>Y85*L85</f>
        <v>0.41130891089108929</v>
      </c>
      <c r="AA85" s="66">
        <f>S85-Q85</f>
        <v>6.8617227722772309</v>
      </c>
    </row>
    <row r="86" spans="1:27" ht="24.95" hidden="1" customHeight="1">
      <c r="A86" s="86">
        <v>201900001</v>
      </c>
      <c r="B86" s="74" t="s">
        <v>22</v>
      </c>
      <c r="C86" s="65">
        <v>540757</v>
      </c>
      <c r="D86" s="58">
        <v>43491</v>
      </c>
      <c r="E86" s="59">
        <v>200200</v>
      </c>
      <c r="F86" s="76" t="s">
        <v>16</v>
      </c>
      <c r="G86" s="76"/>
      <c r="H86" s="74" t="s">
        <v>10</v>
      </c>
      <c r="I86" s="57" t="s">
        <v>14</v>
      </c>
      <c r="J86" s="65">
        <v>22</v>
      </c>
      <c r="K86" s="57"/>
      <c r="L86" s="81">
        <v>1000</v>
      </c>
      <c r="M86" s="88">
        <v>7.4759999999999993E-2</v>
      </c>
      <c r="N86" s="88">
        <v>39.5</v>
      </c>
      <c r="O86" s="57">
        <f>INT(2800/(N86+3))</f>
        <v>65</v>
      </c>
      <c r="P86" s="57">
        <f>((J86/2)*(J86/2)*3.14*9*3)/1000</f>
        <v>10.258380000000001</v>
      </c>
      <c r="Q86" s="74">
        <f>+M86*L86</f>
        <v>74.759999999999991</v>
      </c>
      <c r="R86" s="57">
        <f>P86/O86</f>
        <v>0.15782123076923077</v>
      </c>
      <c r="S86" s="64">
        <v>157.82123076923077</v>
      </c>
      <c r="T86" s="65"/>
      <c r="U86" s="65"/>
      <c r="V86" s="54" t="str">
        <f>IF(SUMPRODUCT(MAX((#REF!)*((#REF!=#REF!)*(#REF!=#REF!)*(#REF!=#REF!))))&lt;&gt;#REF!,"",SUMPRODUCT((-#REF!+#REF!+#REF!)*((#REF!=#REF!)*(#REF!=#REF!)*(#REF!=#REF!))))</f>
        <v/>
      </c>
      <c r="W86" s="57">
        <f>(((P86/3000)*2880)-(M86*O86))/O86</f>
        <v>7.6748381538461544E-2</v>
      </c>
      <c r="X86" s="57">
        <f>+W86*L86</f>
        <v>76.748381538461544</v>
      </c>
      <c r="Y86" s="57">
        <f>+((P86/3000)*120)/101</f>
        <v>4.0627247524752472E-3</v>
      </c>
      <c r="Z86" s="57">
        <f>Y86*L86</f>
        <v>4.0627247524752477</v>
      </c>
      <c r="AA86" s="66">
        <f>S86-Q86</f>
        <v>83.061230769230775</v>
      </c>
    </row>
    <row r="87" spans="1:27" ht="24.95" hidden="1" customHeight="1">
      <c r="A87" s="73">
        <v>201900004</v>
      </c>
      <c r="B87" s="74" t="s">
        <v>22</v>
      </c>
      <c r="C87" s="80">
        <v>540988</v>
      </c>
      <c r="D87" s="58">
        <v>43502</v>
      </c>
      <c r="E87" s="59">
        <v>510020</v>
      </c>
      <c r="F87" s="76" t="s">
        <v>11</v>
      </c>
      <c r="G87" s="83">
        <v>139</v>
      </c>
      <c r="H87" s="74" t="s">
        <v>10</v>
      </c>
      <c r="I87" s="74" t="s">
        <v>13</v>
      </c>
      <c r="J87" s="77">
        <v>8</v>
      </c>
      <c r="K87" s="77"/>
      <c r="L87" s="80">
        <v>18228</v>
      </c>
      <c r="M87" s="88">
        <v>1.446E-3</v>
      </c>
      <c r="N87" s="88">
        <v>6</v>
      </c>
      <c r="O87" s="57">
        <f>INT(2800/(N87+3))</f>
        <v>311</v>
      </c>
      <c r="P87" s="57">
        <f>((J87*J87)*0.866*9*3)/1000</f>
        <v>1.4964479999999998</v>
      </c>
      <c r="Q87" s="74">
        <f>+L87*M87</f>
        <v>26.357688</v>
      </c>
      <c r="R87" s="57">
        <f>P87/O87</f>
        <v>4.8117299035369768E-3</v>
      </c>
      <c r="S87" s="64">
        <v>87.708212681672009</v>
      </c>
      <c r="T87" s="65"/>
      <c r="U87" s="65"/>
      <c r="V87" s="54" t="str">
        <f>IF(SUMPRODUCT(MAX((#REF!)*((#REF!=#REF!)*(#REF!=#REF!)*(#REF!=#REF!))))&lt;&gt;#REF!,"",SUMPRODUCT((-#REF!+#REF!+#REF!)*((#REF!=#REF!)*(#REF!=#REF!)*(#REF!=#REF!))))</f>
        <v/>
      </c>
      <c r="W87" s="57">
        <f>(((P87/3000)*2880)-(M87*O87))/O87</f>
        <v>3.1732607073954979E-3</v>
      </c>
      <c r="X87" s="57">
        <f>+W87*L87</f>
        <v>57.842196174405139</v>
      </c>
      <c r="Y87" s="57">
        <f>+((P87/3000)*120)/101</f>
        <v>5.9265267326732659E-4</v>
      </c>
      <c r="Z87" s="57">
        <f>Y87*L87</f>
        <v>10.802872928316829</v>
      </c>
      <c r="AA87" s="66">
        <f>S87-Q87</f>
        <v>61.350524681672013</v>
      </c>
    </row>
    <row r="88" spans="1:27" ht="24.95" hidden="1" customHeight="1">
      <c r="A88" s="55"/>
      <c r="B88" s="69" t="s">
        <v>23</v>
      </c>
      <c r="C88" s="57"/>
      <c r="D88" s="58">
        <v>43516</v>
      </c>
      <c r="E88" s="59"/>
      <c r="F88" s="57"/>
      <c r="G88" s="57"/>
      <c r="H88" s="70" t="s">
        <v>10</v>
      </c>
      <c r="I88" s="69" t="s">
        <v>13</v>
      </c>
      <c r="J88" s="71">
        <v>8</v>
      </c>
      <c r="K88" s="57"/>
      <c r="L88" s="57"/>
      <c r="M88" s="57"/>
      <c r="N88" s="57"/>
      <c r="O88" s="63"/>
      <c r="P88" s="57"/>
      <c r="Q88" s="57"/>
      <c r="R88" s="57"/>
      <c r="S88" s="64">
        <v>0</v>
      </c>
      <c r="T88" s="72">
        <v>150</v>
      </c>
      <c r="U88" s="72"/>
      <c r="V88" s="54" t="str">
        <f>IF(SUMPRODUCT(MAX((#REF!)*((#REF!=#REF!)*(#REF!=#REF!)*(#REF!=#REF!))))&lt;&gt;#REF!,"",SUMPRODUCT((-#REF!+#REF!+#REF!)*((#REF!=#REF!)*(#REF!=#REF!)*(#REF!=#REF!))))</f>
        <v/>
      </c>
      <c r="W88" s="57"/>
      <c r="X88" s="57"/>
      <c r="Y88" s="57"/>
      <c r="Z88" s="57"/>
      <c r="AA88" s="66"/>
    </row>
    <row r="89" spans="1:27" ht="24.95" hidden="1" customHeight="1">
      <c r="A89" s="86">
        <v>201900011</v>
      </c>
      <c r="B89" s="74" t="s">
        <v>22</v>
      </c>
      <c r="C89" s="65">
        <v>541530</v>
      </c>
      <c r="D89" s="58">
        <v>43524</v>
      </c>
      <c r="E89" s="59">
        <v>200200</v>
      </c>
      <c r="F89" s="76" t="s">
        <v>16</v>
      </c>
      <c r="G89" s="76"/>
      <c r="H89" s="74" t="s">
        <v>10</v>
      </c>
      <c r="I89" s="57" t="s">
        <v>14</v>
      </c>
      <c r="J89" s="65">
        <v>22</v>
      </c>
      <c r="K89" s="57"/>
      <c r="L89" s="81">
        <v>2800</v>
      </c>
      <c r="M89" s="88">
        <v>7.4759999999999993E-2</v>
      </c>
      <c r="N89" s="88">
        <v>39.5</v>
      </c>
      <c r="O89" s="57">
        <f t="shared" ref="O89:O98" si="22">INT(2800/(N89+3))</f>
        <v>65</v>
      </c>
      <c r="P89" s="57">
        <f>((J89/2)*(J89/2)*3.14*9*3)/1000</f>
        <v>10.258380000000001</v>
      </c>
      <c r="Q89" s="74">
        <f>+M89*L89</f>
        <v>209.32799999999997</v>
      </c>
      <c r="R89" s="57">
        <f t="shared" ref="R89:R98" si="23">P89/O89</f>
        <v>0.15782123076923077</v>
      </c>
      <c r="S89" s="64">
        <v>441.89944615384616</v>
      </c>
      <c r="T89" s="65"/>
      <c r="U89" s="65"/>
      <c r="V89" s="54" t="str">
        <f>IF(SUMPRODUCT(MAX((#REF!)*((#REF!=#REF!)*(#REF!=#REF!)*(#REF!=#REF!))))&lt;&gt;#REF!,"",SUMPRODUCT((-#REF!+#REF!+#REF!)*((#REF!=#REF!)*(#REF!=#REF!)*(#REF!=#REF!))))</f>
        <v/>
      </c>
      <c r="W89" s="57">
        <f t="shared" ref="W89:W98" si="24">(((P89/3000)*2880)-(M89*O89))/O89</f>
        <v>7.6748381538461544E-2</v>
      </c>
      <c r="X89" s="57">
        <f t="shared" ref="X89:X98" si="25">+W89*L89</f>
        <v>214.89546830769231</v>
      </c>
      <c r="Y89" s="57">
        <f t="shared" ref="Y89:Y98" si="26">+((P89/3000)*120)/101</f>
        <v>4.0627247524752472E-3</v>
      </c>
      <c r="Z89" s="57">
        <f t="shared" ref="Z89:Z98" si="27">Y89*L89</f>
        <v>11.375629306930692</v>
      </c>
      <c r="AA89" s="66">
        <f t="shared" ref="AA89:AA98" si="28">S89-Q89</f>
        <v>232.57144615384618</v>
      </c>
    </row>
    <row r="90" spans="1:27" ht="24.95" hidden="1" customHeight="1">
      <c r="A90" s="73">
        <v>201900020</v>
      </c>
      <c r="B90" s="74" t="s">
        <v>22</v>
      </c>
      <c r="C90" s="80">
        <v>541778</v>
      </c>
      <c r="D90" s="58">
        <v>43531</v>
      </c>
      <c r="E90" s="59">
        <v>510020</v>
      </c>
      <c r="F90" s="76" t="s">
        <v>11</v>
      </c>
      <c r="G90" s="83">
        <v>139</v>
      </c>
      <c r="H90" s="74" t="s">
        <v>10</v>
      </c>
      <c r="I90" s="74" t="s">
        <v>13</v>
      </c>
      <c r="J90" s="77">
        <v>8</v>
      </c>
      <c r="K90" s="77"/>
      <c r="L90" s="80">
        <v>12760</v>
      </c>
      <c r="M90" s="79">
        <v>1.446E-3</v>
      </c>
      <c r="N90" s="57">
        <v>6</v>
      </c>
      <c r="O90" s="57">
        <f t="shared" si="22"/>
        <v>311</v>
      </c>
      <c r="P90" s="57">
        <f>((J90*J90)*0.866*9*3)/1000</f>
        <v>1.4964479999999998</v>
      </c>
      <c r="Q90" s="74">
        <f>+L90*M90</f>
        <v>18.450960000000002</v>
      </c>
      <c r="R90" s="57">
        <f t="shared" si="23"/>
        <v>4.8117299035369768E-3</v>
      </c>
      <c r="S90" s="64">
        <v>61.397673569131825</v>
      </c>
      <c r="T90" s="65"/>
      <c r="U90" s="65"/>
      <c r="V90" s="54" t="str">
        <f>IF(SUMPRODUCT(MAX((#REF!)*((#REF!=#REF!)*(#REF!=#REF!)*(#REF!=#REF!))))&lt;&gt;#REF!,"",SUMPRODUCT((-#REF!+#REF!+#REF!)*((#REF!=#REF!)*(#REF!=#REF!)*(#REF!=#REF!))))</f>
        <v/>
      </c>
      <c r="W90" s="57">
        <f t="shared" si="24"/>
        <v>3.1732607073954979E-3</v>
      </c>
      <c r="X90" s="57">
        <f t="shared" si="25"/>
        <v>40.490806626366556</v>
      </c>
      <c r="Y90" s="57">
        <f t="shared" si="26"/>
        <v>5.9265267326732659E-4</v>
      </c>
      <c r="Z90" s="57">
        <f t="shared" si="27"/>
        <v>7.5622481108910877</v>
      </c>
      <c r="AA90" s="66">
        <f t="shared" si="28"/>
        <v>42.946713569131823</v>
      </c>
    </row>
    <row r="91" spans="1:27" ht="24.95" hidden="1" customHeight="1">
      <c r="A91" s="86">
        <v>201900023</v>
      </c>
      <c r="B91" s="74" t="s">
        <v>22</v>
      </c>
      <c r="C91" s="65">
        <v>542331</v>
      </c>
      <c r="D91" s="58">
        <v>43554</v>
      </c>
      <c r="E91" s="59">
        <v>200200</v>
      </c>
      <c r="F91" s="76" t="s">
        <v>16</v>
      </c>
      <c r="G91" s="76"/>
      <c r="H91" s="74" t="s">
        <v>10</v>
      </c>
      <c r="I91" s="57" t="s">
        <v>14</v>
      </c>
      <c r="J91" s="65">
        <v>22</v>
      </c>
      <c r="K91" s="57"/>
      <c r="L91" s="81">
        <v>1000</v>
      </c>
      <c r="M91" s="79">
        <v>7.4759999999999993E-2</v>
      </c>
      <c r="N91" s="82">
        <v>39.5</v>
      </c>
      <c r="O91" s="57">
        <f t="shared" si="22"/>
        <v>65</v>
      </c>
      <c r="P91" s="57">
        <f>((J91/2)*(J91/2)*3.14*9*3)/1000</f>
        <v>10.258380000000001</v>
      </c>
      <c r="Q91" s="74">
        <f>+M91*L91</f>
        <v>74.759999999999991</v>
      </c>
      <c r="R91" s="57">
        <f t="shared" si="23"/>
        <v>0.15782123076923077</v>
      </c>
      <c r="S91" s="64">
        <v>157.82123076923077</v>
      </c>
      <c r="T91" s="65"/>
      <c r="U91" s="65"/>
      <c r="V91" s="54" t="str">
        <f>IF(SUMPRODUCT(MAX((#REF!)*((#REF!=#REF!)*(#REF!=#REF!)*(#REF!=#REF!))))&lt;&gt;#REF!,"",SUMPRODUCT((-#REF!+#REF!+#REF!)*((#REF!=#REF!)*(#REF!=#REF!)*(#REF!=#REF!))))</f>
        <v/>
      </c>
      <c r="W91" s="57">
        <f t="shared" si="24"/>
        <v>7.6748381538461544E-2</v>
      </c>
      <c r="X91" s="57">
        <f t="shared" si="25"/>
        <v>76.748381538461544</v>
      </c>
      <c r="Y91" s="57">
        <f t="shared" si="26"/>
        <v>4.0627247524752472E-3</v>
      </c>
      <c r="Z91" s="57">
        <f t="shared" si="27"/>
        <v>4.0627247524752477</v>
      </c>
      <c r="AA91" s="66">
        <f t="shared" si="28"/>
        <v>83.061230769230775</v>
      </c>
    </row>
    <row r="92" spans="1:27" ht="24.95" hidden="1" customHeight="1">
      <c r="A92" s="73">
        <v>201900026</v>
      </c>
      <c r="B92" s="74" t="s">
        <v>22</v>
      </c>
      <c r="C92" s="80">
        <v>542534</v>
      </c>
      <c r="D92" s="58">
        <v>43563</v>
      </c>
      <c r="E92" s="59">
        <v>510020</v>
      </c>
      <c r="F92" s="76" t="s">
        <v>11</v>
      </c>
      <c r="G92" s="83">
        <v>139</v>
      </c>
      <c r="H92" s="74" t="s">
        <v>10</v>
      </c>
      <c r="I92" s="74" t="s">
        <v>13</v>
      </c>
      <c r="J92" s="77">
        <v>8</v>
      </c>
      <c r="K92" s="77"/>
      <c r="L92" s="80">
        <v>2240</v>
      </c>
      <c r="M92" s="79">
        <v>1.446E-3</v>
      </c>
      <c r="N92" s="57">
        <v>6</v>
      </c>
      <c r="O92" s="57">
        <f t="shared" si="22"/>
        <v>311</v>
      </c>
      <c r="P92" s="57">
        <f>((J92*J92)*0.866*9*3)/1000</f>
        <v>1.4964479999999998</v>
      </c>
      <c r="Q92" s="74">
        <f>+L92*M92</f>
        <v>3.2390400000000001</v>
      </c>
      <c r="R92" s="57">
        <f t="shared" si="23"/>
        <v>4.8117299035369768E-3</v>
      </c>
      <c r="S92" s="64">
        <v>10.778274983922827</v>
      </c>
      <c r="T92" s="65"/>
      <c r="U92" s="65"/>
      <c r="V92" s="54" t="str">
        <f>IF(SUMPRODUCT(MAX((#REF!)*((#REF!=#REF!)*(#REF!=#REF!)*(#REF!=#REF!))))&lt;&gt;#REF!,"",SUMPRODUCT((-#REF!+#REF!+#REF!)*((#REF!=#REF!)*(#REF!=#REF!)*(#REF!=#REF!))))</f>
        <v/>
      </c>
      <c r="W92" s="57">
        <f t="shared" si="24"/>
        <v>3.1732607073954979E-3</v>
      </c>
      <c r="X92" s="57">
        <f t="shared" si="25"/>
        <v>7.1081039845659149</v>
      </c>
      <c r="Y92" s="57">
        <f t="shared" si="26"/>
        <v>5.9265267326732659E-4</v>
      </c>
      <c r="Z92" s="57">
        <f t="shared" si="27"/>
        <v>1.3275419881188115</v>
      </c>
      <c r="AA92" s="66">
        <f t="shared" si="28"/>
        <v>7.5392349839228272</v>
      </c>
    </row>
    <row r="93" spans="1:27" ht="24.95" hidden="1" customHeight="1">
      <c r="A93" s="86">
        <v>201900034</v>
      </c>
      <c r="B93" s="74" t="s">
        <v>22</v>
      </c>
      <c r="C93" s="65">
        <v>543037</v>
      </c>
      <c r="D93" s="58">
        <v>43581</v>
      </c>
      <c r="E93" s="59">
        <v>200200</v>
      </c>
      <c r="F93" s="76" t="s">
        <v>16</v>
      </c>
      <c r="G93" s="76"/>
      <c r="H93" s="74" t="s">
        <v>10</v>
      </c>
      <c r="I93" s="57" t="s">
        <v>14</v>
      </c>
      <c r="J93" s="65">
        <v>22</v>
      </c>
      <c r="K93" s="57"/>
      <c r="L93" s="81">
        <v>1500</v>
      </c>
      <c r="M93" s="79">
        <v>7.4759999999999993E-2</v>
      </c>
      <c r="N93" s="85">
        <v>39.5</v>
      </c>
      <c r="O93" s="57">
        <f t="shared" si="22"/>
        <v>65</v>
      </c>
      <c r="P93" s="57">
        <f>((J93/2)*(J93/2)*3.14*9*3)/1000</f>
        <v>10.258380000000001</v>
      </c>
      <c r="Q93" s="74">
        <f>+M93*L93</f>
        <v>112.13999999999999</v>
      </c>
      <c r="R93" s="57">
        <f t="shared" si="23"/>
        <v>0.15782123076923077</v>
      </c>
      <c r="S93" s="64">
        <v>236.73184615384616</v>
      </c>
      <c r="T93" s="65"/>
      <c r="U93" s="65"/>
      <c r="V93" s="54" t="str">
        <f>IF(SUMPRODUCT(MAX((#REF!)*((#REF!=#REF!)*(#REF!=#REF!)*(#REF!=#REF!))))&lt;&gt;#REF!,"",SUMPRODUCT((-#REF!+#REF!+#REF!)*((#REF!=#REF!)*(#REF!=#REF!)*(#REF!=#REF!))))</f>
        <v/>
      </c>
      <c r="W93" s="57">
        <f t="shared" si="24"/>
        <v>7.6748381538461544E-2</v>
      </c>
      <c r="X93" s="57">
        <f t="shared" si="25"/>
        <v>115.12257230769231</v>
      </c>
      <c r="Y93" s="57">
        <f t="shared" si="26"/>
        <v>4.0627247524752472E-3</v>
      </c>
      <c r="Z93" s="57">
        <f t="shared" si="27"/>
        <v>6.0940871287128706</v>
      </c>
      <c r="AA93" s="66">
        <f t="shared" si="28"/>
        <v>124.59184615384618</v>
      </c>
    </row>
    <row r="94" spans="1:27" ht="24.95" hidden="1" customHeight="1">
      <c r="A94" s="73">
        <v>201900036</v>
      </c>
      <c r="B94" s="74" t="s">
        <v>22</v>
      </c>
      <c r="C94" s="80">
        <v>543264</v>
      </c>
      <c r="D94" s="58">
        <v>43592</v>
      </c>
      <c r="E94" s="59">
        <v>510020</v>
      </c>
      <c r="F94" s="76" t="s">
        <v>11</v>
      </c>
      <c r="G94" s="83">
        <v>139</v>
      </c>
      <c r="H94" s="74" t="s">
        <v>10</v>
      </c>
      <c r="I94" s="74" t="s">
        <v>13</v>
      </c>
      <c r="J94" s="77">
        <v>8</v>
      </c>
      <c r="K94" s="77"/>
      <c r="L94" s="80">
        <v>5000</v>
      </c>
      <c r="M94" s="79">
        <v>1.446E-3</v>
      </c>
      <c r="N94" s="85">
        <v>6</v>
      </c>
      <c r="O94" s="57">
        <f t="shared" si="22"/>
        <v>311</v>
      </c>
      <c r="P94" s="57">
        <f>((J94*J94)*0.866*9*3)/1000</f>
        <v>1.4964479999999998</v>
      </c>
      <c r="Q94" s="74">
        <f>+L94*M94</f>
        <v>7.23</v>
      </c>
      <c r="R94" s="57">
        <f t="shared" si="23"/>
        <v>4.8117299035369768E-3</v>
      </c>
      <c r="S94" s="64">
        <v>24.058649517684884</v>
      </c>
      <c r="T94" s="65"/>
      <c r="U94" s="65"/>
      <c r="V94" s="54" t="str">
        <f>IF(SUMPRODUCT(MAX((#REF!)*((#REF!=#REF!)*(#REF!=#REF!)*(#REF!=#REF!))))&lt;&gt;#REF!,"",SUMPRODUCT((-#REF!+#REF!+#REF!)*((#REF!=#REF!)*(#REF!=#REF!)*(#REF!=#REF!))))</f>
        <v/>
      </c>
      <c r="W94" s="57">
        <f t="shared" si="24"/>
        <v>3.1732607073954979E-3</v>
      </c>
      <c r="X94" s="57">
        <f t="shared" si="25"/>
        <v>15.866303536977489</v>
      </c>
      <c r="Y94" s="57">
        <f t="shared" si="26"/>
        <v>5.9265267326732659E-4</v>
      </c>
      <c r="Z94" s="57">
        <f t="shared" si="27"/>
        <v>2.963263366336633</v>
      </c>
      <c r="AA94" s="66">
        <f t="shared" si="28"/>
        <v>16.828649517684884</v>
      </c>
    </row>
    <row r="95" spans="1:27" ht="24.95" hidden="1" customHeight="1">
      <c r="A95" s="73">
        <v>201900036</v>
      </c>
      <c r="B95" s="74" t="s">
        <v>22</v>
      </c>
      <c r="C95" s="80">
        <v>543264</v>
      </c>
      <c r="D95" s="58">
        <v>43592</v>
      </c>
      <c r="E95" s="59">
        <v>512800</v>
      </c>
      <c r="F95" s="76" t="s">
        <v>17</v>
      </c>
      <c r="G95" s="74"/>
      <c r="H95" s="74" t="s">
        <v>10</v>
      </c>
      <c r="I95" s="57" t="s">
        <v>14</v>
      </c>
      <c r="J95" s="77">
        <v>7</v>
      </c>
      <c r="K95" s="77"/>
      <c r="L95" s="80">
        <v>20000</v>
      </c>
      <c r="M95" s="79">
        <v>3.421E-3</v>
      </c>
      <c r="N95" s="85">
        <v>24.5</v>
      </c>
      <c r="O95" s="57">
        <f t="shared" si="22"/>
        <v>101</v>
      </c>
      <c r="P95" s="57">
        <f>((J95/2)*(J95/2)*3.14*9*3)/1000</f>
        <v>1.0385550000000003</v>
      </c>
      <c r="Q95" s="74">
        <f>+M95*L95</f>
        <v>68.42</v>
      </c>
      <c r="R95" s="57">
        <f t="shared" si="23"/>
        <v>1.0282722772277231E-2</v>
      </c>
      <c r="S95" s="64">
        <v>205.65445544554461</v>
      </c>
      <c r="T95" s="65"/>
      <c r="U95" s="65"/>
      <c r="V95" s="54" t="str">
        <f>IF(SUMPRODUCT(MAX((#REF!)*((#REF!=#REF!)*(#REF!=#REF!)*(#REF!=#REF!))))&lt;&gt;#REF!,"",SUMPRODUCT((-#REF!+#REF!+#REF!)*((#REF!=#REF!)*(#REF!=#REF!)*(#REF!=#REF!))))</f>
        <v/>
      </c>
      <c r="W95" s="57">
        <f t="shared" si="24"/>
        <v>6.4504138613861416E-3</v>
      </c>
      <c r="X95" s="57">
        <f t="shared" si="25"/>
        <v>129.00827722772283</v>
      </c>
      <c r="Y95" s="57">
        <f t="shared" si="26"/>
        <v>4.1130891089108927E-4</v>
      </c>
      <c r="Z95" s="57">
        <f t="shared" si="27"/>
        <v>8.2261782178217846</v>
      </c>
      <c r="AA95" s="66">
        <f t="shared" si="28"/>
        <v>137.2344554455446</v>
      </c>
    </row>
    <row r="96" spans="1:27" ht="24.95" hidden="1" customHeight="1">
      <c r="A96" s="73">
        <v>201900048</v>
      </c>
      <c r="B96" s="74" t="s">
        <v>22</v>
      </c>
      <c r="C96" s="80">
        <v>543893</v>
      </c>
      <c r="D96" s="58">
        <v>43623</v>
      </c>
      <c r="E96" s="59">
        <v>511040</v>
      </c>
      <c r="F96" s="76" t="s">
        <v>12</v>
      </c>
      <c r="G96" s="83">
        <v>138</v>
      </c>
      <c r="H96" s="74" t="s">
        <v>10</v>
      </c>
      <c r="I96" s="57" t="s">
        <v>14</v>
      </c>
      <c r="J96" s="75">
        <v>18</v>
      </c>
      <c r="K96" s="77"/>
      <c r="L96" s="80">
        <v>5000</v>
      </c>
      <c r="M96" s="79">
        <v>3.676E-3</v>
      </c>
      <c r="N96" s="57">
        <v>10.3</v>
      </c>
      <c r="O96" s="57">
        <f t="shared" si="22"/>
        <v>210</v>
      </c>
      <c r="P96" s="57">
        <f>((J96/2)*(J96/2)*3.14*9*3)/1000</f>
        <v>6.8671800000000003</v>
      </c>
      <c r="Q96" s="74">
        <f>+M96*L96</f>
        <v>18.38</v>
      </c>
      <c r="R96" s="57">
        <f t="shared" si="23"/>
        <v>3.2700857142857143E-2</v>
      </c>
      <c r="S96" s="64">
        <v>163.50428571428571</v>
      </c>
      <c r="T96" s="65"/>
      <c r="U96" s="65"/>
      <c r="V96" s="54" t="str">
        <f>IF(SUMPRODUCT(MAX((#REF!)*((#REF!=#REF!)*(#REF!=#REF!)*(#REF!=#REF!))))&lt;&gt;#REF!,"",SUMPRODUCT((-#REF!+#REF!+#REF!)*((#REF!=#REF!)*(#REF!=#REF!)*(#REF!=#REF!))))</f>
        <v/>
      </c>
      <c r="W96" s="57">
        <f t="shared" si="24"/>
        <v>2.7716822857142855E-2</v>
      </c>
      <c r="X96" s="57">
        <f t="shared" si="25"/>
        <v>138.58411428571426</v>
      </c>
      <c r="Y96" s="57">
        <f t="shared" si="26"/>
        <v>2.719675247524752E-3</v>
      </c>
      <c r="Z96" s="57">
        <f t="shared" si="27"/>
        <v>13.598376237623759</v>
      </c>
      <c r="AA96" s="66">
        <f t="shared" si="28"/>
        <v>145.12428571428572</v>
      </c>
    </row>
    <row r="97" spans="1:27" ht="24.95" hidden="1" customHeight="1">
      <c r="A97" s="73">
        <v>201900048</v>
      </c>
      <c r="B97" s="74" t="s">
        <v>22</v>
      </c>
      <c r="C97" s="80">
        <v>543893</v>
      </c>
      <c r="D97" s="58">
        <v>43623</v>
      </c>
      <c r="E97" s="59">
        <v>512800</v>
      </c>
      <c r="F97" s="76" t="s">
        <v>17</v>
      </c>
      <c r="G97" s="74"/>
      <c r="H97" s="74" t="s">
        <v>10</v>
      </c>
      <c r="I97" s="57" t="s">
        <v>14</v>
      </c>
      <c r="J97" s="77">
        <v>7</v>
      </c>
      <c r="K97" s="77"/>
      <c r="L97" s="80">
        <v>6454</v>
      </c>
      <c r="M97" s="79">
        <v>3.421E-3</v>
      </c>
      <c r="N97" s="57">
        <v>24.5</v>
      </c>
      <c r="O97" s="57">
        <f t="shared" si="22"/>
        <v>101</v>
      </c>
      <c r="P97" s="57">
        <f>((J97/2)*(J97/2)*3.14*9*3)/1000</f>
        <v>1.0385550000000003</v>
      </c>
      <c r="Q97" s="74">
        <f>+M97*L97</f>
        <v>22.079134</v>
      </c>
      <c r="R97" s="57">
        <f t="shared" si="23"/>
        <v>1.0282722772277231E-2</v>
      </c>
      <c r="S97" s="64">
        <v>66.364692772277252</v>
      </c>
      <c r="T97" s="65"/>
      <c r="U97" s="65"/>
      <c r="V97" s="54" t="str">
        <f>IF(SUMPRODUCT(MAX((#REF!)*((#REF!=#REF!)*(#REF!=#REF!)*(#REF!=#REF!))))&lt;&gt;#REF!,"",SUMPRODUCT((-#REF!+#REF!+#REF!)*((#REF!=#REF!)*(#REF!=#REF!)*(#REF!=#REF!))))</f>
        <v/>
      </c>
      <c r="W97" s="57">
        <f t="shared" si="24"/>
        <v>6.4504138613861416E-3</v>
      </c>
      <c r="X97" s="57">
        <f t="shared" si="25"/>
        <v>41.630971061386155</v>
      </c>
      <c r="Y97" s="57">
        <f t="shared" si="26"/>
        <v>4.1130891089108927E-4</v>
      </c>
      <c r="Z97" s="57">
        <f t="shared" si="27"/>
        <v>2.6545877108910902</v>
      </c>
      <c r="AA97" s="66">
        <f t="shared" si="28"/>
        <v>44.285558772277255</v>
      </c>
    </row>
    <row r="98" spans="1:27" ht="24.95" hidden="1" customHeight="1">
      <c r="A98" s="73">
        <v>201900070</v>
      </c>
      <c r="B98" s="74" t="s">
        <v>22</v>
      </c>
      <c r="C98" s="80">
        <v>545440</v>
      </c>
      <c r="D98" s="58">
        <v>43685</v>
      </c>
      <c r="E98" s="59">
        <v>510020</v>
      </c>
      <c r="F98" s="76" t="s">
        <v>11</v>
      </c>
      <c r="G98" s="83">
        <v>139</v>
      </c>
      <c r="H98" s="74" t="s">
        <v>10</v>
      </c>
      <c r="I98" s="74" t="s">
        <v>13</v>
      </c>
      <c r="J98" s="77">
        <v>8</v>
      </c>
      <c r="K98" s="77"/>
      <c r="L98" s="80">
        <v>20000</v>
      </c>
      <c r="M98" s="79">
        <v>1.446E-3</v>
      </c>
      <c r="N98" s="57">
        <v>6</v>
      </c>
      <c r="O98" s="57">
        <f t="shared" si="22"/>
        <v>311</v>
      </c>
      <c r="P98" s="57">
        <f>((J98*J98)*0.866*9*3)/1000</f>
        <v>1.4964479999999998</v>
      </c>
      <c r="Q98" s="74">
        <f>+L98*M98</f>
        <v>28.92</v>
      </c>
      <c r="R98" s="57">
        <f t="shared" si="23"/>
        <v>4.8117299035369768E-3</v>
      </c>
      <c r="S98" s="64">
        <v>96.234598070739537</v>
      </c>
      <c r="T98" s="65"/>
      <c r="U98" s="65"/>
      <c r="V98" s="54" t="str">
        <f>IF(SUMPRODUCT(MAX((#REF!)*((#REF!=#REF!)*(#REF!=#REF!)*(#REF!=#REF!))))&lt;&gt;#REF!,"",SUMPRODUCT((-#REF!+#REF!+#REF!)*((#REF!=#REF!)*(#REF!=#REF!)*(#REF!=#REF!))))</f>
        <v/>
      </c>
      <c r="W98" s="57">
        <f t="shared" si="24"/>
        <v>3.1732607073954979E-3</v>
      </c>
      <c r="X98" s="57">
        <f t="shared" si="25"/>
        <v>63.465214147909954</v>
      </c>
      <c r="Y98" s="57">
        <f t="shared" si="26"/>
        <v>5.9265267326732659E-4</v>
      </c>
      <c r="Z98" s="57">
        <f t="shared" si="27"/>
        <v>11.853053465346532</v>
      </c>
      <c r="AA98" s="66">
        <f t="shared" si="28"/>
        <v>67.314598070739535</v>
      </c>
    </row>
    <row r="99" spans="1:27" ht="24.95" hidden="1" customHeight="1">
      <c r="A99" s="55"/>
      <c r="B99" s="69" t="s">
        <v>23</v>
      </c>
      <c r="C99" s="57"/>
      <c r="D99" s="58">
        <v>43696</v>
      </c>
      <c r="E99" s="59"/>
      <c r="F99" s="57"/>
      <c r="G99" s="57"/>
      <c r="H99" s="70" t="s">
        <v>10</v>
      </c>
      <c r="I99" s="60" t="s">
        <v>14</v>
      </c>
      <c r="J99" s="89">
        <v>22</v>
      </c>
      <c r="K99" s="57"/>
      <c r="L99" s="68"/>
      <c r="M99" s="57"/>
      <c r="N99" s="57"/>
      <c r="O99" s="63"/>
      <c r="P99" s="57"/>
      <c r="Q99" s="57"/>
      <c r="R99" s="57"/>
      <c r="S99" s="64">
        <v>0</v>
      </c>
      <c r="T99" s="72">
        <v>3060</v>
      </c>
      <c r="U99" s="72"/>
      <c r="V99" s="54" t="str">
        <f>IF(SUMPRODUCT(MAX((#REF!)*((#REF!=#REF!)*(#REF!=#REF!)*(#REF!=#REF!))))&lt;&gt;#REF!,"",SUMPRODUCT((-#REF!+#REF!+#REF!)*((#REF!=#REF!)*(#REF!=#REF!)*(#REF!=#REF!))))</f>
        <v/>
      </c>
      <c r="W99" s="57"/>
      <c r="X99" s="57"/>
      <c r="Y99" s="57"/>
      <c r="Z99" s="57"/>
      <c r="AA99" s="66"/>
    </row>
    <row r="100" spans="1:27" ht="24.95" hidden="1" customHeight="1">
      <c r="A100" s="55"/>
      <c r="B100" s="69" t="s">
        <v>23</v>
      </c>
      <c r="C100" s="57"/>
      <c r="D100" s="58">
        <v>43696</v>
      </c>
      <c r="E100" s="59"/>
      <c r="F100" s="57"/>
      <c r="G100" s="57"/>
      <c r="H100" s="70" t="s">
        <v>10</v>
      </c>
      <c r="I100" s="60" t="s">
        <v>14</v>
      </c>
      <c r="J100" s="89">
        <v>18</v>
      </c>
      <c r="K100" s="57"/>
      <c r="L100" s="57"/>
      <c r="M100" s="57"/>
      <c r="N100" s="57"/>
      <c r="O100" s="63"/>
      <c r="P100" s="57"/>
      <c r="Q100" s="57"/>
      <c r="R100" s="57"/>
      <c r="S100" s="64">
        <v>0</v>
      </c>
      <c r="T100" s="72">
        <v>412</v>
      </c>
      <c r="U100" s="72"/>
      <c r="V100" s="54">
        <f>IF(SUMPRODUCT(MAX((#REF!)*((#REF!=#REF!)*(#REF!=#REF!)*(#REF!=#REF!))))&lt;&gt;#REF!,"",SUMPRODUCT((-#REF!+#REF!+#REF!)*((#REF!=#REF!)*(#REF!=#REF!)*(#REF!=#REF!))))</f>
        <v>444.3615871428571</v>
      </c>
      <c r="W100" s="57"/>
      <c r="X100" s="57"/>
      <c r="Y100" s="57"/>
      <c r="Z100" s="57"/>
      <c r="AA100" s="66"/>
    </row>
    <row r="101" spans="1:27" ht="24.95" hidden="1" customHeight="1">
      <c r="A101" s="55"/>
      <c r="B101" s="69" t="s">
        <v>23</v>
      </c>
      <c r="C101" s="57"/>
      <c r="D101" s="58">
        <v>43696</v>
      </c>
      <c r="E101" s="59"/>
      <c r="F101" s="57"/>
      <c r="G101" s="57"/>
      <c r="H101" s="70" t="s">
        <v>10</v>
      </c>
      <c r="I101" s="60" t="s">
        <v>14</v>
      </c>
      <c r="J101" s="89">
        <v>6</v>
      </c>
      <c r="K101" s="57"/>
      <c r="L101" s="57"/>
      <c r="M101" s="57"/>
      <c r="N101" s="57"/>
      <c r="O101" s="63"/>
      <c r="P101" s="57"/>
      <c r="Q101" s="57"/>
      <c r="R101" s="57"/>
      <c r="S101" s="64">
        <v>0</v>
      </c>
      <c r="T101" s="72">
        <v>621</v>
      </c>
      <c r="U101" s="72"/>
      <c r="V101" s="54">
        <f>IF(SUMPRODUCT(MAX((#REF!)*((#REF!=#REF!)*(#REF!=#REF!)*(#REF!=#REF!))))&lt;&gt;#REF!,"",SUMPRODUCT((-#REF!+#REF!+#REF!)*((#REF!=#REF!)*(#REF!=#REF!)*(#REF!=#REF!))))</f>
        <v>669.11400000000003</v>
      </c>
      <c r="W101" s="57"/>
      <c r="X101" s="57"/>
      <c r="Y101" s="57"/>
      <c r="Z101" s="57"/>
      <c r="AA101" s="66"/>
    </row>
    <row r="102" spans="1:27" ht="24.95" customHeight="1">
      <c r="A102" s="55"/>
      <c r="B102" s="69" t="s">
        <v>23</v>
      </c>
      <c r="C102" s="57"/>
      <c r="D102" s="58">
        <v>43696</v>
      </c>
      <c r="E102" s="59"/>
      <c r="F102" s="57"/>
      <c r="G102" s="57"/>
      <c r="H102" s="70" t="s">
        <v>10</v>
      </c>
      <c r="I102" s="60" t="s">
        <v>14</v>
      </c>
      <c r="J102" s="89">
        <v>8</v>
      </c>
      <c r="K102" s="57"/>
      <c r="L102" s="57"/>
      <c r="M102" s="57"/>
      <c r="N102" s="57"/>
      <c r="O102" s="63"/>
      <c r="P102" s="57"/>
      <c r="Q102" s="57"/>
      <c r="R102" s="57"/>
      <c r="S102" s="64">
        <v>0</v>
      </c>
      <c r="T102" s="72">
        <v>1031</v>
      </c>
      <c r="U102" s="72"/>
      <c r="V102" s="54" t="str">
        <f>IF(SUMPRODUCT(MAX((#REF!)*((#REF!=#REF!)*(#REF!=#REF!)*(#REF!=#REF!))))&lt;&gt;#REF!,"",SUMPRODUCT((-#REF!+#REF!+#REF!)*((#REF!=#REF!)*(#REF!=#REF!)*(#REF!=#REF!))))</f>
        <v/>
      </c>
      <c r="W102" s="57"/>
      <c r="X102" s="57"/>
      <c r="Y102" s="57"/>
      <c r="Z102" s="57"/>
      <c r="AA102" s="66"/>
    </row>
    <row r="103" spans="1:27" ht="24.95" hidden="1" customHeight="1">
      <c r="A103" s="55"/>
      <c r="B103" s="69" t="s">
        <v>23</v>
      </c>
      <c r="C103" s="57"/>
      <c r="D103" s="58">
        <v>43696</v>
      </c>
      <c r="E103" s="59"/>
      <c r="F103" s="57"/>
      <c r="G103" s="57"/>
      <c r="H103" s="70" t="s">
        <v>10</v>
      </c>
      <c r="I103" s="60" t="s">
        <v>27</v>
      </c>
      <c r="J103" s="89" t="s">
        <v>24</v>
      </c>
      <c r="K103" s="57"/>
      <c r="L103" s="57"/>
      <c r="M103" s="57"/>
      <c r="N103" s="57"/>
      <c r="O103" s="63"/>
      <c r="P103" s="57"/>
      <c r="Q103" s="57"/>
      <c r="R103" s="57"/>
      <c r="S103" s="64">
        <v>0</v>
      </c>
      <c r="T103" s="72">
        <v>709</v>
      </c>
      <c r="U103" s="72"/>
      <c r="V103" s="54">
        <f>IF(SUMPRODUCT(MAX((#REF!)*((#REF!=#REF!)*(#REF!=#REF!)*(#REF!=#REF!))))&lt;&gt;#REF!,"",SUMPRODUCT((-#REF!+#REF!+#REF!)*((#REF!=#REF!)*(#REF!=#REF!)*(#REF!=#REF!))))</f>
        <v>709</v>
      </c>
      <c r="W103" s="57"/>
      <c r="X103" s="57"/>
      <c r="Y103" s="57"/>
      <c r="Z103" s="57"/>
      <c r="AA103" s="66"/>
    </row>
    <row r="104" spans="1:27" ht="24.95" hidden="1" customHeight="1">
      <c r="A104" s="73">
        <v>201900075</v>
      </c>
      <c r="B104" s="74" t="s">
        <v>22</v>
      </c>
      <c r="C104" s="80">
        <v>545813</v>
      </c>
      <c r="D104" s="58">
        <v>43715</v>
      </c>
      <c r="E104" s="59">
        <v>512800</v>
      </c>
      <c r="F104" s="76" t="s">
        <v>17</v>
      </c>
      <c r="G104" s="74"/>
      <c r="H104" s="74" t="s">
        <v>10</v>
      </c>
      <c r="I104" s="57" t="s">
        <v>14</v>
      </c>
      <c r="J104" s="77">
        <v>7</v>
      </c>
      <c r="K104" s="77"/>
      <c r="L104" s="80">
        <v>3568</v>
      </c>
      <c r="M104" s="79">
        <v>3.421E-3</v>
      </c>
      <c r="N104" s="57">
        <v>24.5</v>
      </c>
      <c r="O104" s="57">
        <f>INT(2800/(N104+3))</f>
        <v>101</v>
      </c>
      <c r="P104" s="57">
        <f>((J104/2)*(J104/2)*3.14*9*3)/1000</f>
        <v>1.0385550000000003</v>
      </c>
      <c r="Q104" s="74">
        <f>+M104*L104</f>
        <v>12.206128</v>
      </c>
      <c r="R104" s="57">
        <f>P104/O104</f>
        <v>1.0282722772277231E-2</v>
      </c>
      <c r="S104" s="64">
        <v>36.688754851485157</v>
      </c>
      <c r="T104" s="65"/>
      <c r="U104" s="65"/>
      <c r="V104" s="54" t="str">
        <f>IF(SUMPRODUCT(MAX((#REF!)*((#REF!=#REF!)*(#REF!=#REF!)*(#REF!=#REF!))))&lt;&gt;#REF!,"",SUMPRODUCT((-#REF!+#REF!+#REF!)*((#REF!=#REF!)*(#REF!=#REF!)*(#REF!=#REF!))))</f>
        <v/>
      </c>
      <c r="W104" s="57">
        <f>(((P104/3000)*2880)-(M104*O104))/O104</f>
        <v>6.4504138613861416E-3</v>
      </c>
      <c r="X104" s="57">
        <f>+W104*L104</f>
        <v>23.015076657425752</v>
      </c>
      <c r="Y104" s="57">
        <f>+((P104/3000)*120)/101</f>
        <v>4.1130891089108927E-4</v>
      </c>
      <c r="Z104" s="57">
        <f>Y104*L104</f>
        <v>1.4675501940594065</v>
      </c>
      <c r="AA104" s="66">
        <f>S104-Q104</f>
        <v>24.482626851485158</v>
      </c>
    </row>
    <row r="105" spans="1:27" ht="24.95" hidden="1" customHeight="1">
      <c r="A105" s="73">
        <v>201900078</v>
      </c>
      <c r="B105" s="74" t="s">
        <v>22</v>
      </c>
      <c r="C105" s="80">
        <v>546151</v>
      </c>
      <c r="D105" s="58">
        <v>43734</v>
      </c>
      <c r="E105" s="59">
        <v>200200</v>
      </c>
      <c r="F105" s="76" t="s">
        <v>16</v>
      </c>
      <c r="G105" s="76"/>
      <c r="H105" s="74" t="s">
        <v>10</v>
      </c>
      <c r="I105" s="57" t="s">
        <v>14</v>
      </c>
      <c r="J105" s="65">
        <v>22</v>
      </c>
      <c r="K105" s="77"/>
      <c r="L105" s="84">
        <v>500</v>
      </c>
      <c r="M105" s="79">
        <v>7.4759999999999993E-2</v>
      </c>
      <c r="N105" s="82">
        <v>39.5</v>
      </c>
      <c r="O105" s="57">
        <f>INT(2800/(N105+3))</f>
        <v>65</v>
      </c>
      <c r="P105" s="57">
        <f>((J105/2)*(J105/2)*3.14*9*3)/1000</f>
        <v>10.258380000000001</v>
      </c>
      <c r="Q105" s="74">
        <f>+M105*L105</f>
        <v>37.379999999999995</v>
      </c>
      <c r="R105" s="57">
        <f>P105/O105</f>
        <v>0.15782123076923077</v>
      </c>
      <c r="S105" s="64">
        <v>78.910615384615383</v>
      </c>
      <c r="T105" s="65"/>
      <c r="U105" s="65"/>
      <c r="V105" s="54">
        <f>IF(SUMPRODUCT(MAX((#REF!)*((#REF!=#REF!)*(#REF!=#REF!)*(#REF!=#REF!))))&lt;&gt;#REF!,"",SUMPRODUCT((-#REF!+#REF!+#REF!)*((#REF!=#REF!)*(#REF!=#REF!)*(#REF!=#REF!))))</f>
        <v>3003.9177692307685</v>
      </c>
      <c r="W105" s="57">
        <f>(((P105/3000)*2880)-(M105*O105))/O105</f>
        <v>7.6748381538461544E-2</v>
      </c>
      <c r="X105" s="57">
        <f>+W105*L105</f>
        <v>38.374190769230772</v>
      </c>
      <c r="Y105" s="57">
        <f>+((P105/3000)*120)/101</f>
        <v>4.0627247524752472E-3</v>
      </c>
      <c r="Z105" s="57">
        <f>Y105*L105</f>
        <v>2.0313623762376238</v>
      </c>
      <c r="AA105" s="66">
        <f>S105-Q105</f>
        <v>41.530615384615388</v>
      </c>
    </row>
    <row r="106" spans="1:27" ht="24.95" hidden="1" customHeight="1">
      <c r="A106" s="73">
        <v>201900085</v>
      </c>
      <c r="B106" s="74" t="s">
        <v>22</v>
      </c>
      <c r="C106" s="80">
        <v>546458</v>
      </c>
      <c r="D106" s="58">
        <v>43743</v>
      </c>
      <c r="E106" s="59">
        <v>512800</v>
      </c>
      <c r="F106" s="76" t="s">
        <v>17</v>
      </c>
      <c r="G106" s="74"/>
      <c r="H106" s="74" t="s">
        <v>10</v>
      </c>
      <c r="I106" s="57" t="s">
        <v>14</v>
      </c>
      <c r="J106" s="77">
        <v>7</v>
      </c>
      <c r="K106" s="77"/>
      <c r="L106" s="80">
        <v>5686</v>
      </c>
      <c r="M106" s="79">
        <v>3.421E-3</v>
      </c>
      <c r="N106" s="57">
        <v>24.5</v>
      </c>
      <c r="O106" s="57">
        <f>INT(2800/(N106+3))</f>
        <v>101</v>
      </c>
      <c r="P106" s="57">
        <f>((J106/2)*(J106/2)*3.14*9*3)/1000</f>
        <v>1.0385550000000003</v>
      </c>
      <c r="Q106" s="74">
        <f>+M106*L106</f>
        <v>19.451806000000001</v>
      </c>
      <c r="R106" s="57">
        <f>P106/O106</f>
        <v>1.0282722772277231E-2</v>
      </c>
      <c r="S106" s="64">
        <v>58.467561683168334</v>
      </c>
      <c r="T106" s="65"/>
      <c r="U106" s="65"/>
      <c r="V106" s="54">
        <f>IF(SUMPRODUCT(MAX((#REF!)*((#REF!=#REF!)*(#REF!=#REF!)*(#REF!=#REF!))))&lt;&gt;#REF!,"",SUMPRODUCT((-#REF!+#REF!+#REF!)*((#REF!=#REF!)*(#REF!=#REF!)*(#REF!=#REF!))))</f>
        <v>-324.85147460396075</v>
      </c>
      <c r="W106" s="57">
        <f>(((P106/3000)*2880)-(M106*O106))/O106</f>
        <v>6.4504138613861416E-3</v>
      </c>
      <c r="X106" s="57">
        <f>+W106*L106</f>
        <v>36.677053215841603</v>
      </c>
      <c r="Y106" s="57">
        <f>+((P106/3000)*120)/101</f>
        <v>4.1130891089108927E-4</v>
      </c>
      <c r="Z106" s="57">
        <f>Y106*L106</f>
        <v>2.3387024673267334</v>
      </c>
      <c r="AA106" s="66">
        <f>S106-Q106</f>
        <v>39.015755683168337</v>
      </c>
    </row>
    <row r="107" spans="1:27" ht="24.95" customHeight="1">
      <c r="A107" s="55"/>
      <c r="B107" s="69" t="s">
        <v>23</v>
      </c>
      <c r="C107" s="57"/>
      <c r="D107" s="58">
        <v>43745</v>
      </c>
      <c r="E107" s="59"/>
      <c r="F107" s="57"/>
      <c r="G107" s="57"/>
      <c r="H107" s="60" t="s">
        <v>10</v>
      </c>
      <c r="I107" s="60" t="s">
        <v>14</v>
      </c>
      <c r="J107" s="89">
        <v>8</v>
      </c>
      <c r="K107" s="57"/>
      <c r="L107" s="57"/>
      <c r="M107" s="57"/>
      <c r="N107" s="57"/>
      <c r="O107" s="63"/>
      <c r="P107" s="57"/>
      <c r="Q107" s="57"/>
      <c r="R107" s="57"/>
      <c r="S107" s="64">
        <v>0</v>
      </c>
      <c r="T107" s="72">
        <v>1.32</v>
      </c>
      <c r="U107" s="72"/>
      <c r="V107" s="54" t="str">
        <f>IF(SUMPRODUCT(MAX((#REF!)*((#REF!=#REF!)*(#REF!=#REF!)*(#REF!=#REF!))))&lt;&gt;#REF!,"",SUMPRODUCT((-#REF!+#REF!+#REF!)*((#REF!=#REF!)*(#REF!=#REF!)*(#REF!=#REF!))))</f>
        <v/>
      </c>
      <c r="W107" s="57"/>
      <c r="X107" s="57"/>
      <c r="Y107" s="57"/>
      <c r="Z107" s="57"/>
      <c r="AA107" s="66"/>
    </row>
    <row r="108" spans="1:27" ht="24.95" hidden="1" customHeight="1">
      <c r="A108" s="55"/>
      <c r="B108" s="69" t="s">
        <v>23</v>
      </c>
      <c r="C108" s="57"/>
      <c r="D108" s="58">
        <v>43759</v>
      </c>
      <c r="E108" s="59"/>
      <c r="F108" s="57"/>
      <c r="G108" s="57"/>
      <c r="H108" s="74" t="s">
        <v>10</v>
      </c>
      <c r="I108" s="60" t="s">
        <v>13</v>
      </c>
      <c r="J108" s="89">
        <v>7</v>
      </c>
      <c r="K108" s="57"/>
      <c r="L108" s="57"/>
      <c r="M108" s="57"/>
      <c r="N108" s="57"/>
      <c r="O108" s="63"/>
      <c r="P108" s="57"/>
      <c r="Q108" s="57"/>
      <c r="R108" s="57"/>
      <c r="S108" s="64">
        <v>0</v>
      </c>
      <c r="T108" s="72">
        <v>3.3</v>
      </c>
      <c r="U108" s="72"/>
      <c r="V108" s="54" t="str">
        <f>IF(SUMPRODUCT(MAX((#REF!)*((#REF!=#REF!)*(#REF!=#REF!)*(#REF!=#REF!))))&lt;&gt;#REF!,"",SUMPRODUCT((-#REF!+#REF!+#REF!)*((#REF!=#REF!)*(#REF!=#REF!)*(#REF!=#REF!))))</f>
        <v/>
      </c>
      <c r="W108" s="57"/>
      <c r="X108" s="57"/>
      <c r="Y108" s="57"/>
      <c r="Z108" s="57"/>
      <c r="AA108" s="66"/>
    </row>
    <row r="109" spans="1:27" ht="24.95" hidden="1" customHeight="1">
      <c r="A109" s="73">
        <v>201900092</v>
      </c>
      <c r="B109" s="74" t="s">
        <v>22</v>
      </c>
      <c r="C109" s="80">
        <v>547141</v>
      </c>
      <c r="D109" s="58">
        <v>43776</v>
      </c>
      <c r="E109" s="59">
        <v>510020</v>
      </c>
      <c r="F109" s="76" t="s">
        <v>11</v>
      </c>
      <c r="G109" s="83">
        <v>139</v>
      </c>
      <c r="H109" s="74" t="s">
        <v>10</v>
      </c>
      <c r="I109" s="74" t="s">
        <v>13</v>
      </c>
      <c r="J109" s="77">
        <v>8</v>
      </c>
      <c r="K109" s="77"/>
      <c r="L109" s="80">
        <v>8340</v>
      </c>
      <c r="M109" s="79">
        <v>1.446E-3</v>
      </c>
      <c r="N109" s="57">
        <v>6</v>
      </c>
      <c r="O109" s="57">
        <f>INT(2800/(N109+3))</f>
        <v>311</v>
      </c>
      <c r="P109" s="57">
        <f>((J109*J109)*0.866*9*3)/1000</f>
        <v>1.4964479999999998</v>
      </c>
      <c r="Q109" s="74">
        <f>+L109*M109</f>
        <v>12.05964</v>
      </c>
      <c r="R109" s="57">
        <f>P109/O109</f>
        <v>4.8117299035369768E-3</v>
      </c>
      <c r="S109" s="64">
        <v>40.129827395498388</v>
      </c>
      <c r="T109" s="65"/>
      <c r="U109" s="65"/>
      <c r="V109" s="54" t="str">
        <f>IF(SUMPRODUCT(MAX((#REF!)*((#REF!=#REF!)*(#REF!=#REF!)*(#REF!=#REF!))))&lt;&gt;#REF!,"",SUMPRODUCT((-#REF!+#REF!+#REF!)*((#REF!=#REF!)*(#REF!=#REF!)*(#REF!=#REF!))))</f>
        <v/>
      </c>
      <c r="W109" s="57">
        <f>(((P109/3000)*2880)-(M109*O109))/O109</f>
        <v>3.1732607073954979E-3</v>
      </c>
      <c r="X109" s="57">
        <f>+W109*L109</f>
        <v>26.464994299678452</v>
      </c>
      <c r="Y109" s="57">
        <f>+((P109/3000)*120)/101</f>
        <v>5.9265267326732659E-4</v>
      </c>
      <c r="Z109" s="57">
        <f>Y109*L109</f>
        <v>4.9427232950495039</v>
      </c>
      <c r="AA109" s="66">
        <f>S109-Q109</f>
        <v>28.070187395498387</v>
      </c>
    </row>
    <row r="110" spans="1:27" ht="24.95" hidden="1" customHeight="1">
      <c r="A110" s="73">
        <v>201900094</v>
      </c>
      <c r="B110" s="74" t="s">
        <v>22</v>
      </c>
      <c r="C110" s="80">
        <v>547773</v>
      </c>
      <c r="D110" s="58">
        <v>43805</v>
      </c>
      <c r="E110" s="59">
        <v>510020</v>
      </c>
      <c r="F110" s="76" t="s">
        <v>11</v>
      </c>
      <c r="G110" s="83">
        <v>139</v>
      </c>
      <c r="H110" s="74" t="s">
        <v>10</v>
      </c>
      <c r="I110" s="74" t="s">
        <v>13</v>
      </c>
      <c r="J110" s="77">
        <v>8</v>
      </c>
      <c r="K110" s="77"/>
      <c r="L110" s="80">
        <v>16660</v>
      </c>
      <c r="M110" s="79">
        <v>1.446E-3</v>
      </c>
      <c r="N110" s="57">
        <v>6</v>
      </c>
      <c r="O110" s="57">
        <f>INT(2800/(N110+3))</f>
        <v>311</v>
      </c>
      <c r="P110" s="57">
        <f>((J110*J110)*0.866*9*3)/1000</f>
        <v>1.4964479999999998</v>
      </c>
      <c r="Q110" s="74">
        <f>+L110*M110</f>
        <v>24.09036</v>
      </c>
      <c r="R110" s="57">
        <f>P110/O110</f>
        <v>4.8117299035369768E-3</v>
      </c>
      <c r="S110" s="64">
        <v>80.16342019292604</v>
      </c>
      <c r="T110" s="65"/>
      <c r="U110" s="65"/>
      <c r="V110" s="54" t="str">
        <f>IF(SUMPRODUCT(MAX((#REF!)*((#REF!=#REF!)*(#REF!=#REF!)*(#REF!=#REF!))))&lt;&gt;#REF!,"",SUMPRODUCT((-#REF!+#REF!+#REF!)*((#REF!=#REF!)*(#REF!=#REF!)*(#REF!=#REF!))))</f>
        <v/>
      </c>
      <c r="W110" s="57">
        <f>(((P110/3000)*2880)-(M110*O110))/O110</f>
        <v>3.1732607073954979E-3</v>
      </c>
      <c r="X110" s="57">
        <f>+W110*L110</f>
        <v>52.866523385208993</v>
      </c>
      <c r="Y110" s="57">
        <f>+((P110/3000)*120)/101</f>
        <v>5.9265267326732659E-4</v>
      </c>
      <c r="Z110" s="57">
        <f>Y110*L110</f>
        <v>9.8735935366336616</v>
      </c>
      <c r="AA110" s="66">
        <f>S110-Q110</f>
        <v>56.073060192926036</v>
      </c>
    </row>
    <row r="111" spans="1:27" ht="24.95" customHeight="1">
      <c r="A111" s="55"/>
      <c r="B111" s="69" t="s">
        <v>23</v>
      </c>
      <c r="C111" s="57"/>
      <c r="D111" s="58">
        <v>43810</v>
      </c>
      <c r="E111" s="59"/>
      <c r="F111" s="57"/>
      <c r="G111" s="57"/>
      <c r="H111" s="60" t="s">
        <v>10</v>
      </c>
      <c r="I111" s="60" t="s">
        <v>14</v>
      </c>
      <c r="J111" s="89">
        <v>8</v>
      </c>
      <c r="K111" s="57"/>
      <c r="L111" s="57"/>
      <c r="M111" s="57"/>
      <c r="N111" s="57"/>
      <c r="O111" s="63"/>
      <c r="P111" s="57"/>
      <c r="Q111" s="57"/>
      <c r="R111" s="57"/>
      <c r="S111" s="64">
        <v>0</v>
      </c>
      <c r="T111" s="72">
        <v>6.6</v>
      </c>
      <c r="U111" s="72"/>
      <c r="V111" s="54" t="str">
        <f>IF(SUMPRODUCT(MAX((#REF!)*((#REF!=#REF!)*(#REF!=#REF!)*(#REF!=#REF!))))&lt;&gt;#REF!,"",SUMPRODUCT((-#REF!+#REF!+#REF!)*((#REF!=#REF!)*(#REF!=#REF!)*(#REF!=#REF!))))</f>
        <v/>
      </c>
      <c r="W111" s="57"/>
      <c r="X111" s="57"/>
      <c r="Y111" s="57"/>
      <c r="Z111" s="57"/>
      <c r="AA111" s="66"/>
    </row>
    <row r="112" spans="1:27" ht="24.95" hidden="1" customHeight="1">
      <c r="A112" s="73">
        <v>201900104</v>
      </c>
      <c r="B112" s="74" t="s">
        <v>22</v>
      </c>
      <c r="C112" s="57">
        <v>548233</v>
      </c>
      <c r="D112" s="58">
        <v>43826</v>
      </c>
      <c r="E112" s="59">
        <v>510020</v>
      </c>
      <c r="F112" s="76" t="s">
        <v>11</v>
      </c>
      <c r="G112" s="83">
        <v>139</v>
      </c>
      <c r="H112" s="74" t="s">
        <v>10</v>
      </c>
      <c r="I112" s="74" t="s">
        <v>13</v>
      </c>
      <c r="J112" s="77">
        <v>8</v>
      </c>
      <c r="K112" s="57"/>
      <c r="L112" s="57">
        <v>10000</v>
      </c>
      <c r="M112" s="79">
        <v>1.446E-3</v>
      </c>
      <c r="N112" s="57">
        <v>6</v>
      </c>
      <c r="O112" s="57">
        <f>INT(2800/(N112+3))</f>
        <v>311</v>
      </c>
      <c r="P112" s="57">
        <f>((J112*J112)*0.866*9*3)/1000</f>
        <v>1.4964479999999998</v>
      </c>
      <c r="Q112" s="74">
        <f>+L112*M112</f>
        <v>14.46</v>
      </c>
      <c r="R112" s="57">
        <f>P112/O112</f>
        <v>4.8117299035369768E-3</v>
      </c>
      <c r="S112" s="64">
        <v>48.117299035369768</v>
      </c>
      <c r="T112" s="65"/>
      <c r="U112" s="65"/>
      <c r="V112" s="54">
        <f>IF(SUMPRODUCT(MAX((#REF!)*((#REF!=#REF!)*(#REF!=#REF!)*(#REF!=#REF!))))&lt;&gt;#REF!,"",SUMPRODUCT((-#REF!+#REF!+#REF!)*((#REF!=#REF!)*(#REF!=#REF!)*(#REF!=#REF!))))</f>
        <v>-326.42802078456577</v>
      </c>
      <c r="W112" s="57">
        <f>(((P112/3000)*2880)-(M112*O112))/O112</f>
        <v>3.1732607073954979E-3</v>
      </c>
      <c r="X112" s="57">
        <f>+W112*L112</f>
        <v>31.732607073954977</v>
      </c>
      <c r="Y112" s="57">
        <f>+((P112/3000)*120)/101</f>
        <v>5.9265267326732659E-4</v>
      </c>
      <c r="Z112" s="57">
        <f>Y112*L112</f>
        <v>5.926526732673266</v>
      </c>
      <c r="AA112" s="66">
        <f>S112-Q112</f>
        <v>33.657299035369768</v>
      </c>
    </row>
    <row r="113" spans="1:27" ht="24.95" customHeight="1">
      <c r="A113" s="73">
        <v>201900104</v>
      </c>
      <c r="B113" s="74" t="s">
        <v>22</v>
      </c>
      <c r="C113" s="57">
        <v>548233</v>
      </c>
      <c r="D113" s="58">
        <v>43826</v>
      </c>
      <c r="E113" s="59" t="s">
        <v>18</v>
      </c>
      <c r="F113" s="57" t="s">
        <v>19</v>
      </c>
      <c r="G113" s="57"/>
      <c r="H113" s="74" t="s">
        <v>10</v>
      </c>
      <c r="I113" s="57" t="s">
        <v>14</v>
      </c>
      <c r="J113" s="65">
        <v>8</v>
      </c>
      <c r="K113" s="57"/>
      <c r="L113" s="57">
        <v>960</v>
      </c>
      <c r="M113" s="57">
        <v>3.421E-3</v>
      </c>
      <c r="N113" s="57">
        <v>11</v>
      </c>
      <c r="O113" s="57">
        <f>INT(2800/(N113+3))</f>
        <v>200</v>
      </c>
      <c r="P113" s="57">
        <f>((J113/2)*(J113/2)*3.14*9*3)/1000</f>
        <v>1.3564799999999999</v>
      </c>
      <c r="Q113" s="74">
        <f>+M113*L113</f>
        <v>3.28416</v>
      </c>
      <c r="R113" s="57">
        <f>P113/O113</f>
        <v>6.7823999999999992E-3</v>
      </c>
      <c r="S113" s="64">
        <v>6.5111039999999996</v>
      </c>
      <c r="T113" s="65"/>
      <c r="U113" s="65"/>
      <c r="V113" s="54">
        <f>IF(SUMPRODUCT(MAX((#REF!)*((#REF!=#REF!)*(#REF!=#REF!)*(#REF!=#REF!))))&lt;&gt;#REF!,"",SUMPRODUCT((-#REF!+#REF!+#REF!)*((#REF!=#REF!)*(#REF!=#REF!)*(#REF!=#REF!))))</f>
        <v>1032.4088959999999</v>
      </c>
      <c r="W113" s="57">
        <f>(((P113/3000)*2880)-(M113*O113))/O113</f>
        <v>3.0901039999999998E-3</v>
      </c>
      <c r="X113" s="57">
        <f>+W113*L113</f>
        <v>2.96649984</v>
      </c>
      <c r="Y113" s="57">
        <f>+((P113/3000)*120)/101</f>
        <v>5.3721980198019798E-4</v>
      </c>
      <c r="Z113" s="57">
        <f>Y113*L113</f>
        <v>0.51573100990099008</v>
      </c>
      <c r="AA113" s="66">
        <f>S113-Q113</f>
        <v>3.2269439999999996</v>
      </c>
    </row>
    <row r="114" spans="1:27" ht="24.95" hidden="1" customHeight="1">
      <c r="A114" s="90"/>
      <c r="B114" s="91" t="s">
        <v>23</v>
      </c>
      <c r="C114" s="92"/>
      <c r="D114" s="58">
        <v>43848</v>
      </c>
      <c r="E114" s="93"/>
      <c r="F114" s="92"/>
      <c r="G114" s="92"/>
      <c r="H114" s="94" t="s">
        <v>10</v>
      </c>
      <c r="I114" s="95" t="s">
        <v>13</v>
      </c>
      <c r="J114" s="96">
        <v>7</v>
      </c>
      <c r="K114" s="92"/>
      <c r="L114" s="92"/>
      <c r="M114" s="92"/>
      <c r="N114" s="92"/>
      <c r="O114" s="97"/>
      <c r="P114" s="92"/>
      <c r="Q114" s="92"/>
      <c r="R114" s="92"/>
      <c r="S114" s="98">
        <v>0</v>
      </c>
      <c r="T114" s="99">
        <v>2.19</v>
      </c>
      <c r="U114" s="99"/>
      <c r="V114" s="54">
        <f>IF(SUMPRODUCT(MAX((#REF!)*((#REF!=#REF!)*(#REF!=#REF!)*(#REF!=#REF!))))&lt;&gt;#REF!,"",SUMPRODUCT((-#REF!+#REF!+#REF!)*((#REF!=#REF!)*(#REF!=#REF!)*(#REF!=#REF!))))</f>
        <v>5.49</v>
      </c>
      <c r="W114" s="92"/>
      <c r="X114" s="92"/>
      <c r="Y114" s="92"/>
      <c r="Z114" s="92"/>
      <c r="AA114" s="100"/>
    </row>
    <row r="115" spans="1:27" ht="24.95" customHeight="1"/>
    <row r="116" spans="1:27" ht="24.95" customHeight="1"/>
  </sheetData>
  <autoFilter ref="S1:U1"/>
  <phoneticPr fontId="13" type="noConversion"/>
  <conditionalFormatting sqref="V3:V114">
    <cfRule type="cellIs" dxfId="1" priority="3" operator="lessThan">
      <formula>0</formula>
    </cfRule>
  </conditionalFormatting>
  <conditionalFormatting sqref="A1:A1048576">
    <cfRule type="duplicateValues" dxfId="0" priority="1"/>
  </conditionalFormatting>
  <pageMargins left="0.70866141732283472" right="0.70866141732283472" top="0.74803149606299213" bottom="0.74803149606299213" header="0.31496062992125984" footer="0.31496062992125984"/>
  <pageSetup paperSize="9" orientation="landscape" horizontalDpi="200" verticalDpi="200" r:id="rId1"/>
</worksheet>
</file>

<file path=xl/worksheets/sheet2.xml><?xml version="1.0" encoding="utf-8"?>
<worksheet xmlns="http://schemas.openxmlformats.org/spreadsheetml/2006/main" xmlns:r="http://schemas.openxmlformats.org/officeDocument/2006/relationships">
  <dimension ref="A1:P40"/>
  <sheetViews>
    <sheetView workbookViewId="0">
      <selection activeCell="B1" sqref="B1"/>
    </sheetView>
  </sheetViews>
  <sheetFormatPr baseColWidth="10" defaultRowHeight="15"/>
  <cols>
    <col min="5" max="5" width="11.42578125" style="102"/>
    <col min="9" max="9" width="13.5703125" bestFit="1" customWidth="1"/>
    <col min="13" max="13" width="18.85546875" bestFit="1" customWidth="1"/>
    <col min="15" max="15" width="16.5703125" bestFit="1" customWidth="1"/>
    <col min="16" max="16" width="17.85546875" bestFit="1" customWidth="1"/>
  </cols>
  <sheetData>
    <row r="1" spans="1:16">
      <c r="B1" s="107" t="s">
        <v>66</v>
      </c>
    </row>
    <row r="2" spans="1:16">
      <c r="B2" s="108" t="s">
        <v>63</v>
      </c>
    </row>
    <row r="3" spans="1:16">
      <c r="B3" s="108">
        <v>22</v>
      </c>
    </row>
    <row r="5" spans="1:16" s="13" customFormat="1" ht="45" customHeight="1">
      <c r="A5" s="42" t="s">
        <v>59</v>
      </c>
      <c r="B5" s="42" t="s">
        <v>35</v>
      </c>
      <c r="C5" s="42" t="s">
        <v>36</v>
      </c>
      <c r="D5" s="42" t="s">
        <v>37</v>
      </c>
      <c r="E5" s="42" t="s">
        <v>38</v>
      </c>
      <c r="F5" s="119" t="s">
        <v>4</v>
      </c>
      <c r="G5" s="120"/>
      <c r="H5" s="120"/>
      <c r="I5" s="48" t="s">
        <v>39</v>
      </c>
      <c r="J5" s="50" t="s">
        <v>40</v>
      </c>
      <c r="K5" s="39" t="s">
        <v>41</v>
      </c>
      <c r="L5" s="121" t="s">
        <v>42</v>
      </c>
      <c r="M5" s="122"/>
      <c r="N5" s="121" t="s">
        <v>43</v>
      </c>
      <c r="O5" s="122"/>
      <c r="P5" s="44" t="s">
        <v>44</v>
      </c>
    </row>
    <row r="6" spans="1:16" s="13" customFormat="1" ht="29.25" customHeight="1">
      <c r="A6" s="43"/>
      <c r="B6" s="43"/>
      <c r="C6" s="43"/>
      <c r="D6" s="43"/>
      <c r="E6" s="43"/>
      <c r="F6" s="14" t="s">
        <v>45</v>
      </c>
      <c r="G6" s="14" t="s">
        <v>46</v>
      </c>
      <c r="H6" s="37" t="s">
        <v>47</v>
      </c>
      <c r="I6" s="51"/>
      <c r="J6" s="47"/>
      <c r="K6" s="41"/>
      <c r="L6" s="15" t="s">
        <v>48</v>
      </c>
      <c r="M6" s="16" t="s">
        <v>61</v>
      </c>
      <c r="N6" s="17" t="s">
        <v>48</v>
      </c>
      <c r="O6" s="18" t="s">
        <v>60</v>
      </c>
      <c r="P6" s="45"/>
    </row>
    <row r="7" spans="1:16" s="23" customFormat="1">
      <c r="A7" s="19">
        <f>IF(B7=0,E7,"")</f>
        <v>42754</v>
      </c>
      <c r="B7" s="114">
        <f t="array" ref="B7">IFERROR(INDEX('Base de données'!A$2:A$114,SMALL(IF(('Base de données'!$B$2:$B$114&lt;&gt;"stock initial")*('Base de données'!$H$2:$H$114="laiton")*('Base de données'!$I$2:$I$114=$B$2)*('Base de données'!$J$2:$J$114=$B$3*1),ROW('Base de données'!$H$2:$H$114)-1),ROWS($1:1))),"")</f>
        <v>0</v>
      </c>
      <c r="C7" s="109"/>
      <c r="D7" s="114">
        <f t="array" ref="D7">IFERROR(INDEX('Base de données'!C$2:C$114,SMALL(IF(('Base de données'!$B$2:$B$114&lt;&gt;"stock initial")*('Base de données'!$H$2:$H$114="laiton")*('Base de données'!$I$2:$I$114=$B$2)*('Base de données'!$J$2:$J$114=$B$3*1),ROW('Base de données'!$H$2:$H$114)-1),ROWS($1:1))),"")</f>
        <v>0</v>
      </c>
      <c r="E7" s="110">
        <f t="array" ref="E7">IFERROR(INDEX('Base de données'!D$2:D$114,SMALL(IF(('Base de données'!$B$2:$B$114&lt;&gt;"stock initial")*('Base de données'!$H$2:$H$114="laiton")*('Base de données'!$I$2:$I$114=$B$2)*('Base de données'!$J$2:$J$114=$B$3*1),ROW('Base de données'!$H$2:$H$114)-1),ROWS($1:1))),"")</f>
        <v>42754</v>
      </c>
      <c r="F7" s="21" t="str">
        <f>IF($E7="","",$B$1)</f>
        <v>Laiton</v>
      </c>
      <c r="G7" s="21" t="str">
        <f>IF($E7="","",$B$2)</f>
        <v>rond</v>
      </c>
      <c r="H7" s="21">
        <f>IF($E7="","",$B$3)</f>
        <v>22</v>
      </c>
      <c r="I7" s="49">
        <f t="array" ref="I7">IF(AND($D7=0,$E7&lt;&gt;""),IFERROR(INDEX('Base de données'!T$2:T$114,SMALL(IF(('Base de données'!$B$2:$B$114&lt;&gt;"stock initial")*('Base de données'!$H$2:$H$114="laiton")*('Base de données'!$I$2:$I$114=$B$2)*('Base de données'!$J$2:$J$114=$B$3*1),ROW('Base de données'!$H$2:$H$114)-1),ROWS($1:1))),""),IF($E7="","",I6))</f>
        <v>1964</v>
      </c>
      <c r="J7" s="49">
        <f t="array" ref="J7">IF(D7=0,0,IFERROR(INDEX('Base de données'!S$2:S$114,SMALL(IF(('Base de données'!$B$2:$B$114&lt;&gt;"stock initial")*('Base de données'!$H$2:$H$114="laiton")*('Base de données'!$I$2:$I$114=$B$2)*('Base de données'!$J$2:$J$114=$B$3*1),ROW('Base de données'!$H$2:$H$114)-1),ROWS($1:1))),""))</f>
        <v>0</v>
      </c>
      <c r="K7" s="20">
        <f>[1]Feuil1!G30</f>
        <v>146</v>
      </c>
      <c r="L7" s="22" t="str">
        <f>IFERROR(M7/J7,"")</f>
        <v/>
      </c>
      <c r="M7" s="20">
        <f t="array" ref="M7">IF($D7=0,0,IFERROR(INDEX('Base de données'!X$2:X$114,SMALL(IF(('Base de données'!$B$2:$B$114&lt;&gt;"stock initial")*('Base de données'!$H$2:$H$114="laiton")*('Base de données'!$I$2:$I$114=$B$2)*('Base de données'!$J$2:$J$114=$B$3*1),ROW('Base de données'!$H$2:$H$114)-1),ROWS($1:1))),""))</f>
        <v>0</v>
      </c>
      <c r="N7" s="22" t="str">
        <f>IFERROR(O7/J7,"")</f>
        <v/>
      </c>
      <c r="O7" s="20">
        <f t="array" ref="O7">IF($D7=0,0,IFERROR(INDEX('Base de données'!Z$2:Z$114,SMALL(IF(('Base de données'!$B$2:$B$114&lt;&gt;"stock initial")*('Base de données'!$H$2:$H$114="laiton")*('Base de données'!$I$2:$I$114=$B$2)*('Base de données'!$J$2:$J$114=$B$3*1),ROW('Base de données'!$H$2:$H$114)-1),ROWS($1:1))),""))</f>
        <v>0</v>
      </c>
      <c r="P7" s="20" t="str">
        <f>IFERROR((O7+M7)/J7,"")</f>
        <v/>
      </c>
    </row>
    <row r="8" spans="1:16">
      <c r="A8" s="19" t="str">
        <f t="shared" ref="A8:A38" si="0">IF(B8=0,E8,"")</f>
        <v/>
      </c>
      <c r="B8" s="114">
        <f t="array" ref="B8">IFERROR(INDEX('Base de données'!A$2:A$114,SMALL(IF(('Base de données'!$B$2:$B$114&lt;&gt;"stock initial")*('Base de données'!$H$2:$H$114="laiton")*('Base de données'!$I$2:$I$114=$B$2)*('Base de données'!$J$2:$J$114=$B$3*1),ROW('Base de données'!$H$2:$H$114)-1),ROWS($1:2))),"")</f>
        <v>201700021</v>
      </c>
      <c r="C8" s="109"/>
      <c r="D8" s="114">
        <f t="array" ref="D8">IFERROR(INDEX('Base de données'!C$2:C$114,SMALL(IF(('Base de données'!$B$2:$B$114&lt;&gt;"stock initial")*('Base de données'!$H$2:$H$114="laiton")*('Base de données'!$I$2:$I$114=$B$2)*('Base de données'!$J$2:$J$114=$B$3*1),ROW('Base de données'!$H$2:$H$114)-1),ROWS($1:2))),"")</f>
        <v>546763</v>
      </c>
      <c r="E8" s="110">
        <f t="array" ref="E8">IFERROR(INDEX('Base de données'!D$2:D$114,SMALL(IF(('Base de données'!$B$2:$B$114&lt;&gt;"stock initial")*('Base de données'!$H$2:$H$114="laiton")*('Base de données'!$I$2:$I$114=$B$2)*('Base de données'!$J$2:$J$114=$B$3*1),ROW('Base de données'!$H$2:$H$114)-1),ROWS($1:2))),"")</f>
        <v>42818</v>
      </c>
      <c r="F8" s="21" t="str">
        <f t="shared" ref="F8:F38" si="1">IF(E8="","",$B$1)</f>
        <v>Laiton</v>
      </c>
      <c r="G8" s="21" t="str">
        <f t="shared" ref="G8:G38" si="2">IF($E8="","",$B$2)</f>
        <v>rond</v>
      </c>
      <c r="H8" s="21">
        <f t="shared" ref="H8:H38" si="3">IF($E8="","",$B$3)</f>
        <v>22</v>
      </c>
      <c r="I8" s="49">
        <f t="array" ref="I8">IF(AND($D8=0,$E8&lt;&gt;""),IFERROR(INDEX('Base de données'!T$2:T$114,SMALL(IF(('Base de données'!$B$2:$B$114&lt;&gt;"stock initial")*('Base de données'!$H$2:$H$114="laiton")*('Base de données'!$I$2:$I$114=$B$2)*('Base de données'!$J$2:$J$114=$B$3*1),ROW('Base de données'!$H$2:$H$114)-1),ROWS($1:2))),""),IF($E8="","",I7))</f>
        <v>1964</v>
      </c>
      <c r="J8" s="49">
        <f t="array" ref="J8">IF(D8=0,0,IFERROR(INDEX('Base de données'!S$2:S$114,SMALL(IF(('Base de données'!$B$2:$B$114&lt;&gt;"stock initial")*('Base de données'!$H$2:$H$114="laiton")*('Base de données'!$I$2:$I$114=$B$2)*('Base de données'!$J$2:$J$114=$B$3*1),ROW('Base de données'!$H$2:$H$114)-1),ROWS($1:2))),""))</f>
        <v>315.64246153846153</v>
      </c>
      <c r="K8" s="5">
        <v>146</v>
      </c>
      <c r="L8" s="22">
        <f t="shared" ref="L8:L29" si="4">IFERROR(M8/J8,"")</f>
        <v>0.48629947418598263</v>
      </c>
      <c r="M8" s="20">
        <f t="array" ref="M8">IF($D8=0,0,IFERROR(INDEX('Base de données'!X$2:X$114,SMALL(IF(('Base de données'!$B$2:$B$114&lt;&gt;"stock initial")*('Base de données'!$H$2:$H$114="laiton")*('Base de données'!$I$2:$I$114=$B$2)*('Base de données'!$J$2:$J$114=$B$3*1),ROW('Base de données'!$H$2:$H$114)-1),ROWS($1:2))),""))</f>
        <v>153.49676307692309</v>
      </c>
      <c r="N8" s="22">
        <f t="shared" ref="N8:N26" si="5">IFERROR(O8/J8,"")</f>
        <v>2.5742574257425745E-2</v>
      </c>
      <c r="O8" s="20">
        <f t="array" ref="O8">IF($D8=0,0,IFERROR(INDEX('Base de données'!Z$2:Z$114,SMALL(IF(('Base de données'!$B$2:$B$114&lt;&gt;"stock initial")*('Base de données'!$H$2:$H$114="laiton")*('Base de données'!$I$2:$I$114=$B$2)*('Base de données'!$J$2:$J$114=$B$3*1),ROW('Base de données'!$H$2:$H$114)-1),ROWS($1:2))),""))</f>
        <v>8.1254495049504953</v>
      </c>
      <c r="P8" s="20">
        <f t="shared" ref="P8:P29" si="6">IFERROR((O8+M8)/J8,"")</f>
        <v>0.51204204844340839</v>
      </c>
    </row>
    <row r="9" spans="1:16">
      <c r="A9" s="19" t="str">
        <f t="shared" si="0"/>
        <v/>
      </c>
      <c r="B9" s="114">
        <f t="array" ref="B9">IFERROR(INDEX('Base de données'!A$2:A$114,SMALL(IF(('Base de données'!$B$2:$B$114&lt;&gt;"stock initial")*('Base de données'!$H$2:$H$114="laiton")*('Base de données'!$I$2:$I$114=$B$2)*('Base de données'!$J$2:$J$114=$B$3*1),ROW('Base de données'!$H$2:$H$114)-1),ROWS($1:3))),"")</f>
        <v>201700034</v>
      </c>
      <c r="C9" s="109"/>
      <c r="D9" s="114">
        <f t="array" ref="D9">IFERROR(INDEX('Base de données'!C$2:C$114,SMALL(IF(('Base de données'!$B$2:$B$114&lt;&gt;"stock initial")*('Base de données'!$H$2:$H$114="laiton")*('Base de données'!$I$2:$I$114=$B$2)*('Base de données'!$J$2:$J$114=$B$3*1),ROW('Base de données'!$H$2:$H$114)-1),ROWS($1:3))),"")</f>
        <v>547321</v>
      </c>
      <c r="E9" s="110">
        <f t="array" ref="E9">IFERROR(INDEX('Base de données'!D$2:D$114,SMALL(IF(('Base de données'!$B$2:$B$114&lt;&gt;"stock initial")*('Base de données'!$H$2:$H$114="laiton")*('Base de données'!$I$2:$I$114=$B$2)*('Base de données'!$J$2:$J$114=$B$3*1),ROW('Base de données'!$H$2:$H$114)-1),ROWS($1:3))),"")</f>
        <v>42839</v>
      </c>
      <c r="F9" s="21" t="str">
        <f t="shared" si="1"/>
        <v>Laiton</v>
      </c>
      <c r="G9" s="21" t="str">
        <f t="shared" si="2"/>
        <v>rond</v>
      </c>
      <c r="H9" s="21">
        <f t="shared" si="3"/>
        <v>22</v>
      </c>
      <c r="I9" s="49">
        <f t="array" ref="I9">IF(AND($D9=0,$E9&lt;&gt;""),IFERROR(INDEX('Base de données'!T$2:T$114,SMALL(IF(('Base de données'!$B$2:$B$114&lt;&gt;"stock initial")*('Base de données'!$H$2:$H$114="laiton")*('Base de données'!$I$2:$I$114=$B$2)*('Base de données'!$J$2:$J$114=$B$3*1),ROW('Base de données'!$H$2:$H$114)-1),ROWS($1:3))),""),IF($E9="","",I8))</f>
        <v>1964</v>
      </c>
      <c r="J9" s="49">
        <f t="array" ref="J9">IF(D9=0,0,IFERROR(INDEX('Base de données'!S$2:S$114,SMALL(IF(('Base de données'!$B$2:$B$114&lt;&gt;"stock initial")*('Base de données'!$H$2:$H$114="laiton")*('Base de données'!$I$2:$I$114=$B$2)*('Base de données'!$J$2:$J$114=$B$3*1),ROW('Base de données'!$H$2:$H$114)-1),ROWS($1:3))),""))</f>
        <v>394.5530769230769</v>
      </c>
      <c r="K9" s="5">
        <v>146</v>
      </c>
      <c r="L9" s="22">
        <f t="shared" si="4"/>
        <v>0.48629947418598268</v>
      </c>
      <c r="M9" s="20">
        <f t="array" ref="M9">IF($D9=0,0,IFERROR(INDEX('Base de données'!X$2:X$114,SMALL(IF(('Base de données'!$B$2:$B$114&lt;&gt;"stock initial")*('Base de données'!$H$2:$H$114="laiton")*('Base de données'!$I$2:$I$114=$B$2)*('Base de données'!$J$2:$J$114=$B$3*1),ROW('Base de données'!$H$2:$H$114)-1),ROWS($1:3))),""))</f>
        <v>191.87095384615387</v>
      </c>
      <c r="N9" s="22">
        <f t="shared" si="5"/>
        <v>2.5742574257425741E-2</v>
      </c>
      <c r="O9" s="20">
        <f t="array" ref="O9">IF($D9=0,0,IFERROR(INDEX('Base de données'!Z$2:Z$114,SMALL(IF(('Base de données'!$B$2:$B$114&lt;&gt;"stock initial")*('Base de données'!$H$2:$H$114="laiton")*('Base de données'!$I$2:$I$114=$B$2)*('Base de données'!$J$2:$J$114=$B$3*1),ROW('Base de données'!$H$2:$H$114)-1),ROWS($1:3))),""))</f>
        <v>10.156811881188117</v>
      </c>
      <c r="P9" s="20">
        <f t="shared" si="6"/>
        <v>0.51204204844340839</v>
      </c>
    </row>
    <row r="10" spans="1:16">
      <c r="A10" s="19" t="str">
        <f t="shared" si="0"/>
        <v/>
      </c>
      <c r="B10" s="114">
        <f t="array" ref="B10">IFERROR(INDEX('Base de données'!A$2:A$114,SMALL(IF(('Base de données'!$B$2:$B$114&lt;&gt;"stock initial")*('Base de données'!$H$2:$H$114="laiton")*('Base de données'!$I$2:$I$114=$B$2)*('Base de données'!$J$2:$J$114=$B$3*1),ROW('Base de données'!$H$2:$H$114)-1),ROWS($1:4))),"")</f>
        <v>201700038</v>
      </c>
      <c r="C10" s="109"/>
      <c r="D10" s="114">
        <f t="array" ref="D10">IFERROR(INDEX('Base de données'!C$2:C$114,SMALL(IF(('Base de données'!$B$2:$B$114&lt;&gt;"stock initial")*('Base de données'!$H$2:$H$114="laiton")*('Base de données'!$I$2:$I$114=$B$2)*('Base de données'!$J$2:$J$114=$B$3*1),ROW('Base de données'!$H$2:$H$114)-1),ROWS($1:4))),"")</f>
        <v>547903</v>
      </c>
      <c r="E10" s="110">
        <f t="array" ref="E10">IFERROR(INDEX('Base de données'!D$2:D$114,SMALL(IF(('Base de données'!$B$2:$B$114&lt;&gt;"stock initial")*('Base de données'!$H$2:$H$114="laiton")*('Base de données'!$I$2:$I$114=$B$2)*('Base de données'!$J$2:$J$114=$B$3*1),ROW('Base de données'!$H$2:$H$114)-1),ROWS($1:4))),"")</f>
        <v>42866</v>
      </c>
      <c r="F10" s="21" t="str">
        <f t="shared" si="1"/>
        <v>Laiton</v>
      </c>
      <c r="G10" s="21" t="str">
        <f t="shared" si="2"/>
        <v>rond</v>
      </c>
      <c r="H10" s="21">
        <f t="shared" si="3"/>
        <v>22</v>
      </c>
      <c r="I10" s="49">
        <f t="array" ref="I10">IF(AND($D10=0,$E10&lt;&gt;""),IFERROR(INDEX('Base de données'!T$2:T$114,SMALL(IF(('Base de données'!$B$2:$B$114&lt;&gt;"stock initial")*('Base de données'!$H$2:$H$114="laiton")*('Base de données'!$I$2:$I$114=$B$2)*('Base de données'!$J$2:$J$114=$B$3*1),ROW('Base de données'!$H$2:$H$114)-1),ROWS($1:4))),""),IF($E10="","",I9))</f>
        <v>1964</v>
      </c>
      <c r="J10" s="49">
        <f t="array" ref="J10">IF(D10=0,0,IFERROR(INDEX('Base de données'!S$2:S$114,SMALL(IF(('Base de données'!$B$2:$B$114&lt;&gt;"stock initial")*('Base de données'!$H$2:$H$114="laiton")*('Base de données'!$I$2:$I$114=$B$2)*('Base de données'!$J$2:$J$114=$B$3*1),ROW('Base de données'!$H$2:$H$114)-1),ROWS($1:4))),""))</f>
        <v>236.73184615384616</v>
      </c>
      <c r="K10" s="5">
        <v>146</v>
      </c>
      <c r="L10" s="22">
        <f t="shared" si="4"/>
        <v>0.48629947418598257</v>
      </c>
      <c r="M10" s="20">
        <f t="array" ref="M10">IF($D10=0,0,IFERROR(INDEX('Base de données'!X$2:X$114,SMALL(IF(('Base de données'!$B$2:$B$114&lt;&gt;"stock initial")*('Base de données'!$H$2:$H$114="laiton")*('Base de données'!$I$2:$I$114=$B$2)*('Base de données'!$J$2:$J$114=$B$3*1),ROW('Base de données'!$H$2:$H$114)-1),ROWS($1:4))),""))</f>
        <v>115.12257230769231</v>
      </c>
      <c r="N10" s="22">
        <f t="shared" si="5"/>
        <v>2.5742574257425738E-2</v>
      </c>
      <c r="O10" s="20">
        <f t="array" ref="O10">IF($D10=0,0,IFERROR(INDEX('Base de données'!Z$2:Z$114,SMALL(IF(('Base de données'!$B$2:$B$114&lt;&gt;"stock initial")*('Base de données'!$H$2:$H$114="laiton")*('Base de données'!$I$2:$I$114=$B$2)*('Base de données'!$J$2:$J$114=$B$3*1),ROW('Base de données'!$H$2:$H$114)-1),ROWS($1:4))),""))</f>
        <v>6.0940871287128706</v>
      </c>
      <c r="P10" s="20">
        <f t="shared" si="6"/>
        <v>0.51204204844340828</v>
      </c>
    </row>
    <row r="11" spans="1:16">
      <c r="A11" s="19" t="str">
        <f t="shared" si="0"/>
        <v/>
      </c>
      <c r="B11" s="114">
        <f t="array" ref="B11">IFERROR(INDEX('Base de données'!A$2:A$114,SMALL(IF(('Base de données'!$B$2:$B$114&lt;&gt;"stock initial")*('Base de données'!$H$2:$H$114="laiton")*('Base de données'!$I$2:$I$114=$B$2)*('Base de données'!$J$2:$J$114=$B$3*1),ROW('Base de données'!$H$2:$H$114)-1),ROWS($1:5))),"")</f>
        <v>201700061</v>
      </c>
      <c r="C11" s="109"/>
      <c r="D11" s="114">
        <f t="array" ref="D11">IFERROR(INDEX('Base de données'!C$2:C$114,SMALL(IF(('Base de données'!$B$2:$B$114&lt;&gt;"stock initial")*('Base de données'!$H$2:$H$114="laiton")*('Base de données'!$I$2:$I$114=$B$2)*('Base de données'!$J$2:$J$114=$B$3*1),ROW('Base de données'!$H$2:$H$114)-1),ROWS($1:5))),"")</f>
        <v>549084</v>
      </c>
      <c r="E11" s="110">
        <f t="array" ref="E11">IFERROR(INDEX('Base de données'!D$2:D$114,SMALL(IF(('Base de données'!$B$2:$B$114&lt;&gt;"stock initial")*('Base de données'!$H$2:$H$114="laiton")*('Base de données'!$I$2:$I$114=$B$2)*('Base de données'!$J$2:$J$114=$B$3*1),ROW('Base de données'!$H$2:$H$114)-1),ROWS($1:5))),"")</f>
        <v>42923</v>
      </c>
      <c r="F11" s="21" t="str">
        <f t="shared" si="1"/>
        <v>Laiton</v>
      </c>
      <c r="G11" s="21" t="str">
        <f t="shared" si="2"/>
        <v>rond</v>
      </c>
      <c r="H11" s="21">
        <f t="shared" si="3"/>
        <v>22</v>
      </c>
      <c r="I11" s="49">
        <f t="array" ref="I11">IF(AND($D11=0,$E11&lt;&gt;""),IFERROR(INDEX('Base de données'!T$2:T$114,SMALL(IF(('Base de données'!$B$2:$B$114&lt;&gt;"stock initial")*('Base de données'!$H$2:$H$114="laiton")*('Base de données'!$I$2:$I$114=$B$2)*('Base de données'!$J$2:$J$114=$B$3*1),ROW('Base de données'!$H$2:$H$114)-1),ROWS($1:5))),""),IF($E11="","",I10))</f>
        <v>1964</v>
      </c>
      <c r="J11" s="49">
        <f t="array" ref="J11">IF(D11=0,0,IFERROR(INDEX('Base de données'!S$2:S$114,SMALL(IF(('Base de données'!$B$2:$B$114&lt;&gt;"stock initial")*('Base de données'!$H$2:$H$114="laiton")*('Base de données'!$I$2:$I$114=$B$2)*('Base de données'!$J$2:$J$114=$B$3*1),ROW('Base de données'!$H$2:$H$114)-1),ROWS($1:5))),""))</f>
        <v>236.73184615384616</v>
      </c>
      <c r="K11" s="5">
        <v>146</v>
      </c>
      <c r="L11" s="22">
        <f t="shared" si="4"/>
        <v>0.48629947418598257</v>
      </c>
      <c r="M11" s="20">
        <f t="array" ref="M11">IF($D11=0,0,IFERROR(INDEX('Base de données'!X$2:X$114,SMALL(IF(('Base de données'!$B$2:$B$114&lt;&gt;"stock initial")*('Base de données'!$H$2:$H$114="laiton")*('Base de données'!$I$2:$I$114=$B$2)*('Base de données'!$J$2:$J$114=$B$3*1),ROW('Base de données'!$H$2:$H$114)-1),ROWS($1:5))),""))</f>
        <v>115.12257230769231</v>
      </c>
      <c r="N11" s="22">
        <f t="shared" si="5"/>
        <v>2.5742574257425738E-2</v>
      </c>
      <c r="O11" s="20">
        <f t="array" ref="O11">IF($D11=0,0,IFERROR(INDEX('Base de données'!Z$2:Z$114,SMALL(IF(('Base de données'!$B$2:$B$114&lt;&gt;"stock initial")*('Base de données'!$H$2:$H$114="laiton")*('Base de données'!$I$2:$I$114=$B$2)*('Base de données'!$J$2:$J$114=$B$3*1),ROW('Base de données'!$H$2:$H$114)-1),ROWS($1:5))),""))</f>
        <v>6.0940871287128706</v>
      </c>
      <c r="P11" s="20">
        <f t="shared" si="6"/>
        <v>0.51204204844340828</v>
      </c>
    </row>
    <row r="12" spans="1:16">
      <c r="A12" s="19" t="str">
        <f t="shared" si="0"/>
        <v/>
      </c>
      <c r="B12" s="114">
        <f t="array" ref="B12">IFERROR(INDEX('Base de données'!A$2:A$114,SMALL(IF(('Base de données'!$B$2:$B$114&lt;&gt;"stock initial")*('Base de données'!$H$2:$H$114="laiton")*('Base de données'!$I$2:$I$114=$B$2)*('Base de données'!$J$2:$J$114=$B$3*1),ROW('Base de données'!$H$2:$H$114)-1),ROWS($1:6))),"")</f>
        <v>201700076</v>
      </c>
      <c r="C12" s="109"/>
      <c r="D12" s="114">
        <f t="array" ref="D12">IFERROR(INDEX('Base de données'!C$2:C$114,SMALL(IF(('Base de données'!$B$2:$B$114&lt;&gt;"stock initial")*('Base de données'!$H$2:$H$114="laiton")*('Base de données'!$I$2:$I$114=$B$2)*('Base de données'!$J$2:$J$114=$B$3*1),ROW('Base de données'!$H$2:$H$114)-1),ROWS($1:6))),"")</f>
        <v>530052</v>
      </c>
      <c r="E12" s="110">
        <f t="array" ref="E12">IFERROR(INDEX('Base de données'!D$2:D$114,SMALL(IF(('Base de données'!$B$2:$B$114&lt;&gt;"stock initial")*('Base de données'!$H$2:$H$114="laiton")*('Base de données'!$I$2:$I$114=$B$2)*('Base de données'!$J$2:$J$114=$B$3*1),ROW('Base de données'!$H$2:$H$114)-1),ROWS($1:6))),"")</f>
        <v>42984</v>
      </c>
      <c r="F12" s="21" t="str">
        <f t="shared" si="1"/>
        <v>Laiton</v>
      </c>
      <c r="G12" s="21" t="str">
        <f t="shared" si="2"/>
        <v>rond</v>
      </c>
      <c r="H12" s="21">
        <f t="shared" si="3"/>
        <v>22</v>
      </c>
      <c r="I12" s="49">
        <f t="array" ref="I12">IF(AND($D12=0,$E12&lt;&gt;""),IFERROR(INDEX('Base de données'!T$2:T$114,SMALL(IF(('Base de données'!$B$2:$B$114&lt;&gt;"stock initial")*('Base de données'!$H$2:$H$114="laiton")*('Base de données'!$I$2:$I$114=$B$2)*('Base de données'!$J$2:$J$114=$B$3*1),ROW('Base de données'!$H$2:$H$114)-1),ROWS($1:6))),""),IF($E12="","",I11))</f>
        <v>1964</v>
      </c>
      <c r="J12" s="49">
        <f t="array" ref="J12">IF(D12=0,0,IFERROR(INDEX('Base de données'!S$2:S$114,SMALL(IF(('Base de données'!$B$2:$B$114&lt;&gt;"stock initial")*('Base de données'!$H$2:$H$114="laiton")*('Base de données'!$I$2:$I$114=$B$2)*('Base de données'!$J$2:$J$114=$B$3*1),ROW('Base de données'!$H$2:$H$114)-1),ROWS($1:6))),""))</f>
        <v>236.73184615384616</v>
      </c>
      <c r="K12" s="5">
        <v>146</v>
      </c>
      <c r="L12" s="22">
        <f t="shared" si="4"/>
        <v>0.48629947418598257</v>
      </c>
      <c r="M12" s="20">
        <f t="array" ref="M12">IF($D12=0,0,IFERROR(INDEX('Base de données'!X$2:X$114,SMALL(IF(('Base de données'!$B$2:$B$114&lt;&gt;"stock initial")*('Base de données'!$H$2:$H$114="laiton")*('Base de données'!$I$2:$I$114=$B$2)*('Base de données'!$J$2:$J$114=$B$3*1),ROW('Base de données'!$H$2:$H$114)-1),ROWS($1:6))),""))</f>
        <v>115.12257230769231</v>
      </c>
      <c r="N12" s="22">
        <f t="shared" si="5"/>
        <v>2.5742574257425738E-2</v>
      </c>
      <c r="O12" s="20">
        <f t="array" ref="O12">IF($D12=0,0,IFERROR(INDEX('Base de données'!Z$2:Z$114,SMALL(IF(('Base de données'!$B$2:$B$114&lt;&gt;"stock initial")*('Base de données'!$H$2:$H$114="laiton")*('Base de données'!$I$2:$I$114=$B$2)*('Base de données'!$J$2:$J$114=$B$3*1),ROW('Base de données'!$H$2:$H$114)-1),ROWS($1:6))),""))</f>
        <v>6.0940871287128706</v>
      </c>
      <c r="P12" s="20">
        <f t="shared" si="6"/>
        <v>0.51204204844340828</v>
      </c>
    </row>
    <row r="13" spans="1:16">
      <c r="A13" s="19" t="str">
        <f t="shared" si="0"/>
        <v/>
      </c>
      <c r="B13" s="114">
        <f t="array" ref="B13">IFERROR(INDEX('Base de données'!A$2:A$114,SMALL(IF(('Base de données'!$B$2:$B$114&lt;&gt;"stock initial")*('Base de données'!$H$2:$H$114="laiton")*('Base de données'!$I$2:$I$114=$B$2)*('Base de données'!$J$2:$J$114=$B$3*1),ROW('Base de données'!$H$2:$H$114)-1),ROWS($1:7))),"")</f>
        <v>201700081</v>
      </c>
      <c r="C13" s="109"/>
      <c r="D13" s="114">
        <f t="array" ref="D13">IFERROR(INDEX('Base de données'!C$2:C$114,SMALL(IF(('Base de données'!$B$2:$B$114&lt;&gt;"stock initial")*('Base de données'!$H$2:$H$114="laiton")*('Base de données'!$I$2:$I$114=$B$2)*('Base de données'!$J$2:$J$114=$B$3*1),ROW('Base de données'!$H$2:$H$114)-1),ROWS($1:7))),"")</f>
        <v>530407</v>
      </c>
      <c r="E13" s="110">
        <f t="array" ref="E13">IFERROR(INDEX('Base de données'!D$2:D$114,SMALL(IF(('Base de données'!$B$2:$B$114&lt;&gt;"stock initial")*('Base de données'!$H$2:$H$114="laiton")*('Base de données'!$I$2:$I$114=$B$2)*('Base de données'!$J$2:$J$114=$B$3*1),ROW('Base de données'!$H$2:$H$114)-1),ROWS($1:7))),"")</f>
        <v>43003</v>
      </c>
      <c r="F13" s="21" t="str">
        <f t="shared" si="1"/>
        <v>Laiton</v>
      </c>
      <c r="G13" s="21" t="str">
        <f t="shared" si="2"/>
        <v>rond</v>
      </c>
      <c r="H13" s="21">
        <f t="shared" si="3"/>
        <v>22</v>
      </c>
      <c r="I13" s="49">
        <f t="array" ref="I13">IF(AND($D13=0,$E13&lt;&gt;""),IFERROR(INDEX('Base de données'!T$2:T$114,SMALL(IF(('Base de données'!$B$2:$B$114&lt;&gt;"stock initial")*('Base de données'!$H$2:$H$114="laiton")*('Base de données'!$I$2:$I$114=$B$2)*('Base de données'!$J$2:$J$114=$B$3*1),ROW('Base de données'!$H$2:$H$114)-1),ROWS($1:7))),""),IF($E13="","",I12))</f>
        <v>1964</v>
      </c>
      <c r="J13" s="49">
        <f t="array" ref="J13">IF(D13=0,0,IFERROR(INDEX('Base de données'!S$2:S$114,SMALL(IF(('Base de données'!$B$2:$B$114&lt;&gt;"stock initial")*('Base de données'!$H$2:$H$114="laiton")*('Base de données'!$I$2:$I$114=$B$2)*('Base de données'!$J$2:$J$114=$B$3*1),ROW('Base de données'!$H$2:$H$114)-1),ROWS($1:7))),""))</f>
        <v>173.60335384615385</v>
      </c>
      <c r="K13" s="5">
        <v>146</v>
      </c>
      <c r="L13" s="22">
        <f t="shared" si="4"/>
        <v>0.48629947418598257</v>
      </c>
      <c r="M13" s="20">
        <f t="array" ref="M13">IF($D13=0,0,IFERROR(INDEX('Base de données'!X$2:X$114,SMALL(IF(('Base de données'!$B$2:$B$114&lt;&gt;"stock initial")*('Base de données'!$H$2:$H$114="laiton")*('Base de données'!$I$2:$I$114=$B$2)*('Base de données'!$J$2:$J$114=$B$3*1),ROW('Base de données'!$H$2:$H$114)-1),ROWS($1:7))),""))</f>
        <v>84.423219692307697</v>
      </c>
      <c r="N13" s="22">
        <f t="shared" si="5"/>
        <v>2.5742574257425741E-2</v>
      </c>
      <c r="O13" s="20">
        <f t="array" ref="O13">IF($D13=0,0,IFERROR(INDEX('Base de données'!Z$2:Z$114,SMALL(IF(('Base de données'!$B$2:$B$114&lt;&gt;"stock initial")*('Base de données'!$H$2:$H$114="laiton")*('Base de données'!$I$2:$I$114=$B$2)*('Base de données'!$J$2:$J$114=$B$3*1),ROW('Base de données'!$H$2:$H$114)-1),ROWS($1:7))),""))</f>
        <v>4.4689972277227721</v>
      </c>
      <c r="P13" s="20">
        <f t="shared" si="6"/>
        <v>0.51204204844340828</v>
      </c>
    </row>
    <row r="14" spans="1:16">
      <c r="A14" s="19" t="str">
        <f t="shared" si="0"/>
        <v/>
      </c>
      <c r="B14" s="114">
        <f t="array" ref="B14">IFERROR(INDEX('Base de données'!A$2:A$114,SMALL(IF(('Base de données'!$B$2:$B$114&lt;&gt;"stock initial")*('Base de données'!$H$2:$H$114="laiton")*('Base de données'!$I$2:$I$114=$B$2)*('Base de données'!$J$2:$J$114=$B$3*1),ROW('Base de données'!$H$2:$H$114)-1),ROWS($1:8))),"")</f>
        <v>201700095</v>
      </c>
      <c r="C14" s="109"/>
      <c r="D14" s="114">
        <f t="array" ref="D14">IFERROR(INDEX('Base de données'!C$2:C$114,SMALL(IF(('Base de données'!$B$2:$B$114&lt;&gt;"stock initial")*('Base de données'!$H$2:$H$114="laiton")*('Base de données'!$I$2:$I$114=$B$2)*('Base de données'!$J$2:$J$114=$B$3*1),ROW('Base de données'!$H$2:$H$114)-1),ROWS($1:8))),"")</f>
        <v>531288</v>
      </c>
      <c r="E14" s="110">
        <f t="array" ref="E14">IFERROR(INDEX('Base de données'!D$2:D$114,SMALL(IF(('Base de données'!$B$2:$B$114&lt;&gt;"stock initial")*('Base de données'!$H$2:$H$114="laiton")*('Base de données'!$I$2:$I$114=$B$2)*('Base de données'!$J$2:$J$114=$B$3*1),ROW('Base de données'!$H$2:$H$114)-1),ROWS($1:8))),"")</f>
        <v>43043</v>
      </c>
      <c r="F14" s="21" t="str">
        <f t="shared" si="1"/>
        <v>Laiton</v>
      </c>
      <c r="G14" s="21" t="str">
        <f t="shared" si="2"/>
        <v>rond</v>
      </c>
      <c r="H14" s="21">
        <f t="shared" si="3"/>
        <v>22</v>
      </c>
      <c r="I14" s="49">
        <f t="array" ref="I14">IF(AND($D14=0,$E14&lt;&gt;""),IFERROR(INDEX('Base de données'!T$2:T$114,SMALL(IF(('Base de données'!$B$2:$B$114&lt;&gt;"stock initial")*('Base de données'!$H$2:$H$114="laiton")*('Base de données'!$I$2:$I$114=$B$2)*('Base de données'!$J$2:$J$114=$B$3*1),ROW('Base de données'!$H$2:$H$114)-1),ROWS($1:8))),""),IF($E14="","",I13))</f>
        <v>1964</v>
      </c>
      <c r="J14" s="49">
        <f t="array" ref="J14">IF(D14=0,0,IFERROR(INDEX('Base de données'!S$2:S$114,SMALL(IF(('Base de données'!$B$2:$B$114&lt;&gt;"stock initial")*('Base de données'!$H$2:$H$114="laiton")*('Base de données'!$I$2:$I$114=$B$2)*('Base de données'!$J$2:$J$114=$B$3*1),ROW('Base de données'!$H$2:$H$114)-1),ROWS($1:8))),""))</f>
        <v>205.16759999999999</v>
      </c>
      <c r="K14" s="5">
        <v>146</v>
      </c>
      <c r="L14" s="22">
        <f t="shared" si="4"/>
        <v>0.48629947418598263</v>
      </c>
      <c r="M14" s="20">
        <f t="array" ref="M14">IF($D14=0,0,IFERROR(INDEX('Base de données'!X$2:X$114,SMALL(IF(('Base de données'!$B$2:$B$114&lt;&gt;"stock initial")*('Base de données'!$H$2:$H$114="laiton")*('Base de données'!$I$2:$I$114=$B$2)*('Base de données'!$J$2:$J$114=$B$3*1),ROW('Base de données'!$H$2:$H$114)-1),ROWS($1:8))),""))</f>
        <v>99.772896000000003</v>
      </c>
      <c r="N14" s="22">
        <f t="shared" si="5"/>
        <v>2.5742574257425745E-2</v>
      </c>
      <c r="O14" s="20">
        <f t="array" ref="O14">IF($D14=0,0,IFERROR(INDEX('Base de données'!Z$2:Z$114,SMALL(IF(('Base de données'!$B$2:$B$114&lt;&gt;"stock initial")*('Base de données'!$H$2:$H$114="laiton")*('Base de données'!$I$2:$I$114=$B$2)*('Base de données'!$J$2:$J$114=$B$3*1),ROW('Base de données'!$H$2:$H$114)-1),ROWS($1:8))),""))</f>
        <v>5.2815421782178218</v>
      </c>
      <c r="P14" s="20">
        <f t="shared" si="6"/>
        <v>0.51204204844340839</v>
      </c>
    </row>
    <row r="15" spans="1:16">
      <c r="A15" s="19">
        <f t="shared" si="0"/>
        <v>43067</v>
      </c>
      <c r="B15" s="114">
        <f t="array" ref="B15">IFERROR(INDEX('Base de données'!A$2:A$114,SMALL(IF(('Base de données'!$B$2:$B$114&lt;&gt;"stock initial")*('Base de données'!$H$2:$H$114="laiton")*('Base de données'!$I$2:$I$114=$B$2)*('Base de données'!$J$2:$J$114=$B$3*1),ROW('Base de données'!$H$2:$H$114)-1),ROWS($1:9))),"")</f>
        <v>0</v>
      </c>
      <c r="C15" s="109"/>
      <c r="D15" s="114">
        <f t="array" ref="D15">IFERROR(INDEX('Base de données'!C$2:C$114,SMALL(IF(('Base de données'!$B$2:$B$114&lt;&gt;"stock initial")*('Base de données'!$H$2:$H$114="laiton")*('Base de données'!$I$2:$I$114=$B$2)*('Base de données'!$J$2:$J$114=$B$3*1),ROW('Base de données'!$H$2:$H$114)-1),ROWS($1:9))),"")</f>
        <v>0</v>
      </c>
      <c r="E15" s="110">
        <f t="array" ref="E15">IFERROR(INDEX('Base de données'!D$2:D$114,SMALL(IF(('Base de données'!$B$2:$B$114&lt;&gt;"stock initial")*('Base de données'!$H$2:$H$114="laiton")*('Base de données'!$I$2:$I$114=$B$2)*('Base de données'!$J$2:$J$114=$B$3*1),ROW('Base de données'!$H$2:$H$114)-1),ROWS($1:9))),"")</f>
        <v>43067</v>
      </c>
      <c r="F15" s="21" t="str">
        <f t="shared" si="1"/>
        <v>Laiton</v>
      </c>
      <c r="G15" s="21" t="str">
        <f t="shared" si="2"/>
        <v>rond</v>
      </c>
      <c r="H15" s="21">
        <f t="shared" si="3"/>
        <v>22</v>
      </c>
      <c r="I15" s="49">
        <f t="array" ref="I15">IF(AND($D15=0,$E15&lt;&gt;""),IFERROR(INDEX('Base de données'!T$2:T$114,SMALL(IF(('Base de données'!$B$2:$B$114&lt;&gt;"stock initial")*('Base de données'!$H$2:$H$114="laiton")*('Base de données'!$I$2:$I$114=$B$2)*('Base de données'!$J$2:$J$114=$B$3*1),ROW('Base de données'!$H$2:$H$114)-1),ROWS($1:9))),""),IF($E15="","",I14))</f>
        <v>2548</v>
      </c>
      <c r="J15" s="49">
        <f t="array" ref="J15">IF(D15=0,0,IFERROR(INDEX('Base de données'!S$2:S$114,SMALL(IF(('Base de données'!$B$2:$B$114&lt;&gt;"stock initial")*('Base de données'!$H$2:$H$114="laiton")*('Base de données'!$I$2:$I$114=$B$2)*('Base de données'!$J$2:$J$114=$B$3*1),ROW('Base de données'!$H$2:$H$114)-1),ROWS($1:9))),""))</f>
        <v>0</v>
      </c>
      <c r="K15" s="5">
        <v>146</v>
      </c>
      <c r="L15" s="22" t="str">
        <f t="shared" si="4"/>
        <v/>
      </c>
      <c r="M15" s="20">
        <f t="array" ref="M15">IF($D15=0,0,IFERROR(INDEX('Base de données'!X$2:X$114,SMALL(IF(('Base de données'!$B$2:$B$114&lt;&gt;"stock initial")*('Base de données'!$H$2:$H$114="laiton")*('Base de données'!$I$2:$I$114=$B$2)*('Base de données'!$J$2:$J$114=$B$3*1),ROW('Base de données'!$H$2:$H$114)-1),ROWS($1:9))),""))</f>
        <v>0</v>
      </c>
      <c r="N15" s="22" t="str">
        <f t="shared" si="5"/>
        <v/>
      </c>
      <c r="O15" s="20">
        <f t="array" ref="O15">IF($D15=0,0,IFERROR(INDEX('Base de données'!Z$2:Z$114,SMALL(IF(('Base de données'!$B$2:$B$114&lt;&gt;"stock initial")*('Base de données'!$H$2:$H$114="laiton")*('Base de données'!$I$2:$I$114=$B$2)*('Base de données'!$J$2:$J$114=$B$3*1),ROW('Base de données'!$H$2:$H$114)-1),ROWS($1:9))),""))</f>
        <v>0</v>
      </c>
      <c r="P15" s="20" t="str">
        <f t="shared" si="6"/>
        <v/>
      </c>
    </row>
    <row r="16" spans="1:16">
      <c r="A16" s="19" t="str">
        <f t="shared" si="0"/>
        <v/>
      </c>
      <c r="B16" s="114">
        <f t="array" ref="B16">IFERROR(INDEX('Base de données'!A$2:A$114,SMALL(IF(('Base de données'!$B$2:$B$114&lt;&gt;"stock initial")*('Base de données'!$H$2:$H$114="laiton")*('Base de données'!$I$2:$I$114=$B$2)*('Base de données'!$J$2:$J$114=$B$3*1),ROW('Base de données'!$H$2:$H$114)-1),ROWS($1:10))),"")</f>
        <v>201800002</v>
      </c>
      <c r="C16" s="109"/>
      <c r="D16" s="114">
        <f t="array" ref="D16">IFERROR(INDEX('Base de données'!C$2:C$114,SMALL(IF(('Base de données'!$B$2:$B$114&lt;&gt;"stock initial")*('Base de données'!$H$2:$H$114="laiton")*('Base de données'!$I$2:$I$114=$B$2)*('Base de données'!$J$2:$J$114=$B$3*1),ROW('Base de données'!$H$2:$H$114)-1),ROWS($1:10))),"")</f>
        <v>532778</v>
      </c>
      <c r="E16" s="110">
        <f t="array" ref="E16">IFERROR(INDEX('Base de données'!D$2:D$114,SMALL(IF(('Base de données'!$B$2:$B$114&lt;&gt;"stock initial")*('Base de données'!$H$2:$H$114="laiton")*('Base de données'!$I$2:$I$114=$B$2)*('Base de données'!$J$2:$J$114=$B$3*1),ROW('Base de données'!$H$2:$H$114)-1),ROWS($1:10))),"")</f>
        <v>43113</v>
      </c>
      <c r="F16" s="21" t="str">
        <f t="shared" si="1"/>
        <v>Laiton</v>
      </c>
      <c r="G16" s="21" t="str">
        <f t="shared" si="2"/>
        <v>rond</v>
      </c>
      <c r="H16" s="21">
        <f t="shared" si="3"/>
        <v>22</v>
      </c>
      <c r="I16" s="49">
        <f t="array" ref="I16">IF(AND($D16=0,$E16&lt;&gt;""),IFERROR(INDEX('Base de données'!T$2:T$114,SMALL(IF(('Base de données'!$B$2:$B$114&lt;&gt;"stock initial")*('Base de données'!$H$2:$H$114="laiton")*('Base de données'!$I$2:$I$114=$B$2)*('Base de données'!$J$2:$J$114=$B$3*1),ROW('Base de données'!$H$2:$H$114)-1),ROWS($1:10))),""),IF($E16="","",I15))</f>
        <v>2548</v>
      </c>
      <c r="J16" s="49">
        <f t="array" ref="J16">IF(D16=0,0,IFERROR(INDEX('Base de données'!S$2:S$114,SMALL(IF(('Base de données'!$B$2:$B$114&lt;&gt;"stock initial")*('Base de données'!$H$2:$H$114="laiton")*('Base de données'!$I$2:$I$114=$B$2)*('Base de données'!$J$2:$J$114=$B$3*1),ROW('Base de données'!$H$2:$H$114)-1),ROWS($1:10))),""))</f>
        <v>299.86033846153845</v>
      </c>
      <c r="K16" s="5">
        <v>146</v>
      </c>
      <c r="L16" s="22">
        <f t="shared" si="4"/>
        <v>0.48629947418598257</v>
      </c>
      <c r="M16" s="20">
        <f t="array" ref="M16">IF($D16=0,0,IFERROR(INDEX('Base de données'!X$2:X$114,SMALL(IF(('Base de données'!$B$2:$B$114&lt;&gt;"stock initial")*('Base de données'!$H$2:$H$114="laiton")*('Base de données'!$I$2:$I$114=$B$2)*('Base de données'!$J$2:$J$114=$B$3*1),ROW('Base de données'!$H$2:$H$114)-1),ROWS($1:10))),""))</f>
        <v>145.82192492307692</v>
      </c>
      <c r="N16" s="22">
        <f t="shared" si="5"/>
        <v>2.5742574257425745E-2</v>
      </c>
      <c r="O16" s="20">
        <f t="array" ref="O16">IF($D16=0,0,IFERROR(INDEX('Base de données'!Z$2:Z$114,SMALL(IF(('Base de données'!$B$2:$B$114&lt;&gt;"stock initial")*('Base de données'!$H$2:$H$114="laiton")*('Base de données'!$I$2:$I$114=$B$2)*('Base de données'!$J$2:$J$114=$B$3*1),ROW('Base de données'!$H$2:$H$114)-1),ROWS($1:10))),""))</f>
        <v>7.71917702970297</v>
      </c>
      <c r="P16" s="20">
        <f t="shared" si="6"/>
        <v>0.51204204844340828</v>
      </c>
    </row>
    <row r="17" spans="1:16">
      <c r="A17" s="19" t="str">
        <f t="shared" si="0"/>
        <v/>
      </c>
      <c r="B17" s="114">
        <f t="array" ref="B17">IFERROR(INDEX('Base de données'!A$2:A$114,SMALL(IF(('Base de données'!$B$2:$B$114&lt;&gt;"stock initial")*('Base de données'!$H$2:$H$114="laiton")*('Base de données'!$I$2:$I$114=$B$2)*('Base de données'!$J$2:$J$114=$B$3*1),ROW('Base de données'!$H$2:$H$114)-1),ROWS($1:11))),"")</f>
        <v>201800011</v>
      </c>
      <c r="C17" s="109"/>
      <c r="D17" s="114">
        <f t="array" ref="D17">IFERROR(INDEX('Base de données'!C$2:C$114,SMALL(IF(('Base de données'!$B$2:$B$114&lt;&gt;"stock initial")*('Base de données'!$H$2:$H$114="laiton")*('Base de données'!$I$2:$I$114=$B$2)*('Base de données'!$J$2:$J$114=$B$3*1),ROW('Base de données'!$H$2:$H$114)-1),ROWS($1:11))),"")</f>
        <v>533503</v>
      </c>
      <c r="E17" s="110">
        <f t="array" ref="E17">IFERROR(INDEX('Base de données'!D$2:D$114,SMALL(IF(('Base de données'!$B$2:$B$114&lt;&gt;"stock initial")*('Base de données'!$H$2:$H$114="laiton")*('Base de données'!$I$2:$I$114=$B$2)*('Base de données'!$J$2:$J$114=$B$3*1),ROW('Base de données'!$H$2:$H$114)-1),ROWS($1:11))),"")</f>
        <v>43148</v>
      </c>
      <c r="F17" s="21" t="str">
        <f t="shared" si="1"/>
        <v>Laiton</v>
      </c>
      <c r="G17" s="21" t="str">
        <f t="shared" si="2"/>
        <v>rond</v>
      </c>
      <c r="H17" s="21">
        <f t="shared" si="3"/>
        <v>22</v>
      </c>
      <c r="I17" s="49">
        <f t="array" ref="I17">IF(AND($D17=0,$E17&lt;&gt;""),IFERROR(INDEX('Base de données'!T$2:T$114,SMALL(IF(('Base de données'!$B$2:$B$114&lt;&gt;"stock initial")*('Base de données'!$H$2:$H$114="laiton")*('Base de données'!$I$2:$I$114=$B$2)*('Base de données'!$J$2:$J$114=$B$3*1),ROW('Base de données'!$H$2:$H$114)-1),ROWS($1:11))),""),IF($E17="","",I16))</f>
        <v>2548</v>
      </c>
      <c r="J17" s="49">
        <f t="array" ref="J17">IF(D17=0,0,IFERROR(INDEX('Base de données'!S$2:S$114,SMALL(IF(('Base de données'!$B$2:$B$114&lt;&gt;"stock initial")*('Base de données'!$H$2:$H$114="laiton")*('Base de données'!$I$2:$I$114=$B$2)*('Base de données'!$J$2:$J$114=$B$3*1),ROW('Base de données'!$H$2:$H$114)-1),ROWS($1:11))),""))</f>
        <v>86.801676923076926</v>
      </c>
      <c r="K17" s="5">
        <v>146</v>
      </c>
      <c r="L17" s="22">
        <f t="shared" si="4"/>
        <v>0.48629947418598257</v>
      </c>
      <c r="M17" s="20">
        <f t="array" ref="M17">IF($D17=0,0,IFERROR(INDEX('Base de données'!X$2:X$114,SMALL(IF(('Base de données'!$B$2:$B$114&lt;&gt;"stock initial")*('Base de données'!$H$2:$H$114="laiton")*('Base de données'!$I$2:$I$114=$B$2)*('Base de données'!$J$2:$J$114=$B$3*1),ROW('Base de données'!$H$2:$H$114)-1),ROWS($1:11))),""))</f>
        <v>42.211609846153848</v>
      </c>
      <c r="N17" s="22">
        <f t="shared" si="5"/>
        <v>2.5742574257425741E-2</v>
      </c>
      <c r="O17" s="20">
        <f t="array" ref="O17">IF($D17=0,0,IFERROR(INDEX('Base de données'!Z$2:Z$114,SMALL(IF(('Base de données'!$B$2:$B$114&lt;&gt;"stock initial")*('Base de données'!$H$2:$H$114="laiton")*('Base de données'!$I$2:$I$114=$B$2)*('Base de données'!$J$2:$J$114=$B$3*1),ROW('Base de données'!$H$2:$H$114)-1),ROWS($1:11))),""))</f>
        <v>2.234498613861386</v>
      </c>
      <c r="P17" s="20">
        <f t="shared" si="6"/>
        <v>0.51204204844340828</v>
      </c>
    </row>
    <row r="18" spans="1:16">
      <c r="A18" s="19" t="str">
        <f t="shared" si="0"/>
        <v/>
      </c>
      <c r="B18" s="114">
        <f t="array" ref="B18">IFERROR(INDEX('Base de données'!A$2:A$114,SMALL(IF(('Base de données'!$B$2:$B$114&lt;&gt;"stock initial")*('Base de données'!$H$2:$H$114="laiton")*('Base de données'!$I$2:$I$114=$B$2)*('Base de données'!$J$2:$J$114=$B$3*1),ROW('Base de données'!$H$2:$H$114)-1),ROWS($1:12))),"")</f>
        <v>201800023</v>
      </c>
      <c r="C18" s="109"/>
      <c r="D18" s="114">
        <f t="array" ref="D18">IFERROR(INDEX('Base de données'!C$2:C$114,SMALL(IF(('Base de données'!$B$2:$B$114&lt;&gt;"stock initial")*('Base de données'!$H$2:$H$114="laiton")*('Base de données'!$I$2:$I$114=$B$2)*('Base de données'!$J$2:$J$114=$B$3*1),ROW('Base de données'!$H$2:$H$114)-1),ROWS($1:12))),"")</f>
        <v>534593</v>
      </c>
      <c r="E18" s="110">
        <f t="array" ref="E18">IFERROR(INDEX('Base de données'!D$2:D$114,SMALL(IF(('Base de données'!$B$2:$B$114&lt;&gt;"stock initial")*('Base de données'!$H$2:$H$114="laiton")*('Base de données'!$I$2:$I$114=$B$2)*('Base de données'!$J$2:$J$114=$B$3*1),ROW('Base de données'!$H$2:$H$114)-1),ROWS($1:12))),"")</f>
        <v>43194</v>
      </c>
      <c r="F18" s="21" t="str">
        <f t="shared" si="1"/>
        <v>Laiton</v>
      </c>
      <c r="G18" s="21" t="str">
        <f t="shared" si="2"/>
        <v>rond</v>
      </c>
      <c r="H18" s="21">
        <f t="shared" si="3"/>
        <v>22</v>
      </c>
      <c r="I18" s="49">
        <f t="array" ref="I18">IF(AND($D18=0,$E18&lt;&gt;""),IFERROR(INDEX('Base de données'!T$2:T$114,SMALL(IF(('Base de données'!$B$2:$B$114&lt;&gt;"stock initial")*('Base de données'!$H$2:$H$114="laiton")*('Base de données'!$I$2:$I$114=$B$2)*('Base de données'!$J$2:$J$114=$B$3*1),ROW('Base de données'!$H$2:$H$114)-1),ROWS($1:12))),""),IF($E18="","",I17))</f>
        <v>2548</v>
      </c>
      <c r="J18" s="49">
        <f t="array" ref="J18">IF(D18=0,0,IFERROR(INDEX('Base de données'!S$2:S$114,SMALL(IF(('Base de données'!$B$2:$B$114&lt;&gt;"stock initial")*('Base de données'!$H$2:$H$114="laiton")*('Base de données'!$I$2:$I$114=$B$2)*('Base de données'!$J$2:$J$114=$B$3*1),ROW('Base de données'!$H$2:$H$114)-1),ROWS($1:12))),""))</f>
        <v>426.11732307692307</v>
      </c>
      <c r="K18" s="5">
        <v>146</v>
      </c>
      <c r="L18" s="22">
        <f t="shared" si="4"/>
        <v>0.48629947418598263</v>
      </c>
      <c r="M18" s="20">
        <f t="array" ref="M18">IF($D18=0,0,IFERROR(INDEX('Base de données'!X$2:X$114,SMALL(IF(('Base de données'!$B$2:$B$114&lt;&gt;"stock initial")*('Base de données'!$H$2:$H$114="laiton")*('Base de données'!$I$2:$I$114=$B$2)*('Base de données'!$J$2:$J$114=$B$3*1),ROW('Base de données'!$H$2:$H$114)-1),ROWS($1:12))),""))</f>
        <v>207.22063015384617</v>
      </c>
      <c r="N18" s="22">
        <f t="shared" si="5"/>
        <v>2.5742574257425741E-2</v>
      </c>
      <c r="O18" s="20">
        <f t="array" ref="O18">IF($D18=0,0,IFERROR(INDEX('Base de données'!Z$2:Z$114,SMALL(IF(('Base de données'!$B$2:$B$114&lt;&gt;"stock initial")*('Base de données'!$H$2:$H$114="laiton")*('Base de données'!$I$2:$I$114=$B$2)*('Base de données'!$J$2:$J$114=$B$3*1),ROW('Base de données'!$H$2:$H$114)-1),ROWS($1:12))),""))</f>
        <v>10.969356831683168</v>
      </c>
      <c r="P18" s="20">
        <f t="shared" si="6"/>
        <v>0.51204204844340839</v>
      </c>
    </row>
    <row r="19" spans="1:16">
      <c r="A19" s="19" t="str">
        <f t="shared" si="0"/>
        <v/>
      </c>
      <c r="B19" s="114">
        <f t="array" ref="B19">IFERROR(INDEX('Base de données'!A$2:A$114,SMALL(IF(('Base de données'!$B$2:$B$114&lt;&gt;"stock initial")*('Base de données'!$H$2:$H$114="laiton")*('Base de données'!$I$2:$I$114=$B$2)*('Base de données'!$J$2:$J$114=$B$3*1),ROW('Base de données'!$H$2:$H$114)-1),ROWS($1:13))),"")</f>
        <v>201800033</v>
      </c>
      <c r="C19" s="109"/>
      <c r="D19" s="114">
        <f t="array" ref="D19">IFERROR(INDEX('Base de données'!C$2:C$114,SMALL(IF(('Base de données'!$B$2:$B$114&lt;&gt;"stock initial")*('Base de données'!$H$2:$H$114="laiton")*('Base de données'!$I$2:$I$114=$B$2)*('Base de données'!$J$2:$J$114=$B$3*1),ROW('Base de données'!$H$2:$H$114)-1),ROWS($1:13))),"")</f>
        <v>535277</v>
      </c>
      <c r="E19" s="110">
        <f t="array" ref="E19">IFERROR(INDEX('Base de données'!D$2:D$114,SMALL(IF(('Base de données'!$B$2:$B$114&lt;&gt;"stock initial")*('Base de données'!$H$2:$H$114="laiton")*('Base de données'!$I$2:$I$114=$B$2)*('Base de données'!$J$2:$J$114=$B$3*1),ROW('Base de données'!$H$2:$H$114)-1),ROWS($1:13))),"")</f>
        <v>43217</v>
      </c>
      <c r="F19" s="21" t="str">
        <f t="shared" si="1"/>
        <v>Laiton</v>
      </c>
      <c r="G19" s="21" t="str">
        <f t="shared" si="2"/>
        <v>rond</v>
      </c>
      <c r="H19" s="21">
        <f t="shared" si="3"/>
        <v>22</v>
      </c>
      <c r="I19" s="49">
        <f t="array" ref="I19">IF(AND($D19=0,$E19&lt;&gt;""),IFERROR(INDEX('Base de données'!T$2:T$114,SMALL(IF(('Base de données'!$B$2:$B$114&lt;&gt;"stock initial")*('Base de données'!$H$2:$H$114="laiton")*('Base de données'!$I$2:$I$114=$B$2)*('Base de données'!$J$2:$J$114=$B$3*1),ROW('Base de données'!$H$2:$H$114)-1),ROWS($1:13))),""),IF($E19="","",I18))</f>
        <v>2548</v>
      </c>
      <c r="J19" s="49">
        <f t="array" ref="J19">IF(D19=0,0,IFERROR(INDEX('Base de données'!S$2:S$114,SMALL(IF(('Base de données'!$B$2:$B$114&lt;&gt;"stock initial")*('Base de données'!$H$2:$H$114="laiton")*('Base de données'!$I$2:$I$114=$B$2)*('Base de données'!$J$2:$J$114=$B$3*1),ROW('Base de données'!$H$2:$H$114)-1),ROWS($1:13))),""))</f>
        <v>189.38547692307694</v>
      </c>
      <c r="K19" s="5">
        <v>146</v>
      </c>
      <c r="L19" s="22">
        <f t="shared" si="4"/>
        <v>0.48629947418598257</v>
      </c>
      <c r="M19" s="20">
        <f t="array" ref="M19">IF($D19=0,0,IFERROR(INDEX('Base de données'!X$2:X$114,SMALL(IF(('Base de données'!$B$2:$B$114&lt;&gt;"stock initial")*('Base de données'!$H$2:$H$114="laiton")*('Base de données'!$I$2:$I$114=$B$2)*('Base de données'!$J$2:$J$114=$B$3*1),ROW('Base de données'!$H$2:$H$114)-1),ROWS($1:13))),""))</f>
        <v>92.09805784615385</v>
      </c>
      <c r="N19" s="22">
        <f t="shared" si="5"/>
        <v>2.5742574257425738E-2</v>
      </c>
      <c r="O19" s="20">
        <f t="array" ref="O19">IF($D19=0,0,IFERROR(INDEX('Base de données'!Z$2:Z$114,SMALL(IF(('Base de données'!$B$2:$B$114&lt;&gt;"stock initial")*('Base de données'!$H$2:$H$114="laiton")*('Base de données'!$I$2:$I$114=$B$2)*('Base de données'!$J$2:$J$114=$B$3*1),ROW('Base de données'!$H$2:$H$114)-1),ROWS($1:13))),""))</f>
        <v>4.8752697029702965</v>
      </c>
      <c r="P19" s="20">
        <f t="shared" si="6"/>
        <v>0.51204204844340828</v>
      </c>
    </row>
    <row r="20" spans="1:16">
      <c r="A20" s="19" t="str">
        <f t="shared" si="0"/>
        <v/>
      </c>
      <c r="B20" s="114">
        <f t="array" ref="B20">IFERROR(INDEX('Base de données'!A$2:A$114,SMALL(IF(('Base de données'!$B$2:$B$114&lt;&gt;"stock initial")*('Base de données'!$H$2:$H$114="laiton")*('Base de données'!$I$2:$I$114=$B$2)*('Base de données'!$J$2:$J$114=$B$3*1),ROW('Base de données'!$H$2:$H$114)-1),ROWS($1:14))),"")</f>
        <v>201800048</v>
      </c>
      <c r="C20" s="109"/>
      <c r="D20" s="114">
        <f t="array" ref="D20">IFERROR(INDEX('Base de données'!C$2:C$114,SMALL(IF(('Base de données'!$B$2:$B$114&lt;&gt;"stock initial")*('Base de données'!$H$2:$H$114="laiton")*('Base de données'!$I$2:$I$114=$B$2)*('Base de données'!$J$2:$J$114=$B$3*1),ROW('Base de données'!$H$2:$H$114)-1),ROWS($1:14))),"")</f>
        <v>536321</v>
      </c>
      <c r="E20" s="110">
        <f t="array" ref="E20">IFERROR(INDEX('Base de données'!D$2:D$114,SMALL(IF(('Base de données'!$B$2:$B$114&lt;&gt;"stock initial")*('Base de données'!$H$2:$H$114="laiton")*('Base de données'!$I$2:$I$114=$B$2)*('Base de données'!$J$2:$J$114=$B$3*1),ROW('Base de données'!$H$2:$H$114)-1),ROWS($1:14))),"")</f>
        <v>43263</v>
      </c>
      <c r="F20" s="21" t="str">
        <f t="shared" si="1"/>
        <v>Laiton</v>
      </c>
      <c r="G20" s="21" t="str">
        <f t="shared" si="2"/>
        <v>rond</v>
      </c>
      <c r="H20" s="21">
        <f t="shared" si="3"/>
        <v>22</v>
      </c>
      <c r="I20" s="49">
        <f t="array" ref="I20">IF(AND($D20=0,$E20&lt;&gt;""),IFERROR(INDEX('Base de données'!T$2:T$114,SMALL(IF(('Base de données'!$B$2:$B$114&lt;&gt;"stock initial")*('Base de données'!$H$2:$H$114="laiton")*('Base de données'!$I$2:$I$114=$B$2)*('Base de données'!$J$2:$J$114=$B$3*1),ROW('Base de données'!$H$2:$H$114)-1),ROWS($1:14))),""),IF($E20="","",I19))</f>
        <v>2548</v>
      </c>
      <c r="J20" s="49">
        <f t="array" ref="J20">IF(D20=0,0,IFERROR(INDEX('Base de données'!S$2:S$114,SMALL(IF(('Base de données'!$B$2:$B$114&lt;&gt;"stock initial")*('Base de données'!$H$2:$H$114="laiton")*('Base de données'!$I$2:$I$114=$B$2)*('Base de données'!$J$2:$J$114=$B$3*1),ROW('Base de données'!$H$2:$H$114)-1),ROWS($1:14))),""))</f>
        <v>157.82123076923077</v>
      </c>
      <c r="K20" s="5">
        <v>146</v>
      </c>
      <c r="L20" s="22">
        <f t="shared" si="4"/>
        <v>0.48629947418598263</v>
      </c>
      <c r="M20" s="20">
        <f t="array" ref="M20">IF($D20=0,0,IFERROR(INDEX('Base de données'!X$2:X$114,SMALL(IF(('Base de données'!$B$2:$B$114&lt;&gt;"stock initial")*('Base de données'!$H$2:$H$114="laiton")*('Base de données'!$I$2:$I$114=$B$2)*('Base de données'!$J$2:$J$114=$B$3*1),ROW('Base de données'!$H$2:$H$114)-1),ROWS($1:14))),""))</f>
        <v>76.748381538461544</v>
      </c>
      <c r="N20" s="22">
        <f t="shared" si="5"/>
        <v>2.5742574257425745E-2</v>
      </c>
      <c r="O20" s="20">
        <f t="array" ref="O20">IF($D20=0,0,IFERROR(INDEX('Base de données'!Z$2:Z$114,SMALL(IF(('Base de données'!$B$2:$B$114&lt;&gt;"stock initial")*('Base de données'!$H$2:$H$114="laiton")*('Base de données'!$I$2:$I$114=$B$2)*('Base de données'!$J$2:$J$114=$B$3*1),ROW('Base de données'!$H$2:$H$114)-1),ROWS($1:14))),""))</f>
        <v>4.0627247524752477</v>
      </c>
      <c r="P20" s="20">
        <f t="shared" si="6"/>
        <v>0.51204204844340839</v>
      </c>
    </row>
    <row r="21" spans="1:16">
      <c r="A21" s="19" t="str">
        <f t="shared" si="0"/>
        <v/>
      </c>
      <c r="B21" s="114">
        <f t="array" ref="B21">IFERROR(INDEX('Base de données'!A$2:A$114,SMALL(IF(('Base de données'!$B$2:$B$114&lt;&gt;"stock initial")*('Base de données'!$H$2:$H$114="laiton")*('Base de données'!$I$2:$I$114=$B$2)*('Base de données'!$J$2:$J$114=$B$3*1),ROW('Base de données'!$H$2:$H$114)-1),ROWS($1:15))),"")</f>
        <v>201800056</v>
      </c>
      <c r="C21" s="109"/>
      <c r="D21" s="114">
        <f t="array" ref="D21">IFERROR(INDEX('Base de données'!C$2:C$114,SMALL(IF(('Base de données'!$B$2:$B$114&lt;&gt;"stock initial")*('Base de données'!$H$2:$H$114="laiton")*('Base de données'!$I$2:$I$114=$B$2)*('Base de données'!$J$2:$J$114=$B$3*1),ROW('Base de données'!$H$2:$H$114)-1),ROWS($1:15))),"")</f>
        <v>537031</v>
      </c>
      <c r="E21" s="110">
        <f t="array" ref="E21">IFERROR(INDEX('Base de données'!D$2:D$114,SMALL(IF(('Base de données'!$B$2:$B$114&lt;&gt;"stock initial")*('Base de données'!$H$2:$H$114="laiton")*('Base de données'!$I$2:$I$114=$B$2)*('Base de données'!$J$2:$J$114=$B$3*1),ROW('Base de données'!$H$2:$H$114)-1),ROWS($1:15))),"")</f>
        <v>43297</v>
      </c>
      <c r="F21" s="21" t="str">
        <f t="shared" si="1"/>
        <v>Laiton</v>
      </c>
      <c r="G21" s="21" t="str">
        <f t="shared" si="2"/>
        <v>rond</v>
      </c>
      <c r="H21" s="21">
        <f t="shared" si="3"/>
        <v>22</v>
      </c>
      <c r="I21" s="49">
        <f t="array" ref="I21">IF(AND($D21=0,$E21&lt;&gt;""),IFERROR(INDEX('Base de données'!T$2:T$114,SMALL(IF(('Base de données'!$B$2:$B$114&lt;&gt;"stock initial")*('Base de données'!$H$2:$H$114="laiton")*('Base de données'!$I$2:$I$114=$B$2)*('Base de données'!$J$2:$J$114=$B$3*1),ROW('Base de données'!$H$2:$H$114)-1),ROWS($1:15))),""),IF($E21="","",I20))</f>
        <v>2548</v>
      </c>
      <c r="J21" s="49">
        <f t="array" ref="J21">IF(D21=0,0,IFERROR(INDEX('Base de données'!S$2:S$114,SMALL(IF(('Base de données'!$B$2:$B$114&lt;&gt;"stock initial")*('Base de données'!$H$2:$H$114="laiton")*('Base de données'!$I$2:$I$114=$B$2)*('Base de données'!$J$2:$J$114=$B$3*1),ROW('Base de données'!$H$2:$H$114)-1),ROWS($1:15))),""))</f>
        <v>244.62290769230771</v>
      </c>
      <c r="K21" s="5">
        <v>146</v>
      </c>
      <c r="L21" s="22">
        <f t="shared" si="4"/>
        <v>0.48629947418598257</v>
      </c>
      <c r="M21" s="20">
        <f t="array" ref="M21">IF($D21=0,0,IFERROR(INDEX('Base de données'!X$2:X$114,SMALL(IF(('Base de données'!$B$2:$B$114&lt;&gt;"stock initial")*('Base de données'!$H$2:$H$114="laiton")*('Base de données'!$I$2:$I$114=$B$2)*('Base de données'!$J$2:$J$114=$B$3*1),ROW('Base de données'!$H$2:$H$114)-1),ROWS($1:15))),""))</f>
        <v>118.95999138461539</v>
      </c>
      <c r="N21" s="22">
        <f t="shared" si="5"/>
        <v>2.5742574257425738E-2</v>
      </c>
      <c r="O21" s="20">
        <f t="array" ref="O21">IF($D21=0,0,IFERROR(INDEX('Base de données'!Z$2:Z$114,SMALL(IF(('Base de données'!$B$2:$B$114&lt;&gt;"stock initial")*('Base de données'!$H$2:$H$114="laiton")*('Base de données'!$I$2:$I$114=$B$2)*('Base de données'!$J$2:$J$114=$B$3*1),ROW('Base de données'!$H$2:$H$114)-1),ROWS($1:15))),""))</f>
        <v>6.2972233663366328</v>
      </c>
      <c r="P21" s="20">
        <f t="shared" si="6"/>
        <v>0.51204204844340839</v>
      </c>
    </row>
    <row r="22" spans="1:16">
      <c r="A22" s="19" t="str">
        <f t="shared" si="0"/>
        <v/>
      </c>
      <c r="B22" s="114">
        <f t="array" ref="B22">IFERROR(INDEX('Base de données'!A$2:A$114,SMALL(IF(('Base de données'!$B$2:$B$114&lt;&gt;"stock initial")*('Base de données'!$H$2:$H$114="laiton")*('Base de données'!$I$2:$I$114=$B$2)*('Base de données'!$J$2:$J$114=$B$3*1),ROW('Base de données'!$H$2:$H$114)-1),ROWS($1:16))),"")</f>
        <v>201800081</v>
      </c>
      <c r="C22" s="109"/>
      <c r="D22" s="114">
        <f t="array" ref="D22">IFERROR(INDEX('Base de données'!C$2:C$114,SMALL(IF(('Base de données'!$B$2:$B$114&lt;&gt;"stock initial")*('Base de données'!$H$2:$H$114="laiton")*('Base de données'!$I$2:$I$114=$B$2)*('Base de données'!$J$2:$J$114=$B$3*1),ROW('Base de données'!$H$2:$H$114)-1),ROWS($1:16))),"")</f>
        <v>539116</v>
      </c>
      <c r="E22" s="110">
        <f t="array" ref="E22">IFERROR(INDEX('Base de données'!D$2:D$114,SMALL(IF(('Base de données'!$B$2:$B$114&lt;&gt;"stock initial")*('Base de données'!$H$2:$H$114="laiton")*('Base de données'!$I$2:$I$114=$B$2)*('Base de données'!$J$2:$J$114=$B$3*1),ROW('Base de données'!$H$2:$H$114)-1),ROWS($1:16))),"")</f>
        <v>43412</v>
      </c>
      <c r="F22" s="21" t="str">
        <f t="shared" si="1"/>
        <v>Laiton</v>
      </c>
      <c r="G22" s="21" t="str">
        <f t="shared" si="2"/>
        <v>rond</v>
      </c>
      <c r="H22" s="21">
        <f t="shared" si="3"/>
        <v>22</v>
      </c>
      <c r="I22" s="49">
        <f t="array" ref="I22">IF(AND($D22=0,$E22&lt;&gt;""),IFERROR(INDEX('Base de données'!T$2:T$114,SMALL(IF(('Base de données'!$B$2:$B$114&lt;&gt;"stock initial")*('Base de données'!$H$2:$H$114="laiton")*('Base de données'!$I$2:$I$114=$B$2)*('Base de données'!$J$2:$J$114=$B$3*1),ROW('Base de données'!$H$2:$H$114)-1),ROWS($1:16))),""),IF($E22="","",I21))</f>
        <v>2548</v>
      </c>
      <c r="J22" s="49">
        <f t="array" ref="J22">IF(D22=0,0,IFERROR(INDEX('Base de données'!S$2:S$114,SMALL(IF(('Base de données'!$B$2:$B$114&lt;&gt;"stock initial")*('Base de données'!$H$2:$H$114="laiton")*('Base de données'!$I$2:$I$114=$B$2)*('Base de données'!$J$2:$J$114=$B$3*1),ROW('Base de données'!$H$2:$H$114)-1),ROWS($1:16))),""))</f>
        <v>268.29609230769233</v>
      </c>
      <c r="K22" s="5">
        <v>146</v>
      </c>
      <c r="L22" s="22">
        <f t="shared" si="4"/>
        <v>0.48629947418598252</v>
      </c>
      <c r="M22" s="20">
        <f t="array" ref="M22">IF($D22=0,0,IFERROR(INDEX('Base de données'!X$2:X$114,SMALL(IF(('Base de données'!$B$2:$B$114&lt;&gt;"stock initial")*('Base de données'!$H$2:$H$114="laiton")*('Base de données'!$I$2:$I$114=$B$2)*('Base de données'!$J$2:$J$114=$B$3*1),ROW('Base de données'!$H$2:$H$114)-1),ROWS($1:16))),""))</f>
        <v>130.47224861538461</v>
      </c>
      <c r="N22" s="22">
        <f t="shared" si="5"/>
        <v>2.5742574257425738E-2</v>
      </c>
      <c r="O22" s="20">
        <f t="array" ref="O22">IF($D22=0,0,IFERROR(INDEX('Base de données'!Z$2:Z$114,SMALL(IF(('Base de données'!$B$2:$B$114&lt;&gt;"stock initial")*('Base de données'!$H$2:$H$114="laiton")*('Base de données'!$I$2:$I$114=$B$2)*('Base de données'!$J$2:$J$114=$B$3*1),ROW('Base de données'!$H$2:$H$114)-1),ROWS($1:16))),""))</f>
        <v>6.9066320792079203</v>
      </c>
      <c r="P22" s="20">
        <f t="shared" si="6"/>
        <v>0.51204204844340828</v>
      </c>
    </row>
    <row r="23" spans="1:16">
      <c r="A23" s="19" t="str">
        <f t="shared" si="0"/>
        <v/>
      </c>
      <c r="B23" s="114">
        <f t="array" ref="B23">IFERROR(INDEX('Base de données'!A$2:A$114,SMALL(IF(('Base de données'!$B$2:$B$114&lt;&gt;"stock initial")*('Base de données'!$H$2:$H$114="laiton")*('Base de données'!$I$2:$I$114=$B$2)*('Base de données'!$J$2:$J$114=$B$3*1),ROW('Base de données'!$H$2:$H$114)-1),ROWS($1:17))),"")</f>
        <v>201800087</v>
      </c>
      <c r="C23" s="109"/>
      <c r="D23" s="114">
        <f t="array" ref="D23">IFERROR(INDEX('Base de données'!C$2:C$114,SMALL(IF(('Base de données'!$B$2:$B$114&lt;&gt;"stock initial")*('Base de données'!$H$2:$H$114="laiton")*('Base de données'!$I$2:$I$114=$B$2)*('Base de données'!$J$2:$J$114=$B$3*1),ROW('Base de données'!$H$2:$H$114)-1),ROWS($1:17))),"")</f>
        <v>539596</v>
      </c>
      <c r="E23" s="110">
        <f t="array" ref="E23">IFERROR(INDEX('Base de données'!D$2:D$114,SMALL(IF(('Base de données'!$B$2:$B$114&lt;&gt;"stock initial")*('Base de données'!$H$2:$H$114="laiton")*('Base de données'!$I$2:$I$114=$B$2)*('Base de données'!$J$2:$J$114=$B$3*1),ROW('Base de données'!$H$2:$H$114)-1),ROWS($1:17))),"")</f>
        <v>43435</v>
      </c>
      <c r="F23" s="21" t="str">
        <f t="shared" si="1"/>
        <v>Laiton</v>
      </c>
      <c r="G23" s="21" t="str">
        <f t="shared" si="2"/>
        <v>rond</v>
      </c>
      <c r="H23" s="21">
        <f t="shared" si="3"/>
        <v>22</v>
      </c>
      <c r="I23" s="49">
        <f t="array" ref="I23">IF(AND($D23=0,$E23&lt;&gt;""),IFERROR(INDEX('Base de données'!T$2:T$114,SMALL(IF(('Base de données'!$B$2:$B$114&lt;&gt;"stock initial")*('Base de données'!$H$2:$H$114="laiton")*('Base de données'!$I$2:$I$114=$B$2)*('Base de données'!$J$2:$J$114=$B$3*1),ROW('Base de données'!$H$2:$H$114)-1),ROWS($1:17))),""),IF($E23="","",I22))</f>
        <v>2548</v>
      </c>
      <c r="J23" s="49">
        <f t="array" ref="J23">IF(D23=0,0,IFERROR(INDEX('Base de données'!S$2:S$114,SMALL(IF(('Base de données'!$B$2:$B$114&lt;&gt;"stock initial")*('Base de données'!$H$2:$H$114="laiton")*('Base de données'!$I$2:$I$114=$B$2)*('Base de données'!$J$2:$J$114=$B$3*1),ROW('Base de données'!$H$2:$H$114)-1),ROWS($1:17))),""))</f>
        <v>228.84078461538462</v>
      </c>
      <c r="K23" s="5">
        <v>146</v>
      </c>
      <c r="L23" s="22">
        <f t="shared" si="4"/>
        <v>0.48629947418598263</v>
      </c>
      <c r="M23" s="20">
        <f t="array" ref="M23">IF($D23=0,0,IFERROR(INDEX('Base de données'!X$2:X$114,SMALL(IF(('Base de données'!$B$2:$B$114&lt;&gt;"stock initial")*('Base de données'!$H$2:$H$114="laiton")*('Base de données'!$I$2:$I$114=$B$2)*('Base de données'!$J$2:$J$114=$B$3*1),ROW('Base de données'!$H$2:$H$114)-1),ROWS($1:17))),""))</f>
        <v>111.28515323076924</v>
      </c>
      <c r="N23" s="22">
        <f t="shared" si="5"/>
        <v>2.5742574257425741E-2</v>
      </c>
      <c r="O23" s="20">
        <f t="array" ref="O23">IF($D23=0,0,IFERROR(INDEX('Base de données'!Z$2:Z$114,SMALL(IF(('Base de données'!$B$2:$B$114&lt;&gt;"stock initial")*('Base de données'!$H$2:$H$114="laiton")*('Base de données'!$I$2:$I$114=$B$2)*('Base de données'!$J$2:$J$114=$B$3*1),ROW('Base de données'!$H$2:$H$114)-1),ROWS($1:17))),""))</f>
        <v>5.8909508910891084</v>
      </c>
      <c r="P23" s="20">
        <f t="shared" si="6"/>
        <v>0.51204204844340828</v>
      </c>
    </row>
    <row r="24" spans="1:16">
      <c r="A24" s="19" t="str">
        <f t="shared" si="0"/>
        <v/>
      </c>
      <c r="B24" s="114">
        <f t="array" ref="B24">IFERROR(INDEX('Base de données'!A$2:A$114,SMALL(IF(('Base de données'!$B$2:$B$114&lt;&gt;"stock initial")*('Base de données'!$H$2:$H$114="laiton")*('Base de données'!$I$2:$I$114=$B$2)*('Base de données'!$J$2:$J$114=$B$3*1),ROW('Base de données'!$H$2:$H$114)-1),ROWS($1:18))),"")</f>
        <v>201900001</v>
      </c>
      <c r="C24" s="109"/>
      <c r="D24" s="114">
        <f t="array" ref="D24">IFERROR(INDEX('Base de données'!C$2:C$114,SMALL(IF(('Base de données'!$B$2:$B$114&lt;&gt;"stock initial")*('Base de données'!$H$2:$H$114="laiton")*('Base de données'!$I$2:$I$114=$B$2)*('Base de données'!$J$2:$J$114=$B$3*1),ROW('Base de données'!$H$2:$H$114)-1),ROWS($1:18))),"")</f>
        <v>540757</v>
      </c>
      <c r="E24" s="110">
        <f t="array" ref="E24">IFERROR(INDEX('Base de données'!D$2:D$114,SMALL(IF(('Base de données'!$B$2:$B$114&lt;&gt;"stock initial")*('Base de données'!$H$2:$H$114="laiton")*('Base de données'!$I$2:$I$114=$B$2)*('Base de données'!$J$2:$J$114=$B$3*1),ROW('Base de données'!$H$2:$H$114)-1),ROWS($1:18))),"")</f>
        <v>43491</v>
      </c>
      <c r="F24" s="21" t="str">
        <f t="shared" si="1"/>
        <v>Laiton</v>
      </c>
      <c r="G24" s="21" t="str">
        <f t="shared" si="2"/>
        <v>rond</v>
      </c>
      <c r="H24" s="21">
        <f t="shared" si="3"/>
        <v>22</v>
      </c>
      <c r="I24" s="49">
        <f t="array" ref="I24">IF(AND($D24=0,$E24&lt;&gt;""),IFERROR(INDEX('Base de données'!T$2:T$114,SMALL(IF(('Base de données'!$B$2:$B$114&lt;&gt;"stock initial")*('Base de données'!$H$2:$H$114="laiton")*('Base de données'!$I$2:$I$114=$B$2)*('Base de données'!$J$2:$J$114=$B$3*1),ROW('Base de données'!$H$2:$H$114)-1),ROWS($1:18))),""),IF($E24="","",I23))</f>
        <v>2548</v>
      </c>
      <c r="J24" s="49">
        <f t="array" ref="J24">IF(D24=0,0,IFERROR(INDEX('Base de données'!S$2:S$114,SMALL(IF(('Base de données'!$B$2:$B$114&lt;&gt;"stock initial")*('Base de données'!$H$2:$H$114="laiton")*('Base de données'!$I$2:$I$114=$B$2)*('Base de données'!$J$2:$J$114=$B$3*1),ROW('Base de données'!$H$2:$H$114)-1),ROWS($1:18))),""))</f>
        <v>157.82123076923077</v>
      </c>
      <c r="K24" s="5">
        <v>146</v>
      </c>
      <c r="L24" s="22">
        <f t="shared" si="4"/>
        <v>0.48629947418598263</v>
      </c>
      <c r="M24" s="20">
        <f t="array" ref="M24">IF($D24=0,0,IFERROR(INDEX('Base de données'!X$2:X$114,SMALL(IF(('Base de données'!$B$2:$B$114&lt;&gt;"stock initial")*('Base de données'!$H$2:$H$114="laiton")*('Base de données'!$I$2:$I$114=$B$2)*('Base de données'!$J$2:$J$114=$B$3*1),ROW('Base de données'!$H$2:$H$114)-1),ROWS($1:18))),""))</f>
        <v>76.748381538461544</v>
      </c>
      <c r="N24" s="22">
        <f t="shared" si="5"/>
        <v>2.5742574257425745E-2</v>
      </c>
      <c r="O24" s="20">
        <f t="array" ref="O24">IF($D24=0,0,IFERROR(INDEX('Base de données'!Z$2:Z$114,SMALL(IF(('Base de données'!$B$2:$B$114&lt;&gt;"stock initial")*('Base de données'!$H$2:$H$114="laiton")*('Base de données'!$I$2:$I$114=$B$2)*('Base de données'!$J$2:$J$114=$B$3*1),ROW('Base de données'!$H$2:$H$114)-1),ROWS($1:18))),""))</f>
        <v>4.0627247524752477</v>
      </c>
      <c r="P24" s="20">
        <f t="shared" si="6"/>
        <v>0.51204204844340839</v>
      </c>
    </row>
    <row r="25" spans="1:16">
      <c r="A25" s="19" t="str">
        <f t="shared" si="0"/>
        <v/>
      </c>
      <c r="B25" s="114">
        <f t="array" ref="B25">IFERROR(INDEX('Base de données'!A$2:A$114,SMALL(IF(('Base de données'!$B$2:$B$114&lt;&gt;"stock initial")*('Base de données'!$H$2:$H$114="laiton")*('Base de données'!$I$2:$I$114=$B$2)*('Base de données'!$J$2:$J$114=$B$3*1),ROW('Base de données'!$H$2:$H$114)-1),ROWS($1:19))),"")</f>
        <v>201900011</v>
      </c>
      <c r="C25" s="109"/>
      <c r="D25" s="114">
        <f t="array" ref="D25">IFERROR(INDEX('Base de données'!C$2:C$114,SMALL(IF(('Base de données'!$B$2:$B$114&lt;&gt;"stock initial")*('Base de données'!$H$2:$H$114="laiton")*('Base de données'!$I$2:$I$114=$B$2)*('Base de données'!$J$2:$J$114=$B$3*1),ROW('Base de données'!$H$2:$H$114)-1),ROWS($1:19))),"")</f>
        <v>541530</v>
      </c>
      <c r="E25" s="110">
        <f t="array" ref="E25">IFERROR(INDEX('Base de données'!D$2:D$114,SMALL(IF(('Base de données'!$B$2:$B$114&lt;&gt;"stock initial")*('Base de données'!$H$2:$H$114="laiton")*('Base de données'!$I$2:$I$114=$B$2)*('Base de données'!$J$2:$J$114=$B$3*1),ROW('Base de données'!$H$2:$H$114)-1),ROWS($1:19))),"")</f>
        <v>43524</v>
      </c>
      <c r="F25" s="21" t="str">
        <f t="shared" si="1"/>
        <v>Laiton</v>
      </c>
      <c r="G25" s="21" t="str">
        <f t="shared" si="2"/>
        <v>rond</v>
      </c>
      <c r="H25" s="21">
        <f t="shared" si="3"/>
        <v>22</v>
      </c>
      <c r="I25" s="49">
        <f t="array" ref="I25">IF(AND($D25=0,$E25&lt;&gt;""),IFERROR(INDEX('Base de données'!T$2:T$114,SMALL(IF(('Base de données'!$B$2:$B$114&lt;&gt;"stock initial")*('Base de données'!$H$2:$H$114="laiton")*('Base de données'!$I$2:$I$114=$B$2)*('Base de données'!$J$2:$J$114=$B$3*1),ROW('Base de données'!$H$2:$H$114)-1),ROWS($1:19))),""),IF($E25="","",I24))</f>
        <v>2548</v>
      </c>
      <c r="J25" s="49">
        <f t="array" ref="J25">IF(D25=0,0,IFERROR(INDEX('Base de données'!S$2:S$114,SMALL(IF(('Base de données'!$B$2:$B$114&lt;&gt;"stock initial")*('Base de données'!$H$2:$H$114="laiton")*('Base de données'!$I$2:$I$114=$B$2)*('Base de données'!$J$2:$J$114=$B$3*1),ROW('Base de données'!$H$2:$H$114)-1),ROWS($1:19))),""))</f>
        <v>441.89944615384616</v>
      </c>
      <c r="K25" s="5">
        <v>146</v>
      </c>
      <c r="L25" s="22">
        <f t="shared" si="4"/>
        <v>0.48629947418598257</v>
      </c>
      <c r="M25" s="20">
        <f t="array" ref="M25">IF($D25=0,0,IFERROR(INDEX('Base de données'!X$2:X$114,SMALL(IF(('Base de données'!$B$2:$B$114&lt;&gt;"stock initial")*('Base de données'!$H$2:$H$114="laiton")*('Base de données'!$I$2:$I$114=$B$2)*('Base de données'!$J$2:$J$114=$B$3*1),ROW('Base de données'!$H$2:$H$114)-1),ROWS($1:19))),""))</f>
        <v>214.89546830769231</v>
      </c>
      <c r="N25" s="22">
        <f t="shared" si="5"/>
        <v>2.5742574257425741E-2</v>
      </c>
      <c r="O25" s="20">
        <f t="array" ref="O25">IF($D25=0,0,IFERROR(INDEX('Base de données'!Z$2:Z$114,SMALL(IF(('Base de données'!$B$2:$B$114&lt;&gt;"stock initial")*('Base de données'!$H$2:$H$114="laiton")*('Base de données'!$I$2:$I$114=$B$2)*('Base de données'!$J$2:$J$114=$B$3*1),ROW('Base de données'!$H$2:$H$114)-1),ROWS($1:19))),""))</f>
        <v>11.375629306930692</v>
      </c>
      <c r="P25" s="20">
        <f t="shared" si="6"/>
        <v>0.51204204844340839</v>
      </c>
    </row>
    <row r="26" spans="1:16">
      <c r="A26" s="19" t="str">
        <f t="shared" si="0"/>
        <v/>
      </c>
      <c r="B26" s="114">
        <f t="array" ref="B26">IFERROR(INDEX('Base de données'!A$2:A$114,SMALL(IF(('Base de données'!$B$2:$B$114&lt;&gt;"stock initial")*('Base de données'!$H$2:$H$114="laiton")*('Base de données'!$I$2:$I$114=$B$2)*('Base de données'!$J$2:$J$114=$B$3*1),ROW('Base de données'!$H$2:$H$114)-1),ROWS($1:20))),"")</f>
        <v>201900023</v>
      </c>
      <c r="C26" s="109"/>
      <c r="D26" s="114">
        <f t="array" ref="D26">IFERROR(INDEX('Base de données'!C$2:C$114,SMALL(IF(('Base de données'!$B$2:$B$114&lt;&gt;"stock initial")*('Base de données'!$H$2:$H$114="laiton")*('Base de données'!$I$2:$I$114=$B$2)*('Base de données'!$J$2:$J$114=$B$3*1),ROW('Base de données'!$H$2:$H$114)-1),ROWS($1:20))),"")</f>
        <v>542331</v>
      </c>
      <c r="E26" s="110">
        <f t="array" ref="E26">IFERROR(INDEX('Base de données'!D$2:D$114,SMALL(IF(('Base de données'!$B$2:$B$114&lt;&gt;"stock initial")*('Base de données'!$H$2:$H$114="laiton")*('Base de données'!$I$2:$I$114=$B$2)*('Base de données'!$J$2:$J$114=$B$3*1),ROW('Base de données'!$H$2:$H$114)-1),ROWS($1:20))),"")</f>
        <v>43554</v>
      </c>
      <c r="F26" s="21" t="str">
        <f t="shared" si="1"/>
        <v>Laiton</v>
      </c>
      <c r="G26" s="21" t="str">
        <f t="shared" si="2"/>
        <v>rond</v>
      </c>
      <c r="H26" s="21">
        <f t="shared" si="3"/>
        <v>22</v>
      </c>
      <c r="I26" s="49">
        <f t="array" ref="I26">IF(AND($D26=0,$E26&lt;&gt;""),IFERROR(INDEX('Base de données'!T$2:T$114,SMALL(IF(('Base de données'!$B$2:$B$114&lt;&gt;"stock initial")*('Base de données'!$H$2:$H$114="laiton")*('Base de données'!$I$2:$I$114=$B$2)*('Base de données'!$J$2:$J$114=$B$3*1),ROW('Base de données'!$H$2:$H$114)-1),ROWS($1:20))),""),IF($E26="","",I25))</f>
        <v>2548</v>
      </c>
      <c r="J26" s="49">
        <f t="array" ref="J26">IF(D26=0,0,IFERROR(INDEX('Base de données'!S$2:S$114,SMALL(IF(('Base de données'!$B$2:$B$114&lt;&gt;"stock initial")*('Base de données'!$H$2:$H$114="laiton")*('Base de données'!$I$2:$I$114=$B$2)*('Base de données'!$J$2:$J$114=$B$3*1),ROW('Base de données'!$H$2:$H$114)-1),ROWS($1:20))),""))</f>
        <v>157.82123076923077</v>
      </c>
      <c r="K26" s="5">
        <v>146</v>
      </c>
      <c r="L26" s="22">
        <f t="shared" si="4"/>
        <v>0.48629947418598263</v>
      </c>
      <c r="M26" s="20">
        <f t="array" ref="M26">IF($D26=0,0,IFERROR(INDEX('Base de données'!X$2:X$114,SMALL(IF(('Base de données'!$B$2:$B$114&lt;&gt;"stock initial")*('Base de données'!$H$2:$H$114="laiton")*('Base de données'!$I$2:$I$114=$B$2)*('Base de données'!$J$2:$J$114=$B$3*1),ROW('Base de données'!$H$2:$H$114)-1),ROWS($1:20))),""))</f>
        <v>76.748381538461544</v>
      </c>
      <c r="N26" s="22">
        <f t="shared" si="5"/>
        <v>2.5742574257425745E-2</v>
      </c>
      <c r="O26" s="20">
        <f t="array" ref="O26">IF($D26=0,0,IFERROR(INDEX('Base de données'!Z$2:Z$114,SMALL(IF(('Base de données'!$B$2:$B$114&lt;&gt;"stock initial")*('Base de données'!$H$2:$H$114="laiton")*('Base de données'!$I$2:$I$114=$B$2)*('Base de données'!$J$2:$J$114=$B$3*1),ROW('Base de données'!$H$2:$H$114)-1),ROWS($1:20))),""))</f>
        <v>4.0627247524752477</v>
      </c>
      <c r="P26" s="20">
        <f t="shared" si="6"/>
        <v>0.51204204844340839</v>
      </c>
    </row>
    <row r="27" spans="1:16">
      <c r="A27" s="19" t="str">
        <f t="shared" si="0"/>
        <v/>
      </c>
      <c r="B27" s="114">
        <f t="array" ref="B27">IFERROR(INDEX('Base de données'!A$2:A$114,SMALL(IF(('Base de données'!$B$2:$B$114&lt;&gt;"stock initial")*('Base de données'!$H$2:$H$114="laiton")*('Base de données'!$I$2:$I$114=$B$2)*('Base de données'!$J$2:$J$114=$B$3*1),ROW('Base de données'!$H$2:$H$114)-1),ROWS($1:21))),"")</f>
        <v>201900034</v>
      </c>
      <c r="D27" s="114">
        <f t="array" ref="D27">IFERROR(INDEX('Base de données'!C$2:C$114,SMALL(IF(('Base de données'!$B$2:$B$114&lt;&gt;"stock initial")*('Base de données'!$H$2:$H$114="laiton")*('Base de données'!$I$2:$I$114=$B$2)*('Base de données'!$J$2:$J$114=$B$3*1),ROW('Base de données'!$H$2:$H$114)-1),ROWS($1:21))),"")</f>
        <v>543037</v>
      </c>
      <c r="E27" s="110">
        <f t="array" ref="E27">IFERROR(INDEX('Base de données'!D$2:D$114,SMALL(IF(('Base de données'!$B$2:$B$114&lt;&gt;"stock initial")*('Base de données'!$H$2:$H$114="laiton")*('Base de données'!$I$2:$I$114=$B$2)*('Base de données'!$J$2:$J$114=$B$3*1),ROW('Base de données'!$H$2:$H$114)-1),ROWS($1:21))),"")</f>
        <v>43581</v>
      </c>
      <c r="F27" s="21" t="str">
        <f t="shared" si="1"/>
        <v>Laiton</v>
      </c>
      <c r="G27" s="21" t="str">
        <f t="shared" si="2"/>
        <v>rond</v>
      </c>
      <c r="H27" s="21">
        <f t="shared" si="3"/>
        <v>22</v>
      </c>
      <c r="I27" s="49">
        <f t="array" ref="I27">IF(AND($D27=0,$E27&lt;&gt;""),IFERROR(INDEX('Base de données'!T$2:T$114,SMALL(IF(('Base de données'!$B$2:$B$114&lt;&gt;"stock initial")*('Base de données'!$H$2:$H$114="laiton")*('Base de données'!$I$2:$I$114=$B$2)*('Base de données'!$J$2:$J$114=$B$3*1),ROW('Base de données'!$H$2:$H$114)-1),ROWS($1:21))),""),IF($E27="","",I26))</f>
        <v>2548</v>
      </c>
      <c r="J27" s="49">
        <f t="array" ref="J27">IF(D27=0,0,IFERROR(INDEX('Base de données'!S$2:S$114,SMALL(IF(('Base de données'!$B$2:$B$114&lt;&gt;"stock initial")*('Base de données'!$H$2:$H$114="laiton")*('Base de données'!$I$2:$I$114=$B$2)*('Base de données'!$J$2:$J$114=$B$3*1),ROW('Base de données'!$H$2:$H$114)-1),ROWS($1:21))),""))</f>
        <v>236.73184615384616</v>
      </c>
      <c r="L27" s="22">
        <f t="shared" si="4"/>
        <v>0.48629947418598257</v>
      </c>
      <c r="M27" s="20">
        <f t="array" ref="M27">IF($D27=0,0,IFERROR(INDEX('Base de données'!X$2:X$114,SMALL(IF(('Base de données'!$B$2:$B$114&lt;&gt;"stock initial")*('Base de données'!$H$2:$H$114="laiton")*('Base de données'!$I$2:$I$114=$B$2)*('Base de données'!$J$2:$J$114=$B$3*1),ROW('Base de données'!$H$2:$H$114)-1),ROWS($1:21))),""))</f>
        <v>115.12257230769231</v>
      </c>
      <c r="N27" s="22">
        <f t="shared" ref="N27:N29" si="7">IFERROR(O27/J27,"")</f>
        <v>2.5742574257425738E-2</v>
      </c>
      <c r="O27" s="20">
        <f t="array" ref="O27">IF($D27=0,0,IFERROR(INDEX('Base de données'!Z$2:Z$114,SMALL(IF(('Base de données'!$B$2:$B$114&lt;&gt;"stock initial")*('Base de données'!$H$2:$H$114="laiton")*('Base de données'!$I$2:$I$114=$B$2)*('Base de données'!$J$2:$J$114=$B$3*1),ROW('Base de données'!$H$2:$H$114)-1),ROWS($1:21))),""))</f>
        <v>6.0940871287128706</v>
      </c>
      <c r="P27" s="20">
        <f t="shared" si="6"/>
        <v>0.51204204844340828</v>
      </c>
    </row>
    <row r="28" spans="1:16">
      <c r="A28" s="19">
        <f t="shared" si="0"/>
        <v>43696</v>
      </c>
      <c r="B28" s="114">
        <f t="array" ref="B28">IFERROR(INDEX('Base de données'!A$2:A$114,SMALL(IF(('Base de données'!$B$2:$B$114&lt;&gt;"stock initial")*('Base de données'!$H$2:$H$114="laiton")*('Base de données'!$I$2:$I$114=$B$2)*('Base de données'!$J$2:$J$114=$B$3*1),ROW('Base de données'!$H$2:$H$114)-1),ROWS($1:22))),"")</f>
        <v>0</v>
      </c>
      <c r="D28" s="114">
        <f t="array" ref="D28">IFERROR(INDEX('Base de données'!C$2:C$114,SMALL(IF(('Base de données'!$B$2:$B$114&lt;&gt;"stock initial")*('Base de données'!$H$2:$H$114="laiton")*('Base de données'!$I$2:$I$114=$B$2)*('Base de données'!$J$2:$J$114=$B$3*1),ROW('Base de données'!$H$2:$H$114)-1),ROWS($1:22))),"")</f>
        <v>0</v>
      </c>
      <c r="E28" s="110">
        <f t="array" ref="E28">IFERROR(INDEX('Base de données'!D$2:D$114,SMALL(IF(('Base de données'!$B$2:$B$114&lt;&gt;"stock initial")*('Base de données'!$H$2:$H$114="laiton")*('Base de données'!$I$2:$I$114=$B$2)*('Base de données'!$J$2:$J$114=$B$3*1),ROW('Base de données'!$H$2:$H$114)-1),ROWS($1:22))),"")</f>
        <v>43696</v>
      </c>
      <c r="F28" s="21" t="str">
        <f t="shared" si="1"/>
        <v>Laiton</v>
      </c>
      <c r="G28" s="21" t="str">
        <f t="shared" si="2"/>
        <v>rond</v>
      </c>
      <c r="H28" s="21">
        <f t="shared" si="3"/>
        <v>22</v>
      </c>
      <c r="I28" s="49">
        <f t="array" ref="I28">IF(AND($D28=0,$E28&lt;&gt;""),IFERROR(INDEX('Base de données'!T$2:T$114,SMALL(IF(('Base de données'!$B$2:$B$114&lt;&gt;"stock initial")*('Base de données'!$H$2:$H$114="laiton")*('Base de données'!$I$2:$I$114=$B$2)*('Base de données'!$J$2:$J$114=$B$3*1),ROW('Base de données'!$H$2:$H$114)-1),ROWS($1:22))),""),IF($E28="","",I27))</f>
        <v>3060</v>
      </c>
      <c r="J28" s="49">
        <f t="array" ref="J28">IF(D28=0,0,IFERROR(INDEX('Base de données'!S$2:S$114,SMALL(IF(('Base de données'!$B$2:$B$114&lt;&gt;"stock initial")*('Base de données'!$H$2:$H$114="laiton")*('Base de données'!$I$2:$I$114=$B$2)*('Base de données'!$J$2:$J$114=$B$3*1),ROW('Base de données'!$H$2:$H$114)-1),ROWS($1:22))),""))</f>
        <v>0</v>
      </c>
      <c r="L28" s="22" t="str">
        <f t="shared" si="4"/>
        <v/>
      </c>
      <c r="M28" s="20">
        <f t="array" ref="M28">IF($D28=0,0,IFERROR(INDEX('Base de données'!X$2:X$114,SMALL(IF(('Base de données'!$B$2:$B$114&lt;&gt;"stock initial")*('Base de données'!$H$2:$H$114="laiton")*('Base de données'!$I$2:$I$114=$B$2)*('Base de données'!$J$2:$J$114=$B$3*1),ROW('Base de données'!$H$2:$H$114)-1),ROWS($1:22))),""))</f>
        <v>0</v>
      </c>
      <c r="N28" s="22" t="str">
        <f t="shared" si="7"/>
        <v/>
      </c>
      <c r="O28" s="20">
        <f t="array" ref="O28">IF($D28=0,0,IFERROR(INDEX('Base de données'!Z$2:Z$114,SMALL(IF(('Base de données'!$B$2:$B$114&lt;&gt;"stock initial")*('Base de données'!$H$2:$H$114="laiton")*('Base de données'!$I$2:$I$114=$B$2)*('Base de données'!$J$2:$J$114=$B$3*1),ROW('Base de données'!$H$2:$H$114)-1),ROWS($1:22))),""))</f>
        <v>0</v>
      </c>
      <c r="P28" s="20" t="str">
        <f t="shared" si="6"/>
        <v/>
      </c>
    </row>
    <row r="29" spans="1:16">
      <c r="A29" s="19" t="str">
        <f t="shared" si="0"/>
        <v/>
      </c>
      <c r="B29" s="114">
        <f t="array" ref="B29">IFERROR(INDEX('Base de données'!A$2:A$114,SMALL(IF(('Base de données'!$B$2:$B$114&lt;&gt;"stock initial")*('Base de données'!$H$2:$H$114="laiton")*('Base de données'!$I$2:$I$114=$B$2)*('Base de données'!$J$2:$J$114=$B$3*1),ROW('Base de données'!$H$2:$H$114)-1),ROWS($1:23))),"")</f>
        <v>201900078</v>
      </c>
      <c r="D29" s="114">
        <f t="array" ref="D29">IFERROR(INDEX('Base de données'!C$2:C$114,SMALL(IF(('Base de données'!$B$2:$B$114&lt;&gt;"stock initial")*('Base de données'!$H$2:$H$114="laiton")*('Base de données'!$I$2:$I$114=$B$2)*('Base de données'!$J$2:$J$114=$B$3*1),ROW('Base de données'!$H$2:$H$114)-1),ROWS($1:23))),"")</f>
        <v>546151</v>
      </c>
      <c r="E29" s="110">
        <f t="array" ref="E29">IFERROR(INDEX('Base de données'!D$2:D$114,SMALL(IF(('Base de données'!$B$2:$B$114&lt;&gt;"stock initial")*('Base de données'!$H$2:$H$114="laiton")*('Base de données'!$I$2:$I$114=$B$2)*('Base de données'!$J$2:$J$114=$B$3*1),ROW('Base de données'!$H$2:$H$114)-1),ROWS($1:23))),"")</f>
        <v>43734</v>
      </c>
      <c r="F29" s="21" t="str">
        <f t="shared" si="1"/>
        <v>Laiton</v>
      </c>
      <c r="G29" s="21" t="str">
        <f t="shared" si="2"/>
        <v>rond</v>
      </c>
      <c r="H29" s="21">
        <f t="shared" si="3"/>
        <v>22</v>
      </c>
      <c r="I29" s="49">
        <f t="array" ref="I29">IF(AND($D29=0,$E29&lt;&gt;""),IFERROR(INDEX('Base de données'!T$2:T$114,SMALL(IF(('Base de données'!$B$2:$B$114&lt;&gt;"stock initial")*('Base de données'!$H$2:$H$114="laiton")*('Base de données'!$I$2:$I$114=$B$2)*('Base de données'!$J$2:$J$114=$B$3*1),ROW('Base de données'!$H$2:$H$114)-1),ROWS($1:23))),""),IF($E29="","",I28))</f>
        <v>3060</v>
      </c>
      <c r="J29" s="49">
        <f t="array" ref="J29">IF(D29=0,0,IFERROR(INDEX('Base de données'!S$2:S$114,SMALL(IF(('Base de données'!$B$2:$B$114&lt;&gt;"stock initial")*('Base de données'!$H$2:$H$114="laiton")*('Base de données'!$I$2:$I$114=$B$2)*('Base de données'!$J$2:$J$114=$B$3*1),ROW('Base de données'!$H$2:$H$114)-1),ROWS($1:23))),""))</f>
        <v>78.910615384615383</v>
      </c>
      <c r="L29" s="22">
        <f t="shared" si="4"/>
        <v>0.48629947418598263</v>
      </c>
      <c r="M29" s="20">
        <f t="array" ref="M29">IF($D29=0,0,IFERROR(INDEX('Base de données'!X$2:X$114,SMALL(IF(('Base de données'!$B$2:$B$114&lt;&gt;"stock initial")*('Base de données'!$H$2:$H$114="laiton")*('Base de données'!$I$2:$I$114=$B$2)*('Base de données'!$J$2:$J$114=$B$3*1),ROW('Base de données'!$H$2:$H$114)-1),ROWS($1:23))),""))</f>
        <v>38.374190769230772</v>
      </c>
      <c r="N29" s="22">
        <f t="shared" si="7"/>
        <v>2.5742574257425745E-2</v>
      </c>
      <c r="O29" s="20">
        <f t="array" ref="O29">IF($D29=0,0,IFERROR(INDEX('Base de données'!Z$2:Z$114,SMALL(IF(('Base de données'!$B$2:$B$114&lt;&gt;"stock initial")*('Base de données'!$H$2:$H$114="laiton")*('Base de données'!$I$2:$I$114=$B$2)*('Base de données'!$J$2:$J$114=$B$3*1),ROW('Base de données'!$H$2:$H$114)-1),ROWS($1:23))),""))</f>
        <v>2.0313623762376238</v>
      </c>
      <c r="P29" s="20">
        <f t="shared" si="6"/>
        <v>0.51204204844340839</v>
      </c>
    </row>
    <row r="30" spans="1:16">
      <c r="A30" s="19" t="str">
        <f t="shared" si="0"/>
        <v/>
      </c>
      <c r="B30" s="114" t="str">
        <f t="array" ref="B30">IFERROR(INDEX('Base de données'!A$2:A$114,SMALL(IF(('Base de données'!$B$2:$B$114&lt;&gt;"stock initial")*('Base de données'!$H$2:$H$114="laiton")*('Base de données'!$I$2:$I$114=$B$2)*('Base de données'!$J$2:$J$114=$B$3*1),ROW('Base de données'!$H$2:$H$114)-1),ROWS($1:24))),"")</f>
        <v/>
      </c>
      <c r="D30" s="114" t="str">
        <f t="array" ref="D30">IFERROR(INDEX('Base de données'!C$2:C$114,SMALL(IF(('Base de données'!$B$2:$B$114&lt;&gt;"stock initial")*('Base de données'!$H$2:$H$114="laiton")*('Base de données'!$I$2:$I$114=$B$2)*('Base de données'!$J$2:$J$114=$B$3*1),ROW('Base de données'!$H$2:$H$114)-1),ROWS($1:24))),"")</f>
        <v/>
      </c>
      <c r="E30" s="110" t="str">
        <f t="array" ref="E30">IFERROR(INDEX('Base de données'!D$2:D$114,SMALL(IF(('Base de données'!$B$2:$B$114&lt;&gt;"stock initial")*('Base de données'!$H$2:$H$114="laiton")*('Base de données'!$I$2:$I$114=$B$2)*('Base de données'!$J$2:$J$114=$B$3*1),ROW('Base de données'!$H$2:$H$114)-1),ROWS($1:24))),"")</f>
        <v/>
      </c>
      <c r="F30" s="21" t="str">
        <f t="shared" si="1"/>
        <v/>
      </c>
      <c r="G30" s="21" t="str">
        <f t="shared" si="2"/>
        <v/>
      </c>
      <c r="H30" s="21" t="str">
        <f t="shared" si="3"/>
        <v/>
      </c>
      <c r="I30" s="49" t="str">
        <f t="array" ref="I30">IF(AND($D30=0,$E30&lt;&gt;""),IFERROR(INDEX('Base de données'!T$2:T$114,SMALL(IF(('Base de données'!$B$2:$B$114&lt;&gt;"stock initial")*('Base de données'!$H$2:$H$114="laiton")*('Base de données'!$I$2:$I$114=$B$2)*('Base de données'!$J$2:$J$114=$B$3*1),ROW('Base de données'!$H$2:$H$114)-1),ROWS($1:24))),""),IF($E30="","",I29))</f>
        <v/>
      </c>
      <c r="J30" s="49" t="str">
        <f t="array" ref="J30">IF(D30=0,0,IFERROR(INDEX('Base de données'!S$2:S$114,SMALL(IF(('Base de données'!$B$2:$B$114&lt;&gt;"stock initial")*('Base de données'!$H$2:$H$114="laiton")*('Base de données'!$I$2:$I$114=$B$2)*('Base de données'!$J$2:$J$114=$B$3*1),ROW('Base de données'!$H$2:$H$114)-1),ROWS($1:24))),""))</f>
        <v/>
      </c>
      <c r="L30" s="22" t="str">
        <f t="shared" ref="L30:L38" si="8">IFERROR(M30/J30,"")</f>
        <v/>
      </c>
      <c r="M30" s="20" t="str">
        <f t="array" ref="M30">IF($D30=0,0,IFERROR(INDEX('Base de données'!X$2:X$114,SMALL(IF(('Base de données'!$B$2:$B$114&lt;&gt;"stock initial")*('Base de données'!$H$2:$H$114="laiton")*('Base de données'!$I$2:$I$114=$B$2)*('Base de données'!$J$2:$J$114=$B$3*1),ROW('Base de données'!$H$2:$H$114)-1),ROWS($1:24))),""))</f>
        <v/>
      </c>
      <c r="N30" s="22" t="str">
        <f t="shared" ref="N30:N38" si="9">IFERROR(O30/J30,"")</f>
        <v/>
      </c>
      <c r="O30" s="20" t="str">
        <f t="array" ref="O30">IF($D30=0,0,IFERROR(INDEX('Base de données'!Z$2:Z$114,SMALL(IF(('Base de données'!$B$2:$B$114&lt;&gt;"stock initial")*('Base de données'!$H$2:$H$114="laiton")*('Base de données'!$I$2:$I$114=$B$2)*('Base de données'!$J$2:$J$114=$B$3*1),ROW('Base de données'!$H$2:$H$114)-1),ROWS($1:24))),""))</f>
        <v/>
      </c>
      <c r="P30" s="20" t="str">
        <f t="shared" ref="P30:P38" si="10">IFERROR((O30+M30)/J30,"")</f>
        <v/>
      </c>
    </row>
    <row r="31" spans="1:16">
      <c r="A31" s="19" t="str">
        <f t="shared" si="0"/>
        <v/>
      </c>
      <c r="B31" s="114" t="str">
        <f t="array" ref="B31">IFERROR(INDEX('Base de données'!A$2:A$114,SMALL(IF(('Base de données'!$B$2:$B$114&lt;&gt;"stock initial")*('Base de données'!$H$2:$H$114="laiton")*('Base de données'!$I$2:$I$114=$B$2)*('Base de données'!$J$2:$J$114=$B$3*1),ROW('Base de données'!$H$2:$H$114)-1),ROWS($1:25))),"")</f>
        <v/>
      </c>
      <c r="D31" s="114" t="str">
        <f t="array" ref="D31">IFERROR(INDEX('Base de données'!C$2:C$114,SMALL(IF(('Base de données'!$B$2:$B$114&lt;&gt;"stock initial")*('Base de données'!$H$2:$H$114="laiton")*('Base de données'!$I$2:$I$114=$B$2)*('Base de données'!$J$2:$J$114=$B$3*1),ROW('Base de données'!$H$2:$H$114)-1),ROWS($1:25))),"")</f>
        <v/>
      </c>
      <c r="E31" s="110" t="str">
        <f t="array" ref="E31">IFERROR(INDEX('Base de données'!D$2:D$114,SMALL(IF(('Base de données'!$B$2:$B$114&lt;&gt;"stock initial")*('Base de données'!$H$2:$H$114="laiton")*('Base de données'!$I$2:$I$114=$B$2)*('Base de données'!$J$2:$J$114=$B$3*1),ROW('Base de données'!$H$2:$H$114)-1),ROWS($1:25))),"")</f>
        <v/>
      </c>
      <c r="F31" s="21" t="str">
        <f t="shared" si="1"/>
        <v/>
      </c>
      <c r="G31" s="21" t="str">
        <f t="shared" si="2"/>
        <v/>
      </c>
      <c r="H31" s="21" t="str">
        <f t="shared" si="3"/>
        <v/>
      </c>
      <c r="I31" s="49" t="str">
        <f t="array" ref="I31">IF(AND($D31=0,$E31&lt;&gt;""),IFERROR(INDEX('Base de données'!T$2:T$114,SMALL(IF(('Base de données'!$B$2:$B$114&lt;&gt;"stock initial")*('Base de données'!$H$2:$H$114="laiton")*('Base de données'!$I$2:$I$114=$B$2)*('Base de données'!$J$2:$J$114=$B$3*1),ROW('Base de données'!$H$2:$H$114)-1),ROWS($1:25))),""),IF($E31=0,"",I30))</f>
        <v/>
      </c>
      <c r="J31" s="49" t="str">
        <f t="array" ref="J31">IF(D31=0,0,IFERROR(INDEX('Base de données'!S$2:S$114,SMALL(IF(('Base de données'!$B$2:$B$114&lt;&gt;"stock initial")*('Base de données'!$H$2:$H$114="laiton")*('Base de données'!$I$2:$I$114=$B$2)*('Base de données'!$J$2:$J$114=$B$3*1),ROW('Base de données'!$H$2:$H$114)-1),ROWS($1:25))),""))</f>
        <v/>
      </c>
      <c r="L31" s="22" t="str">
        <f t="shared" si="8"/>
        <v/>
      </c>
      <c r="M31" s="20" t="str">
        <f t="array" ref="M31">IF($D31=0,0,IFERROR(INDEX('Base de données'!X$2:X$114,SMALL(IF(('Base de données'!$B$2:$B$114&lt;&gt;"stock initial")*('Base de données'!$H$2:$H$114="laiton")*('Base de données'!$I$2:$I$114=$B$2)*('Base de données'!$J$2:$J$114=$B$3*1),ROW('Base de données'!$H$2:$H$114)-1),ROWS($1:25))),""))</f>
        <v/>
      </c>
      <c r="N31" s="22" t="str">
        <f t="shared" si="9"/>
        <v/>
      </c>
      <c r="O31" s="20" t="str">
        <f t="array" ref="O31">IF($D31=0,0,IFERROR(INDEX('Base de données'!Z$2:Z$114,SMALL(IF(('Base de données'!$B$2:$B$114&lt;&gt;"stock initial")*('Base de données'!$H$2:$H$114="laiton")*('Base de données'!$I$2:$I$114=$B$2)*('Base de données'!$J$2:$J$114=$B$3*1),ROW('Base de données'!$H$2:$H$114)-1),ROWS($1:25))),""))</f>
        <v/>
      </c>
      <c r="P31" s="20" t="str">
        <f t="shared" si="10"/>
        <v/>
      </c>
    </row>
    <row r="32" spans="1:16">
      <c r="A32" s="19" t="str">
        <f t="shared" si="0"/>
        <v/>
      </c>
      <c r="B32" s="114" t="str">
        <f t="array" ref="B32">IFERROR(INDEX('Base de données'!A$2:A$114,SMALL(IF(('Base de données'!$B$2:$B$114&lt;&gt;"stock initial")*('Base de données'!$H$2:$H$114="laiton")*('Base de données'!$I$2:$I$114=$B$2)*('Base de données'!$J$2:$J$114=$B$3*1),ROW('Base de données'!$H$2:$H$114)-1),ROWS($1:26))),"")</f>
        <v/>
      </c>
      <c r="D32" s="114" t="str">
        <f t="array" ref="D32">IFERROR(INDEX('Base de données'!C$2:C$114,SMALL(IF(('Base de données'!$B$2:$B$114&lt;&gt;"stock initial")*('Base de données'!$H$2:$H$114="laiton")*('Base de données'!$I$2:$I$114=$B$2)*('Base de données'!$J$2:$J$114=$B$3*1),ROW('Base de données'!$H$2:$H$114)-1),ROWS($1:26))),"")</f>
        <v/>
      </c>
      <c r="E32" s="110" t="str">
        <f t="array" ref="E32">IFERROR(INDEX('Base de données'!D$2:D$114,SMALL(IF(('Base de données'!$B$2:$B$114&lt;&gt;"stock initial")*('Base de données'!$H$2:$H$114="laiton")*('Base de données'!$I$2:$I$114=$B$2)*('Base de données'!$J$2:$J$114=$B$3*1),ROW('Base de données'!$H$2:$H$114)-1),ROWS($1:26))),"")</f>
        <v/>
      </c>
      <c r="F32" s="21" t="str">
        <f t="shared" si="1"/>
        <v/>
      </c>
      <c r="G32" s="21" t="str">
        <f t="shared" si="2"/>
        <v/>
      </c>
      <c r="H32" s="21" t="str">
        <f t="shared" si="3"/>
        <v/>
      </c>
      <c r="I32" s="49" t="str">
        <f t="array" ref="I32">IF(AND($D32=0,$E32&lt;&gt;""),IFERROR(INDEX('Base de données'!T$2:T$114,SMALL(IF(('Base de données'!$B$2:$B$114&lt;&gt;"stock initial")*('Base de données'!$H$2:$H$114="laiton")*('Base de données'!$I$2:$I$114=$B$2)*('Base de données'!$J$2:$J$114=$B$3*1),ROW('Base de données'!$H$2:$H$114)-1),ROWS($1:26))),""),IF($E32=0,"",I31))</f>
        <v/>
      </c>
      <c r="J32" s="49" t="str">
        <f t="array" ref="J32">IF(D32=0,0,IFERROR(INDEX('Base de données'!S$2:S$114,SMALL(IF(('Base de données'!$B$2:$B$114&lt;&gt;"stock initial")*('Base de données'!$H$2:$H$114="laiton")*('Base de données'!$I$2:$I$114=$B$2)*('Base de données'!$J$2:$J$114=$B$3*1),ROW('Base de données'!$H$2:$H$114)-1),ROWS($1:26))),""))</f>
        <v/>
      </c>
      <c r="L32" s="22" t="str">
        <f t="shared" si="8"/>
        <v/>
      </c>
      <c r="M32" s="20" t="str">
        <f t="array" ref="M32">IF($D32=0,0,IFERROR(INDEX('Base de données'!X$2:X$114,SMALL(IF(('Base de données'!$B$2:$B$114&lt;&gt;"stock initial")*('Base de données'!$H$2:$H$114="laiton")*('Base de données'!$I$2:$I$114=$B$2)*('Base de données'!$J$2:$J$114=$B$3*1),ROW('Base de données'!$H$2:$H$114)-1),ROWS($1:26))),""))</f>
        <v/>
      </c>
      <c r="N32" s="22" t="str">
        <f t="shared" si="9"/>
        <v/>
      </c>
      <c r="O32" s="20" t="str">
        <f t="array" ref="O32">IF($D32=0,0,IFERROR(INDEX('Base de données'!Z$2:Z$114,SMALL(IF(('Base de données'!$B$2:$B$114&lt;&gt;"stock initial")*('Base de données'!$H$2:$H$114="laiton")*('Base de données'!$I$2:$I$114=$B$2)*('Base de données'!$J$2:$J$114=$B$3*1),ROW('Base de données'!$H$2:$H$114)-1),ROWS($1:26))),""))</f>
        <v/>
      </c>
      <c r="P32" s="20" t="str">
        <f t="shared" si="10"/>
        <v/>
      </c>
    </row>
    <row r="33" spans="1:16">
      <c r="A33" s="19" t="str">
        <f t="shared" si="0"/>
        <v/>
      </c>
      <c r="B33" s="114" t="str">
        <f t="array" ref="B33">IFERROR(INDEX('Base de données'!A$2:A$114,SMALL(IF(('Base de données'!$B$2:$B$114&lt;&gt;"stock initial")*('Base de données'!$H$2:$H$114="laiton")*('Base de données'!$I$2:$I$114=$B$2)*('Base de données'!$J$2:$J$114=$B$3*1),ROW('Base de données'!$H$2:$H$114)-1),ROWS($1:27))),"")</f>
        <v/>
      </c>
      <c r="D33" s="114" t="str">
        <f t="array" ref="D33">IFERROR(INDEX('Base de données'!C$2:C$114,SMALL(IF(('Base de données'!$B$2:$B$114&lt;&gt;"stock initial")*('Base de données'!$H$2:$H$114="laiton")*('Base de données'!$I$2:$I$114=$B$2)*('Base de données'!$J$2:$J$114=$B$3*1),ROW('Base de données'!$H$2:$H$114)-1),ROWS($1:27))),"")</f>
        <v/>
      </c>
      <c r="E33" s="110" t="str">
        <f t="array" ref="E33">IFERROR(INDEX('Base de données'!D$2:D$114,SMALL(IF(('Base de données'!$B$2:$B$114&lt;&gt;"stock initial")*('Base de données'!$H$2:$H$114="laiton")*('Base de données'!$I$2:$I$114=$B$2)*('Base de données'!$J$2:$J$114=$B$3*1),ROW('Base de données'!$H$2:$H$114)-1),ROWS($1:27))),"")</f>
        <v/>
      </c>
      <c r="F33" s="21" t="str">
        <f t="shared" si="1"/>
        <v/>
      </c>
      <c r="G33" s="21" t="str">
        <f t="shared" si="2"/>
        <v/>
      </c>
      <c r="H33" s="21" t="str">
        <f t="shared" si="3"/>
        <v/>
      </c>
      <c r="I33" s="49" t="str">
        <f t="array" ref="I33">IF(AND($D33=0,$E33&lt;&gt;""),IFERROR(INDEX('Base de données'!T$2:T$114,SMALL(IF(('Base de données'!$B$2:$B$114&lt;&gt;"stock initial")*('Base de données'!$H$2:$H$114="laiton")*('Base de données'!$I$2:$I$114=$B$2)*('Base de données'!$J$2:$J$114=$B$3*1),ROW('Base de données'!$H$2:$H$114)-1),ROWS($1:27))),""),IF($E33=0,"",I32))</f>
        <v/>
      </c>
      <c r="J33" s="49" t="str">
        <f t="array" ref="J33">IF(D33=0,0,IFERROR(INDEX('Base de données'!S$2:S$114,SMALL(IF(('Base de données'!$B$2:$B$114&lt;&gt;"stock initial")*('Base de données'!$H$2:$H$114="laiton")*('Base de données'!$I$2:$I$114=$B$2)*('Base de données'!$J$2:$J$114=$B$3*1),ROW('Base de données'!$H$2:$H$114)-1),ROWS($1:27))),""))</f>
        <v/>
      </c>
      <c r="L33" s="22" t="str">
        <f t="shared" si="8"/>
        <v/>
      </c>
      <c r="M33" s="20" t="str">
        <f t="array" ref="M33">IF($D33=0,0,IFERROR(INDEX('Base de données'!X$2:X$114,SMALL(IF(('Base de données'!$B$2:$B$114&lt;&gt;"stock initial")*('Base de données'!$H$2:$H$114="laiton")*('Base de données'!$I$2:$I$114=$B$2)*('Base de données'!$J$2:$J$114=$B$3*1),ROW('Base de données'!$H$2:$H$114)-1),ROWS($1:27))),""))</f>
        <v/>
      </c>
      <c r="N33" s="22" t="str">
        <f t="shared" si="9"/>
        <v/>
      </c>
      <c r="O33" s="20" t="str">
        <f t="array" ref="O33">IF($D33=0,0,IFERROR(INDEX('Base de données'!Z$2:Z$114,SMALL(IF(('Base de données'!$B$2:$B$114&lt;&gt;"stock initial")*('Base de données'!$H$2:$H$114="laiton")*('Base de données'!$I$2:$I$114=$B$2)*('Base de données'!$J$2:$J$114=$B$3*1),ROW('Base de données'!$H$2:$H$114)-1),ROWS($1:27))),""))</f>
        <v/>
      </c>
      <c r="P33" s="20" t="str">
        <f t="shared" si="10"/>
        <v/>
      </c>
    </row>
    <row r="34" spans="1:16">
      <c r="A34" s="19" t="str">
        <f t="shared" si="0"/>
        <v/>
      </c>
      <c r="B34" s="114" t="str">
        <f t="array" ref="B34">IFERROR(INDEX('Base de données'!A$2:A$114,SMALL(IF(('Base de données'!$B$2:$B$114&lt;&gt;"stock initial")*('Base de données'!$H$2:$H$114="laiton")*('Base de données'!$I$2:$I$114=$B$2)*('Base de données'!$J$2:$J$114=$B$3*1),ROW('Base de données'!$H$2:$H$114)-1),ROWS($1:28))),"")</f>
        <v/>
      </c>
      <c r="D34" s="114" t="str">
        <f t="array" ref="D34">IFERROR(INDEX('Base de données'!C$2:C$114,SMALL(IF(('Base de données'!$B$2:$B$114&lt;&gt;"stock initial")*('Base de données'!$H$2:$H$114="laiton")*('Base de données'!$I$2:$I$114=$B$2)*('Base de données'!$J$2:$J$114=$B$3*1),ROW('Base de données'!$H$2:$H$114)-1),ROWS($1:28))),"")</f>
        <v/>
      </c>
      <c r="E34" s="110" t="str">
        <f t="array" ref="E34">IFERROR(INDEX('Base de données'!D$2:D$114,SMALL(IF(('Base de données'!$B$2:$B$114&lt;&gt;"stock initial")*('Base de données'!$H$2:$H$114="laiton")*('Base de données'!$I$2:$I$114=$B$2)*('Base de données'!$J$2:$J$114=$B$3*1),ROW('Base de données'!$H$2:$H$114)-1),ROWS($1:28))),"")</f>
        <v/>
      </c>
      <c r="F34" s="21" t="str">
        <f t="shared" si="1"/>
        <v/>
      </c>
      <c r="G34" s="21" t="str">
        <f t="shared" si="2"/>
        <v/>
      </c>
      <c r="H34" s="21" t="str">
        <f t="shared" si="3"/>
        <v/>
      </c>
      <c r="I34" s="49" t="str">
        <f t="array" ref="I34">IF(AND($D34=0,$E34&lt;&gt;""),IFERROR(INDEX('Base de données'!T$2:T$114,SMALL(IF(('Base de données'!$B$2:$B$114&lt;&gt;"stock initial")*('Base de données'!$H$2:$H$114="laiton")*('Base de données'!$I$2:$I$114=$B$2)*('Base de données'!$J$2:$J$114=$B$3*1),ROW('Base de données'!$H$2:$H$114)-1),ROWS($1:28))),""),IF($E34=0,"",I33))</f>
        <v/>
      </c>
      <c r="J34" s="49" t="str">
        <f t="array" ref="J34">IF(D34=0,0,IFERROR(INDEX('Base de données'!S$2:S$114,SMALL(IF(('Base de données'!$B$2:$B$114&lt;&gt;"stock initial")*('Base de données'!$H$2:$H$114="laiton")*('Base de données'!$I$2:$I$114=$B$2)*('Base de données'!$J$2:$J$114=$B$3*1),ROW('Base de données'!$H$2:$H$114)-1),ROWS($1:28))),""))</f>
        <v/>
      </c>
      <c r="L34" s="22" t="str">
        <f t="shared" si="8"/>
        <v/>
      </c>
      <c r="M34" s="20" t="str">
        <f t="array" ref="M34">IF($D34=0,0,IFERROR(INDEX('Base de données'!X$2:X$114,SMALL(IF(('Base de données'!$B$2:$B$114&lt;&gt;"stock initial")*('Base de données'!$H$2:$H$114="laiton")*('Base de données'!$I$2:$I$114=$B$2)*('Base de données'!$J$2:$J$114=$B$3*1),ROW('Base de données'!$H$2:$H$114)-1),ROWS($1:28))),""))</f>
        <v/>
      </c>
      <c r="N34" s="22" t="str">
        <f t="shared" si="9"/>
        <v/>
      </c>
      <c r="O34" s="20" t="str">
        <f t="array" ref="O34">IF($D34=0,0,IFERROR(INDEX('Base de données'!Z$2:Z$114,SMALL(IF(('Base de données'!$B$2:$B$114&lt;&gt;"stock initial")*('Base de données'!$H$2:$H$114="laiton")*('Base de données'!$I$2:$I$114=$B$2)*('Base de données'!$J$2:$J$114=$B$3*1),ROW('Base de données'!$H$2:$H$114)-1),ROWS($1:28))),""))</f>
        <v/>
      </c>
      <c r="P34" s="20" t="str">
        <f t="shared" si="10"/>
        <v/>
      </c>
    </row>
    <row r="35" spans="1:16">
      <c r="A35" s="19" t="str">
        <f t="shared" si="0"/>
        <v/>
      </c>
      <c r="B35" s="114" t="str">
        <f t="array" ref="B35">IFERROR(INDEX('Base de données'!A$2:A$114,SMALL(IF(('Base de données'!$B$2:$B$114&lt;&gt;"stock initial")*('Base de données'!$H$2:$H$114="laiton")*('Base de données'!$I$2:$I$114=$B$2)*('Base de données'!$J$2:$J$114=$B$3*1),ROW('Base de données'!$H$2:$H$114)-1),ROWS($1:29))),"")</f>
        <v/>
      </c>
      <c r="D35" s="114" t="str">
        <f t="array" ref="D35">IFERROR(INDEX('Base de données'!C$2:C$114,SMALL(IF(('Base de données'!$B$2:$B$114&lt;&gt;"stock initial")*('Base de données'!$H$2:$H$114="laiton")*('Base de données'!$I$2:$I$114=$B$2)*('Base de données'!$J$2:$J$114=$B$3*1),ROW('Base de données'!$H$2:$H$114)-1),ROWS($1:29))),"")</f>
        <v/>
      </c>
      <c r="E35" s="110" t="str">
        <f t="array" ref="E35">IFERROR(INDEX('Base de données'!D$2:D$114,SMALL(IF(('Base de données'!$B$2:$B$114&lt;&gt;"stock initial")*('Base de données'!$H$2:$H$114="laiton")*('Base de données'!$I$2:$I$114=$B$2)*('Base de données'!$J$2:$J$114=$B$3*1),ROW('Base de données'!$H$2:$H$114)-1),ROWS($1:29))),"")</f>
        <v/>
      </c>
      <c r="F35" s="21" t="str">
        <f t="shared" si="1"/>
        <v/>
      </c>
      <c r="G35" s="21" t="str">
        <f t="shared" si="2"/>
        <v/>
      </c>
      <c r="H35" s="21" t="str">
        <f t="shared" si="3"/>
        <v/>
      </c>
      <c r="I35" s="49" t="str">
        <f t="array" ref="I35">IF(AND($D35=0,$E35&lt;&gt;""),IFERROR(INDEX('Base de données'!T$2:T$114,SMALL(IF(('Base de données'!$B$2:$B$114&lt;&gt;"stock initial")*('Base de données'!$H$2:$H$114="laiton")*('Base de données'!$I$2:$I$114=$B$2)*('Base de données'!$J$2:$J$114=$B$3*1),ROW('Base de données'!$H$2:$H$114)-1),ROWS($1:29))),""),IF($E35=0,"",I34))</f>
        <v/>
      </c>
      <c r="J35" s="49" t="str">
        <f t="array" ref="J35">IF(D35=0,0,IFERROR(INDEX('Base de données'!S$2:S$114,SMALL(IF(('Base de données'!$B$2:$B$114&lt;&gt;"stock initial")*('Base de données'!$H$2:$H$114="laiton")*('Base de données'!$I$2:$I$114=$B$2)*('Base de données'!$J$2:$J$114=$B$3*1),ROW('Base de données'!$H$2:$H$114)-1),ROWS($1:29))),""))</f>
        <v/>
      </c>
      <c r="L35" s="22" t="str">
        <f t="shared" si="8"/>
        <v/>
      </c>
      <c r="M35" s="20" t="str">
        <f t="array" ref="M35">IF($D35=0,0,IFERROR(INDEX('Base de données'!X$2:X$114,SMALL(IF(('Base de données'!$B$2:$B$114&lt;&gt;"stock initial")*('Base de données'!$H$2:$H$114="laiton")*('Base de données'!$I$2:$I$114=$B$2)*('Base de données'!$J$2:$J$114=$B$3*1),ROW('Base de données'!$H$2:$H$114)-1),ROWS($1:29))),""))</f>
        <v/>
      </c>
      <c r="N35" s="22" t="str">
        <f t="shared" si="9"/>
        <v/>
      </c>
      <c r="O35" s="20" t="str">
        <f t="array" ref="O35">IF($D35=0,0,IFERROR(INDEX('Base de données'!Z$2:Z$114,SMALL(IF(('Base de données'!$B$2:$B$114&lt;&gt;"stock initial")*('Base de données'!$H$2:$H$114="laiton")*('Base de données'!$I$2:$I$114=$B$2)*('Base de données'!$J$2:$J$114=$B$3*1),ROW('Base de données'!$H$2:$H$114)-1),ROWS($1:29))),""))</f>
        <v/>
      </c>
      <c r="P35" s="20" t="str">
        <f t="shared" si="10"/>
        <v/>
      </c>
    </row>
    <row r="36" spans="1:16">
      <c r="A36" s="19" t="str">
        <f t="shared" si="0"/>
        <v/>
      </c>
      <c r="B36" s="114" t="str">
        <f t="array" ref="B36">IFERROR(INDEX('Base de données'!A$2:A$114,SMALL(IF(('Base de données'!$B$2:$B$114&lt;&gt;"stock initial")*('Base de données'!$H$2:$H$114="laiton")*('Base de données'!$I$2:$I$114=$B$2)*('Base de données'!$J$2:$J$114=$B$3*1),ROW('Base de données'!$H$2:$H$114)-1),ROWS($1:30))),"")</f>
        <v/>
      </c>
      <c r="D36" s="114" t="str">
        <f t="array" ref="D36">IFERROR(INDEX('Base de données'!C$2:C$114,SMALL(IF(('Base de données'!$B$2:$B$114&lt;&gt;"stock initial")*('Base de données'!$H$2:$H$114="laiton")*('Base de données'!$I$2:$I$114=$B$2)*('Base de données'!$J$2:$J$114=$B$3*1),ROW('Base de données'!$H$2:$H$114)-1),ROWS($1:30))),"")</f>
        <v/>
      </c>
      <c r="E36" s="110" t="str">
        <f t="array" ref="E36">IFERROR(INDEX('Base de données'!D$2:D$114,SMALL(IF(('Base de données'!$B$2:$B$114&lt;&gt;"stock initial")*('Base de données'!$H$2:$H$114="laiton")*('Base de données'!$I$2:$I$114=$B$2)*('Base de données'!$J$2:$J$114=$B$3*1),ROW('Base de données'!$H$2:$H$114)-1),ROWS($1:30))),"")</f>
        <v/>
      </c>
      <c r="F36" s="21" t="str">
        <f t="shared" si="1"/>
        <v/>
      </c>
      <c r="G36" s="21" t="str">
        <f t="shared" si="2"/>
        <v/>
      </c>
      <c r="H36" s="21" t="str">
        <f t="shared" si="3"/>
        <v/>
      </c>
      <c r="I36" s="49" t="str">
        <f t="array" ref="I36">IF(AND($D36=0,$E36&lt;&gt;""),IFERROR(INDEX('Base de données'!T$2:T$114,SMALL(IF(('Base de données'!$B$2:$B$114&lt;&gt;"stock initial")*('Base de données'!$H$2:$H$114="laiton")*('Base de données'!$I$2:$I$114=$B$2)*('Base de données'!$J$2:$J$114=$B$3*1),ROW('Base de données'!$H$2:$H$114)-1),ROWS($1:30))),""),IF($E36=0,"",I35))</f>
        <v/>
      </c>
      <c r="J36" s="49" t="str">
        <f t="array" ref="J36">IF(D36=0,0,IFERROR(INDEX('Base de données'!S$2:S$114,SMALL(IF(('Base de données'!$B$2:$B$114&lt;&gt;"stock initial")*('Base de données'!$H$2:$H$114="laiton")*('Base de données'!$I$2:$I$114=$B$2)*('Base de données'!$J$2:$J$114=$B$3*1),ROW('Base de données'!$H$2:$H$114)-1),ROWS($1:30))),""))</f>
        <v/>
      </c>
      <c r="L36" s="22" t="str">
        <f t="shared" si="8"/>
        <v/>
      </c>
      <c r="M36" s="20" t="str">
        <f t="array" ref="M36">IF($D36=0,0,IFERROR(INDEX('Base de données'!X$2:X$114,SMALL(IF(('Base de données'!$B$2:$B$114&lt;&gt;"stock initial")*('Base de données'!$H$2:$H$114="laiton")*('Base de données'!$I$2:$I$114=$B$2)*('Base de données'!$J$2:$J$114=$B$3*1),ROW('Base de données'!$H$2:$H$114)-1),ROWS($1:30))),""))</f>
        <v/>
      </c>
      <c r="N36" s="22" t="str">
        <f t="shared" si="9"/>
        <v/>
      </c>
      <c r="O36" s="20" t="str">
        <f t="array" ref="O36">IF($D36=0,0,IFERROR(INDEX('Base de données'!Z$2:Z$114,SMALL(IF(('Base de données'!$B$2:$B$114&lt;&gt;"stock initial")*('Base de données'!$H$2:$H$114="laiton")*('Base de données'!$I$2:$I$114=$B$2)*('Base de données'!$J$2:$J$114=$B$3*1),ROW('Base de données'!$H$2:$H$114)-1),ROWS($1:30))),""))</f>
        <v/>
      </c>
      <c r="P36" s="20" t="str">
        <f t="shared" si="10"/>
        <v/>
      </c>
    </row>
    <row r="37" spans="1:16">
      <c r="A37" s="19" t="str">
        <f t="shared" si="0"/>
        <v/>
      </c>
      <c r="B37" s="114" t="str">
        <f t="array" ref="B37">IFERROR(INDEX('Base de données'!A$2:A$114,SMALL(IF(('Base de données'!$B$2:$B$114&lt;&gt;"stock initial")*('Base de données'!$H$2:$H$114="laiton")*('Base de données'!$I$2:$I$114=$B$2)*('Base de données'!$J$2:$J$114=$B$3*1),ROW('Base de données'!$H$2:$H$114)-1),ROWS($1:31))),"")</f>
        <v/>
      </c>
      <c r="D37" s="114" t="str">
        <f t="array" ref="D37">IFERROR(INDEX('Base de données'!C$2:C$114,SMALL(IF(('Base de données'!$B$2:$B$114&lt;&gt;"stock initial")*('Base de données'!$H$2:$H$114="laiton")*('Base de données'!$I$2:$I$114=$B$2)*('Base de données'!$J$2:$J$114=$B$3*1),ROW('Base de données'!$H$2:$H$114)-1),ROWS($1:31))),"")</f>
        <v/>
      </c>
      <c r="E37" s="110" t="str">
        <f t="array" ref="E37">IFERROR(INDEX('Base de données'!D$2:D$114,SMALL(IF(('Base de données'!$B$2:$B$114&lt;&gt;"stock initial")*('Base de données'!$H$2:$H$114="laiton")*('Base de données'!$I$2:$I$114=$B$2)*('Base de données'!$J$2:$J$114=$B$3*1),ROW('Base de données'!$H$2:$H$114)-1),ROWS($1:31))),"")</f>
        <v/>
      </c>
      <c r="F37" s="21" t="str">
        <f t="shared" si="1"/>
        <v/>
      </c>
      <c r="G37" s="21" t="str">
        <f t="shared" si="2"/>
        <v/>
      </c>
      <c r="H37" s="21" t="str">
        <f t="shared" si="3"/>
        <v/>
      </c>
      <c r="I37" s="49" t="str">
        <f t="array" ref="I37">IF(AND($D37=0,$E37&lt;&gt;""),IFERROR(INDEX('Base de données'!T$2:T$114,SMALL(IF(('Base de données'!$B$2:$B$114&lt;&gt;"stock initial")*('Base de données'!$H$2:$H$114="laiton")*('Base de données'!$I$2:$I$114=$B$2)*('Base de données'!$J$2:$J$114=$B$3*1),ROW('Base de données'!$H$2:$H$114)-1),ROWS($1:31))),""),IF($E37=0,"",I36))</f>
        <v/>
      </c>
      <c r="J37" s="49" t="str">
        <f t="array" ref="J37">IF(D37=0,0,IFERROR(INDEX('Base de données'!S$2:S$114,SMALL(IF(('Base de données'!$B$2:$B$114&lt;&gt;"stock initial")*('Base de données'!$H$2:$H$114="laiton")*('Base de données'!$I$2:$I$114=$B$2)*('Base de données'!$J$2:$J$114=$B$3*1),ROW('Base de données'!$H$2:$H$114)-1),ROWS($1:31))),""))</f>
        <v/>
      </c>
      <c r="L37" s="22" t="str">
        <f t="shared" si="8"/>
        <v/>
      </c>
      <c r="M37" s="20" t="str">
        <f t="array" ref="M37">IF($D37=0,0,IFERROR(INDEX('Base de données'!X$2:X$114,SMALL(IF(('Base de données'!$B$2:$B$114&lt;&gt;"stock initial")*('Base de données'!$H$2:$H$114="laiton")*('Base de données'!$I$2:$I$114=$B$2)*('Base de données'!$J$2:$J$114=$B$3*1),ROW('Base de données'!$H$2:$H$114)-1),ROWS($1:31))),""))</f>
        <v/>
      </c>
      <c r="N37" s="22" t="str">
        <f t="shared" si="9"/>
        <v/>
      </c>
      <c r="O37" s="20" t="str">
        <f t="array" ref="O37">IF($D37=0,0,IFERROR(INDEX('Base de données'!Z$2:Z$114,SMALL(IF(('Base de données'!$B$2:$B$114&lt;&gt;"stock initial")*('Base de données'!$H$2:$H$114="laiton")*('Base de données'!$I$2:$I$114=$B$2)*('Base de données'!$J$2:$J$114=$B$3*1),ROW('Base de données'!$H$2:$H$114)-1),ROWS($1:31))),""))</f>
        <v/>
      </c>
      <c r="P37" s="20" t="str">
        <f t="shared" si="10"/>
        <v/>
      </c>
    </row>
    <row r="38" spans="1:16">
      <c r="A38" s="112" t="str">
        <f t="shared" si="0"/>
        <v/>
      </c>
      <c r="B38" s="114" t="str">
        <f t="array" ref="B38">IFERROR(INDEX('Base de données'!A$2:A$114,SMALL(IF(('Base de données'!$B$2:$B$114&lt;&gt;"stock initial")*('Base de données'!$H$2:$H$114="laiton")*('Base de données'!$I$2:$I$114=$B$2)*('Base de données'!$J$2:$J$114=$B$3*1),ROW('Base de données'!$H$2:$H$114)-1),ROWS($1:32))),"")</f>
        <v/>
      </c>
      <c r="D38" s="114" t="str">
        <f t="array" ref="D38">IFERROR(INDEX('Base de données'!C$2:C$114,SMALL(IF(('Base de données'!$B$2:$B$114&lt;&gt;"stock initial")*('Base de données'!$H$2:$H$114="laiton")*('Base de données'!$I$2:$I$114=$B$2)*('Base de données'!$J$2:$J$114=$B$3*1),ROW('Base de données'!$H$2:$H$114)-1),ROWS($1:32))),"")</f>
        <v/>
      </c>
      <c r="E38" s="110" t="str">
        <f t="array" ref="E38">IFERROR(INDEX('Base de données'!D$2:D$114,SMALL(IF(('Base de données'!$B$2:$B$114&lt;&gt;"stock initial")*('Base de données'!$H$2:$H$114="laiton")*('Base de données'!$I$2:$I$114=$B$2)*('Base de données'!$J$2:$J$114=$B$3*1),ROW('Base de données'!$H$2:$H$114)-1),ROWS($1:32))),"")</f>
        <v/>
      </c>
      <c r="F38" s="21" t="str">
        <f t="shared" si="1"/>
        <v/>
      </c>
      <c r="G38" s="21" t="str">
        <f t="shared" si="2"/>
        <v/>
      </c>
      <c r="H38" s="21" t="str">
        <f t="shared" si="3"/>
        <v/>
      </c>
      <c r="I38" s="49" t="str">
        <f t="array" ref="I38">IF(AND($D38=0,$E38&lt;&gt;""),IFERROR(INDEX('Base de données'!T$2:T$114,SMALL(IF(('Base de données'!$B$2:$B$114&lt;&gt;"stock initial")*('Base de données'!$H$2:$H$114="laiton")*('Base de données'!$I$2:$I$114=$B$2)*('Base de données'!$J$2:$J$114=$B$3*1),ROW('Base de données'!$H$2:$H$114)-1),ROWS($1:32))),""),IF($E38=0,"",I37))</f>
        <v/>
      </c>
      <c r="J38" s="49" t="str">
        <f t="array" ref="J38">IF(D38=0,0,IFERROR(INDEX('Base de données'!S$2:S$114,SMALL(IF(('Base de données'!$B$2:$B$114&lt;&gt;"stock initial")*('Base de données'!$H$2:$H$114="laiton")*('Base de données'!$I$2:$I$114=$B$2)*('Base de données'!$J$2:$J$114=$B$3*1),ROW('Base de données'!$H$2:$H$114)-1),ROWS($1:32))),""))</f>
        <v/>
      </c>
      <c r="L38" s="22" t="str">
        <f t="shared" si="8"/>
        <v/>
      </c>
      <c r="M38" s="20" t="str">
        <f t="array" ref="M38">IF($D38=0,0,IFERROR(INDEX('Base de données'!X$2:X$114,SMALL(IF(('Base de données'!$B$2:$B$114&lt;&gt;"stock initial")*('Base de données'!$H$2:$H$114="laiton")*('Base de données'!$I$2:$I$114=$B$2)*('Base de données'!$J$2:$J$114=$B$3*1),ROW('Base de données'!$H$2:$H$114)-1),ROWS($1:32))),""))</f>
        <v/>
      </c>
      <c r="N38" s="22" t="str">
        <f t="shared" si="9"/>
        <v/>
      </c>
      <c r="O38" s="20" t="str">
        <f t="array" ref="O38">IF($D38=0,0,IFERROR(INDEX('Base de données'!Z$2:Z$114,SMALL(IF(('Base de données'!$B$2:$B$114&lt;&gt;"stock initial")*('Base de données'!$H$2:$H$114="laiton")*('Base de données'!$I$2:$I$114=$B$2)*('Base de données'!$J$2:$J$114=$B$3*1),ROW('Base de données'!$H$2:$H$114)-1),ROWS($1:32))),""))</f>
        <v/>
      </c>
      <c r="P38" s="20" t="str">
        <f t="shared" si="10"/>
        <v/>
      </c>
    </row>
    <row r="39" spans="1:16">
      <c r="A39" s="111"/>
      <c r="B39" s="113"/>
    </row>
    <row r="40" spans="1:16">
      <c r="A40" s="111"/>
    </row>
  </sheetData>
  <mergeCells count="3">
    <mergeCell ref="F5:H5"/>
    <mergeCell ref="L5:M5"/>
    <mergeCell ref="N5:O5"/>
  </mergeCells>
  <dataValidations count="3">
    <dataValidation type="list" allowBlank="1" showInputMessage="1" showErrorMessage="1" sqref="B2">
      <formula1>formes</formula1>
    </dataValidation>
    <dataValidation type="list" allowBlank="1" showInputMessage="1" showErrorMessage="1" sqref="B3">
      <formula1>Dia</formula1>
    </dataValidation>
    <dataValidation type="list" allowBlank="1" showInputMessage="1" showErrorMessage="1" sqref="B1">
      <formula1>matière</formula1>
    </dataValidation>
  </dataValidations>
  <pageMargins left="0.7" right="0.7" top="0.75" bottom="0.75" header="0.3" footer="0.3"/>
  <ignoredErrors>
    <ignoredError sqref="N29 N7:N28 N30:N38" formula="1"/>
  </ignoredErrors>
  <drawing r:id="rId1"/>
  <legacyDrawing r:id="rId2"/>
</worksheet>
</file>

<file path=xl/worksheets/sheet3.xml><?xml version="1.0" encoding="utf-8"?>
<worksheet xmlns="http://schemas.openxmlformats.org/spreadsheetml/2006/main" xmlns:r="http://schemas.openxmlformats.org/officeDocument/2006/relationships">
  <dimension ref="A1:R97"/>
  <sheetViews>
    <sheetView topLeftCell="E8" workbookViewId="0">
      <selection activeCell="H27" sqref="H27"/>
    </sheetView>
  </sheetViews>
  <sheetFormatPr baseColWidth="10" defaultRowHeight="15"/>
  <cols>
    <col min="3" max="3" width="11.42578125" style="102"/>
    <col min="5" max="5" width="34.5703125" bestFit="1" customWidth="1"/>
  </cols>
  <sheetData>
    <row r="1" spans="1:18" ht="15.75" thickBot="1">
      <c r="F1" t="s">
        <v>4</v>
      </c>
      <c r="G1" s="104" t="s">
        <v>66</v>
      </c>
      <c r="H1" s="101" t="s">
        <v>62</v>
      </c>
      <c r="I1" s="105">
        <v>8</v>
      </c>
    </row>
    <row r="2" spans="1:18" ht="39" thickTop="1">
      <c r="A2" s="24" t="s">
        <v>0</v>
      </c>
      <c r="B2" s="25" t="s">
        <v>1</v>
      </c>
      <c r="C2" s="106" t="s">
        <v>2</v>
      </c>
      <c r="D2" s="27" t="s">
        <v>3</v>
      </c>
      <c r="E2" s="27" t="s">
        <v>4</v>
      </c>
      <c r="F2" s="28" t="s">
        <v>55</v>
      </c>
      <c r="G2" s="36" t="s">
        <v>45</v>
      </c>
      <c r="H2" s="36" t="s">
        <v>46</v>
      </c>
      <c r="I2" s="36" t="s">
        <v>47</v>
      </c>
      <c r="J2" s="29" t="s">
        <v>6</v>
      </c>
      <c r="K2" s="30" t="s">
        <v>7</v>
      </c>
      <c r="L2" s="31" t="s">
        <v>8</v>
      </c>
      <c r="M2" s="32" t="s">
        <v>49</v>
      </c>
      <c r="N2" s="33" t="s">
        <v>50</v>
      </c>
      <c r="O2" s="103" t="s">
        <v>56</v>
      </c>
      <c r="P2" s="34" t="s">
        <v>51</v>
      </c>
      <c r="Q2" s="34" t="s">
        <v>9</v>
      </c>
      <c r="R2" s="35" t="s">
        <v>52</v>
      </c>
    </row>
    <row r="3" spans="1:18">
      <c r="A3">
        <f t="array" ref="A3">IFERROR(INDEX('Base de données'!$A$2:$A$114,SMALL(IF((('Base de données'!$B$2:$B$114="vente"))*('Base de données'!$H$2:$H$114=$G$1)*('Base de données'!$I$2:$I$114=$H$1)*('Base de données'!$J$2:$J$114=$I$1*1),ROW('Base de données'!$H$2:$H$114)-1),ROWS($1:1))),"")</f>
        <v>201700027</v>
      </c>
      <c r="B3">
        <f t="array" ref="B3">IFERROR(INDEX('Base de données'!C$2:C$114,SMALL(IF((('Base de données'!$B$2:$B$114="vente"))*('Base de données'!$H$2:$H$114=$G$1)*('Base de données'!$I$2:$I$114=$H$1)*('Base de données'!$J$2:$J$114=$I$1*1),ROW('Base de données'!$H$2:$H$114)-1),ROWS($1:1))),"")</f>
        <v>547184</v>
      </c>
      <c r="C3" s="102">
        <f t="array" ref="C3">IFERROR(INDEX('Base de données'!D$2:D$114,SMALL(IF((('Base de données'!$B$2:$B$114="vente"))*('Base de données'!$H$2:$H$114=$G$1)*('Base de données'!$I$2:$I$114=$H$1)*('Base de données'!$J$2:$J$114=$I$1*1),ROW('Base de données'!$H$2:$H$114)-1),ROWS($1:1))),"")</f>
        <v>42832</v>
      </c>
      <c r="D3">
        <f t="array" ref="D3">IFERROR(INDEX('Base de données'!E$2:E$114,SMALL(IF((('Base de données'!$B$2:$B$114="vente"))*('Base de données'!$H$2:$H$114=$G$1)*('Base de données'!$I$2:$I$114=$H$1)*('Base de données'!$J$2:$J$114=$I$1*1),ROW('Base de données'!$H$2:$H$114)-1),ROWS($1:1))),"")</f>
        <v>510020</v>
      </c>
      <c r="E3" t="str">
        <f t="array" ref="E3">IFERROR(INDEX('Base de données'!F$2:F$114,SMALL(IF((('Base de données'!$B$2:$B$114="vente"))*('Base de données'!$H$2:$H$114=$G$1)*('Base de données'!$I$2:$I$114=$H$1)*('Base de données'!$J$2:$J$114=$I$1*1),ROW('Base de données'!$H$2:$H$114)-1),ROWS($1:1))),"")</f>
        <v>INSERTO ESAG,M6 8*6</v>
      </c>
      <c r="F3">
        <f t="array" ref="F3">IFERROR(INDEX('Base de données'!G$2:G$114,SMALL(IF((('Base de données'!$B$2:$B$114="vente"))*('Base de données'!$H$2:$H$114=$G$1)*('Base de données'!$I$2:$I$114=$H$1)*('Base de données'!$J$2:$J$114=$I$1*1),ROW('Base de données'!$H$2:$H$114)-1),ROWS($1:1))),"")</f>
        <v>139</v>
      </c>
      <c r="G3" t="str">
        <f t="array" ref="G3">IFERROR(INDEX('Base de données'!H$2:H$114,SMALL(IF((('Base de données'!$B$2:$B$114="vente"))*('Base de données'!$H$2:$H$114=$G$1)*('Base de données'!$I$2:$I$114=$H$1)*('Base de données'!$J$2:$J$114=$I$1*1),ROW('Base de données'!$H$2:$H$114)-1),ROWS($1:1))),"")</f>
        <v>LAITON</v>
      </c>
      <c r="H3" t="str">
        <f t="array" ref="H3">IFERROR(INDEX('Base de données'!I$2:I$114,SMALL(IF((('Base de données'!$B$2:$B$114="vente"))*('Base de données'!$H$2:$H$114=$G$1)*('Base de données'!$I$2:$I$114=$H$1)*('Base de données'!$J$2:$J$114=$I$1*1),ROW('Base de données'!$H$2:$H$114)-1),ROWS($1:1))),"")</f>
        <v>HEX</v>
      </c>
      <c r="I3">
        <f t="array" ref="I3">IFERROR(INDEX('Base de données'!J$2:J$114,SMALL(IF((('Base de données'!$B$2:$B$114="vente"))*('Base de données'!$H$2:$H$114=$G$1)*('Base de données'!$I$2:$I$114=$H$1)*('Base de données'!$J$2:$J$114=$I$1*1),ROW('Base de données'!$H$2:$H$114)-1),ROWS($1:1))),"")</f>
        <v>8</v>
      </c>
      <c r="J3">
        <f t="array" ref="J3">IFERROR(INDEX('Base de données'!K$2:K$114,SMALL(IF((('Base de données'!$B$2:$B$114="vente"))*('Base de données'!$H$2:$H$114=$G$1)*('Base de données'!$I$2:$I$114=$H$1)*('Base de données'!$J$2:$J$114=$I$1*1),ROW('Base de données'!$H$2:$H$114)-1),ROWS($1:1))),"")</f>
        <v>0</v>
      </c>
      <c r="K3">
        <f t="array" ref="K3">IFERROR(INDEX('Base de données'!M$2:M$114,SMALL(IF((('Base de données'!$B$2:$B$114="vente"))*('Base de données'!$H$2:$H$114=$G$1)*('Base de données'!$I$2:$I$114=$H$1)*('Base de données'!$J$2:$J$114=$I$1*1),ROW('Base de données'!$H$2:$H$114)-1),ROWS($1:1))),"")</f>
        <v>1.446E-3</v>
      </c>
      <c r="L3">
        <f t="array" ref="L3">IFERROR(INDEX('Base de données'!Y$2:Y$114,SMALL(IF((('Base de données'!$B$2:$B$114="vente"))*('Base de données'!$H$2:$H$114=$G$1)*('Base de données'!$I$2:$I$114=$H$1)*('Base de données'!$J$2:$J$114=$I$1*1),ROW('Base de données'!$H$2:$H$114)-1),ROWS($1:1))),"")</f>
        <v>5.9265267326732659E-4</v>
      </c>
      <c r="M3">
        <f t="array" ref="M3">IFERROR(INDEX('Base de données'!N$2:N$114,SMALL(IF((('Base de données'!$B$2:$B$114="vente"))*('Base de données'!$H$2:$H$114=$G$1)*('Base de données'!$I$2:$I$114=$H$1)*('Base de données'!$J$2:$J$114=$I$1*1),ROW('Base de données'!$H$2:$H$114)-1),ROWS($1:1))),"")</f>
        <v>6</v>
      </c>
      <c r="N3">
        <f>M3*J3</f>
        <v>0</v>
      </c>
      <c r="O3">
        <f t="array" ref="O3">IFERROR(INDEX('Base de données'!P$2:P$114,SMALL(IF((('Base de données'!$B$2:$B$114="vente"))*('Base de données'!$H$2:$H$114=$G$1)*('Base de données'!$I$2:$I$114=$H$1)*('Base de données'!$J$2:$J$114=$I$1*1),ROW('Base de données'!$H$2:$H$114)-1),ROWS($1:1))),"")</f>
        <v>1.4964479999999998</v>
      </c>
      <c r="P3">
        <f>O3*J3</f>
        <v>0</v>
      </c>
      <c r="Q3">
        <f>L3*J3</f>
        <v>0</v>
      </c>
      <c r="R3">
        <f>(O3+L3)/M3</f>
        <v>0.24950677544554453</v>
      </c>
    </row>
    <row r="4" spans="1:18">
      <c r="A4">
        <f t="array" ref="A4">IFERROR(INDEX('Base de données'!$A$2:$A$114,SMALL(IF((('Base de données'!$B$2:$B$114="vente"))*('Base de données'!$H$2:$H$114=$G$1)*('Base de données'!$I$2:$I$114=$H$1)*('Base de données'!$J$2:$J$114=$I$1*1),ROW('Base de données'!$H$2:$H$114)-1),ROWS($1:2))),"")</f>
        <v>201700044</v>
      </c>
      <c r="B4">
        <f t="array" ref="B4">IFERROR(INDEX('Base de données'!C$2:C$114,SMALL(IF((('Base de données'!$B$2:$B$114="vente"))*('Base de données'!$H$2:$H$114=$G$1)*('Base de données'!$I$2:$I$114=$H$1)*('Base de données'!$J$2:$J$114=$I$1*1),ROW('Base de données'!$H$2:$H$114)-1),ROWS($1:2))),"")</f>
        <v>547817</v>
      </c>
      <c r="C4" s="102">
        <f t="array" ref="C4">IFERROR(INDEX('Base de données'!D$2:D$114,SMALL(IF((('Base de données'!$B$2:$B$114="vente"))*('Base de données'!$H$2:$H$114=$G$1)*('Base de données'!$I$2:$I$114=$H$1)*('Base de données'!$J$2:$J$114=$I$1*1),ROW('Base de données'!$H$2:$H$114)-1),ROWS($1:2))),"")</f>
        <v>42861</v>
      </c>
      <c r="D4">
        <f t="array" ref="D4">IFERROR(INDEX('Base de données'!E$2:E$114,SMALL(IF((('Base de données'!$B$2:$B$114="vente"))*('Base de données'!$H$2:$H$114=$G$1)*('Base de données'!$I$2:$I$114=$H$1)*('Base de données'!$J$2:$J$114=$I$1*1),ROW('Base de données'!$H$2:$H$114)-1),ROWS($1:2))),"")</f>
        <v>510020</v>
      </c>
      <c r="E4" t="str">
        <f t="array" ref="E4">IFERROR(INDEX('Base de données'!F$2:F$114,SMALL(IF((('Base de données'!$B$2:$B$114="vente"))*('Base de données'!$H$2:$H$114=$G$1)*('Base de données'!$I$2:$I$114=$H$1)*('Base de données'!$J$2:$J$114=$I$1*1),ROW('Base de données'!$H$2:$H$114)-1),ROWS($1:2))),"")</f>
        <v>INSERTO ESAG,M6 8*6</v>
      </c>
      <c r="F4">
        <f t="array" ref="F4">IFERROR(INDEX('Base de données'!G$2:G$114,SMALL(IF((('Base de données'!$B$2:$B$114="vente"))*('Base de données'!$H$2:$H$114=$G$1)*('Base de données'!$I$2:$I$114=$H$1)*('Base de données'!$J$2:$J$114=$I$1*1),ROW('Base de données'!$H$2:$H$114)-1),ROWS($1:2))),"")</f>
        <v>139</v>
      </c>
      <c r="G4" t="str">
        <f t="array" ref="G4">IFERROR(INDEX('Base de données'!H$2:H$114,SMALL(IF((('Base de données'!$B$2:$B$114="vente"))*('Base de données'!$H$2:$H$114=$G$1)*('Base de données'!$I$2:$I$114=$H$1)*('Base de données'!$J$2:$J$114=$I$1*1),ROW('Base de données'!$H$2:$H$114)-1),ROWS($1:2))),"")</f>
        <v>LAITON</v>
      </c>
      <c r="H4" t="str">
        <f t="array" ref="H4">IFERROR(INDEX('Base de données'!I$2:I$114,SMALL(IF((('Base de données'!$B$2:$B$114="vente"))*('Base de données'!$H$2:$H$114=$G$1)*('Base de données'!$I$2:$I$114=$H$1)*('Base de données'!$J$2:$J$114=$I$1*1),ROW('Base de données'!$H$2:$H$114)-1),ROWS($1:2))),"")</f>
        <v>HEX</v>
      </c>
      <c r="I4">
        <f t="array" ref="I4">IFERROR(INDEX('Base de données'!J$2:J$114,SMALL(IF((('Base de données'!$B$2:$B$114="vente"))*('Base de données'!$H$2:$H$114=$G$1)*('Base de données'!$I$2:$I$114=$H$1)*('Base de données'!$J$2:$J$114=$I$1*1),ROW('Base de données'!$H$2:$H$114)-1),ROWS($1:2))),"")</f>
        <v>8</v>
      </c>
      <c r="J4">
        <f t="array" ref="J4">IFERROR(INDEX('Base de données'!K$2:K$114,SMALL(IF((('Base de données'!$B$2:$B$114="vente"))*('Base de données'!$H$2:$H$114=$G$1)*('Base de données'!$I$2:$I$114=$H$1)*('Base de données'!$J$2:$J$114=$I$1*1),ROW('Base de données'!$H$2:$H$114)-1),ROWS($1:2))),"")</f>
        <v>0</v>
      </c>
      <c r="K4">
        <f t="array" ref="K4">IFERROR(INDEX('Base de données'!M$2:M$114,SMALL(IF((('Base de données'!$B$2:$B$114="vente"))*('Base de données'!$H$2:$H$114=$G$1)*('Base de données'!$I$2:$I$114=$H$1)*('Base de données'!$J$2:$J$114=$I$1*1),ROW('Base de données'!$H$2:$H$114)-1),ROWS($1:2))),"")</f>
        <v>1.446E-3</v>
      </c>
      <c r="L4">
        <f t="array" ref="L4">IFERROR(INDEX('Base de données'!Y$2:Y$114,SMALL(IF((('Base de données'!$B$2:$B$114="vente"))*('Base de données'!$H$2:$H$114=$G$1)*('Base de données'!$I$2:$I$114=$H$1)*('Base de données'!$J$2:$J$114=$I$1*1),ROW('Base de données'!$H$2:$H$114)-1),ROWS($1:2))),"")</f>
        <v>5.9265267326732659E-4</v>
      </c>
      <c r="M4">
        <f t="array" ref="M4">IFERROR(INDEX('Base de données'!N$2:N$114,SMALL(IF((('Base de données'!$B$2:$B$114="vente"))*('Base de données'!$H$2:$H$114=$G$1)*('Base de données'!$I$2:$I$114=$H$1)*('Base de données'!$J$2:$J$114=$I$1*1),ROW('Base de données'!$H$2:$H$114)-1),ROWS($1:2))),"")</f>
        <v>6</v>
      </c>
      <c r="N4">
        <f t="shared" ref="N4:N22" si="0">M4*J4</f>
        <v>0</v>
      </c>
      <c r="O4">
        <f t="array" ref="O4">IFERROR(INDEX('Base de données'!P$2:P$114,SMALL(IF((('Base de données'!$B$2:$B$114="vente"))*('Base de données'!$H$2:$H$114=$G$1)*('Base de données'!$I$2:$I$114=$H$1)*('Base de données'!$J$2:$J$114=$I$1*1),ROW('Base de données'!$H$2:$H$114)-1),ROWS($1:2))),"")</f>
        <v>1.4964479999999998</v>
      </c>
      <c r="P4">
        <f t="shared" ref="P4:P22" si="1">O4*J4</f>
        <v>0</v>
      </c>
      <c r="Q4">
        <f t="shared" ref="Q4:Q22" si="2">L4*J4</f>
        <v>0</v>
      </c>
      <c r="R4">
        <f t="shared" ref="R4:R22" si="3">(O4+L4)/M4</f>
        <v>0.24950677544554453</v>
      </c>
    </row>
    <row r="5" spans="1:18">
      <c r="A5">
        <f t="array" ref="A5">IFERROR(INDEX('Base de données'!$A$2:$A$114,SMALL(IF((('Base de données'!$B$2:$B$114="vente"))*('Base de données'!$H$2:$H$114=$G$1)*('Base de données'!$I$2:$I$114=$H$1)*('Base de données'!$J$2:$J$114=$I$1*1),ROW('Base de données'!$H$2:$H$114)-1),ROWS($1:3))),"")</f>
        <v>201700054</v>
      </c>
      <c r="B5">
        <f t="array" ref="B5">IFERROR(INDEX('Base de données'!C$2:C$114,SMALL(IF((('Base de données'!$B$2:$B$114="vente"))*('Base de données'!$H$2:$H$114=$G$1)*('Base de données'!$I$2:$I$114=$H$1)*('Base de données'!$J$2:$J$114=$I$1*1),ROW('Base de données'!$H$2:$H$114)-1),ROWS($1:3))),"")</f>
        <v>548450</v>
      </c>
      <c r="C5" s="102">
        <f t="array" ref="C5">IFERROR(INDEX('Base de données'!D$2:D$114,SMALL(IF((('Base de données'!$B$2:$B$114="vente"))*('Base de données'!$H$2:$H$114=$G$1)*('Base de données'!$I$2:$I$114=$H$1)*('Base de données'!$J$2:$J$114=$I$1*1),ROW('Base de données'!$H$2:$H$114)-1),ROWS($1:3))),"")</f>
        <v>42893</v>
      </c>
      <c r="D5">
        <f t="array" ref="D5">IFERROR(INDEX('Base de données'!E$2:E$114,SMALL(IF((('Base de données'!$B$2:$B$114="vente"))*('Base de données'!$H$2:$H$114=$G$1)*('Base de données'!$I$2:$I$114=$H$1)*('Base de données'!$J$2:$J$114=$I$1*1),ROW('Base de données'!$H$2:$H$114)-1),ROWS($1:3))),"")</f>
        <v>510020</v>
      </c>
      <c r="E5" t="str">
        <f t="array" ref="E5">IFERROR(INDEX('Base de données'!F$2:F$114,SMALL(IF((('Base de données'!$B$2:$B$114="vente"))*('Base de données'!$H$2:$H$114=$G$1)*('Base de données'!$I$2:$I$114=$H$1)*('Base de données'!$J$2:$J$114=$I$1*1),ROW('Base de données'!$H$2:$H$114)-1),ROWS($1:3))),"")</f>
        <v>INSERTO ESAG,M6 8*6</v>
      </c>
      <c r="F5">
        <f t="array" ref="F5">IFERROR(INDEX('Base de données'!G$2:G$114,SMALL(IF((('Base de données'!$B$2:$B$114="vente"))*('Base de données'!$H$2:$H$114=$G$1)*('Base de données'!$I$2:$I$114=$H$1)*('Base de données'!$J$2:$J$114=$I$1*1),ROW('Base de données'!$H$2:$H$114)-1),ROWS($1:3))),"")</f>
        <v>139</v>
      </c>
      <c r="G5" t="str">
        <f t="array" ref="G5">IFERROR(INDEX('Base de données'!H$2:H$114,SMALL(IF((('Base de données'!$B$2:$B$114="vente"))*('Base de données'!$H$2:$H$114=$G$1)*('Base de données'!$I$2:$I$114=$H$1)*('Base de données'!$J$2:$J$114=$I$1*1),ROW('Base de données'!$H$2:$H$114)-1),ROWS($1:3))),"")</f>
        <v>LAITON</v>
      </c>
      <c r="H5" t="str">
        <f t="array" ref="H5">IFERROR(INDEX('Base de données'!I$2:I$114,SMALL(IF((('Base de données'!$B$2:$B$114="vente"))*('Base de données'!$H$2:$H$114=$G$1)*('Base de données'!$I$2:$I$114=$H$1)*('Base de données'!$J$2:$J$114=$I$1*1),ROW('Base de données'!$H$2:$H$114)-1),ROWS($1:3))),"")</f>
        <v>HEX</v>
      </c>
      <c r="I5">
        <f t="array" ref="I5">IFERROR(INDEX('Base de données'!J$2:J$114,SMALL(IF((('Base de données'!$B$2:$B$114="vente"))*('Base de données'!$H$2:$H$114=$G$1)*('Base de données'!$I$2:$I$114=$H$1)*('Base de données'!$J$2:$J$114=$I$1*1),ROW('Base de données'!$H$2:$H$114)-1),ROWS($1:3))),"")</f>
        <v>8</v>
      </c>
      <c r="J5">
        <f t="array" ref="J5">IFERROR(INDEX('Base de données'!K$2:K$114,SMALL(IF((('Base de données'!$B$2:$B$114="vente"))*('Base de données'!$H$2:$H$114=$G$1)*('Base de données'!$I$2:$I$114=$H$1)*('Base de données'!$J$2:$J$114=$I$1*1),ROW('Base de données'!$H$2:$H$114)-1),ROWS($1:3))),"")</f>
        <v>0</v>
      </c>
      <c r="K5">
        <f t="array" ref="K5">IFERROR(INDEX('Base de données'!M$2:M$114,SMALL(IF((('Base de données'!$B$2:$B$114="vente"))*('Base de données'!$H$2:$H$114=$G$1)*('Base de données'!$I$2:$I$114=$H$1)*('Base de données'!$J$2:$J$114=$I$1*1),ROW('Base de données'!$H$2:$H$114)-1),ROWS($1:3))),"")</f>
        <v>1.446E-3</v>
      </c>
      <c r="L5">
        <f t="array" ref="L5">IFERROR(INDEX('Base de données'!Y$2:Y$114,SMALL(IF((('Base de données'!$B$2:$B$114="vente"))*('Base de données'!$H$2:$H$114=$G$1)*('Base de données'!$I$2:$I$114=$H$1)*('Base de données'!$J$2:$J$114=$I$1*1),ROW('Base de données'!$H$2:$H$114)-1),ROWS($1:3))),"")</f>
        <v>5.9265267326732659E-4</v>
      </c>
      <c r="M5">
        <f t="array" ref="M5">IFERROR(INDEX('Base de données'!N$2:N$114,SMALL(IF((('Base de données'!$B$2:$B$114="vente"))*('Base de données'!$H$2:$H$114=$G$1)*('Base de données'!$I$2:$I$114=$H$1)*('Base de données'!$J$2:$J$114=$I$1*1),ROW('Base de données'!$H$2:$H$114)-1),ROWS($1:3))),"")</f>
        <v>6</v>
      </c>
      <c r="N5">
        <f t="shared" si="0"/>
        <v>0</v>
      </c>
      <c r="O5">
        <f t="array" ref="O5">IFERROR(INDEX('Base de données'!P$2:P$114,SMALL(IF((('Base de données'!$B$2:$B$114="vente"))*('Base de données'!$H$2:$H$114=$G$1)*('Base de données'!$I$2:$I$114=$H$1)*('Base de données'!$J$2:$J$114=$I$1*1),ROW('Base de données'!$H$2:$H$114)-1),ROWS($1:3))),"")</f>
        <v>1.4964479999999998</v>
      </c>
      <c r="P5">
        <f t="shared" si="1"/>
        <v>0</v>
      </c>
      <c r="Q5">
        <f t="shared" si="2"/>
        <v>0</v>
      </c>
      <c r="R5">
        <f t="shared" si="3"/>
        <v>0.24950677544554453</v>
      </c>
    </row>
    <row r="6" spans="1:18">
      <c r="A6">
        <f t="array" ref="A6">IFERROR(INDEX('Base de données'!$A$2:$A$114,SMALL(IF((('Base de données'!$B$2:$B$114="vente"))*('Base de données'!$H$2:$H$114=$G$1)*('Base de données'!$I$2:$I$114=$H$1)*('Base de données'!$J$2:$J$114=$I$1*1),ROW('Base de données'!$H$2:$H$114)-1),ROWS($1:4))),"")</f>
        <v>201700065</v>
      </c>
      <c r="B6">
        <f t="array" ref="B6">IFERROR(INDEX('Base de données'!C$2:C$114,SMALL(IF((('Base de données'!$B$2:$B$114="vente"))*('Base de données'!$H$2:$H$114=$G$1)*('Base de données'!$I$2:$I$114=$H$1)*('Base de données'!$J$2:$J$114=$I$1*1),ROW('Base de données'!$H$2:$H$114)-1),ROWS($1:4))),"")</f>
        <v>549089</v>
      </c>
      <c r="C6" s="102">
        <f t="array" ref="C6">IFERROR(INDEX('Base de données'!D$2:D$114,SMALL(IF((('Base de données'!$B$2:$B$114="vente"))*('Base de données'!$H$2:$H$114=$G$1)*('Base de données'!$I$2:$I$114=$H$1)*('Base de données'!$J$2:$J$114=$I$1*1),ROW('Base de données'!$H$2:$H$114)-1),ROWS($1:4))),"")</f>
        <v>42923</v>
      </c>
      <c r="D6">
        <f t="array" ref="D6">IFERROR(INDEX('Base de données'!E$2:E$114,SMALL(IF((('Base de données'!$B$2:$B$114="vente"))*('Base de données'!$H$2:$H$114=$G$1)*('Base de données'!$I$2:$I$114=$H$1)*('Base de données'!$J$2:$J$114=$I$1*1),ROW('Base de données'!$H$2:$H$114)-1),ROWS($1:4))),"")</f>
        <v>510020</v>
      </c>
      <c r="E6" t="str">
        <f t="array" ref="E6">IFERROR(INDEX('Base de données'!F$2:F$114,SMALL(IF((('Base de données'!$B$2:$B$114="vente"))*('Base de données'!$H$2:$H$114=$G$1)*('Base de données'!$I$2:$I$114=$H$1)*('Base de données'!$J$2:$J$114=$I$1*1),ROW('Base de données'!$H$2:$H$114)-1),ROWS($1:4))),"")</f>
        <v>INSERTO ESAG,M6 8*6</v>
      </c>
      <c r="F6">
        <f t="array" ref="F6">IFERROR(INDEX('Base de données'!G$2:G$114,SMALL(IF((('Base de données'!$B$2:$B$114="vente"))*('Base de données'!$H$2:$H$114=$G$1)*('Base de données'!$I$2:$I$114=$H$1)*('Base de données'!$J$2:$J$114=$I$1*1),ROW('Base de données'!$H$2:$H$114)-1),ROWS($1:4))),"")</f>
        <v>139</v>
      </c>
      <c r="G6" t="str">
        <f t="array" ref="G6">IFERROR(INDEX('Base de données'!H$2:H$114,SMALL(IF((('Base de données'!$B$2:$B$114="vente"))*('Base de données'!$H$2:$H$114=$G$1)*('Base de données'!$I$2:$I$114=$H$1)*('Base de données'!$J$2:$J$114=$I$1*1),ROW('Base de données'!$H$2:$H$114)-1),ROWS($1:4))),"")</f>
        <v>LAITON</v>
      </c>
      <c r="H6" t="str">
        <f t="array" ref="H6">IFERROR(INDEX('Base de données'!I$2:I$114,SMALL(IF((('Base de données'!$B$2:$B$114="vente"))*('Base de données'!$H$2:$H$114=$G$1)*('Base de données'!$I$2:$I$114=$H$1)*('Base de données'!$J$2:$J$114=$I$1*1),ROW('Base de données'!$H$2:$H$114)-1),ROWS($1:4))),"")</f>
        <v>HEX</v>
      </c>
      <c r="I6">
        <f t="array" ref="I6">IFERROR(INDEX('Base de données'!J$2:J$114,SMALL(IF((('Base de données'!$B$2:$B$114="vente"))*('Base de données'!$H$2:$H$114=$G$1)*('Base de données'!$I$2:$I$114=$H$1)*('Base de données'!$J$2:$J$114=$I$1*1),ROW('Base de données'!$H$2:$H$114)-1),ROWS($1:4))),"")</f>
        <v>8</v>
      </c>
      <c r="J6">
        <f t="array" ref="J6">IFERROR(INDEX('Base de données'!K$2:K$114,SMALL(IF((('Base de données'!$B$2:$B$114="vente"))*('Base de données'!$H$2:$H$114=$G$1)*('Base de données'!$I$2:$I$114=$H$1)*('Base de données'!$J$2:$J$114=$I$1*1),ROW('Base de données'!$H$2:$H$114)-1),ROWS($1:4))),"")</f>
        <v>0</v>
      </c>
      <c r="K6">
        <f t="array" ref="K6">IFERROR(INDEX('Base de données'!M$2:M$114,SMALL(IF((('Base de données'!$B$2:$B$114="vente"))*('Base de données'!$H$2:$H$114=$G$1)*('Base de données'!$I$2:$I$114=$H$1)*('Base de données'!$J$2:$J$114=$I$1*1),ROW('Base de données'!$H$2:$H$114)-1),ROWS($1:4))),"")</f>
        <v>1.446E-3</v>
      </c>
      <c r="L6">
        <f t="array" ref="L6">IFERROR(INDEX('Base de données'!Y$2:Y$114,SMALL(IF((('Base de données'!$B$2:$B$114="vente"))*('Base de données'!$H$2:$H$114=$G$1)*('Base de données'!$I$2:$I$114=$H$1)*('Base de données'!$J$2:$J$114=$I$1*1),ROW('Base de données'!$H$2:$H$114)-1),ROWS($1:4))),"")</f>
        <v>5.9265267326732659E-4</v>
      </c>
      <c r="M6">
        <f t="array" ref="M6">IFERROR(INDEX('Base de données'!N$2:N$114,SMALL(IF((('Base de données'!$B$2:$B$114="vente"))*('Base de données'!$H$2:$H$114=$G$1)*('Base de données'!$I$2:$I$114=$H$1)*('Base de données'!$J$2:$J$114=$I$1*1),ROW('Base de données'!$H$2:$H$114)-1),ROWS($1:4))),"")</f>
        <v>6</v>
      </c>
      <c r="N6">
        <f t="shared" si="0"/>
        <v>0</v>
      </c>
      <c r="O6">
        <f t="array" ref="O6">IFERROR(INDEX('Base de données'!P$2:P$114,SMALL(IF((('Base de données'!$B$2:$B$114="vente"))*('Base de données'!$H$2:$H$114=$G$1)*('Base de données'!$I$2:$I$114=$H$1)*('Base de données'!$J$2:$J$114=$I$1*1),ROW('Base de données'!$H$2:$H$114)-1),ROWS($1:4))),"")</f>
        <v>1.4964479999999998</v>
      </c>
      <c r="P6">
        <f t="shared" si="1"/>
        <v>0</v>
      </c>
      <c r="Q6">
        <f t="shared" si="2"/>
        <v>0</v>
      </c>
      <c r="R6">
        <f t="shared" si="3"/>
        <v>0.24950677544554453</v>
      </c>
    </row>
    <row r="7" spans="1:18">
      <c r="A7">
        <f t="array" ref="A7">IFERROR(INDEX('Base de données'!$A$2:$A$114,SMALL(IF((('Base de données'!$B$2:$B$114="vente"))*('Base de données'!$H$2:$H$114=$G$1)*('Base de données'!$I$2:$I$114=$H$1)*('Base de données'!$J$2:$J$114=$I$1*1),ROW('Base de données'!$H$2:$H$114)-1),ROWS($1:5))),"")</f>
        <v>201700098</v>
      </c>
      <c r="B7">
        <f t="array" ref="B7">IFERROR(INDEX('Base de données'!C$2:C$114,SMALL(IF((('Base de données'!$B$2:$B$114="vente"))*('Base de données'!$H$2:$H$114=$G$1)*('Base de données'!$I$2:$I$114=$H$1)*('Base de données'!$J$2:$J$114=$I$1*1),ROW('Base de données'!$H$2:$H$114)-1),ROWS($1:5))),"")</f>
        <v>531306</v>
      </c>
      <c r="C7" s="102">
        <f t="array" ref="C7">IFERROR(INDEX('Base de données'!D$2:D$114,SMALL(IF((('Base de données'!$B$2:$B$114="vente"))*('Base de données'!$H$2:$H$114=$G$1)*('Base de données'!$I$2:$I$114=$H$1)*('Base de données'!$J$2:$J$114=$I$1*1),ROW('Base de données'!$H$2:$H$114)-1),ROWS($1:5))),"")</f>
        <v>43045</v>
      </c>
      <c r="D7">
        <f t="array" ref="D7">IFERROR(INDEX('Base de données'!E$2:E$114,SMALL(IF((('Base de données'!$B$2:$B$114="vente"))*('Base de données'!$H$2:$H$114=$G$1)*('Base de données'!$I$2:$I$114=$H$1)*('Base de données'!$J$2:$J$114=$I$1*1),ROW('Base de données'!$H$2:$H$114)-1),ROWS($1:5))),"")</f>
        <v>510020</v>
      </c>
      <c r="E7" t="str">
        <f t="array" ref="E7">IFERROR(INDEX('Base de données'!F$2:F$114,SMALL(IF((('Base de données'!$B$2:$B$114="vente"))*('Base de données'!$H$2:$H$114=$G$1)*('Base de données'!$I$2:$I$114=$H$1)*('Base de données'!$J$2:$J$114=$I$1*1),ROW('Base de données'!$H$2:$H$114)-1),ROWS($1:5))),"")</f>
        <v>INSERTO ESAG,M6 8*6</v>
      </c>
      <c r="F7">
        <f t="array" ref="F7">IFERROR(INDEX('Base de données'!G$2:G$114,SMALL(IF((('Base de données'!$B$2:$B$114="vente"))*('Base de données'!$H$2:$H$114=$G$1)*('Base de données'!$I$2:$I$114=$H$1)*('Base de données'!$J$2:$J$114=$I$1*1),ROW('Base de données'!$H$2:$H$114)-1),ROWS($1:5))),"")</f>
        <v>139</v>
      </c>
      <c r="G7" t="str">
        <f t="array" ref="G7">IFERROR(INDEX('Base de données'!H$2:H$114,SMALL(IF((('Base de données'!$B$2:$B$114="vente"))*('Base de données'!$H$2:$H$114=$G$1)*('Base de données'!$I$2:$I$114=$H$1)*('Base de données'!$J$2:$J$114=$I$1*1),ROW('Base de données'!$H$2:$H$114)-1),ROWS($1:5))),"")</f>
        <v>LAITON</v>
      </c>
      <c r="H7" t="str">
        <f t="array" ref="H7">IFERROR(INDEX('Base de données'!I$2:I$114,SMALL(IF((('Base de données'!$B$2:$B$114="vente"))*('Base de données'!$H$2:$H$114=$G$1)*('Base de données'!$I$2:$I$114=$H$1)*('Base de données'!$J$2:$J$114=$I$1*1),ROW('Base de données'!$H$2:$H$114)-1),ROWS($1:5))),"")</f>
        <v>HEX</v>
      </c>
      <c r="I7">
        <f t="array" ref="I7">IFERROR(INDEX('Base de données'!J$2:J$114,SMALL(IF((('Base de données'!$B$2:$B$114="vente"))*('Base de données'!$H$2:$H$114=$G$1)*('Base de données'!$I$2:$I$114=$H$1)*('Base de données'!$J$2:$J$114=$I$1*1),ROW('Base de données'!$H$2:$H$114)-1),ROWS($1:5))),"")</f>
        <v>8</v>
      </c>
      <c r="J7">
        <f t="array" ref="J7">IFERROR(INDEX('Base de données'!K$2:K$114,SMALL(IF((('Base de données'!$B$2:$B$114="vente"))*('Base de données'!$H$2:$H$114=$G$1)*('Base de données'!$I$2:$I$114=$H$1)*('Base de données'!$J$2:$J$114=$I$1*1),ROW('Base de données'!$H$2:$H$114)-1),ROWS($1:5))),"")</f>
        <v>0</v>
      </c>
      <c r="K7">
        <f t="array" ref="K7">IFERROR(INDEX('Base de données'!M$2:M$114,SMALL(IF((('Base de données'!$B$2:$B$114="vente"))*('Base de données'!$H$2:$H$114=$G$1)*('Base de données'!$I$2:$I$114=$H$1)*('Base de données'!$J$2:$J$114=$I$1*1),ROW('Base de données'!$H$2:$H$114)-1),ROWS($1:5))),"")</f>
        <v>1.446E-3</v>
      </c>
      <c r="L7">
        <f t="array" ref="L7">IFERROR(INDEX('Base de données'!Y$2:Y$114,SMALL(IF((('Base de données'!$B$2:$B$114="vente"))*('Base de données'!$H$2:$H$114=$G$1)*('Base de données'!$I$2:$I$114=$H$1)*('Base de données'!$J$2:$J$114=$I$1*1),ROW('Base de données'!$H$2:$H$114)-1),ROWS($1:5))),"")</f>
        <v>5.9265267326732659E-4</v>
      </c>
      <c r="M7">
        <f t="array" ref="M7">IFERROR(INDEX('Base de données'!N$2:N$114,SMALL(IF((('Base de données'!$B$2:$B$114="vente"))*('Base de données'!$H$2:$H$114=$G$1)*('Base de données'!$I$2:$I$114=$H$1)*('Base de données'!$J$2:$J$114=$I$1*1),ROW('Base de données'!$H$2:$H$114)-1),ROWS($1:5))),"")</f>
        <v>6</v>
      </c>
      <c r="N7">
        <f t="shared" si="0"/>
        <v>0</v>
      </c>
      <c r="O7">
        <f t="array" ref="O7">IFERROR(INDEX('Base de données'!P$2:P$114,SMALL(IF((('Base de données'!$B$2:$B$114="vente"))*('Base de données'!$H$2:$H$114=$G$1)*('Base de données'!$I$2:$I$114=$H$1)*('Base de données'!$J$2:$J$114=$I$1*1),ROW('Base de données'!$H$2:$H$114)-1),ROWS($1:5))),"")</f>
        <v>1.4964479999999998</v>
      </c>
      <c r="P7">
        <f t="shared" si="1"/>
        <v>0</v>
      </c>
      <c r="Q7">
        <f t="shared" si="2"/>
        <v>0</v>
      </c>
      <c r="R7">
        <f t="shared" si="3"/>
        <v>0.24950677544554453</v>
      </c>
    </row>
    <row r="8" spans="1:18">
      <c r="A8">
        <f t="array" ref="A8">IFERROR(INDEX('Base de données'!$A$2:$A$114,SMALL(IF((('Base de données'!$B$2:$B$114="vente"))*('Base de données'!$H$2:$H$114=$G$1)*('Base de données'!$I$2:$I$114=$H$1)*('Base de données'!$J$2:$J$114=$I$1*1),ROW('Base de données'!$H$2:$H$114)-1),ROWS($1:6))),"")</f>
        <v>201700108</v>
      </c>
      <c r="B8">
        <f t="array" ref="B8">IFERROR(INDEX('Base de données'!C$2:C$114,SMALL(IF((('Base de données'!$B$2:$B$114="vente"))*('Base de données'!$H$2:$H$114=$G$1)*('Base de données'!$I$2:$I$114=$H$1)*('Base de données'!$J$2:$J$114=$I$1*1),ROW('Base de données'!$H$2:$H$114)-1),ROWS($1:6))),"")</f>
        <v>531987</v>
      </c>
      <c r="C8" s="102">
        <f t="array" ref="C8">IFERROR(INDEX('Base de données'!D$2:D$114,SMALL(IF((('Base de données'!$B$2:$B$114="vente"))*('Base de données'!$H$2:$H$114=$G$1)*('Base de données'!$I$2:$I$114=$H$1)*('Base de données'!$J$2:$J$114=$I$1*1),ROW('Base de données'!$H$2:$H$114)-1),ROWS($1:6))),"")</f>
        <v>43076</v>
      </c>
      <c r="D8">
        <f t="array" ref="D8">IFERROR(INDEX('Base de données'!E$2:E$114,SMALL(IF((('Base de données'!$B$2:$B$114="vente"))*('Base de données'!$H$2:$H$114=$G$1)*('Base de données'!$I$2:$I$114=$H$1)*('Base de données'!$J$2:$J$114=$I$1*1),ROW('Base de données'!$H$2:$H$114)-1),ROWS($1:6))),"")</f>
        <v>510020</v>
      </c>
      <c r="E8" t="str">
        <f t="array" ref="E8">IFERROR(INDEX('Base de données'!F$2:F$114,SMALL(IF((('Base de données'!$B$2:$B$114="vente"))*('Base de données'!$H$2:$H$114=$G$1)*('Base de données'!$I$2:$I$114=$H$1)*('Base de données'!$J$2:$J$114=$I$1*1),ROW('Base de données'!$H$2:$H$114)-1),ROWS($1:6))),"")</f>
        <v>INSERTO ESAG,M6 8*6</v>
      </c>
      <c r="F8">
        <f t="array" ref="F8">IFERROR(INDEX('Base de données'!G$2:G$114,SMALL(IF((('Base de données'!$B$2:$B$114="vente"))*('Base de données'!$H$2:$H$114=$G$1)*('Base de données'!$I$2:$I$114=$H$1)*('Base de données'!$J$2:$J$114=$I$1*1),ROW('Base de données'!$H$2:$H$114)-1),ROWS($1:6))),"")</f>
        <v>139</v>
      </c>
      <c r="G8" t="str">
        <f t="array" ref="G8">IFERROR(INDEX('Base de données'!H$2:H$114,SMALL(IF((('Base de données'!$B$2:$B$114="vente"))*('Base de données'!$H$2:$H$114=$G$1)*('Base de données'!$I$2:$I$114=$H$1)*('Base de données'!$J$2:$J$114=$I$1*1),ROW('Base de données'!$H$2:$H$114)-1),ROWS($1:6))),"")</f>
        <v>LAITON</v>
      </c>
      <c r="H8" t="str">
        <f t="array" ref="H8">IFERROR(INDEX('Base de données'!I$2:I$114,SMALL(IF((('Base de données'!$B$2:$B$114="vente"))*('Base de données'!$H$2:$H$114=$G$1)*('Base de données'!$I$2:$I$114=$H$1)*('Base de données'!$J$2:$J$114=$I$1*1),ROW('Base de données'!$H$2:$H$114)-1),ROWS($1:6))),"")</f>
        <v>HEX</v>
      </c>
      <c r="I8">
        <f t="array" ref="I8">IFERROR(INDEX('Base de données'!J$2:J$114,SMALL(IF((('Base de données'!$B$2:$B$114="vente"))*('Base de données'!$H$2:$H$114=$G$1)*('Base de données'!$I$2:$I$114=$H$1)*('Base de données'!$J$2:$J$114=$I$1*1),ROW('Base de données'!$H$2:$H$114)-1),ROWS($1:6))),"")</f>
        <v>8</v>
      </c>
      <c r="J8">
        <f t="array" ref="J8">IFERROR(INDEX('Base de données'!K$2:K$114,SMALL(IF((('Base de données'!$B$2:$B$114="vente"))*('Base de données'!$H$2:$H$114=$G$1)*('Base de données'!$I$2:$I$114=$H$1)*('Base de données'!$J$2:$J$114=$I$1*1),ROW('Base de données'!$H$2:$H$114)-1),ROWS($1:6))),"")</f>
        <v>0</v>
      </c>
      <c r="K8">
        <f t="array" ref="K8">IFERROR(INDEX('Base de données'!M$2:M$114,SMALL(IF((('Base de données'!$B$2:$B$114="vente"))*('Base de données'!$H$2:$H$114=$G$1)*('Base de données'!$I$2:$I$114=$H$1)*('Base de données'!$J$2:$J$114=$I$1*1),ROW('Base de données'!$H$2:$H$114)-1),ROWS($1:6))),"")</f>
        <v>1.446E-3</v>
      </c>
      <c r="L8">
        <f t="array" ref="L8">IFERROR(INDEX('Base de données'!Y$2:Y$114,SMALL(IF((('Base de données'!$B$2:$B$114="vente"))*('Base de données'!$H$2:$H$114=$G$1)*('Base de données'!$I$2:$I$114=$H$1)*('Base de données'!$J$2:$J$114=$I$1*1),ROW('Base de données'!$H$2:$H$114)-1),ROWS($1:6))),"")</f>
        <v>5.9265267326732659E-4</v>
      </c>
      <c r="M8">
        <f t="array" ref="M8">IFERROR(INDEX('Base de données'!N$2:N$114,SMALL(IF((('Base de données'!$B$2:$B$114="vente"))*('Base de données'!$H$2:$H$114=$G$1)*('Base de données'!$I$2:$I$114=$H$1)*('Base de données'!$J$2:$J$114=$I$1*1),ROW('Base de données'!$H$2:$H$114)-1),ROWS($1:6))),"")</f>
        <v>6</v>
      </c>
      <c r="N8">
        <f t="shared" si="0"/>
        <v>0</v>
      </c>
      <c r="O8">
        <f t="array" ref="O8">IFERROR(INDEX('Base de données'!P$2:P$114,SMALL(IF((('Base de données'!$B$2:$B$114="vente"))*('Base de données'!$H$2:$H$114=$G$1)*('Base de données'!$I$2:$I$114=$H$1)*('Base de données'!$J$2:$J$114=$I$1*1),ROW('Base de données'!$H$2:$H$114)-1),ROWS($1:6))),"")</f>
        <v>1.4964479999999998</v>
      </c>
      <c r="P8">
        <f t="shared" si="1"/>
        <v>0</v>
      </c>
      <c r="Q8">
        <f t="shared" si="2"/>
        <v>0</v>
      </c>
      <c r="R8">
        <f t="shared" si="3"/>
        <v>0.24950677544554453</v>
      </c>
    </row>
    <row r="9" spans="1:18">
      <c r="A9">
        <f t="array" ref="A9">IFERROR(INDEX('Base de données'!$A$2:$A$114,SMALL(IF((('Base de données'!$B$2:$B$114="vente"))*('Base de données'!$H$2:$H$114=$G$1)*('Base de données'!$I$2:$I$114=$H$1)*('Base de données'!$J$2:$J$114=$I$1*1),ROW('Base de données'!$H$2:$H$114)-1),ROWS($1:7))),"")</f>
        <v>201800007</v>
      </c>
      <c r="B9">
        <f t="array" ref="B9">IFERROR(INDEX('Base de données'!C$2:C$114,SMALL(IF((('Base de données'!$B$2:$B$114="vente"))*('Base de données'!$H$2:$H$114=$G$1)*('Base de données'!$I$2:$I$114=$H$1)*('Base de données'!$J$2:$J$114=$I$1*1),ROW('Base de données'!$H$2:$H$114)-1),ROWS($1:7))),"")</f>
        <v>533273</v>
      </c>
      <c r="C9" s="102">
        <f t="array" ref="C9">IFERROR(INDEX('Base de données'!D$2:D$114,SMALL(IF((('Base de données'!$B$2:$B$114="vente"))*('Base de données'!$H$2:$H$114=$G$1)*('Base de données'!$I$2:$I$114=$H$1)*('Base de données'!$J$2:$J$114=$I$1*1),ROW('Base de données'!$H$2:$H$114)-1),ROWS($1:7))),"")</f>
        <v>43138</v>
      </c>
      <c r="D9">
        <f t="array" ref="D9">IFERROR(INDEX('Base de données'!E$2:E$114,SMALL(IF((('Base de données'!$B$2:$B$114="vente"))*('Base de données'!$H$2:$H$114=$G$1)*('Base de données'!$I$2:$I$114=$H$1)*('Base de données'!$J$2:$J$114=$I$1*1),ROW('Base de données'!$H$2:$H$114)-1),ROWS($1:7))),"")</f>
        <v>510020</v>
      </c>
      <c r="E9" t="str">
        <f t="array" ref="E9">IFERROR(INDEX('Base de données'!F$2:F$114,SMALL(IF((('Base de données'!$B$2:$B$114="vente"))*('Base de données'!$H$2:$H$114=$G$1)*('Base de données'!$I$2:$I$114=$H$1)*('Base de données'!$J$2:$J$114=$I$1*1),ROW('Base de données'!$H$2:$H$114)-1),ROWS($1:7))),"")</f>
        <v>INSERTO ESAG,M6 8*6</v>
      </c>
      <c r="F9">
        <f t="array" ref="F9">IFERROR(INDEX('Base de données'!G$2:G$114,SMALL(IF((('Base de données'!$B$2:$B$114="vente"))*('Base de données'!$H$2:$H$114=$G$1)*('Base de données'!$I$2:$I$114=$H$1)*('Base de données'!$J$2:$J$114=$I$1*1),ROW('Base de données'!$H$2:$H$114)-1),ROWS($1:7))),"")</f>
        <v>139</v>
      </c>
      <c r="G9" t="str">
        <f t="array" ref="G9">IFERROR(INDEX('Base de données'!H$2:H$114,SMALL(IF((('Base de données'!$B$2:$B$114="vente"))*('Base de données'!$H$2:$H$114=$G$1)*('Base de données'!$I$2:$I$114=$H$1)*('Base de données'!$J$2:$J$114=$I$1*1),ROW('Base de données'!$H$2:$H$114)-1),ROWS($1:7))),"")</f>
        <v>LAITON</v>
      </c>
      <c r="H9" t="str">
        <f t="array" ref="H9">IFERROR(INDEX('Base de données'!I$2:I$114,SMALL(IF((('Base de données'!$B$2:$B$114="vente"))*('Base de données'!$H$2:$H$114=$G$1)*('Base de données'!$I$2:$I$114=$H$1)*('Base de données'!$J$2:$J$114=$I$1*1),ROW('Base de données'!$H$2:$H$114)-1),ROWS($1:7))),"")</f>
        <v>HEX</v>
      </c>
      <c r="I9">
        <f t="array" ref="I9">IFERROR(INDEX('Base de données'!J$2:J$114,SMALL(IF((('Base de données'!$B$2:$B$114="vente"))*('Base de données'!$H$2:$H$114=$G$1)*('Base de données'!$I$2:$I$114=$H$1)*('Base de données'!$J$2:$J$114=$I$1*1),ROW('Base de données'!$H$2:$H$114)-1),ROWS($1:7))),"")</f>
        <v>8</v>
      </c>
      <c r="J9">
        <f t="array" ref="J9">IFERROR(INDEX('Base de données'!K$2:K$114,SMALL(IF((('Base de données'!$B$2:$B$114="vente"))*('Base de données'!$H$2:$H$114=$G$1)*('Base de données'!$I$2:$I$114=$H$1)*('Base de données'!$J$2:$J$114=$I$1*1),ROW('Base de données'!$H$2:$H$114)-1),ROWS($1:7))),"")</f>
        <v>0</v>
      </c>
      <c r="K9">
        <f t="array" ref="K9">IFERROR(INDEX('Base de données'!M$2:M$114,SMALL(IF((('Base de données'!$B$2:$B$114="vente"))*('Base de données'!$H$2:$H$114=$G$1)*('Base de données'!$I$2:$I$114=$H$1)*('Base de données'!$J$2:$J$114=$I$1*1),ROW('Base de données'!$H$2:$H$114)-1),ROWS($1:7))),"")</f>
        <v>1.446E-3</v>
      </c>
      <c r="L9">
        <f t="array" ref="L9">IFERROR(INDEX('Base de données'!Y$2:Y$114,SMALL(IF((('Base de données'!$B$2:$B$114="vente"))*('Base de données'!$H$2:$H$114=$G$1)*('Base de données'!$I$2:$I$114=$H$1)*('Base de données'!$J$2:$J$114=$I$1*1),ROW('Base de données'!$H$2:$H$114)-1),ROWS($1:7))),"")</f>
        <v>5.9265267326732659E-4</v>
      </c>
      <c r="M9">
        <f t="array" ref="M9">IFERROR(INDEX('Base de données'!N$2:N$114,SMALL(IF((('Base de données'!$B$2:$B$114="vente"))*('Base de données'!$H$2:$H$114=$G$1)*('Base de données'!$I$2:$I$114=$H$1)*('Base de données'!$J$2:$J$114=$I$1*1),ROW('Base de données'!$H$2:$H$114)-1),ROWS($1:7))),"")</f>
        <v>6</v>
      </c>
      <c r="N9">
        <f t="shared" si="0"/>
        <v>0</v>
      </c>
      <c r="O9">
        <f t="array" ref="O9">IFERROR(INDEX('Base de données'!P$2:P$114,SMALL(IF((('Base de données'!$B$2:$B$114="vente"))*('Base de données'!$H$2:$H$114=$G$1)*('Base de données'!$I$2:$I$114=$H$1)*('Base de données'!$J$2:$J$114=$I$1*1),ROW('Base de données'!$H$2:$H$114)-1),ROWS($1:7))),"")</f>
        <v>1.4964479999999998</v>
      </c>
      <c r="P9">
        <f t="shared" si="1"/>
        <v>0</v>
      </c>
      <c r="Q9">
        <f t="shared" si="2"/>
        <v>0</v>
      </c>
      <c r="R9">
        <f t="shared" si="3"/>
        <v>0.24950677544554453</v>
      </c>
    </row>
    <row r="10" spans="1:18">
      <c r="A10">
        <f t="array" ref="A10">IFERROR(INDEX('Base de données'!$A$2:$A$114,SMALL(IF((('Base de données'!$B$2:$B$114="vente"))*('Base de données'!$H$2:$H$114=$G$1)*('Base de données'!$I$2:$I$114=$H$1)*('Base de données'!$J$2:$J$114=$I$1*1),ROW('Base de données'!$H$2:$H$114)-1),ROWS($1:8))),"")</f>
        <v>201800014</v>
      </c>
      <c r="B10">
        <f t="array" ref="B10">IFERROR(INDEX('Base de données'!C$2:C$114,SMALL(IF((('Base de données'!$B$2:$B$114="vente"))*('Base de données'!$H$2:$H$114=$G$1)*('Base de données'!$I$2:$I$114=$H$1)*('Base de données'!$J$2:$J$114=$I$1*1),ROW('Base de données'!$H$2:$H$114)-1),ROWS($1:8))),"")</f>
        <v>533899</v>
      </c>
      <c r="C10" s="102">
        <f t="array" ref="C10">IFERROR(INDEX('Base de données'!D$2:D$114,SMALL(IF((('Base de données'!$B$2:$B$114="vente"))*('Base de données'!$H$2:$H$114=$G$1)*('Base de données'!$I$2:$I$114=$H$1)*('Base de données'!$J$2:$J$114=$I$1*1),ROW('Base de données'!$H$2:$H$114)-1),ROWS($1:8))),"")</f>
        <v>43166</v>
      </c>
      <c r="D10">
        <f t="array" ref="D10">IFERROR(INDEX('Base de données'!E$2:E$114,SMALL(IF((('Base de données'!$B$2:$B$114="vente"))*('Base de données'!$H$2:$H$114=$G$1)*('Base de données'!$I$2:$I$114=$H$1)*('Base de données'!$J$2:$J$114=$I$1*1),ROW('Base de données'!$H$2:$H$114)-1),ROWS($1:8))),"")</f>
        <v>510020</v>
      </c>
      <c r="E10" t="str">
        <f t="array" ref="E10">IFERROR(INDEX('Base de données'!F$2:F$114,SMALL(IF((('Base de données'!$B$2:$B$114="vente"))*('Base de données'!$H$2:$H$114=$G$1)*('Base de données'!$I$2:$I$114=$H$1)*('Base de données'!$J$2:$J$114=$I$1*1),ROW('Base de données'!$H$2:$H$114)-1),ROWS($1:8))),"")</f>
        <v>INSERTO ESAG,M6 8*6</v>
      </c>
      <c r="F10">
        <f t="array" ref="F10">IFERROR(INDEX('Base de données'!G$2:G$114,SMALL(IF((('Base de données'!$B$2:$B$114="vente"))*('Base de données'!$H$2:$H$114=$G$1)*('Base de données'!$I$2:$I$114=$H$1)*('Base de données'!$J$2:$J$114=$I$1*1),ROW('Base de données'!$H$2:$H$114)-1),ROWS($1:8))),"")</f>
        <v>139</v>
      </c>
      <c r="G10" t="str">
        <f t="array" ref="G10">IFERROR(INDEX('Base de données'!H$2:H$114,SMALL(IF((('Base de données'!$B$2:$B$114="vente"))*('Base de données'!$H$2:$H$114=$G$1)*('Base de données'!$I$2:$I$114=$H$1)*('Base de données'!$J$2:$J$114=$I$1*1),ROW('Base de données'!$H$2:$H$114)-1),ROWS($1:8))),"")</f>
        <v>LAITON</v>
      </c>
      <c r="H10" t="str">
        <f t="array" ref="H10">IFERROR(INDEX('Base de données'!I$2:I$114,SMALL(IF((('Base de données'!$B$2:$B$114="vente"))*('Base de données'!$H$2:$H$114=$G$1)*('Base de données'!$I$2:$I$114=$H$1)*('Base de données'!$J$2:$J$114=$I$1*1),ROW('Base de données'!$H$2:$H$114)-1),ROWS($1:8))),"")</f>
        <v>HEX</v>
      </c>
      <c r="I10">
        <f t="array" ref="I10">IFERROR(INDEX('Base de données'!J$2:J$114,SMALL(IF((('Base de données'!$B$2:$B$114="vente"))*('Base de données'!$H$2:$H$114=$G$1)*('Base de données'!$I$2:$I$114=$H$1)*('Base de données'!$J$2:$J$114=$I$1*1),ROW('Base de données'!$H$2:$H$114)-1),ROWS($1:8))),"")</f>
        <v>8</v>
      </c>
      <c r="J10">
        <f t="array" ref="J10">IFERROR(INDEX('Base de données'!K$2:K$114,SMALL(IF((('Base de données'!$B$2:$B$114="vente"))*('Base de données'!$H$2:$H$114=$G$1)*('Base de données'!$I$2:$I$114=$H$1)*('Base de données'!$J$2:$J$114=$I$1*1),ROW('Base de données'!$H$2:$H$114)-1),ROWS($1:8))),"")</f>
        <v>0</v>
      </c>
      <c r="K10">
        <f t="array" ref="K10">IFERROR(INDEX('Base de données'!M$2:M$114,SMALL(IF((('Base de données'!$B$2:$B$114="vente"))*('Base de données'!$H$2:$H$114=$G$1)*('Base de données'!$I$2:$I$114=$H$1)*('Base de données'!$J$2:$J$114=$I$1*1),ROW('Base de données'!$H$2:$H$114)-1),ROWS($1:8))),"")</f>
        <v>1.446E-3</v>
      </c>
      <c r="L10">
        <f t="array" ref="L10">IFERROR(INDEX('Base de données'!Y$2:Y$114,SMALL(IF((('Base de données'!$B$2:$B$114="vente"))*('Base de données'!$H$2:$H$114=$G$1)*('Base de données'!$I$2:$I$114=$H$1)*('Base de données'!$J$2:$J$114=$I$1*1),ROW('Base de données'!$H$2:$H$114)-1),ROWS($1:8))),"")</f>
        <v>5.9265267326732659E-4</v>
      </c>
      <c r="M10">
        <f t="array" ref="M10">IFERROR(INDEX('Base de données'!N$2:N$114,SMALL(IF((('Base de données'!$B$2:$B$114="vente"))*('Base de données'!$H$2:$H$114=$G$1)*('Base de données'!$I$2:$I$114=$H$1)*('Base de données'!$J$2:$J$114=$I$1*1),ROW('Base de données'!$H$2:$H$114)-1),ROWS($1:8))),"")</f>
        <v>6</v>
      </c>
      <c r="N10">
        <f t="shared" si="0"/>
        <v>0</v>
      </c>
      <c r="O10">
        <f t="array" ref="O10">IFERROR(INDEX('Base de données'!P$2:P$114,SMALL(IF((('Base de données'!$B$2:$B$114="vente"))*('Base de données'!$H$2:$H$114=$G$1)*('Base de données'!$I$2:$I$114=$H$1)*('Base de données'!$J$2:$J$114=$I$1*1),ROW('Base de données'!$H$2:$H$114)-1),ROWS($1:8))),"")</f>
        <v>1.4964479999999998</v>
      </c>
      <c r="P10">
        <f t="shared" si="1"/>
        <v>0</v>
      </c>
      <c r="Q10">
        <f t="shared" si="2"/>
        <v>0</v>
      </c>
      <c r="R10">
        <f t="shared" si="3"/>
        <v>0.24950677544554453</v>
      </c>
    </row>
    <row r="11" spans="1:18">
      <c r="A11">
        <f t="array" ref="A11">IFERROR(INDEX('Base de données'!$A$2:$A$114,SMALL(IF((('Base de données'!$B$2:$B$114="vente"))*('Base de données'!$H$2:$H$114=$G$1)*('Base de données'!$I$2:$I$114=$H$1)*('Base de données'!$J$2:$J$114=$I$1*1),ROW('Base de données'!$H$2:$H$114)-1),ROWS($1:9))),"")</f>
        <v>201800026</v>
      </c>
      <c r="B11">
        <f t="array" ref="B11">IFERROR(INDEX('Base de données'!C$2:C$114,SMALL(IF((('Base de données'!$B$2:$B$114="vente"))*('Base de données'!$H$2:$H$114=$G$1)*('Base de données'!$I$2:$I$114=$H$1)*('Base de données'!$J$2:$J$114=$I$1*1),ROW('Base de données'!$H$2:$H$114)-1),ROWS($1:9))),"")</f>
        <v>534802</v>
      </c>
      <c r="C11" s="102">
        <f t="array" ref="C11">IFERROR(INDEX('Base de données'!D$2:D$114,SMALL(IF((('Base de données'!$B$2:$B$114="vente"))*('Base de données'!$H$2:$H$114=$G$1)*('Base de données'!$I$2:$I$114=$H$1)*('Base de données'!$J$2:$J$114=$I$1*1),ROW('Base de données'!$H$2:$H$114)-1),ROWS($1:9))),"")</f>
        <v>43200</v>
      </c>
      <c r="D11">
        <f t="array" ref="D11">IFERROR(INDEX('Base de données'!E$2:E$114,SMALL(IF((('Base de données'!$B$2:$B$114="vente"))*('Base de données'!$H$2:$H$114=$G$1)*('Base de données'!$I$2:$I$114=$H$1)*('Base de données'!$J$2:$J$114=$I$1*1),ROW('Base de données'!$H$2:$H$114)-1),ROWS($1:9))),"")</f>
        <v>510020</v>
      </c>
      <c r="E11" t="str">
        <f t="array" ref="E11">IFERROR(INDEX('Base de données'!F$2:F$114,SMALL(IF((('Base de données'!$B$2:$B$114="vente"))*('Base de données'!$H$2:$H$114=$G$1)*('Base de données'!$I$2:$I$114=$H$1)*('Base de données'!$J$2:$J$114=$I$1*1),ROW('Base de données'!$H$2:$H$114)-1),ROWS($1:9))),"")</f>
        <v>INSERTO ESAG,M6 8*6</v>
      </c>
      <c r="F11">
        <f t="array" ref="F11">IFERROR(INDEX('Base de données'!G$2:G$114,SMALL(IF((('Base de données'!$B$2:$B$114="vente"))*('Base de données'!$H$2:$H$114=$G$1)*('Base de données'!$I$2:$I$114=$H$1)*('Base de données'!$J$2:$J$114=$I$1*1),ROW('Base de données'!$H$2:$H$114)-1),ROWS($1:9))),"")</f>
        <v>139</v>
      </c>
      <c r="G11" t="str">
        <f t="array" ref="G11">IFERROR(INDEX('Base de données'!H$2:H$114,SMALL(IF((('Base de données'!$B$2:$B$114="vente"))*('Base de données'!$H$2:$H$114=$G$1)*('Base de données'!$I$2:$I$114=$H$1)*('Base de données'!$J$2:$J$114=$I$1*1),ROW('Base de données'!$H$2:$H$114)-1),ROWS($1:9))),"")</f>
        <v>LAITON</v>
      </c>
      <c r="H11" t="str">
        <f t="array" ref="H11">IFERROR(INDEX('Base de données'!I$2:I$114,SMALL(IF((('Base de données'!$B$2:$B$114="vente"))*('Base de données'!$H$2:$H$114=$G$1)*('Base de données'!$I$2:$I$114=$H$1)*('Base de données'!$J$2:$J$114=$I$1*1),ROW('Base de données'!$H$2:$H$114)-1),ROWS($1:9))),"")</f>
        <v>HEX</v>
      </c>
      <c r="I11">
        <f t="array" ref="I11">IFERROR(INDEX('Base de données'!J$2:J$114,SMALL(IF((('Base de données'!$B$2:$B$114="vente"))*('Base de données'!$H$2:$H$114=$G$1)*('Base de données'!$I$2:$I$114=$H$1)*('Base de données'!$J$2:$J$114=$I$1*1),ROW('Base de données'!$H$2:$H$114)-1),ROWS($1:9))),"")</f>
        <v>8</v>
      </c>
      <c r="J11">
        <f t="array" ref="J11">IFERROR(INDEX('Base de données'!K$2:K$114,SMALL(IF((('Base de données'!$B$2:$B$114="vente"))*('Base de données'!$H$2:$H$114=$G$1)*('Base de données'!$I$2:$I$114=$H$1)*('Base de données'!$J$2:$J$114=$I$1*1),ROW('Base de données'!$H$2:$H$114)-1),ROWS($1:9))),"")</f>
        <v>0</v>
      </c>
      <c r="K11">
        <f t="array" ref="K11">IFERROR(INDEX('Base de données'!M$2:M$114,SMALL(IF((('Base de données'!$B$2:$B$114="vente"))*('Base de données'!$H$2:$H$114=$G$1)*('Base de données'!$I$2:$I$114=$H$1)*('Base de données'!$J$2:$J$114=$I$1*1),ROW('Base de données'!$H$2:$H$114)-1),ROWS($1:9))),"")</f>
        <v>1.446E-3</v>
      </c>
      <c r="L11">
        <f t="array" ref="L11">IFERROR(INDEX('Base de données'!Y$2:Y$114,SMALL(IF((('Base de données'!$B$2:$B$114="vente"))*('Base de données'!$H$2:$H$114=$G$1)*('Base de données'!$I$2:$I$114=$H$1)*('Base de données'!$J$2:$J$114=$I$1*1),ROW('Base de données'!$H$2:$H$114)-1),ROWS($1:9))),"")</f>
        <v>5.9265267326732659E-4</v>
      </c>
      <c r="M11">
        <f t="array" ref="M11">IFERROR(INDEX('Base de données'!N$2:N$114,SMALL(IF((('Base de données'!$B$2:$B$114="vente"))*('Base de données'!$H$2:$H$114=$G$1)*('Base de données'!$I$2:$I$114=$H$1)*('Base de données'!$J$2:$J$114=$I$1*1),ROW('Base de données'!$H$2:$H$114)-1),ROWS($1:9))),"")</f>
        <v>6</v>
      </c>
      <c r="N11">
        <f t="shared" si="0"/>
        <v>0</v>
      </c>
      <c r="O11">
        <f t="array" ref="O11">IFERROR(INDEX('Base de données'!P$2:P$114,SMALL(IF((('Base de données'!$B$2:$B$114="vente"))*('Base de données'!$H$2:$H$114=$G$1)*('Base de données'!$I$2:$I$114=$H$1)*('Base de données'!$J$2:$J$114=$I$1*1),ROW('Base de données'!$H$2:$H$114)-1),ROWS($1:9))),"")</f>
        <v>1.4964479999999998</v>
      </c>
      <c r="P11">
        <f t="shared" si="1"/>
        <v>0</v>
      </c>
      <c r="Q11">
        <f t="shared" si="2"/>
        <v>0</v>
      </c>
      <c r="R11">
        <f t="shared" si="3"/>
        <v>0.24950677544554453</v>
      </c>
    </row>
    <row r="12" spans="1:18">
      <c r="A12">
        <f t="array" ref="A12">IFERROR(INDEX('Base de données'!$A$2:$A$114,SMALL(IF((('Base de données'!$B$2:$B$114="vente"))*('Base de données'!$H$2:$H$114=$G$1)*('Base de données'!$I$2:$I$114=$H$1)*('Base de données'!$J$2:$J$114=$I$1*1),ROW('Base de données'!$H$2:$H$114)-1),ROWS($1:10))),"")</f>
        <v>201800060</v>
      </c>
      <c r="B12">
        <f t="array" ref="B12">IFERROR(INDEX('Base de données'!C$2:C$114,SMALL(IF((('Base de données'!$B$2:$B$114="vente"))*('Base de données'!$H$2:$H$114=$G$1)*('Base de données'!$I$2:$I$114=$H$1)*('Base de données'!$J$2:$J$114=$I$1*1),ROW('Base de données'!$H$2:$H$114)-1),ROWS($1:10))),"")</f>
        <v>537461</v>
      </c>
      <c r="C12" s="102">
        <f t="array" ref="C12">IFERROR(INDEX('Base de données'!D$2:D$114,SMALL(IF((('Base de données'!$B$2:$B$114="vente"))*('Base de données'!$H$2:$H$114=$G$1)*('Base de données'!$I$2:$I$114=$H$1)*('Base de données'!$J$2:$J$114=$I$1*1),ROW('Base de données'!$H$2:$H$114)-1),ROWS($1:10))),"")</f>
        <v>43320</v>
      </c>
      <c r="D12">
        <f t="array" ref="D12">IFERROR(INDEX('Base de données'!E$2:E$114,SMALL(IF((('Base de données'!$B$2:$B$114="vente"))*('Base de données'!$H$2:$H$114=$G$1)*('Base de données'!$I$2:$I$114=$H$1)*('Base de données'!$J$2:$J$114=$I$1*1),ROW('Base de données'!$H$2:$H$114)-1),ROWS($1:10))),"")</f>
        <v>510020</v>
      </c>
      <c r="E12" t="str">
        <f t="array" ref="E12">IFERROR(INDEX('Base de données'!F$2:F$114,SMALL(IF((('Base de données'!$B$2:$B$114="vente"))*('Base de données'!$H$2:$H$114=$G$1)*('Base de données'!$I$2:$I$114=$H$1)*('Base de données'!$J$2:$J$114=$I$1*1),ROW('Base de données'!$H$2:$H$114)-1),ROWS($1:10))),"")</f>
        <v>INSERTO ESAG,M6 8*6</v>
      </c>
      <c r="F12">
        <f t="array" ref="F12">IFERROR(INDEX('Base de données'!G$2:G$114,SMALL(IF((('Base de données'!$B$2:$B$114="vente"))*('Base de données'!$H$2:$H$114=$G$1)*('Base de données'!$I$2:$I$114=$H$1)*('Base de données'!$J$2:$J$114=$I$1*1),ROW('Base de données'!$H$2:$H$114)-1),ROWS($1:10))),"")</f>
        <v>139</v>
      </c>
      <c r="G12" t="str">
        <f t="array" ref="G12">IFERROR(INDEX('Base de données'!H$2:H$114,SMALL(IF((('Base de données'!$B$2:$B$114="vente"))*('Base de données'!$H$2:$H$114=$G$1)*('Base de données'!$I$2:$I$114=$H$1)*('Base de données'!$J$2:$J$114=$I$1*1),ROW('Base de données'!$H$2:$H$114)-1),ROWS($1:10))),"")</f>
        <v>LAITON</v>
      </c>
      <c r="H12" t="str">
        <f t="array" ref="H12">IFERROR(INDEX('Base de données'!I$2:I$114,SMALL(IF((('Base de données'!$B$2:$B$114="vente"))*('Base de données'!$H$2:$H$114=$G$1)*('Base de données'!$I$2:$I$114=$H$1)*('Base de données'!$J$2:$J$114=$I$1*1),ROW('Base de données'!$H$2:$H$114)-1),ROWS($1:10))),"")</f>
        <v>HEX</v>
      </c>
      <c r="I12">
        <f t="array" ref="I12">IFERROR(INDEX('Base de données'!J$2:J$114,SMALL(IF((('Base de données'!$B$2:$B$114="vente"))*('Base de données'!$H$2:$H$114=$G$1)*('Base de données'!$I$2:$I$114=$H$1)*('Base de données'!$J$2:$J$114=$I$1*1),ROW('Base de données'!$H$2:$H$114)-1),ROWS($1:10))),"")</f>
        <v>8</v>
      </c>
      <c r="J12">
        <f t="array" ref="J12">IFERROR(INDEX('Base de données'!K$2:K$114,SMALL(IF((('Base de données'!$B$2:$B$114="vente"))*('Base de données'!$H$2:$H$114=$G$1)*('Base de données'!$I$2:$I$114=$H$1)*('Base de données'!$J$2:$J$114=$I$1*1),ROW('Base de données'!$H$2:$H$114)-1),ROWS($1:10))),"")</f>
        <v>0</v>
      </c>
      <c r="K12">
        <f t="array" ref="K12">IFERROR(INDEX('Base de données'!M$2:M$114,SMALL(IF((('Base de données'!$B$2:$B$114="vente"))*('Base de données'!$H$2:$H$114=$G$1)*('Base de données'!$I$2:$I$114=$H$1)*('Base de données'!$J$2:$J$114=$I$1*1),ROW('Base de données'!$H$2:$H$114)-1),ROWS($1:10))),"")</f>
        <v>1.446E-3</v>
      </c>
      <c r="L12">
        <f t="array" ref="L12">IFERROR(INDEX('Base de données'!Y$2:Y$114,SMALL(IF((('Base de données'!$B$2:$B$114="vente"))*('Base de données'!$H$2:$H$114=$G$1)*('Base de données'!$I$2:$I$114=$H$1)*('Base de données'!$J$2:$J$114=$I$1*1),ROW('Base de données'!$H$2:$H$114)-1),ROWS($1:10))),"")</f>
        <v>5.9265267326732659E-4</v>
      </c>
      <c r="M12">
        <f t="array" ref="M12">IFERROR(INDEX('Base de données'!N$2:N$114,SMALL(IF((('Base de données'!$B$2:$B$114="vente"))*('Base de données'!$H$2:$H$114=$G$1)*('Base de données'!$I$2:$I$114=$H$1)*('Base de données'!$J$2:$J$114=$I$1*1),ROW('Base de données'!$H$2:$H$114)-1),ROWS($1:10))),"")</f>
        <v>6</v>
      </c>
      <c r="N12">
        <f t="shared" si="0"/>
        <v>0</v>
      </c>
      <c r="O12">
        <f t="array" ref="O12">IFERROR(INDEX('Base de données'!P$2:P$114,SMALL(IF((('Base de données'!$B$2:$B$114="vente"))*('Base de données'!$H$2:$H$114=$G$1)*('Base de données'!$I$2:$I$114=$H$1)*('Base de données'!$J$2:$J$114=$I$1*1),ROW('Base de données'!$H$2:$H$114)-1),ROWS($1:10))),"")</f>
        <v>1.4964479999999998</v>
      </c>
      <c r="P12">
        <f t="shared" si="1"/>
        <v>0</v>
      </c>
      <c r="Q12">
        <f t="shared" si="2"/>
        <v>0</v>
      </c>
      <c r="R12">
        <f t="shared" si="3"/>
        <v>0.24950677544554453</v>
      </c>
    </row>
    <row r="13" spans="1:18">
      <c r="A13">
        <f t="array" ref="A13">IFERROR(INDEX('Base de données'!$A$2:$A$114,SMALL(IF((('Base de données'!$B$2:$B$114="vente"))*('Base de données'!$H$2:$H$114=$G$1)*('Base de données'!$I$2:$I$114=$H$1)*('Base de données'!$J$2:$J$114=$I$1*1),ROW('Base de données'!$H$2:$H$114)-1),ROWS($1:11))),"")</f>
        <v>201800073</v>
      </c>
      <c r="B13">
        <f t="array" ref="B13">IFERROR(INDEX('Base de données'!C$2:C$114,SMALL(IF((('Base de données'!$B$2:$B$114="vente"))*('Base de données'!$H$2:$H$114=$G$1)*('Base de données'!$I$2:$I$114=$H$1)*('Base de données'!$J$2:$J$114=$I$1*1),ROW('Base de données'!$H$2:$H$114)-1),ROWS($1:11))),"")</f>
        <v>537851</v>
      </c>
      <c r="C13" s="102">
        <f t="array" ref="C13">IFERROR(INDEX('Base de données'!D$2:D$114,SMALL(IF((('Base de données'!$B$2:$B$114="vente"))*('Base de données'!$H$2:$H$114=$G$1)*('Base de données'!$I$2:$I$114=$H$1)*('Base de données'!$J$2:$J$114=$I$1*1),ROW('Base de données'!$H$2:$H$114)-1),ROWS($1:11))),"")</f>
        <v>43350</v>
      </c>
      <c r="D13">
        <f t="array" ref="D13">IFERROR(INDEX('Base de données'!E$2:E$114,SMALL(IF((('Base de données'!$B$2:$B$114="vente"))*('Base de données'!$H$2:$H$114=$G$1)*('Base de données'!$I$2:$I$114=$H$1)*('Base de données'!$J$2:$J$114=$I$1*1),ROW('Base de données'!$H$2:$H$114)-1),ROWS($1:11))),"")</f>
        <v>510020</v>
      </c>
      <c r="E13" t="str">
        <f t="array" ref="E13">IFERROR(INDEX('Base de données'!F$2:F$114,SMALL(IF((('Base de données'!$B$2:$B$114="vente"))*('Base de données'!$H$2:$H$114=$G$1)*('Base de données'!$I$2:$I$114=$H$1)*('Base de données'!$J$2:$J$114=$I$1*1),ROW('Base de données'!$H$2:$H$114)-1),ROWS($1:11))),"")</f>
        <v>INSERTO ESAG,M6 8*6</v>
      </c>
      <c r="F13">
        <f t="array" ref="F13">IFERROR(INDEX('Base de données'!G$2:G$114,SMALL(IF((('Base de données'!$B$2:$B$114="vente"))*('Base de données'!$H$2:$H$114=$G$1)*('Base de données'!$I$2:$I$114=$H$1)*('Base de données'!$J$2:$J$114=$I$1*1),ROW('Base de données'!$H$2:$H$114)-1),ROWS($1:11))),"")</f>
        <v>139</v>
      </c>
      <c r="G13" t="str">
        <f t="array" ref="G13">IFERROR(INDEX('Base de données'!H$2:H$114,SMALL(IF((('Base de données'!$B$2:$B$114="vente"))*('Base de données'!$H$2:$H$114=$G$1)*('Base de données'!$I$2:$I$114=$H$1)*('Base de données'!$J$2:$J$114=$I$1*1),ROW('Base de données'!$H$2:$H$114)-1),ROWS($1:11))),"")</f>
        <v>LAITON</v>
      </c>
      <c r="H13" t="str">
        <f t="array" ref="H13">IFERROR(INDEX('Base de données'!I$2:I$114,SMALL(IF((('Base de données'!$B$2:$B$114="vente"))*('Base de données'!$H$2:$H$114=$G$1)*('Base de données'!$I$2:$I$114=$H$1)*('Base de données'!$J$2:$J$114=$I$1*1),ROW('Base de données'!$H$2:$H$114)-1),ROWS($1:11))),"")</f>
        <v>HEX</v>
      </c>
      <c r="I13">
        <f t="array" ref="I13">IFERROR(INDEX('Base de données'!J$2:J$114,SMALL(IF((('Base de données'!$B$2:$B$114="vente"))*('Base de données'!$H$2:$H$114=$G$1)*('Base de données'!$I$2:$I$114=$H$1)*('Base de données'!$J$2:$J$114=$I$1*1),ROW('Base de données'!$H$2:$H$114)-1),ROWS($1:11))),"")</f>
        <v>8</v>
      </c>
      <c r="J13">
        <f t="array" ref="J13">IFERROR(INDEX('Base de données'!K$2:K$114,SMALL(IF((('Base de données'!$B$2:$B$114="vente"))*('Base de données'!$H$2:$H$114=$G$1)*('Base de données'!$I$2:$I$114=$H$1)*('Base de données'!$J$2:$J$114=$I$1*1),ROW('Base de données'!$H$2:$H$114)-1),ROWS($1:11))),"")</f>
        <v>0</v>
      </c>
      <c r="K13">
        <f t="array" ref="K13">IFERROR(INDEX('Base de données'!M$2:M$114,SMALL(IF((('Base de données'!$B$2:$B$114="vente"))*('Base de données'!$H$2:$H$114=$G$1)*('Base de données'!$I$2:$I$114=$H$1)*('Base de données'!$J$2:$J$114=$I$1*1),ROW('Base de données'!$H$2:$H$114)-1),ROWS($1:11))),"")</f>
        <v>1.446E-3</v>
      </c>
      <c r="L13">
        <f t="array" ref="L13">IFERROR(INDEX('Base de données'!Y$2:Y$114,SMALL(IF((('Base de données'!$B$2:$B$114="vente"))*('Base de données'!$H$2:$H$114=$G$1)*('Base de données'!$I$2:$I$114=$H$1)*('Base de données'!$J$2:$J$114=$I$1*1),ROW('Base de données'!$H$2:$H$114)-1),ROWS($1:11))),"")</f>
        <v>5.9265267326732659E-4</v>
      </c>
      <c r="M13">
        <f t="array" ref="M13">IFERROR(INDEX('Base de données'!N$2:N$114,SMALL(IF((('Base de données'!$B$2:$B$114="vente"))*('Base de données'!$H$2:$H$114=$G$1)*('Base de données'!$I$2:$I$114=$H$1)*('Base de données'!$J$2:$J$114=$I$1*1),ROW('Base de données'!$H$2:$H$114)-1),ROWS($1:11))),"")</f>
        <v>6</v>
      </c>
      <c r="N13">
        <f t="shared" si="0"/>
        <v>0</v>
      </c>
      <c r="O13">
        <f t="array" ref="O13">IFERROR(INDEX('Base de données'!P$2:P$114,SMALL(IF((('Base de données'!$B$2:$B$114="vente"))*('Base de données'!$H$2:$H$114=$G$1)*('Base de données'!$I$2:$I$114=$H$1)*('Base de données'!$J$2:$J$114=$I$1*1),ROW('Base de données'!$H$2:$H$114)-1),ROWS($1:11))),"")</f>
        <v>1.4964479999999998</v>
      </c>
      <c r="P13">
        <f t="shared" si="1"/>
        <v>0</v>
      </c>
      <c r="Q13">
        <f t="shared" si="2"/>
        <v>0</v>
      </c>
      <c r="R13">
        <f t="shared" si="3"/>
        <v>0.24950677544554453</v>
      </c>
    </row>
    <row r="14" spans="1:18">
      <c r="A14">
        <f t="array" ref="A14">IFERROR(INDEX('Base de données'!$A$2:$A$114,SMALL(IF((('Base de données'!$B$2:$B$114="vente"))*('Base de données'!$H$2:$H$114=$G$1)*('Base de données'!$I$2:$I$114=$H$1)*('Base de données'!$J$2:$J$114=$I$1*1),ROW('Base de données'!$H$2:$H$114)-1),ROWS($1:12))),"")</f>
        <v>201800084</v>
      </c>
      <c r="B14">
        <f t="array" ref="B14">IFERROR(INDEX('Base de données'!C$2:C$114,SMALL(IF((('Base de données'!$B$2:$B$114="vente"))*('Base de données'!$H$2:$H$114=$G$1)*('Base de données'!$I$2:$I$114=$H$1)*('Base de données'!$J$2:$J$114=$I$1*1),ROW('Base de données'!$H$2:$H$114)-1),ROWS($1:12))),"")</f>
        <v>539092</v>
      </c>
      <c r="C14" s="102">
        <f t="array" ref="C14">IFERROR(INDEX('Base de données'!D$2:D$114,SMALL(IF((('Base de données'!$B$2:$B$114="vente"))*('Base de données'!$H$2:$H$114=$G$1)*('Base de données'!$I$2:$I$114=$H$1)*('Base de données'!$J$2:$J$114=$I$1*1),ROW('Base de données'!$H$2:$H$114)-1),ROWS($1:12))),"")</f>
        <v>43411</v>
      </c>
      <c r="D14">
        <f t="array" ref="D14">IFERROR(INDEX('Base de données'!E$2:E$114,SMALL(IF((('Base de données'!$B$2:$B$114="vente"))*('Base de données'!$H$2:$H$114=$G$1)*('Base de données'!$I$2:$I$114=$H$1)*('Base de données'!$J$2:$J$114=$I$1*1),ROW('Base de données'!$H$2:$H$114)-1),ROWS($1:12))),"")</f>
        <v>510020</v>
      </c>
      <c r="E14" t="str">
        <f t="array" ref="E14">IFERROR(INDEX('Base de données'!F$2:F$114,SMALL(IF((('Base de données'!$B$2:$B$114="vente"))*('Base de données'!$H$2:$H$114=$G$1)*('Base de données'!$I$2:$I$114=$H$1)*('Base de données'!$J$2:$J$114=$I$1*1),ROW('Base de données'!$H$2:$H$114)-1),ROWS($1:12))),"")</f>
        <v>INSERTO ESAG,M6 8*6</v>
      </c>
      <c r="F14">
        <f t="array" ref="F14">IFERROR(INDEX('Base de données'!G$2:G$114,SMALL(IF((('Base de données'!$B$2:$B$114="vente"))*('Base de données'!$H$2:$H$114=$G$1)*('Base de données'!$I$2:$I$114=$H$1)*('Base de données'!$J$2:$J$114=$I$1*1),ROW('Base de données'!$H$2:$H$114)-1),ROWS($1:12))),"")</f>
        <v>139</v>
      </c>
      <c r="G14" t="str">
        <f t="array" ref="G14">IFERROR(INDEX('Base de données'!H$2:H$114,SMALL(IF((('Base de données'!$B$2:$B$114="vente"))*('Base de données'!$H$2:$H$114=$G$1)*('Base de données'!$I$2:$I$114=$H$1)*('Base de données'!$J$2:$J$114=$I$1*1),ROW('Base de données'!$H$2:$H$114)-1),ROWS($1:12))),"")</f>
        <v>LAITON</v>
      </c>
      <c r="H14" t="str">
        <f t="array" ref="H14">IFERROR(INDEX('Base de données'!I$2:I$114,SMALL(IF((('Base de données'!$B$2:$B$114="vente"))*('Base de données'!$H$2:$H$114=$G$1)*('Base de données'!$I$2:$I$114=$H$1)*('Base de données'!$J$2:$J$114=$I$1*1),ROW('Base de données'!$H$2:$H$114)-1),ROWS($1:12))),"")</f>
        <v>HEX</v>
      </c>
      <c r="I14">
        <f t="array" ref="I14">IFERROR(INDEX('Base de données'!J$2:J$114,SMALL(IF((('Base de données'!$B$2:$B$114="vente"))*('Base de données'!$H$2:$H$114=$G$1)*('Base de données'!$I$2:$I$114=$H$1)*('Base de données'!$J$2:$J$114=$I$1*1),ROW('Base de données'!$H$2:$H$114)-1),ROWS($1:12))),"")</f>
        <v>8</v>
      </c>
      <c r="J14">
        <f t="array" ref="J14">IFERROR(INDEX('Base de données'!K$2:K$114,SMALL(IF((('Base de données'!$B$2:$B$114="vente"))*('Base de données'!$H$2:$H$114=$G$1)*('Base de données'!$I$2:$I$114=$H$1)*('Base de données'!$J$2:$J$114=$I$1*1),ROW('Base de données'!$H$2:$H$114)-1),ROWS($1:12))),"")</f>
        <v>0</v>
      </c>
      <c r="K14">
        <f t="array" ref="K14">IFERROR(INDEX('Base de données'!M$2:M$114,SMALL(IF((('Base de données'!$B$2:$B$114="vente"))*('Base de données'!$H$2:$H$114=$G$1)*('Base de données'!$I$2:$I$114=$H$1)*('Base de données'!$J$2:$J$114=$I$1*1),ROW('Base de données'!$H$2:$H$114)-1),ROWS($1:12))),"")</f>
        <v>1.446E-3</v>
      </c>
      <c r="L14">
        <f t="array" ref="L14">IFERROR(INDEX('Base de données'!Y$2:Y$114,SMALL(IF((('Base de données'!$B$2:$B$114="vente"))*('Base de données'!$H$2:$H$114=$G$1)*('Base de données'!$I$2:$I$114=$H$1)*('Base de données'!$J$2:$J$114=$I$1*1),ROW('Base de données'!$H$2:$H$114)-1),ROWS($1:12))),"")</f>
        <v>5.9265267326732659E-4</v>
      </c>
      <c r="M14">
        <f t="array" ref="M14">IFERROR(INDEX('Base de données'!N$2:N$114,SMALL(IF((('Base de données'!$B$2:$B$114="vente"))*('Base de données'!$H$2:$H$114=$G$1)*('Base de données'!$I$2:$I$114=$H$1)*('Base de données'!$J$2:$J$114=$I$1*1),ROW('Base de données'!$H$2:$H$114)-1),ROWS($1:12))),"")</f>
        <v>6</v>
      </c>
      <c r="N14">
        <f t="shared" si="0"/>
        <v>0</v>
      </c>
      <c r="O14">
        <f t="array" ref="O14">IFERROR(INDEX('Base de données'!P$2:P$114,SMALL(IF((('Base de données'!$B$2:$B$114="vente"))*('Base de données'!$H$2:$H$114=$G$1)*('Base de données'!$I$2:$I$114=$H$1)*('Base de données'!$J$2:$J$114=$I$1*1),ROW('Base de données'!$H$2:$H$114)-1),ROWS($1:12))),"")</f>
        <v>1.4964479999999998</v>
      </c>
      <c r="P14">
        <f t="shared" si="1"/>
        <v>0</v>
      </c>
      <c r="Q14">
        <f t="shared" si="2"/>
        <v>0</v>
      </c>
      <c r="R14">
        <f t="shared" si="3"/>
        <v>0.24950677544554453</v>
      </c>
    </row>
    <row r="15" spans="1:18">
      <c r="A15">
        <f t="array" ref="A15">IFERROR(INDEX('Base de données'!$A$2:$A$114,SMALL(IF((('Base de données'!$B$2:$B$114="vente"))*('Base de données'!$H$2:$H$114=$G$1)*('Base de données'!$I$2:$I$114=$H$1)*('Base de données'!$J$2:$J$114=$I$1*1),ROW('Base de données'!$H$2:$H$114)-1),ROWS($1:13))),"")</f>
        <v>201800102</v>
      </c>
      <c r="B15">
        <f t="array" ref="B15">IFERROR(INDEX('Base de données'!C$2:C$114,SMALL(IF((('Base de données'!$B$2:$B$114="vente"))*('Base de données'!$H$2:$H$114=$G$1)*('Base de données'!$I$2:$I$114=$H$1)*('Base de données'!$J$2:$J$114=$I$1*1),ROW('Base de données'!$H$2:$H$114)-1),ROWS($1:13))),"")</f>
        <v>540304</v>
      </c>
      <c r="C15" s="102">
        <f t="array" ref="C15">IFERROR(INDEX('Base de données'!D$2:D$114,SMALL(IF((('Base de données'!$B$2:$B$114="vente"))*('Base de données'!$H$2:$H$114=$G$1)*('Base de données'!$I$2:$I$114=$H$1)*('Base de données'!$J$2:$J$114=$I$1*1),ROW('Base de données'!$H$2:$H$114)-1),ROWS($1:13))),"")</f>
        <v>43470</v>
      </c>
      <c r="D15">
        <f t="array" ref="D15">IFERROR(INDEX('Base de données'!E$2:E$114,SMALL(IF((('Base de données'!$B$2:$B$114="vente"))*('Base de données'!$H$2:$H$114=$G$1)*('Base de données'!$I$2:$I$114=$H$1)*('Base de données'!$J$2:$J$114=$I$1*1),ROW('Base de données'!$H$2:$H$114)-1),ROWS($1:13))),"")</f>
        <v>510020</v>
      </c>
      <c r="E15" t="str">
        <f t="array" ref="E15">IFERROR(INDEX('Base de données'!F$2:F$114,SMALL(IF((('Base de données'!$B$2:$B$114="vente"))*('Base de données'!$H$2:$H$114=$G$1)*('Base de données'!$I$2:$I$114=$H$1)*('Base de données'!$J$2:$J$114=$I$1*1),ROW('Base de données'!$H$2:$H$114)-1),ROWS($1:13))),"")</f>
        <v>INSERTO ESAG,M6 8*6</v>
      </c>
      <c r="F15">
        <f t="array" ref="F15">IFERROR(INDEX('Base de données'!G$2:G$114,SMALL(IF((('Base de données'!$B$2:$B$114="vente"))*('Base de données'!$H$2:$H$114=$G$1)*('Base de données'!$I$2:$I$114=$H$1)*('Base de données'!$J$2:$J$114=$I$1*1),ROW('Base de données'!$H$2:$H$114)-1),ROWS($1:13))),"")</f>
        <v>139</v>
      </c>
      <c r="G15" t="str">
        <f t="array" ref="G15">IFERROR(INDEX('Base de données'!H$2:H$114,SMALL(IF((('Base de données'!$B$2:$B$114="vente"))*('Base de données'!$H$2:$H$114=$G$1)*('Base de données'!$I$2:$I$114=$H$1)*('Base de données'!$J$2:$J$114=$I$1*1),ROW('Base de données'!$H$2:$H$114)-1),ROWS($1:13))),"")</f>
        <v>LAITON</v>
      </c>
      <c r="H15" t="str">
        <f t="array" ref="H15">IFERROR(INDEX('Base de données'!I$2:I$114,SMALL(IF((('Base de données'!$B$2:$B$114="vente"))*('Base de données'!$H$2:$H$114=$G$1)*('Base de données'!$I$2:$I$114=$H$1)*('Base de données'!$J$2:$J$114=$I$1*1),ROW('Base de données'!$H$2:$H$114)-1),ROWS($1:13))),"")</f>
        <v>HEX</v>
      </c>
      <c r="I15">
        <f t="array" ref="I15">IFERROR(INDEX('Base de données'!J$2:J$114,SMALL(IF((('Base de données'!$B$2:$B$114="vente"))*('Base de données'!$H$2:$H$114=$G$1)*('Base de données'!$I$2:$I$114=$H$1)*('Base de données'!$J$2:$J$114=$I$1*1),ROW('Base de données'!$H$2:$H$114)-1),ROWS($1:13))),"")</f>
        <v>8</v>
      </c>
      <c r="J15">
        <f t="array" ref="J15">IFERROR(INDEX('Base de données'!K$2:K$114,SMALL(IF((('Base de données'!$B$2:$B$114="vente"))*('Base de données'!$H$2:$H$114=$G$1)*('Base de données'!$I$2:$I$114=$H$1)*('Base de données'!$J$2:$J$114=$I$1*1),ROW('Base de données'!$H$2:$H$114)-1),ROWS($1:13))),"")</f>
        <v>0</v>
      </c>
      <c r="K15">
        <f t="array" ref="K15">IFERROR(INDEX('Base de données'!M$2:M$114,SMALL(IF((('Base de données'!$B$2:$B$114="vente"))*('Base de données'!$H$2:$H$114=$G$1)*('Base de données'!$I$2:$I$114=$H$1)*('Base de données'!$J$2:$J$114=$I$1*1),ROW('Base de données'!$H$2:$H$114)-1),ROWS($1:13))),"")</f>
        <v>1.446E-3</v>
      </c>
      <c r="L15">
        <f t="array" ref="L15">IFERROR(INDEX('Base de données'!Y$2:Y$114,SMALL(IF((('Base de données'!$B$2:$B$114="vente"))*('Base de données'!$H$2:$H$114=$G$1)*('Base de données'!$I$2:$I$114=$H$1)*('Base de données'!$J$2:$J$114=$I$1*1),ROW('Base de données'!$H$2:$H$114)-1),ROWS($1:13))),"")</f>
        <v>5.9265267326732659E-4</v>
      </c>
      <c r="M15">
        <f t="array" ref="M15">IFERROR(INDEX('Base de données'!N$2:N$114,SMALL(IF((('Base de données'!$B$2:$B$114="vente"))*('Base de données'!$H$2:$H$114=$G$1)*('Base de données'!$I$2:$I$114=$H$1)*('Base de données'!$J$2:$J$114=$I$1*1),ROW('Base de données'!$H$2:$H$114)-1),ROWS($1:13))),"")</f>
        <v>6</v>
      </c>
      <c r="N15">
        <f t="shared" si="0"/>
        <v>0</v>
      </c>
      <c r="O15">
        <f t="array" ref="O15">IFERROR(INDEX('Base de données'!P$2:P$114,SMALL(IF((('Base de données'!$B$2:$B$114="vente"))*('Base de données'!$H$2:$H$114=$G$1)*('Base de données'!$I$2:$I$114=$H$1)*('Base de données'!$J$2:$J$114=$I$1*1),ROW('Base de données'!$H$2:$H$114)-1),ROWS($1:13))),"")</f>
        <v>1.4964479999999998</v>
      </c>
      <c r="P15">
        <f t="shared" si="1"/>
        <v>0</v>
      </c>
      <c r="Q15">
        <f t="shared" si="2"/>
        <v>0</v>
      </c>
      <c r="R15">
        <f t="shared" si="3"/>
        <v>0.24950677544554453</v>
      </c>
    </row>
    <row r="16" spans="1:18">
      <c r="A16">
        <f t="array" ref="A16">IFERROR(INDEX('Base de données'!$A$2:$A$114,SMALL(IF((('Base de données'!$B$2:$B$114="vente"))*('Base de données'!$H$2:$H$114=$G$1)*('Base de données'!$I$2:$I$114=$H$1)*('Base de données'!$J$2:$J$114=$I$1*1),ROW('Base de données'!$H$2:$H$114)-1),ROWS($1:14))),"")</f>
        <v>201900004</v>
      </c>
      <c r="B16">
        <f t="array" ref="B16">IFERROR(INDEX('Base de données'!C$2:C$114,SMALL(IF((('Base de données'!$B$2:$B$114="vente"))*('Base de données'!$H$2:$H$114=$G$1)*('Base de données'!$I$2:$I$114=$H$1)*('Base de données'!$J$2:$J$114=$I$1*1),ROW('Base de données'!$H$2:$H$114)-1),ROWS($1:14))),"")</f>
        <v>540988</v>
      </c>
      <c r="C16" s="102">
        <f t="array" ref="C16">IFERROR(INDEX('Base de données'!D$2:D$114,SMALL(IF((('Base de données'!$B$2:$B$114="vente"))*('Base de données'!$H$2:$H$114=$G$1)*('Base de données'!$I$2:$I$114=$H$1)*('Base de données'!$J$2:$J$114=$I$1*1),ROW('Base de données'!$H$2:$H$114)-1),ROWS($1:14))),"")</f>
        <v>43502</v>
      </c>
      <c r="D16">
        <f t="array" ref="D16">IFERROR(INDEX('Base de données'!E$2:E$114,SMALL(IF((('Base de données'!$B$2:$B$114="vente"))*('Base de données'!$H$2:$H$114=$G$1)*('Base de données'!$I$2:$I$114=$H$1)*('Base de données'!$J$2:$J$114=$I$1*1),ROW('Base de données'!$H$2:$H$114)-1),ROWS($1:14))),"")</f>
        <v>510020</v>
      </c>
      <c r="E16" t="str">
        <f t="array" ref="E16">IFERROR(INDEX('Base de données'!F$2:F$114,SMALL(IF((('Base de données'!$B$2:$B$114="vente"))*('Base de données'!$H$2:$H$114=$G$1)*('Base de données'!$I$2:$I$114=$H$1)*('Base de données'!$J$2:$J$114=$I$1*1),ROW('Base de données'!$H$2:$H$114)-1),ROWS($1:14))),"")</f>
        <v>INSERTO ESAG,M6 8*6</v>
      </c>
      <c r="F16">
        <f t="array" ref="F16">IFERROR(INDEX('Base de données'!G$2:G$114,SMALL(IF((('Base de données'!$B$2:$B$114="vente"))*('Base de données'!$H$2:$H$114=$G$1)*('Base de données'!$I$2:$I$114=$H$1)*('Base de données'!$J$2:$J$114=$I$1*1),ROW('Base de données'!$H$2:$H$114)-1),ROWS($1:14))),"")</f>
        <v>139</v>
      </c>
      <c r="G16" t="str">
        <f t="array" ref="G16">IFERROR(INDEX('Base de données'!H$2:H$114,SMALL(IF((('Base de données'!$B$2:$B$114="vente"))*('Base de données'!$H$2:$H$114=$G$1)*('Base de données'!$I$2:$I$114=$H$1)*('Base de données'!$J$2:$J$114=$I$1*1),ROW('Base de données'!$H$2:$H$114)-1),ROWS($1:14))),"")</f>
        <v>LAITON</v>
      </c>
      <c r="H16" t="str">
        <f t="array" ref="H16">IFERROR(INDEX('Base de données'!I$2:I$114,SMALL(IF((('Base de données'!$B$2:$B$114="vente"))*('Base de données'!$H$2:$H$114=$G$1)*('Base de données'!$I$2:$I$114=$H$1)*('Base de données'!$J$2:$J$114=$I$1*1),ROW('Base de données'!$H$2:$H$114)-1),ROWS($1:14))),"")</f>
        <v>HEX</v>
      </c>
      <c r="I16">
        <f t="array" ref="I16">IFERROR(INDEX('Base de données'!J$2:J$114,SMALL(IF((('Base de données'!$B$2:$B$114="vente"))*('Base de données'!$H$2:$H$114=$G$1)*('Base de données'!$I$2:$I$114=$H$1)*('Base de données'!$J$2:$J$114=$I$1*1),ROW('Base de données'!$H$2:$H$114)-1),ROWS($1:14))),"")</f>
        <v>8</v>
      </c>
      <c r="J16">
        <f t="array" ref="J16">IFERROR(INDEX('Base de données'!K$2:K$114,SMALL(IF((('Base de données'!$B$2:$B$114="vente"))*('Base de données'!$H$2:$H$114=$G$1)*('Base de données'!$I$2:$I$114=$H$1)*('Base de données'!$J$2:$J$114=$I$1*1),ROW('Base de données'!$H$2:$H$114)-1),ROWS($1:14))),"")</f>
        <v>0</v>
      </c>
      <c r="K16">
        <f t="array" ref="K16">IFERROR(INDEX('Base de données'!M$2:M$114,SMALL(IF((('Base de données'!$B$2:$B$114="vente"))*('Base de données'!$H$2:$H$114=$G$1)*('Base de données'!$I$2:$I$114=$H$1)*('Base de données'!$J$2:$J$114=$I$1*1),ROW('Base de données'!$H$2:$H$114)-1),ROWS($1:14))),"")</f>
        <v>1.446E-3</v>
      </c>
      <c r="L16">
        <f t="array" ref="L16">IFERROR(INDEX('Base de données'!Y$2:Y$114,SMALL(IF((('Base de données'!$B$2:$B$114="vente"))*('Base de données'!$H$2:$H$114=$G$1)*('Base de données'!$I$2:$I$114=$H$1)*('Base de données'!$J$2:$J$114=$I$1*1),ROW('Base de données'!$H$2:$H$114)-1),ROWS($1:14))),"")</f>
        <v>5.9265267326732659E-4</v>
      </c>
      <c r="M16">
        <f t="array" ref="M16">IFERROR(INDEX('Base de données'!N$2:N$114,SMALL(IF((('Base de données'!$B$2:$B$114="vente"))*('Base de données'!$H$2:$H$114=$G$1)*('Base de données'!$I$2:$I$114=$H$1)*('Base de données'!$J$2:$J$114=$I$1*1),ROW('Base de données'!$H$2:$H$114)-1),ROWS($1:14))),"")</f>
        <v>6</v>
      </c>
      <c r="N16">
        <f t="shared" si="0"/>
        <v>0</v>
      </c>
      <c r="O16">
        <f t="array" ref="O16">IFERROR(INDEX('Base de données'!P$2:P$114,SMALL(IF((('Base de données'!$B$2:$B$114="vente"))*('Base de données'!$H$2:$H$114=$G$1)*('Base de données'!$I$2:$I$114=$H$1)*('Base de données'!$J$2:$J$114=$I$1*1),ROW('Base de données'!$H$2:$H$114)-1),ROWS($1:14))),"")</f>
        <v>1.4964479999999998</v>
      </c>
      <c r="P16">
        <f t="shared" si="1"/>
        <v>0</v>
      </c>
      <c r="Q16">
        <f t="shared" si="2"/>
        <v>0</v>
      </c>
      <c r="R16">
        <f t="shared" si="3"/>
        <v>0.24950677544554453</v>
      </c>
    </row>
    <row r="17" spans="1:18">
      <c r="A17">
        <f t="array" ref="A17">IFERROR(INDEX('Base de données'!$A$2:$A$114,SMALL(IF((('Base de données'!$B$2:$B$114="vente"))*('Base de données'!$H$2:$H$114=$G$1)*('Base de données'!$I$2:$I$114=$H$1)*('Base de données'!$J$2:$J$114=$I$1*1),ROW('Base de données'!$H$2:$H$114)-1),ROWS($1:15))),"")</f>
        <v>201900020</v>
      </c>
      <c r="B17">
        <f t="array" ref="B17">IFERROR(INDEX('Base de données'!C$2:C$114,SMALL(IF((('Base de données'!$B$2:$B$114="vente"))*('Base de données'!$H$2:$H$114=$G$1)*('Base de données'!$I$2:$I$114=$H$1)*('Base de données'!$J$2:$J$114=$I$1*1),ROW('Base de données'!$H$2:$H$114)-1),ROWS($1:15))),"")</f>
        <v>541778</v>
      </c>
      <c r="C17" s="102">
        <f t="array" ref="C17">IFERROR(INDEX('Base de données'!D$2:D$114,SMALL(IF((('Base de données'!$B$2:$B$114="vente"))*('Base de données'!$H$2:$H$114=$G$1)*('Base de données'!$I$2:$I$114=$H$1)*('Base de données'!$J$2:$J$114=$I$1*1),ROW('Base de données'!$H$2:$H$114)-1),ROWS($1:15))),"")</f>
        <v>43531</v>
      </c>
      <c r="D17">
        <f t="array" ref="D17">IFERROR(INDEX('Base de données'!E$2:E$114,SMALL(IF((('Base de données'!$B$2:$B$114="vente"))*('Base de données'!$H$2:$H$114=$G$1)*('Base de données'!$I$2:$I$114=$H$1)*('Base de données'!$J$2:$J$114=$I$1*1),ROW('Base de données'!$H$2:$H$114)-1),ROWS($1:15))),"")</f>
        <v>510020</v>
      </c>
      <c r="E17" t="str">
        <f t="array" ref="E17">IFERROR(INDEX('Base de données'!F$2:F$114,SMALL(IF((('Base de données'!$B$2:$B$114="vente"))*('Base de données'!$H$2:$H$114=$G$1)*('Base de données'!$I$2:$I$114=$H$1)*('Base de données'!$J$2:$J$114=$I$1*1),ROW('Base de données'!$H$2:$H$114)-1),ROWS($1:15))),"")</f>
        <v>INSERTO ESAG,M6 8*6</v>
      </c>
      <c r="F17">
        <f t="array" ref="F17">IFERROR(INDEX('Base de données'!G$2:G$114,SMALL(IF((('Base de données'!$B$2:$B$114="vente"))*('Base de données'!$H$2:$H$114=$G$1)*('Base de données'!$I$2:$I$114=$H$1)*('Base de données'!$J$2:$J$114=$I$1*1),ROW('Base de données'!$H$2:$H$114)-1),ROWS($1:15))),"")</f>
        <v>139</v>
      </c>
      <c r="G17" t="str">
        <f t="array" ref="G17">IFERROR(INDEX('Base de données'!H$2:H$114,SMALL(IF((('Base de données'!$B$2:$B$114="vente"))*('Base de données'!$H$2:$H$114=$G$1)*('Base de données'!$I$2:$I$114=$H$1)*('Base de données'!$J$2:$J$114=$I$1*1),ROW('Base de données'!$H$2:$H$114)-1),ROWS($1:15))),"")</f>
        <v>LAITON</v>
      </c>
      <c r="H17" t="str">
        <f t="array" ref="H17">IFERROR(INDEX('Base de données'!I$2:I$114,SMALL(IF((('Base de données'!$B$2:$B$114="vente"))*('Base de données'!$H$2:$H$114=$G$1)*('Base de données'!$I$2:$I$114=$H$1)*('Base de données'!$J$2:$J$114=$I$1*1),ROW('Base de données'!$H$2:$H$114)-1),ROWS($1:15))),"")</f>
        <v>HEX</v>
      </c>
      <c r="I17">
        <f t="array" ref="I17">IFERROR(INDEX('Base de données'!J$2:J$114,SMALL(IF((('Base de données'!$B$2:$B$114="vente"))*('Base de données'!$H$2:$H$114=$G$1)*('Base de données'!$I$2:$I$114=$H$1)*('Base de données'!$J$2:$J$114=$I$1*1),ROW('Base de données'!$H$2:$H$114)-1),ROWS($1:15))),"")</f>
        <v>8</v>
      </c>
      <c r="J17">
        <f t="array" ref="J17">IFERROR(INDEX('Base de données'!K$2:K$114,SMALL(IF((('Base de données'!$B$2:$B$114="vente"))*('Base de données'!$H$2:$H$114=$G$1)*('Base de données'!$I$2:$I$114=$H$1)*('Base de données'!$J$2:$J$114=$I$1*1),ROW('Base de données'!$H$2:$H$114)-1),ROWS($1:15))),"")</f>
        <v>0</v>
      </c>
      <c r="K17">
        <f t="array" ref="K17">IFERROR(INDEX('Base de données'!M$2:M$114,SMALL(IF((('Base de données'!$B$2:$B$114="vente"))*('Base de données'!$H$2:$H$114=$G$1)*('Base de données'!$I$2:$I$114=$H$1)*('Base de données'!$J$2:$J$114=$I$1*1),ROW('Base de données'!$H$2:$H$114)-1),ROWS($1:15))),"")</f>
        <v>1.446E-3</v>
      </c>
      <c r="L17">
        <f t="array" ref="L17">IFERROR(INDEX('Base de données'!Y$2:Y$114,SMALL(IF((('Base de données'!$B$2:$B$114="vente"))*('Base de données'!$H$2:$H$114=$G$1)*('Base de données'!$I$2:$I$114=$H$1)*('Base de données'!$J$2:$J$114=$I$1*1),ROW('Base de données'!$H$2:$H$114)-1),ROWS($1:15))),"")</f>
        <v>5.9265267326732659E-4</v>
      </c>
      <c r="M17">
        <f t="array" ref="M17">IFERROR(INDEX('Base de données'!N$2:N$114,SMALL(IF((('Base de données'!$B$2:$B$114="vente"))*('Base de données'!$H$2:$H$114=$G$1)*('Base de données'!$I$2:$I$114=$H$1)*('Base de données'!$J$2:$J$114=$I$1*1),ROW('Base de données'!$H$2:$H$114)-1),ROWS($1:15))),"")</f>
        <v>6</v>
      </c>
      <c r="N17">
        <f t="shared" si="0"/>
        <v>0</v>
      </c>
      <c r="O17">
        <f t="array" ref="O17">IFERROR(INDEX('Base de données'!P$2:P$114,SMALL(IF((('Base de données'!$B$2:$B$114="vente"))*('Base de données'!$H$2:$H$114=$G$1)*('Base de données'!$I$2:$I$114=$H$1)*('Base de données'!$J$2:$J$114=$I$1*1),ROW('Base de données'!$H$2:$H$114)-1),ROWS($1:15))),"")</f>
        <v>1.4964479999999998</v>
      </c>
      <c r="P17">
        <f t="shared" si="1"/>
        <v>0</v>
      </c>
      <c r="Q17">
        <f t="shared" si="2"/>
        <v>0</v>
      </c>
      <c r="R17">
        <f t="shared" si="3"/>
        <v>0.24950677544554453</v>
      </c>
    </row>
    <row r="18" spans="1:18">
      <c r="A18">
        <f t="array" ref="A18">IFERROR(INDEX('Base de données'!$A$2:$A$114,SMALL(IF((('Base de données'!$B$2:$B$114="vente"))*('Base de données'!$H$2:$H$114=$G$1)*('Base de données'!$I$2:$I$114=$H$1)*('Base de données'!$J$2:$J$114=$I$1*1),ROW('Base de données'!$H$2:$H$114)-1),ROWS($1:16))),"")</f>
        <v>201900026</v>
      </c>
      <c r="B18">
        <f t="array" ref="B18">IFERROR(INDEX('Base de données'!C$2:C$114,SMALL(IF((('Base de données'!$B$2:$B$114="vente"))*('Base de données'!$H$2:$H$114=$G$1)*('Base de données'!$I$2:$I$114=$H$1)*('Base de données'!$J$2:$J$114=$I$1*1),ROW('Base de données'!$H$2:$H$114)-1),ROWS($1:16))),"")</f>
        <v>542534</v>
      </c>
      <c r="C18" s="102">
        <f t="array" ref="C18">IFERROR(INDEX('Base de données'!D$2:D$114,SMALL(IF((('Base de données'!$B$2:$B$114="vente"))*('Base de données'!$H$2:$H$114=$G$1)*('Base de données'!$I$2:$I$114=$H$1)*('Base de données'!$J$2:$J$114=$I$1*1),ROW('Base de données'!$H$2:$H$114)-1),ROWS($1:16))),"")</f>
        <v>43563</v>
      </c>
      <c r="D18">
        <f t="array" ref="D18">IFERROR(INDEX('Base de données'!E$2:E$114,SMALL(IF((('Base de données'!$B$2:$B$114="vente"))*('Base de données'!$H$2:$H$114=$G$1)*('Base de données'!$I$2:$I$114=$H$1)*('Base de données'!$J$2:$J$114=$I$1*1),ROW('Base de données'!$H$2:$H$114)-1),ROWS($1:16))),"")</f>
        <v>510020</v>
      </c>
      <c r="E18" t="str">
        <f t="array" ref="E18">IFERROR(INDEX('Base de données'!F$2:F$114,SMALL(IF((('Base de données'!$B$2:$B$114="vente"))*('Base de données'!$H$2:$H$114=$G$1)*('Base de données'!$I$2:$I$114=$H$1)*('Base de données'!$J$2:$J$114=$I$1*1),ROW('Base de données'!$H$2:$H$114)-1),ROWS($1:16))),"")</f>
        <v>INSERTO ESAG,M6 8*6</v>
      </c>
      <c r="F18">
        <f t="array" ref="F18">IFERROR(INDEX('Base de données'!G$2:G$114,SMALL(IF((('Base de données'!$B$2:$B$114="vente"))*('Base de données'!$H$2:$H$114=$G$1)*('Base de données'!$I$2:$I$114=$H$1)*('Base de données'!$J$2:$J$114=$I$1*1),ROW('Base de données'!$H$2:$H$114)-1),ROWS($1:16))),"")</f>
        <v>139</v>
      </c>
      <c r="G18" t="str">
        <f t="array" ref="G18">IFERROR(INDEX('Base de données'!H$2:H$114,SMALL(IF((('Base de données'!$B$2:$B$114="vente"))*('Base de données'!$H$2:$H$114=$G$1)*('Base de données'!$I$2:$I$114=$H$1)*('Base de données'!$J$2:$J$114=$I$1*1),ROW('Base de données'!$H$2:$H$114)-1),ROWS($1:16))),"")</f>
        <v>LAITON</v>
      </c>
      <c r="H18" t="str">
        <f t="array" ref="H18">IFERROR(INDEX('Base de données'!I$2:I$114,SMALL(IF((('Base de données'!$B$2:$B$114="vente"))*('Base de données'!$H$2:$H$114=$G$1)*('Base de données'!$I$2:$I$114=$H$1)*('Base de données'!$J$2:$J$114=$I$1*1),ROW('Base de données'!$H$2:$H$114)-1),ROWS($1:16))),"")</f>
        <v>HEX</v>
      </c>
      <c r="I18">
        <f t="array" ref="I18">IFERROR(INDEX('Base de données'!J$2:J$114,SMALL(IF((('Base de données'!$B$2:$B$114="vente"))*('Base de données'!$H$2:$H$114=$G$1)*('Base de données'!$I$2:$I$114=$H$1)*('Base de données'!$J$2:$J$114=$I$1*1),ROW('Base de données'!$H$2:$H$114)-1),ROWS($1:16))),"")</f>
        <v>8</v>
      </c>
      <c r="J18">
        <f t="array" ref="J18">IFERROR(INDEX('Base de données'!K$2:K$114,SMALL(IF((('Base de données'!$B$2:$B$114="vente"))*('Base de données'!$H$2:$H$114=$G$1)*('Base de données'!$I$2:$I$114=$H$1)*('Base de données'!$J$2:$J$114=$I$1*1),ROW('Base de données'!$H$2:$H$114)-1),ROWS($1:16))),"")</f>
        <v>0</v>
      </c>
      <c r="K18">
        <f t="array" ref="K18">IFERROR(INDEX('Base de données'!M$2:M$114,SMALL(IF((('Base de données'!$B$2:$B$114="vente"))*('Base de données'!$H$2:$H$114=$G$1)*('Base de données'!$I$2:$I$114=$H$1)*('Base de données'!$J$2:$J$114=$I$1*1),ROW('Base de données'!$H$2:$H$114)-1),ROWS($1:16))),"")</f>
        <v>1.446E-3</v>
      </c>
      <c r="L18">
        <f t="array" ref="L18">IFERROR(INDEX('Base de données'!Y$2:Y$114,SMALL(IF((('Base de données'!$B$2:$B$114="vente"))*('Base de données'!$H$2:$H$114=$G$1)*('Base de données'!$I$2:$I$114=$H$1)*('Base de données'!$J$2:$J$114=$I$1*1),ROW('Base de données'!$H$2:$H$114)-1),ROWS($1:16))),"")</f>
        <v>5.9265267326732659E-4</v>
      </c>
      <c r="M18">
        <f t="array" ref="M18">IFERROR(INDEX('Base de données'!N$2:N$114,SMALL(IF((('Base de données'!$B$2:$B$114="vente"))*('Base de données'!$H$2:$H$114=$G$1)*('Base de données'!$I$2:$I$114=$H$1)*('Base de données'!$J$2:$J$114=$I$1*1),ROW('Base de données'!$H$2:$H$114)-1),ROWS($1:16))),"")</f>
        <v>6</v>
      </c>
      <c r="N18">
        <f t="shared" si="0"/>
        <v>0</v>
      </c>
      <c r="O18">
        <f t="array" ref="O18">IFERROR(INDEX('Base de données'!P$2:P$114,SMALL(IF((('Base de données'!$B$2:$B$114="vente"))*('Base de données'!$H$2:$H$114=$G$1)*('Base de données'!$I$2:$I$114=$H$1)*('Base de données'!$J$2:$J$114=$I$1*1),ROW('Base de données'!$H$2:$H$114)-1),ROWS($1:16))),"")</f>
        <v>1.4964479999999998</v>
      </c>
      <c r="P18">
        <f t="shared" si="1"/>
        <v>0</v>
      </c>
      <c r="Q18">
        <f t="shared" si="2"/>
        <v>0</v>
      </c>
      <c r="R18">
        <f t="shared" si="3"/>
        <v>0.24950677544554453</v>
      </c>
    </row>
    <row r="19" spans="1:18">
      <c r="A19">
        <f t="array" ref="A19">IFERROR(INDEX('Base de données'!$A$2:$A$114,SMALL(IF((('Base de données'!$B$2:$B$114="vente"))*('Base de données'!$H$2:$H$114=$G$1)*('Base de données'!$I$2:$I$114=$H$1)*('Base de données'!$J$2:$J$114=$I$1*1),ROW('Base de données'!$H$2:$H$114)-1),ROWS($1:17))),"")</f>
        <v>201900036</v>
      </c>
      <c r="B19" t="str">
        <f>IFERROR(VLOOKUP($A19,#REF!,MATCH('vente '!B$2,'Base de données'!$2:$2,0),0),"")</f>
        <v/>
      </c>
      <c r="C19" s="102" t="str">
        <f>IFERROR(VLOOKUP($A19,#REF!,MATCH('vente '!C$2,'Base de données'!$2:$2,0),0),"")</f>
        <v/>
      </c>
      <c r="D19" t="str">
        <f>IFERROR(VLOOKUP($A19,#REF!,MATCH('vente '!D$2,'Base de données'!$2:$2,0),0),"")</f>
        <v/>
      </c>
      <c r="E19" t="str">
        <f>IFERROR(VLOOKUP($A19,#REF!,MATCH('vente '!E$2,'Base de données'!$2:$2,0),0),"")</f>
        <v/>
      </c>
      <c r="F19" t="str">
        <f>IFERROR(VLOOKUP($A19,#REF!,MATCH('vente '!F$2,'Base de données'!$2:$2,0),0),"")</f>
        <v/>
      </c>
      <c r="G19" t="str">
        <f>IFERROR(VLOOKUP($A19,#REF!,MATCH('vente '!G$2,'Base de données'!$2:$2,0),0),"")</f>
        <v/>
      </c>
      <c r="H19" t="str">
        <f>IFERROR(VLOOKUP($A19,#REF!,MATCH('vente '!H$2,'Base de données'!$2:$2,0),0),"")</f>
        <v/>
      </c>
      <c r="I19" t="str">
        <f>IFERROR(VLOOKUP($A19,#REF!,MATCH('vente '!I$2,'Base de données'!$2:$2,0),0),"")</f>
        <v/>
      </c>
      <c r="J19" t="str">
        <f>IFERROR(VLOOKUP($A19,#REF!,MATCH('vente '!J$2,'Base de données'!$2:$2,0),0),"")</f>
        <v/>
      </c>
      <c r="K19">
        <f t="array" ref="K19">IFERROR(INDEX('Base de données'!M$2:M$114,SMALL(IF((('Base de données'!$B$2:$B$114="vente"))*('Base de données'!$H$2:$H$114=$G$1)*('Base de données'!$I$2:$I$114=$H$1)*('Base de données'!$J$2:$J$114=$I$1*1),ROW('Base de données'!$H$2:$H$114)-1),ROWS($1:17))),"")</f>
        <v>1.446E-3</v>
      </c>
      <c r="L19">
        <f t="array" ref="L19">IFERROR(INDEX('Base de données'!Y$2:Y$114,SMALL(IF((('Base de données'!$B$2:$B$114="vente"))*('Base de données'!$H$2:$H$114=$G$1)*('Base de données'!$I$2:$I$114=$H$1)*('Base de données'!$J$2:$J$114=$I$1*1),ROW('Base de données'!$H$2:$H$114)-1),ROWS($1:17))),"")</f>
        <v>5.9265267326732659E-4</v>
      </c>
      <c r="M19" t="str">
        <f>IFERROR(VLOOKUP($A19,#REF!,MATCH('vente '!M$2,'Base de données'!$2:$2,0),0),"")</f>
        <v/>
      </c>
      <c r="N19" t="e">
        <f t="shared" si="0"/>
        <v>#VALUE!</v>
      </c>
      <c r="O19" t="str">
        <f>IFERROR(VLOOKUP($A19,#REF!,MATCH('vente '!O$2,'Base de données'!$2:$2,0),0),"")</f>
        <v/>
      </c>
      <c r="P19" t="e">
        <f t="shared" si="1"/>
        <v>#VALUE!</v>
      </c>
      <c r="Q19" t="e">
        <f t="shared" si="2"/>
        <v>#VALUE!</v>
      </c>
      <c r="R19" t="e">
        <f t="shared" si="3"/>
        <v>#VALUE!</v>
      </c>
    </row>
    <row r="20" spans="1:18">
      <c r="A20">
        <f t="array" ref="A20">IFERROR(INDEX('Base de données'!$A$2:$A$114,SMALL(IF((('Base de données'!$B$2:$B$114="vente"))*('Base de données'!$H$2:$H$114=$G$1)*('Base de données'!$I$2:$I$114=$H$1)*('Base de données'!$J$2:$J$114=$I$1*1),ROW('Base de données'!$H$2:$H$114)-1),ROWS($1:18))),"")</f>
        <v>201900070</v>
      </c>
      <c r="B20" t="str">
        <f>IFERROR(VLOOKUP($A20,#REF!,MATCH('vente '!B$2,'Base de données'!$2:$2,0),0),"")</f>
        <v/>
      </c>
      <c r="C20" s="102" t="str">
        <f>IFERROR(VLOOKUP($A20,#REF!,MATCH('vente '!C$2,'Base de données'!$2:$2,0),0),"")</f>
        <v/>
      </c>
      <c r="D20" t="str">
        <f>IFERROR(VLOOKUP($A20,#REF!,MATCH('vente '!D$2,'Base de données'!$2:$2,0),0),"")</f>
        <v/>
      </c>
      <c r="E20" t="str">
        <f>IFERROR(VLOOKUP($A20,#REF!,MATCH('vente '!E$2,'Base de données'!$2:$2,0),0),"")</f>
        <v/>
      </c>
      <c r="F20" t="str">
        <f>IFERROR(VLOOKUP($A20,#REF!,MATCH('vente '!F$2,'Base de données'!$2:$2,0),0),"")</f>
        <v/>
      </c>
      <c r="G20" t="str">
        <f>IFERROR(VLOOKUP($A20,#REF!,MATCH('vente '!G$2,'Base de données'!$2:$2,0),0),"")</f>
        <v/>
      </c>
      <c r="H20" t="str">
        <f>IFERROR(VLOOKUP($A20,#REF!,MATCH('vente '!H$2,'Base de données'!$2:$2,0),0),"")</f>
        <v/>
      </c>
      <c r="I20" t="str">
        <f>IFERROR(VLOOKUP($A20,#REF!,MATCH('vente '!I$2,'Base de données'!$2:$2,0),0),"")</f>
        <v/>
      </c>
      <c r="J20" t="str">
        <f>IFERROR(VLOOKUP($A20,#REF!,MATCH('vente '!J$2,'Base de données'!$2:$2,0),0),"")</f>
        <v/>
      </c>
      <c r="K20">
        <f t="array" ref="K20">IFERROR(INDEX('Base de données'!M$2:M$114,SMALL(IF((('Base de données'!$B$2:$B$114="vente"))*('Base de données'!$H$2:$H$114=$G$1)*('Base de données'!$I$2:$I$114=$H$1)*('Base de données'!$J$2:$J$114=$I$1*1),ROW('Base de données'!$H$2:$H$114)-1),ROWS($1:18))),"")</f>
        <v>1.446E-3</v>
      </c>
      <c r="L20">
        <f t="array" ref="L20">IFERROR(INDEX('Base de données'!Y$2:Y$114,SMALL(IF((('Base de données'!$B$2:$B$114="vente"))*('Base de données'!$H$2:$H$114=$G$1)*('Base de données'!$I$2:$I$114=$H$1)*('Base de données'!$J$2:$J$114=$I$1*1),ROW('Base de données'!$H$2:$H$114)-1),ROWS($1:18))),"")</f>
        <v>5.9265267326732659E-4</v>
      </c>
      <c r="M20" t="str">
        <f>IFERROR(VLOOKUP($A20,#REF!,MATCH('vente '!M$2,'Base de données'!$2:$2,0),0),"")</f>
        <v/>
      </c>
      <c r="N20" t="e">
        <f t="shared" si="0"/>
        <v>#VALUE!</v>
      </c>
      <c r="O20" t="str">
        <f>IFERROR(VLOOKUP($A20,#REF!,MATCH('vente '!O$2,'Base de données'!$2:$2,0),0),"")</f>
        <v/>
      </c>
      <c r="P20" t="e">
        <f t="shared" si="1"/>
        <v>#VALUE!</v>
      </c>
      <c r="Q20" t="e">
        <f t="shared" si="2"/>
        <v>#VALUE!</v>
      </c>
      <c r="R20" t="e">
        <f t="shared" si="3"/>
        <v>#VALUE!</v>
      </c>
    </row>
    <row r="21" spans="1:18">
      <c r="A21">
        <f t="array" ref="A21">IFERROR(INDEX('Base de données'!$A$2:$A$114,SMALL(IF((('Base de données'!$B$2:$B$114="vente"))*('Base de données'!$H$2:$H$114=$G$1)*('Base de données'!$I$2:$I$114=$H$1)*('Base de données'!$J$2:$J$114=$I$1*1),ROW('Base de données'!$H$2:$H$114)-1),ROWS($1:19))),"")</f>
        <v>201900092</v>
      </c>
      <c r="B21" t="str">
        <f>IFERROR(VLOOKUP($A21,#REF!,MATCH('vente '!B$2,'Base de données'!$2:$2,0),0),"")</f>
        <v/>
      </c>
      <c r="C21" s="102" t="str">
        <f>IFERROR(VLOOKUP($A21,#REF!,MATCH('vente '!C$2,'Base de données'!$2:$2,0),0),"")</f>
        <v/>
      </c>
      <c r="D21" t="str">
        <f>IFERROR(VLOOKUP($A21,#REF!,MATCH('vente '!D$2,'Base de données'!$2:$2,0),0),"")</f>
        <v/>
      </c>
      <c r="E21" t="str">
        <f>IFERROR(VLOOKUP($A21,#REF!,MATCH('vente '!E$2,'Base de données'!$2:$2,0),0),"")</f>
        <v/>
      </c>
      <c r="F21" t="str">
        <f>IFERROR(VLOOKUP($A21,#REF!,MATCH('vente '!F$2,'Base de données'!$2:$2,0),0),"")</f>
        <v/>
      </c>
      <c r="G21" t="str">
        <f>IFERROR(VLOOKUP($A21,#REF!,MATCH('vente '!G$2,'Base de données'!$2:$2,0),0),"")</f>
        <v/>
      </c>
      <c r="H21" t="str">
        <f>IFERROR(VLOOKUP($A21,#REF!,MATCH('vente '!H$2,'Base de données'!$2:$2,0),0),"")</f>
        <v/>
      </c>
      <c r="I21" t="str">
        <f>IFERROR(VLOOKUP($A21,#REF!,MATCH('vente '!I$2,'Base de données'!$2:$2,0),0),"")</f>
        <v/>
      </c>
      <c r="J21" t="str">
        <f>IFERROR(VLOOKUP($A21,#REF!,MATCH('vente '!J$2,'Base de données'!$2:$2,0),0),"")</f>
        <v/>
      </c>
      <c r="K21">
        <f t="array" ref="K21">IFERROR(INDEX('Base de données'!M$2:M$114,SMALL(IF((('Base de données'!$B$2:$B$114="vente"))*('Base de données'!$H$2:$H$114=$G$1)*('Base de données'!$I$2:$I$114=$H$1)*('Base de données'!$J$2:$J$114=$I$1*1),ROW('Base de données'!$H$2:$H$114)-1),ROWS($1:19))),"")</f>
        <v>1.446E-3</v>
      </c>
      <c r="L21">
        <f t="array" ref="L21">IFERROR(INDEX('Base de données'!Y$2:Y$114,SMALL(IF((('Base de données'!$B$2:$B$114="vente"))*('Base de données'!$H$2:$H$114=$G$1)*('Base de données'!$I$2:$I$114=$H$1)*('Base de données'!$J$2:$J$114=$I$1*1),ROW('Base de données'!$H$2:$H$114)-1),ROWS($1:19))),"")</f>
        <v>5.9265267326732659E-4</v>
      </c>
      <c r="M21" t="str">
        <f>IFERROR(VLOOKUP($A21,#REF!,MATCH('vente '!M$2,'Base de données'!$2:$2,0),0),"")</f>
        <v/>
      </c>
      <c r="N21" t="e">
        <f t="shared" si="0"/>
        <v>#VALUE!</v>
      </c>
      <c r="O21" t="str">
        <f>IFERROR(VLOOKUP($A21,#REF!,MATCH('vente '!O$2,'Base de données'!$2:$2,0),0),"")</f>
        <v/>
      </c>
      <c r="P21" t="e">
        <f t="shared" si="1"/>
        <v>#VALUE!</v>
      </c>
      <c r="Q21" t="e">
        <f t="shared" si="2"/>
        <v>#VALUE!</v>
      </c>
      <c r="R21" t="e">
        <f t="shared" si="3"/>
        <v>#VALUE!</v>
      </c>
    </row>
    <row r="22" spans="1:18">
      <c r="A22">
        <f t="array" ref="A22">IFERROR(INDEX('Base de données'!$A$2:$A$114,SMALL(IF((('Base de données'!$B$2:$B$114="vente"))*('Base de données'!$H$2:$H$114=$G$1)*('Base de données'!$I$2:$I$114=$H$1)*('Base de données'!$J$2:$J$114=$I$1*1),ROW('Base de données'!$H$2:$H$114)-1),ROWS($1:20))),"")</f>
        <v>201900094</v>
      </c>
      <c r="B22" t="str">
        <f>IFERROR(VLOOKUP($A22,#REF!,MATCH('vente '!B$2,'Base de données'!$2:$2,0),0),"")</f>
        <v/>
      </c>
      <c r="C22" s="102" t="str">
        <f>IFERROR(VLOOKUP($A22,#REF!,MATCH('vente '!C$2,'Base de données'!$2:$2,0),0),"")</f>
        <v/>
      </c>
      <c r="D22" t="str">
        <f>IFERROR(VLOOKUP($A22,#REF!,MATCH('vente '!D$2,'Base de données'!$2:$2,0),0),"")</f>
        <v/>
      </c>
      <c r="E22" t="str">
        <f>IFERROR(VLOOKUP($A22,#REF!,MATCH('vente '!E$2,'Base de données'!$2:$2,0),0),"")</f>
        <v/>
      </c>
      <c r="F22" t="str">
        <f>IFERROR(VLOOKUP($A22,#REF!,MATCH('vente '!F$2,'Base de données'!$2:$2,0),0),"")</f>
        <v/>
      </c>
      <c r="G22" t="str">
        <f>IFERROR(VLOOKUP($A22,#REF!,MATCH('vente '!G$2,'Base de données'!$2:$2,0),0),"")</f>
        <v/>
      </c>
      <c r="H22" t="str">
        <f>IFERROR(VLOOKUP($A22,#REF!,MATCH('vente '!H$2,'Base de données'!$2:$2,0),0),"")</f>
        <v/>
      </c>
      <c r="I22" t="str">
        <f>IFERROR(VLOOKUP($A22,#REF!,MATCH('vente '!I$2,'Base de données'!$2:$2,0),0),"")</f>
        <v/>
      </c>
      <c r="J22" t="str">
        <f>IFERROR(VLOOKUP($A22,#REF!,MATCH('vente '!J$2,'Base de données'!$2:$2,0),0),"")</f>
        <v/>
      </c>
      <c r="K22">
        <f t="array" ref="K22">IFERROR(INDEX('Base de données'!M$2:M$114,SMALL(IF((('Base de données'!$B$2:$B$114="vente"))*('Base de données'!$H$2:$H$114=$G$1)*('Base de données'!$I$2:$I$114=$H$1)*('Base de données'!$J$2:$J$114=$I$1*1),ROW('Base de données'!$H$2:$H$114)-1),ROWS($1:20))),"")</f>
        <v>1.446E-3</v>
      </c>
      <c r="L22">
        <f t="array" ref="L22">IFERROR(INDEX('Base de données'!Y$2:Y$114,SMALL(IF((('Base de données'!$B$2:$B$114="vente"))*('Base de données'!$H$2:$H$114=$G$1)*('Base de données'!$I$2:$I$114=$H$1)*('Base de données'!$J$2:$J$114=$I$1*1),ROW('Base de données'!$H$2:$H$114)-1),ROWS($1:20))),"")</f>
        <v>5.9265267326732659E-4</v>
      </c>
      <c r="M22" t="str">
        <f>IFERROR(VLOOKUP($A22,#REF!,MATCH('vente '!M$2,'Base de données'!$2:$2,0),0),"")</f>
        <v/>
      </c>
      <c r="N22" t="e">
        <f t="shared" si="0"/>
        <v>#VALUE!</v>
      </c>
      <c r="O22" t="str">
        <f>IFERROR(VLOOKUP($A22,#REF!,MATCH('vente '!O$2,'Base de données'!$2:$2,0),0),"")</f>
        <v/>
      </c>
      <c r="P22" t="e">
        <f t="shared" si="1"/>
        <v>#VALUE!</v>
      </c>
      <c r="Q22" t="e">
        <f t="shared" si="2"/>
        <v>#VALUE!</v>
      </c>
      <c r="R22" t="e">
        <f t="shared" si="3"/>
        <v>#VALUE!</v>
      </c>
    </row>
    <row r="24" spans="1:18">
      <c r="E24" s="23"/>
    </row>
    <row r="31" spans="1:18">
      <c r="R31" t="str">
        <f>IFERROR(VLOOKUP($A31,#REF!,MATCH('vente '!R$2,'Base de données'!$2:$2,0),0),"")</f>
        <v/>
      </c>
    </row>
    <row r="32" spans="1:18">
      <c r="R32" t="str">
        <f>IFERROR(VLOOKUP($A32,#REF!,MATCH('vente '!R$2,'Base de données'!$2:$2,0),0),"")</f>
        <v/>
      </c>
    </row>
    <row r="33" spans="1:18">
      <c r="R33" t="str">
        <f>IFERROR(VLOOKUP($A33,#REF!,MATCH('vente '!R$2,'Base de données'!$2:$2,0),0),"")</f>
        <v/>
      </c>
    </row>
    <row r="34" spans="1:18">
      <c r="R34" t="str">
        <f>IFERROR(VLOOKUP($A34,#REF!,MATCH('vente '!R$2,'Base de données'!$2:$2,0),0),"")</f>
        <v/>
      </c>
    </row>
    <row r="35" spans="1:18">
      <c r="R35" t="str">
        <f>IFERROR(VLOOKUP($A35,#REF!,MATCH('vente '!R$2,'Base de données'!$2:$2,0),0),"")</f>
        <v/>
      </c>
    </row>
    <row r="36" spans="1:18">
      <c r="R36" t="str">
        <f>IFERROR(VLOOKUP($A36,#REF!,MATCH('vente '!R$2,'Base de données'!$2:$2,0),0),"")</f>
        <v/>
      </c>
    </row>
    <row r="37" spans="1:18">
      <c r="R37" t="str">
        <f>IFERROR(VLOOKUP($A37,#REF!,MATCH('vente '!R$2,'Base de données'!$2:$2,0),0),"")</f>
        <v/>
      </c>
    </row>
    <row r="38" spans="1:18">
      <c r="R38" t="str">
        <f>IFERROR(VLOOKUP($A38,#REF!,MATCH('vente '!R$2,'Base de données'!$2:$2,0),0),"")</f>
        <v/>
      </c>
    </row>
    <row r="39" spans="1:18">
      <c r="R39" t="str">
        <f>IFERROR(VLOOKUP($A39,#REF!,MATCH('vente '!R$2,'Base de données'!$2:$2,0),0),"")</f>
        <v/>
      </c>
    </row>
    <row r="40" spans="1:18">
      <c r="R40" t="str">
        <f>IFERROR(VLOOKUP($A40,#REF!,MATCH('vente '!R$2,'Base de données'!$2:$2,0),0),"")</f>
        <v/>
      </c>
    </row>
    <row r="41" spans="1:18">
      <c r="R41" t="str">
        <f>IFERROR(VLOOKUP($A41,#REF!,MATCH('vente '!R$2,'Base de données'!$2:$2,0),0),"")</f>
        <v/>
      </c>
    </row>
    <row r="42" spans="1:18">
      <c r="R42" t="str">
        <f>IFERROR(VLOOKUP($A42,#REF!,MATCH('vente '!R$2,'Base de données'!$2:$2,0),0),"")</f>
        <v/>
      </c>
    </row>
    <row r="43" spans="1:18">
      <c r="R43" t="str">
        <f>IFERROR(VLOOKUP($A43,#REF!,MATCH('vente '!R$2,'Base de données'!$2:$2,0),0),"")</f>
        <v/>
      </c>
    </row>
    <row r="44" spans="1:18">
      <c r="R44" t="str">
        <f>IFERROR(VLOOKUP($A44,#REF!,MATCH('vente '!R$2,'Base de données'!$2:$2,0),0),"")</f>
        <v/>
      </c>
    </row>
    <row r="46" spans="1:18">
      <c r="A46" t="str">
        <f t="array" ref="A46">IFERROR(INDEX('Base de données'!$A$2:$A$114,SMALL(IF((('Base de données'!$B$2:$B$114="vente"))*('Base de données'!$H$2:$H$114=$G$1)*('Base de données'!$I$2:$I$114=$H$1)*('Base de données'!$J$2:$J$114=$I$1*1),ROW('Base de données'!$H$2:$H$114)-1),ROWS($1:22))),"")</f>
        <v/>
      </c>
    </row>
    <row r="47" spans="1:18">
      <c r="A47" t="str">
        <f t="array" ref="A47">IFERROR(INDEX('Base de données'!$A$2:$A$114,SMALL(IF((('Base de données'!$B$2:$B$114="vente"))*('Base de données'!$H$2:$H$114=$G$1)*('Base de données'!$I$2:$I$114=$H$1)*('Base de données'!$J$2:$J$114=$I$1*1),ROW('Base de données'!$H$2:$H$114)-1),ROWS($1:23))),"")</f>
        <v/>
      </c>
    </row>
    <row r="48" spans="1:18">
      <c r="A48" t="str">
        <f t="array" ref="A48">IFERROR(INDEX('Base de données'!$A$2:$A$114,SMALL(IF((('Base de données'!$B$2:$B$114="vente"))*('Base de données'!$H$2:$H$114=$G$1)*('Base de données'!$I$2:$I$114=$H$1)*('Base de données'!$J$2:$J$114=$I$1*1),ROW('Base de données'!$H$2:$H$114)-1),ROWS($1:24))),"")</f>
        <v/>
      </c>
    </row>
    <row r="49" spans="1:1">
      <c r="A49" t="str">
        <f t="array" ref="A49">IFERROR(INDEX('Base de données'!$A$2:$A$114,SMALL(IF((('Base de données'!$B$2:$B$114="vente"))*('Base de données'!$H$2:$H$114=$G$1)*('Base de données'!$I$2:$I$114=$H$1)*('Base de données'!$J$2:$J$114=$I$1*1),ROW('Base de données'!$H$2:$H$114)-1),ROWS($1:25))),"")</f>
        <v/>
      </c>
    </row>
    <row r="50" spans="1:1">
      <c r="A50" t="str">
        <f t="array" ref="A50">IFERROR(INDEX('Base de données'!$A$2:$A$114,SMALL(IF((('Base de données'!$B$2:$B$114="vente"))*('Base de données'!$H$2:$H$114=$G$1)*('Base de données'!$I$2:$I$114=$H$1)*('Base de données'!$J$2:$J$114=$I$1*1),ROW('Base de données'!$H$2:$H$114)-1),ROWS($1:26))),"")</f>
        <v/>
      </c>
    </row>
    <row r="51" spans="1:1">
      <c r="A51" t="str">
        <f t="array" ref="A51">IFERROR(INDEX('Base de données'!$A$2:$A$114,SMALL(IF((('Base de données'!$B$2:$B$114="vente"))*('Base de données'!$H$2:$H$114=$G$1)*('Base de données'!$I$2:$I$114=$H$1)*('Base de données'!$J$2:$J$114=$I$1*1),ROW('Base de données'!$H$2:$H$114)-1),ROWS($1:27))),"")</f>
        <v/>
      </c>
    </row>
    <row r="52" spans="1:1">
      <c r="A52" t="str">
        <f t="array" ref="A52">IFERROR(INDEX('Base de données'!$A$2:$A$114,SMALL(IF((('Base de données'!$B$2:$B$114="vente"))*('Base de données'!$H$2:$H$114=$G$1)*('Base de données'!$I$2:$I$114=$H$1)*('Base de données'!$J$2:$J$114=$I$1*1),ROW('Base de données'!$H$2:$H$114)-1),ROWS($1:28))),"")</f>
        <v/>
      </c>
    </row>
    <row r="53" spans="1:1">
      <c r="A53" t="str">
        <f t="array" ref="A53">IFERROR(INDEX('Base de données'!$A$2:$A$114,SMALL(IF((('Base de données'!$B$2:$B$114="vente"))*('Base de données'!$H$2:$H$114=$G$1)*('Base de données'!$I$2:$I$114=$H$1)*('Base de données'!$J$2:$J$114=$I$1*1),ROW('Base de données'!$H$2:$H$114)-1),ROWS($1:29))),"")</f>
        <v/>
      </c>
    </row>
    <row r="54" spans="1:1">
      <c r="A54" t="str">
        <f t="array" ref="A54">IFERROR(INDEX('Base de données'!$A$2:$A$114,SMALL(IF((('Base de données'!$B$2:$B$114="vente"))*('Base de données'!$H$2:$H$114=$G$1)*('Base de données'!$I$2:$I$114=$H$1)*('Base de données'!$J$2:$J$114=$I$1*1),ROW('Base de données'!$H$2:$H$114)-1),ROWS($1:30))),"")</f>
        <v/>
      </c>
    </row>
    <row r="55" spans="1:1">
      <c r="A55" t="str">
        <f t="array" ref="A55">IFERROR(INDEX('Base de données'!$A$2:$A$114,SMALL(IF((('Base de données'!$B$2:$B$114="vente"))*('Base de données'!$H$2:$H$114=$G$1)*('Base de données'!$I$2:$I$114=$H$1)*('Base de données'!$J$2:$J$114=$I$1*1),ROW('Base de données'!$H$2:$H$114)-1),ROWS($1:31))),"")</f>
        <v/>
      </c>
    </row>
    <row r="56" spans="1:1">
      <c r="A56" t="str">
        <f t="array" ref="A56">IFERROR(INDEX('Base de données'!$A$2:$A$114,SMALL(IF((('Base de données'!$B$2:$B$114="vente"))*('Base de données'!$H$2:$H$114=$G$1)*('Base de données'!$I$2:$I$114=$H$1)*('Base de données'!$J$2:$J$114=$I$1*1),ROW('Base de données'!$H$2:$H$114)-1),ROWS($1:32))),"")</f>
        <v/>
      </c>
    </row>
    <row r="57" spans="1:1">
      <c r="A57" t="str">
        <f t="array" ref="A57">IFERROR(INDEX('Base de données'!$A$2:$A$114,SMALL(IF((('Base de données'!$B$2:$B$114="vente"))*('Base de données'!$H$2:$H$114=$G$1)*('Base de données'!$I$2:$I$114=$H$1)*('Base de données'!$J$2:$J$114=$I$1*1),ROW('Base de données'!$H$2:$H$114)-1),ROWS($1:33))),"")</f>
        <v/>
      </c>
    </row>
    <row r="58" spans="1:1">
      <c r="A58" t="str">
        <f t="array" ref="A58">IFERROR(INDEX('Base de données'!$A$2:$A$114,SMALL(IF((('Base de données'!$B$2:$B$114="vente"))*('Base de données'!$H$2:$H$114=$G$1)*('Base de données'!$I$2:$I$114=$H$1)*('Base de données'!$J$2:$J$114=$I$1*1),ROW('Base de données'!$H$2:$H$114)-1),ROWS($1:34))),"")</f>
        <v/>
      </c>
    </row>
    <row r="59" spans="1:1">
      <c r="A59" t="str">
        <f t="array" ref="A59">IFERROR(INDEX('Base de données'!$A$2:$A$114,SMALL(IF((('Base de données'!$B$2:$B$114="vente"))*('Base de données'!$H$2:$H$114=$G$1)*('Base de données'!$I$2:$I$114=$H$1)*('Base de données'!$J$2:$J$114=$I$1*1),ROW('Base de données'!$H$2:$H$114)-1),ROWS($1:35))),"")</f>
        <v/>
      </c>
    </row>
    <row r="60" spans="1:1">
      <c r="A60" t="str">
        <f t="array" ref="A60">IFERROR(INDEX('Base de données'!$A$2:$A$114,SMALL(IF((('Base de données'!$B$2:$B$114="vente"))*('Base de données'!$H$2:$H$114=$G$1)*('Base de données'!$I$2:$I$114=$H$1)*('Base de données'!$J$2:$J$114=$I$1*1),ROW('Base de données'!$H$2:$H$114)-1),ROWS($1:36))),"")</f>
        <v/>
      </c>
    </row>
    <row r="61" spans="1:1">
      <c r="A61" t="str">
        <f t="array" ref="A61">IFERROR(INDEX('Base de données'!$A$2:$A$114,SMALL(IF((('Base de données'!$B$2:$B$114="vente"))*('Base de données'!$H$2:$H$114=$G$1)*('Base de données'!$I$2:$I$114=$H$1)*('Base de données'!$J$2:$J$114=$I$1*1),ROW('Base de données'!$H$2:$H$114)-1),ROWS($1:37))),"")</f>
        <v/>
      </c>
    </row>
    <row r="62" spans="1:1">
      <c r="A62" t="str">
        <f t="array" ref="A62">IFERROR(INDEX('Base de données'!$A$2:$A$114,SMALL(IF((('Base de données'!$B$2:$B$114="vente"))*('Base de données'!$H$2:$H$114=$G$1)*('Base de données'!$I$2:$I$114=$H$1)*('Base de données'!$J$2:$J$114=$I$1*1),ROW('Base de données'!$H$2:$H$114)-1),ROWS($1:38))),"")</f>
        <v/>
      </c>
    </row>
    <row r="63" spans="1:1">
      <c r="A63" t="str">
        <f t="array" ref="A63">IFERROR(INDEX('Base de données'!$A$2:$A$114,SMALL(IF((('Base de données'!$B$2:$B$114="vente"))*('Base de données'!$H$2:$H$114=$G$1)*('Base de données'!$I$2:$I$114=$H$1)*('Base de données'!$J$2:$J$114=$I$1*1),ROW('Base de données'!$H$2:$H$114)-1),ROWS($1:39))),"")</f>
        <v/>
      </c>
    </row>
    <row r="64" spans="1:1">
      <c r="A64" t="str">
        <f t="array" ref="A64">IFERROR(INDEX('Base de données'!$A$2:$A$114,SMALL(IF((('Base de données'!$B$2:$B$114="vente"))*('Base de données'!$H$2:$H$114=$G$1)*('Base de données'!$I$2:$I$114=$H$1)*('Base de données'!$J$2:$J$114=$I$1*1),ROW('Base de données'!$H$2:$H$114)-1),ROWS($1:40))),"")</f>
        <v/>
      </c>
    </row>
    <row r="65" spans="1:1">
      <c r="A65" t="str">
        <f t="array" ref="A65">IFERROR(INDEX('Base de données'!$A$2:$A$114,SMALL(IF((('Base de données'!$B$2:$B$114="vente"))*('Base de données'!$H$2:$H$114=$G$1)*('Base de données'!$I$2:$I$114=$H$1)*('Base de données'!$J$2:$J$114=$I$1*1),ROW('Base de données'!$H$2:$H$114)-1),ROWS($1:41))),"")</f>
        <v/>
      </c>
    </row>
    <row r="66" spans="1:1">
      <c r="A66" t="str">
        <f t="array" ref="A66">IFERROR(INDEX('Base de données'!$A$2:$A$114,SMALL(IF((('Base de données'!$B$2:$B$114="vente"))*('Base de données'!$H$2:$H$114=$G$1)*('Base de données'!$I$2:$I$114=$H$1)*('Base de données'!$J$2:$J$114=$I$1*1),ROW('Base de données'!$H$2:$H$114)-1),ROWS($1:42))),"")</f>
        <v/>
      </c>
    </row>
    <row r="67" spans="1:1">
      <c r="A67" t="str">
        <f t="array" ref="A67">IFERROR(INDEX('Base de données'!$A$2:$A$114,SMALL(IF((('Base de données'!$B$2:$B$114="vente"))*('Base de données'!$H$2:$H$114=$G$1)*('Base de données'!$I$2:$I$114=$H$1)*('Base de données'!$J$2:$J$114=$I$1*1),ROW('Base de données'!$H$2:$H$114)-1),ROWS($1:43))),"")</f>
        <v/>
      </c>
    </row>
    <row r="68" spans="1:1">
      <c r="A68" t="str">
        <f t="array" ref="A68">IFERROR(INDEX('Base de données'!$A$2:$A$114,SMALL(IF((('Base de données'!$B$2:$B$114="vente"))*('Base de données'!$H$2:$H$114=$G$1)*('Base de données'!$I$2:$I$114=$H$1)*('Base de données'!$J$2:$J$114=$I$1*1),ROW('Base de données'!$H$2:$H$114)-1),ROWS($1:44))),"")</f>
        <v/>
      </c>
    </row>
    <row r="69" spans="1:1">
      <c r="A69" t="str">
        <f t="array" ref="A69">IFERROR(INDEX('Base de données'!$A$2:$A$114,SMALL(IF((('Base de données'!$B$2:$B$114="vente"))*('Base de données'!$H$2:$H$114=$G$1)*('Base de données'!$I$2:$I$114=$H$1)*('Base de données'!$J$2:$J$114=$I$1*1),ROW('Base de données'!$H$2:$H$114)-1),ROWS($1:45))),"")</f>
        <v/>
      </c>
    </row>
    <row r="70" spans="1:1">
      <c r="A70" t="str">
        <f t="array" ref="A70">IFERROR(INDEX('Base de données'!$A$2:$A$114,SMALL(IF((('Base de données'!$B$2:$B$114="vente"))*('Base de données'!$H$2:$H$114=$G$1)*('Base de données'!$I$2:$I$114=$H$1)*('Base de données'!$J$2:$J$114=$I$1*1),ROW('Base de données'!$H$2:$H$114)-1),ROWS($1:46))),"")</f>
        <v/>
      </c>
    </row>
    <row r="71" spans="1:1">
      <c r="A71" t="str">
        <f t="array" ref="A71">IFERROR(INDEX('Base de données'!$A$2:$A$114,SMALL(IF((('Base de données'!$B$2:$B$114="vente"))*('Base de données'!$H$2:$H$114=$G$1)*('Base de données'!$I$2:$I$114=$H$1)*('Base de données'!$J$2:$J$114=$I$1*1),ROW('Base de données'!$H$2:$H$114)-1),ROWS($1:47))),"")</f>
        <v/>
      </c>
    </row>
    <row r="72" spans="1:1">
      <c r="A72" t="str">
        <f t="array" ref="A72">IFERROR(INDEX('Base de données'!$A$2:$A$114,SMALL(IF((('Base de données'!$B$2:$B$114="vente"))*('Base de données'!$H$2:$H$114=$G$1)*('Base de données'!$I$2:$I$114=$H$1)*('Base de données'!$J$2:$J$114=$I$1*1),ROW('Base de données'!$H$2:$H$114)-1),ROWS($1:48))),"")</f>
        <v/>
      </c>
    </row>
    <row r="73" spans="1:1">
      <c r="A73" t="str">
        <f t="array" ref="A73">IFERROR(INDEX('Base de données'!$A$2:$A$114,SMALL(IF((('Base de données'!$B$2:$B$114="vente"))*('Base de données'!$H$2:$H$114=$G$1)*('Base de données'!$I$2:$I$114=$H$1)*('Base de données'!$J$2:$J$114=$I$1*1),ROW('Base de données'!$H$2:$H$114)-1),ROWS($1:49))),"")</f>
        <v/>
      </c>
    </row>
    <row r="74" spans="1:1">
      <c r="A74" t="str">
        <f t="array" ref="A74">IFERROR(INDEX('Base de données'!$A$2:$A$114,SMALL(IF((('Base de données'!$B$2:$B$114="vente"))*('Base de données'!$H$2:$H$114=$G$1)*('Base de données'!$I$2:$I$114=$H$1)*('Base de données'!$J$2:$J$114=$I$1*1),ROW('Base de données'!$H$2:$H$114)-1),ROWS($1:50))),"")</f>
        <v/>
      </c>
    </row>
    <row r="75" spans="1:1">
      <c r="A75" t="str">
        <f t="array" ref="A75">IFERROR(INDEX('Base de données'!$A$2:$A$114,SMALL(IF((('Base de données'!$B$2:$B$114="vente"))*('Base de données'!$H$2:$H$114=$G$1)*('Base de données'!$I$2:$I$114=$H$1)*('Base de données'!$J$2:$J$114=$I$1*1),ROW('Base de données'!$H$2:$H$114)-1),ROWS($1:51))),"")</f>
        <v/>
      </c>
    </row>
    <row r="76" spans="1:1">
      <c r="A76" t="str">
        <f t="array" ref="A76">IFERROR(INDEX('Base de données'!$A$2:$A$114,SMALL(IF((('Base de données'!$B$2:$B$114="vente"))*('Base de données'!$H$2:$H$114=$G$1)*('Base de données'!$I$2:$I$114=$H$1)*('Base de données'!$J$2:$J$114=$I$1*1),ROW('Base de données'!$H$2:$H$114)-1),ROWS($1:52))),"")</f>
        <v/>
      </c>
    </row>
    <row r="77" spans="1:1">
      <c r="A77" t="str">
        <f t="array" ref="A77">IFERROR(INDEX('Base de données'!$A$2:$A$114,SMALL(IF((('Base de données'!$B$2:$B$114="vente"))*('Base de données'!$H$2:$H$114=$G$1)*('Base de données'!$I$2:$I$114=$H$1)*('Base de données'!$J$2:$J$114=$I$1*1),ROW('Base de données'!$H$2:$H$114)-1),ROWS($1:53))),"")</f>
        <v/>
      </c>
    </row>
    <row r="78" spans="1:1">
      <c r="A78" t="str">
        <f t="array" ref="A78">IFERROR(INDEX('Base de données'!$A$2:$A$114,SMALL(IF((('Base de données'!$B$2:$B$114="vente"))*('Base de données'!$H$2:$H$114=$G$1)*('Base de données'!$I$2:$I$114=$H$1)*('Base de données'!$J$2:$J$114=$I$1*1),ROW('Base de données'!$H$2:$H$114)-1),ROWS($1:54))),"")</f>
        <v/>
      </c>
    </row>
    <row r="79" spans="1:1">
      <c r="A79" t="str">
        <f t="array" ref="A79">IFERROR(INDEX('Base de données'!$A$2:$A$114,SMALL(IF((('Base de données'!$B$2:$B$114="vente"))*('Base de données'!$H$2:$H$114=$G$1)*('Base de données'!$I$2:$I$114=$H$1)*('Base de données'!$J$2:$J$114=$I$1*1),ROW('Base de données'!$H$2:$H$114)-1),ROWS($1:55))),"")</f>
        <v/>
      </c>
    </row>
    <row r="80" spans="1:1">
      <c r="A80" t="str">
        <f t="array" ref="A80">IFERROR(INDEX('Base de données'!$A$2:$A$114,SMALL(IF((('Base de données'!$B$2:$B$114="vente"))*('Base de données'!$H$2:$H$114=$G$1)*('Base de données'!$I$2:$I$114=$H$1)*('Base de données'!$J$2:$J$114=$I$1*1),ROW('Base de données'!$H$2:$H$114)-1),ROWS($1:56))),"")</f>
        <v/>
      </c>
    </row>
    <row r="81" spans="1:1">
      <c r="A81" t="str">
        <f t="array" ref="A81">IFERROR(INDEX('Base de données'!$A$2:$A$114,SMALL(IF((('Base de données'!$B$2:$B$114="vente"))*('Base de données'!$H$2:$H$114=$G$1)*('Base de données'!$I$2:$I$114=$H$1)*('Base de données'!$J$2:$J$114=$I$1*1),ROW('Base de données'!$H$2:$H$114)-1),ROWS($1:57))),"")</f>
        <v/>
      </c>
    </row>
    <row r="82" spans="1:1">
      <c r="A82" t="str">
        <f t="array" ref="A82">IFERROR(INDEX('Base de données'!$A$2:$A$114,SMALL(IF((('Base de données'!$B$2:$B$114="vente"))*('Base de données'!$H$2:$H$114=$G$1)*('Base de données'!$I$2:$I$114=$H$1)*('Base de données'!$J$2:$J$114=$I$1*1),ROW('Base de données'!$H$2:$H$114)-1),ROWS($1:58))),"")</f>
        <v/>
      </c>
    </row>
    <row r="83" spans="1:1">
      <c r="A83" t="str">
        <f t="array" ref="A83">IFERROR(INDEX('Base de données'!$A$2:$A$114,SMALL(IF((('Base de données'!$B$2:$B$114="vente"))*('Base de données'!$H$2:$H$114=$G$1)*('Base de données'!$I$2:$I$114=$H$1)*('Base de données'!$J$2:$J$114=$I$1*1),ROW('Base de données'!$H$2:$H$114)-1),ROWS($1:59))),"")</f>
        <v/>
      </c>
    </row>
    <row r="84" spans="1:1">
      <c r="A84" t="str">
        <f t="array" ref="A84">IFERROR(INDEX('Base de données'!$A$2:$A$114,SMALL(IF((('Base de données'!$B$2:$B$114="vente"))*('Base de données'!$H$2:$H$114=$G$1)*('Base de données'!$I$2:$I$114=$H$1)*('Base de données'!$J$2:$J$114=$I$1*1),ROW('Base de données'!$H$2:$H$114)-1),ROWS($1:60))),"")</f>
        <v/>
      </c>
    </row>
    <row r="85" spans="1:1">
      <c r="A85" t="str">
        <f t="array" ref="A85">IFERROR(INDEX('Base de données'!$A$2:$A$114,SMALL(IF((('Base de données'!$B$2:$B$114="vente"))*('Base de données'!$H$2:$H$114=$G$1)*('Base de données'!$I$2:$I$114=$H$1)*('Base de données'!$J$2:$J$114=$I$1*1),ROW('Base de données'!$H$2:$H$114)-1),ROWS($1:61))),"")</f>
        <v/>
      </c>
    </row>
    <row r="86" spans="1:1">
      <c r="A86" t="str">
        <f t="array" ref="A86">IFERROR(INDEX('Base de données'!$A$2:$A$114,SMALL(IF((('Base de données'!$B$2:$B$114="vente"))*('Base de données'!$H$2:$H$114=$G$1)*('Base de données'!$I$2:$I$114=$H$1)*('Base de données'!$J$2:$J$114=$I$1*1),ROW('Base de données'!$H$2:$H$114)-1),ROWS($1:62))),"")</f>
        <v/>
      </c>
    </row>
    <row r="87" spans="1:1">
      <c r="A87" t="str">
        <f t="array" ref="A87">IFERROR(INDEX('Base de données'!$A$2:$A$114,SMALL(IF((('Base de données'!$B$2:$B$114="vente"))*('Base de données'!$H$2:$H$114=$G$1)*('Base de données'!$I$2:$I$114=$H$1)*('Base de données'!$J$2:$J$114=$I$1*1),ROW('Base de données'!$H$2:$H$114)-1),ROWS($1:63))),"")</f>
        <v/>
      </c>
    </row>
    <row r="88" spans="1:1">
      <c r="A88" t="str">
        <f t="array" ref="A88">IFERROR(INDEX('Base de données'!$A$2:$A$114,SMALL(IF((('Base de données'!$B$2:$B$114="vente"))*('Base de données'!$H$2:$H$114=$G$1)*('Base de données'!$I$2:$I$114=$H$1)*('Base de données'!$J$2:$J$114=$I$1*1),ROW('Base de données'!$H$2:$H$114)-1),ROWS($1:64))),"")</f>
        <v/>
      </c>
    </row>
    <row r="89" spans="1:1">
      <c r="A89" t="str">
        <f t="array" ref="A89">IFERROR(INDEX('Base de données'!$A$2:$A$114,SMALL(IF((('Base de données'!$B$2:$B$114="vente"))*('Base de données'!$H$2:$H$114=$G$1)*('Base de données'!$I$2:$I$114=$H$1)*('Base de données'!$J$2:$J$114=$I$1*1),ROW('Base de données'!$H$2:$H$114)-1),ROWS($1:65))),"")</f>
        <v/>
      </c>
    </row>
    <row r="90" spans="1:1">
      <c r="A90" t="str">
        <f t="array" ref="A90">IFERROR(INDEX('Base de données'!$A$2:$A$114,SMALL(IF((('Base de données'!$B$2:$B$114="vente"))*('Base de données'!$H$2:$H$114=$G$1)*('Base de données'!$I$2:$I$114=$H$1)*('Base de données'!$J$2:$J$114=$I$1*1),ROW('Base de données'!$H$2:$H$114)-1),ROWS($1:66))),"")</f>
        <v/>
      </c>
    </row>
    <row r="91" spans="1:1">
      <c r="A91" t="str">
        <f t="array" ref="A91">IFERROR(INDEX('Base de données'!$A$2:$A$114,SMALL(IF((('Base de données'!$B$2:$B$114="vente"))*('Base de données'!$H$2:$H$114=$G$1)*('Base de données'!$I$2:$I$114=$H$1)*('Base de données'!$J$2:$J$114=$I$1*1),ROW('Base de données'!$H$2:$H$114)-1),ROWS($1:67))),"")</f>
        <v/>
      </c>
    </row>
    <row r="92" spans="1:1">
      <c r="A92" t="str">
        <f t="array" ref="A92">IFERROR(INDEX('Base de données'!$A$2:$A$114,SMALL(IF((('Base de données'!$B$2:$B$114="vente"))*('Base de données'!$H$2:$H$114=$G$1)*('Base de données'!$I$2:$I$114=$H$1)*('Base de données'!$J$2:$J$114=$I$1*1),ROW('Base de données'!$H$2:$H$114)-1),ROWS($1:68))),"")</f>
        <v/>
      </c>
    </row>
    <row r="93" spans="1:1">
      <c r="A93" t="str">
        <f t="array" ref="A93">IFERROR(INDEX('Base de données'!$A$2:$A$114,SMALL(IF((('Base de données'!$B$2:$B$114="vente"))*('Base de données'!$H$2:$H$114=$G$1)*('Base de données'!$I$2:$I$114=$H$1)*('Base de données'!$J$2:$J$114=$I$1*1),ROW('Base de données'!$H$2:$H$114)-1),ROWS($1:69))),"")</f>
        <v/>
      </c>
    </row>
    <row r="94" spans="1:1">
      <c r="A94" t="str">
        <f t="array" ref="A94">IFERROR(INDEX('Base de données'!$A$2:$A$114,SMALL(IF((('Base de données'!$B$2:$B$114="vente"))*('Base de données'!$H$2:$H$114=$G$1)*('Base de données'!$I$2:$I$114=$H$1)*('Base de données'!$J$2:$J$114=$I$1*1),ROW('Base de données'!$H$2:$H$114)-1),ROWS($1:70))),"")</f>
        <v/>
      </c>
    </row>
    <row r="95" spans="1:1">
      <c r="A95" t="str">
        <f t="array" ref="A95">IFERROR(INDEX('Base de données'!$A$2:$A$114,SMALL(IF((('Base de données'!$B$2:$B$114="vente"))*('Base de données'!$H$2:$H$114=$G$1)*('Base de données'!$I$2:$I$114=$H$1)*('Base de données'!$J$2:$J$114=$I$1*1),ROW('Base de données'!$H$2:$H$114)-1),ROWS($1:71))),"")</f>
        <v/>
      </c>
    </row>
    <row r="96" spans="1:1">
      <c r="A96" t="str">
        <f t="array" ref="A96">IFERROR(INDEX('Base de données'!$A$2:$A$114,SMALL(IF((('Base de données'!$B$2:$B$114="vente"))*('Base de données'!$H$2:$H$114=$G$1)*('Base de données'!$I$2:$I$114=$H$1)*('Base de données'!$J$2:$J$114=$I$1*1),ROW('Base de données'!$H$2:$H$114)-1),ROWS($1:72))),"")</f>
        <v/>
      </c>
    </row>
    <row r="97" spans="1:1">
      <c r="A97" t="str">
        <f t="array" ref="A97">IFERROR(INDEX('Base de données'!$A$2:$A$114,SMALL(IF((('Base de données'!$B$2:$B$114="vente"))*('Base de données'!$H$2:$H$114=$G$1)*('Base de données'!$I$2:$I$114=$H$1)*('Base de données'!$J$2:$J$114=$I$1*1),ROW('Base de données'!$H$2:$H$114)-1),ROWS($1:73))),"")</f>
        <v/>
      </c>
    </row>
  </sheetData>
  <dataValidations count="3">
    <dataValidation type="list" allowBlank="1" showInputMessage="1" showErrorMessage="1" sqref="H1">
      <formula1>formes</formula1>
    </dataValidation>
    <dataValidation type="list" allowBlank="1" showInputMessage="1" showErrorMessage="1" sqref="I1">
      <formula1>Dia</formula1>
    </dataValidation>
    <dataValidation type="list" allowBlank="1" showInputMessage="1" showErrorMessage="1" sqref="G1">
      <formula1>matière</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dimension ref="A1:C22"/>
  <sheetViews>
    <sheetView workbookViewId="0">
      <selection activeCell="I22" sqref="I22"/>
    </sheetView>
  </sheetViews>
  <sheetFormatPr baseColWidth="10" defaultRowHeight="15"/>
  <sheetData>
    <row r="1" spans="1:3">
      <c r="A1" t="s">
        <v>67</v>
      </c>
      <c r="B1" t="s">
        <v>68</v>
      </c>
      <c r="C1" t="s">
        <v>57</v>
      </c>
    </row>
    <row r="2" spans="1:3">
      <c r="A2" t="s">
        <v>63</v>
      </c>
      <c r="B2" s="115">
        <v>4</v>
      </c>
      <c r="C2" t="s">
        <v>66</v>
      </c>
    </row>
    <row r="3" spans="1:3">
      <c r="A3" t="s">
        <v>64</v>
      </c>
      <c r="B3" s="115">
        <v>5</v>
      </c>
      <c r="C3" t="s">
        <v>69</v>
      </c>
    </row>
    <row r="4" spans="1:3">
      <c r="A4" t="s">
        <v>65</v>
      </c>
      <c r="B4" s="115">
        <v>6</v>
      </c>
      <c r="C4" t="s">
        <v>70</v>
      </c>
    </row>
    <row r="5" spans="1:3">
      <c r="A5" t="s">
        <v>62</v>
      </c>
      <c r="B5" s="115">
        <v>7</v>
      </c>
    </row>
    <row r="6" spans="1:3">
      <c r="B6" s="116">
        <v>8</v>
      </c>
    </row>
    <row r="7" spans="1:3">
      <c r="B7" s="115">
        <v>9</v>
      </c>
    </row>
    <row r="8" spans="1:3">
      <c r="B8" s="115">
        <v>10</v>
      </c>
    </row>
    <row r="9" spans="1:3">
      <c r="B9" s="115">
        <v>10.5</v>
      </c>
    </row>
    <row r="10" spans="1:3">
      <c r="B10" s="115">
        <v>11</v>
      </c>
    </row>
    <row r="11" spans="1:3">
      <c r="B11" s="115">
        <v>12</v>
      </c>
    </row>
    <row r="12" spans="1:3">
      <c r="B12" s="115">
        <v>13</v>
      </c>
    </row>
    <row r="13" spans="1:3">
      <c r="B13" s="115">
        <v>14</v>
      </c>
    </row>
    <row r="14" spans="1:3">
      <c r="B14" s="115">
        <v>15</v>
      </c>
    </row>
    <row r="15" spans="1:3">
      <c r="B15" s="115">
        <v>17</v>
      </c>
    </row>
    <row r="16" spans="1:3">
      <c r="B16" s="117">
        <v>18</v>
      </c>
    </row>
    <row r="17" spans="2:2">
      <c r="B17" s="115">
        <v>19</v>
      </c>
    </row>
    <row r="18" spans="2:2">
      <c r="B18" s="115">
        <v>22</v>
      </c>
    </row>
    <row r="19" spans="2:2">
      <c r="B19" s="115">
        <v>23</v>
      </c>
    </row>
    <row r="20" spans="2:2">
      <c r="B20" s="115">
        <v>24</v>
      </c>
    </row>
    <row r="21" spans="2:2">
      <c r="B21" s="115">
        <v>27</v>
      </c>
    </row>
    <row r="22" spans="2:2">
      <c r="B22" s="118" t="s">
        <v>24</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Base de données</vt:lpstr>
      <vt:lpstr>achat</vt:lpstr>
      <vt:lpstr>vente </vt:lpstr>
      <vt:lpstr>listes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TOSHIBA</cp:lastModifiedBy>
  <cp:lastPrinted>2020-02-19T11:07:37Z</cp:lastPrinted>
  <dcterms:created xsi:type="dcterms:W3CDTF">2020-01-14T19:39:29Z</dcterms:created>
  <dcterms:modified xsi:type="dcterms:W3CDTF">2020-02-26T13:51:46Z</dcterms:modified>
</cp:coreProperties>
</file>