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6"/>
  <workbookPr codeName="ThisWorkbook"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7" documentId="13_ncr:1_{CCDF21BD-E7B0-4AD1-8992-C5DE29C4EB34}" xr6:coauthVersionLast="45" xr6:coauthVersionMax="45" xr10:uidLastSave="{6CED377D-4210-4DF6-BA6E-780FA42E54C6}"/>
  <bookViews>
    <workbookView xWindow="15" yWindow="0" windowWidth="19035" windowHeight="14760" tabRatio="614" firstSheet="2" activeTab="1" xr2:uid="{00000000-000D-0000-FFFF-FFFF00000000}"/>
  </bookViews>
  <sheets>
    <sheet name="Base de données" sheetId="1" r:id="rId1"/>
    <sheet name="achat" sheetId="9" r:id="rId2"/>
    <sheet name="vente " sheetId="10" r:id="rId3"/>
    <sheet name="listes" sheetId="11" r:id="rId4"/>
  </sheets>
  <definedNames>
    <definedName name="_xlnm._FilterDatabase" localSheetId="0" hidden="1">'Base de données'!$S$1:$U$1</definedName>
    <definedName name="_xlnm._FilterDatabase" localSheetId="3" hidden="1">listes!#REF!</definedName>
    <definedName name="Dia">OFFSET(listes!$B$1,1,0,COUNTA(listes!$B:$B)-1,1)</definedName>
    <definedName name="formes">OFFSET(listes!$A$1,1,0,COUNTA(listes!$A:$A)-1,1)</definedName>
    <definedName name="matière">OFFSET(listes!$C$1,1,0,COUNTA(listes!$C:$C)-1,1)</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8" i="9" l="1" a="1"/>
  <c r="O38" i="9" s="1"/>
  <c r="M38" i="9" a="1"/>
  <c r="M38" i="9" s="1"/>
  <c r="J38" i="9"/>
  <c r="I38" i="9" a="1"/>
  <c r="I38" i="9" s="1"/>
  <c r="O37" i="9" a="1"/>
  <c r="O37" i="9" s="1"/>
  <c r="M37" i="9" a="1"/>
  <c r="M37" i="9" s="1"/>
  <c r="J37" i="9"/>
  <c r="I37" i="9" a="1"/>
  <c r="I37" i="9" s="1"/>
  <c r="O36" i="9" a="1"/>
  <c r="O36" i="9" s="1"/>
  <c r="M36" i="9" a="1"/>
  <c r="M36" i="9" s="1"/>
  <c r="J36" i="9"/>
  <c r="I36" i="9" a="1"/>
  <c r="I36" i="9" s="1"/>
  <c r="O35" i="9" a="1"/>
  <c r="O35" i="9" s="1"/>
  <c r="M35" i="9" a="1"/>
  <c r="M35" i="9" s="1"/>
  <c r="J35" i="9"/>
  <c r="I35" i="9" a="1"/>
  <c r="I35" i="9" s="1"/>
  <c r="O34" i="9" a="1"/>
  <c r="O34" i="9" s="1"/>
  <c r="M34" i="9" a="1"/>
  <c r="M34" i="9" s="1"/>
  <c r="J34" i="9"/>
  <c r="I34" i="9" a="1"/>
  <c r="I34" i="9" s="1"/>
  <c r="O33" i="9" a="1"/>
  <c r="O33" i="9" s="1"/>
  <c r="M33" i="9" a="1"/>
  <c r="M33" i="9" s="1"/>
  <c r="J33" i="9"/>
  <c r="I33" i="9" a="1"/>
  <c r="I33" i="9" s="1"/>
  <c r="O32" i="9" a="1"/>
  <c r="O32" i="9" s="1"/>
  <c r="M32" i="9" a="1"/>
  <c r="M32" i="9" s="1"/>
  <c r="J32" i="9"/>
  <c r="I32" i="9" a="1"/>
  <c r="I32" i="9" s="1"/>
  <c r="O31" i="9" a="1"/>
  <c r="O31" i="9" s="1"/>
  <c r="M31" i="9" a="1"/>
  <c r="M31" i="9" s="1"/>
  <c r="J31" i="9"/>
  <c r="I31" i="9" a="1"/>
  <c r="I31" i="9" s="1"/>
  <c r="O30" i="9" a="1"/>
  <c r="O30" i="9" s="1"/>
  <c r="M30" i="9" a="1"/>
  <c r="M30" i="9" s="1"/>
  <c r="J30" i="9"/>
  <c r="I30" i="9" a="1"/>
  <c r="I30" i="9" s="1"/>
  <c r="O29" i="9" a="1"/>
  <c r="O29" i="9" s="1"/>
  <c r="M29" i="9" a="1"/>
  <c r="M29" i="9" s="1"/>
  <c r="J29" i="9"/>
  <c r="O28" i="9" a="1"/>
  <c r="O28" i="9" s="1"/>
  <c r="M28" i="9" a="1"/>
  <c r="M28" i="9" s="1"/>
  <c r="J28" i="9"/>
  <c r="O27" i="9" a="1"/>
  <c r="O27" i="9" s="1"/>
  <c r="M27" i="9" a="1"/>
  <c r="M27" i="9" s="1"/>
  <c r="J27" i="9"/>
  <c r="O26" i="9" a="1"/>
  <c r="O26" i="9" s="1"/>
  <c r="M26" i="9" a="1"/>
  <c r="M26" i="9" s="1"/>
  <c r="J26" i="9"/>
  <c r="O25" i="9" a="1"/>
  <c r="O25" i="9" s="1"/>
  <c r="M25" i="9" a="1"/>
  <c r="M25" i="9" s="1"/>
  <c r="J25" i="9"/>
  <c r="O24" i="9" a="1"/>
  <c r="O24" i="9" s="1"/>
  <c r="M24" i="9" a="1"/>
  <c r="M24" i="9" s="1"/>
  <c r="J24" i="9"/>
  <c r="O23" i="9" a="1"/>
  <c r="O23" i="9" s="1"/>
  <c r="M23" i="9" a="1"/>
  <c r="M23" i="9" s="1"/>
  <c r="J23" i="9"/>
  <c r="O22" i="9" a="1"/>
  <c r="O22" i="9" s="1"/>
  <c r="M22" i="9" a="1"/>
  <c r="M22" i="9" s="1"/>
  <c r="J22" i="9"/>
  <c r="O21" i="9" a="1"/>
  <c r="O21" i="9" s="1"/>
  <c r="M21" i="9" a="1"/>
  <c r="M21" i="9" s="1"/>
  <c r="J21" i="9"/>
  <c r="O20" i="9" a="1"/>
  <c r="O20" i="9" s="1"/>
  <c r="M20" i="9" a="1"/>
  <c r="M20" i="9" s="1"/>
  <c r="J20" i="9"/>
  <c r="O19" i="9" a="1"/>
  <c r="O19" i="9" s="1"/>
  <c r="M19" i="9" a="1"/>
  <c r="M19" i="9" s="1"/>
  <c r="J19" i="9"/>
  <c r="O18" i="9" a="1"/>
  <c r="O18" i="9" s="1"/>
  <c r="M18" i="9" a="1"/>
  <c r="M18" i="9" s="1"/>
  <c r="J18" i="9"/>
  <c r="O17" i="9" a="1"/>
  <c r="O17" i="9" s="1"/>
  <c r="M17" i="9" a="1"/>
  <c r="M17" i="9" s="1"/>
  <c r="J17" i="9"/>
  <c r="O16" i="9" a="1"/>
  <c r="O16" i="9" s="1"/>
  <c r="M16" i="9" a="1"/>
  <c r="M16" i="9" s="1"/>
  <c r="J16" i="9"/>
  <c r="O15" i="9" a="1"/>
  <c r="O15" i="9" s="1"/>
  <c r="M15" i="9" a="1"/>
  <c r="M15" i="9" s="1"/>
  <c r="J15" i="9"/>
  <c r="O14" i="9" a="1"/>
  <c r="O14" i="9" s="1"/>
  <c r="M14" i="9" a="1"/>
  <c r="M14" i="9" s="1"/>
  <c r="J14" i="9"/>
  <c r="O13" i="9" a="1"/>
  <c r="O13" i="9" s="1"/>
  <c r="M13" i="9" a="1"/>
  <c r="M13" i="9" s="1"/>
  <c r="J13" i="9"/>
  <c r="O12" i="9" a="1"/>
  <c r="O12" i="9" s="1"/>
  <c r="M12" i="9" a="1"/>
  <c r="M12" i="9" s="1"/>
  <c r="J12" i="9"/>
  <c r="O11" i="9" a="1"/>
  <c r="O11" i="9" s="1"/>
  <c r="M11" i="9" a="1"/>
  <c r="M11" i="9" s="1"/>
  <c r="J11" i="9"/>
  <c r="O10" i="9" a="1"/>
  <c r="O10" i="9" s="1"/>
  <c r="M10" i="9" a="1"/>
  <c r="M10" i="9" s="1"/>
  <c r="J10" i="9"/>
  <c r="O9" i="9" a="1"/>
  <c r="O9" i="9" s="1"/>
  <c r="M9" i="9" a="1"/>
  <c r="M9" i="9" s="1"/>
  <c r="J9" i="9"/>
  <c r="O8" i="9" a="1"/>
  <c r="O8" i="9" s="1"/>
  <c r="M8" i="9" a="1"/>
  <c r="M8" i="9" s="1"/>
  <c r="J8" i="9"/>
  <c r="O7" i="9" a="1"/>
  <c r="O7" i="9" s="1"/>
  <c r="M7" i="9" a="1"/>
  <c r="M7" i="9" s="1"/>
  <c r="J7" i="9"/>
  <c r="I7" i="9"/>
  <c r="I8" i="9" s="1" a="1"/>
  <c r="I8" i="9" s="1"/>
  <c r="I9" i="9" s="1" a="1"/>
  <c r="I9" i="9" s="1"/>
  <c r="I10" i="9" s="1" a="1"/>
  <c r="I10" i="9" s="1"/>
  <c r="I11" i="9" s="1" a="1"/>
  <c r="I11" i="9" s="1"/>
  <c r="I12" i="9" s="1" a="1"/>
  <c r="I12" i="9" s="1"/>
  <c r="I13" i="9" s="1" a="1"/>
  <c r="I13" i="9" s="1"/>
  <c r="I14" i="9" s="1" a="1"/>
  <c r="I14" i="9" s="1"/>
  <c r="I15" i="9" s="1" a="1"/>
  <c r="I15" i="9" s="1"/>
  <c r="I16" i="9" s="1" a="1"/>
  <c r="I16" i="9" s="1"/>
  <c r="I17" i="9" s="1" a="1"/>
  <c r="I17" i="9" s="1"/>
  <c r="I18" i="9" s="1" a="1"/>
  <c r="I18" i="9" s="1"/>
  <c r="I19" i="9" s="1" a="1"/>
  <c r="I19" i="9" s="1"/>
  <c r="I20" i="9" s="1" a="1"/>
  <c r="I20" i="9" s="1"/>
  <c r="I21" i="9" s="1" a="1"/>
  <c r="I21" i="9" s="1"/>
  <c r="I22" i="9" s="1" a="1"/>
  <c r="I22" i="9" s="1"/>
  <c r="I23" i="9" s="1" a="1"/>
  <c r="I23" i="9" s="1"/>
  <c r="I24" i="9" s="1" a="1"/>
  <c r="I24" i="9" s="1"/>
  <c r="I25" i="9" s="1" a="1"/>
  <c r="I25" i="9" s="1"/>
  <c r="I26" i="9" s="1" a="1"/>
  <c r="I26" i="9" s="1"/>
  <c r="I27" i="9" s="1" a="1"/>
  <c r="I27" i="9" s="1"/>
  <c r="I28" i="9" s="1" a="1"/>
  <c r="I28" i="9" s="1"/>
  <c r="I29" i="9" s="1" a="1"/>
  <c r="I29" i="9" s="1"/>
  <c r="A38" i="9" a="1"/>
  <c r="A38" i="9" s="1"/>
  <c r="A37" i="9" a="1"/>
  <c r="A37" i="9" s="1"/>
  <c r="A36" i="9" a="1"/>
  <c r="A36" i="9" s="1"/>
  <c r="A35" i="9" a="1"/>
  <c r="A35" i="9" s="1"/>
  <c r="A34" i="9" a="1"/>
  <c r="A34" i="9" s="1"/>
  <c r="A33" i="9" a="1"/>
  <c r="A33" i="9" s="1"/>
  <c r="A32" i="9" a="1"/>
  <c r="A32" i="9" s="1"/>
  <c r="A31" i="9" a="1"/>
  <c r="A31" i="9" s="1"/>
  <c r="A30" i="9" a="1"/>
  <c r="A30" i="9" s="1"/>
  <c r="A29" i="9" a="1"/>
  <c r="A29" i="9" s="1"/>
  <c r="A28" i="9" a="1"/>
  <c r="A28" i="9" s="1"/>
  <c r="A27" i="9" a="1"/>
  <c r="A27" i="9" s="1"/>
  <c r="A26" i="9" a="1"/>
  <c r="A26" i="9" s="1"/>
  <c r="A25" i="9" a="1"/>
  <c r="A25" i="9" s="1"/>
  <c r="A24" i="9" a="1"/>
  <c r="A24" i="9" s="1"/>
  <c r="A23" i="9" a="1"/>
  <c r="A23" i="9" s="1"/>
  <c r="A22" i="9" a="1"/>
  <c r="A22" i="9" s="1"/>
  <c r="A21" i="9" a="1"/>
  <c r="A21" i="9" s="1"/>
  <c r="A20" i="9" a="1"/>
  <c r="A20" i="9" s="1"/>
  <c r="A19" i="9" a="1"/>
  <c r="A19" i="9" s="1"/>
  <c r="A18" i="9" a="1"/>
  <c r="A18" i="9" s="1"/>
  <c r="A17" i="9" a="1"/>
  <c r="A17" i="9" s="1"/>
  <c r="A16" i="9" a="1"/>
  <c r="A16" i="9" s="1"/>
  <c r="A15" i="9" a="1"/>
  <c r="A15" i="9" s="1"/>
  <c r="A14" i="9" a="1"/>
  <c r="A14" i="9" s="1"/>
  <c r="A13" i="9" a="1"/>
  <c r="A13" i="9" s="1"/>
  <c r="A12" i="9" a="1"/>
  <c r="A12" i="9" s="1"/>
  <c r="A11" i="9" a="1"/>
  <c r="A11" i="9" s="1"/>
  <c r="A10" i="9" a="1"/>
  <c r="A10" i="9" s="1"/>
  <c r="A9" i="9" a="1"/>
  <c r="A9" i="9" s="1"/>
  <c r="A8" i="9" a="1"/>
  <c r="A8" i="9" s="1"/>
  <c r="A7" i="9" a="1"/>
  <c r="A7" i="9" s="1"/>
  <c r="N7" i="9" l="1"/>
  <c r="L7" i="9"/>
  <c r="P7" i="9"/>
  <c r="N8" i="9"/>
  <c r="L8" i="9"/>
  <c r="P8" i="9"/>
  <c r="N9" i="9"/>
  <c r="L9" i="9"/>
  <c r="P9" i="9"/>
  <c r="N10" i="9"/>
  <c r="L10" i="9"/>
  <c r="P10" i="9"/>
  <c r="N11" i="9"/>
  <c r="L11" i="9"/>
  <c r="P11" i="9"/>
  <c r="N12" i="9"/>
  <c r="L12" i="9"/>
  <c r="P12" i="9"/>
  <c r="N13" i="9"/>
  <c r="L13" i="9"/>
  <c r="P13" i="9"/>
  <c r="N14" i="9"/>
  <c r="L14" i="9"/>
  <c r="P14" i="9"/>
  <c r="N15" i="9"/>
  <c r="L15" i="9"/>
  <c r="P15" i="9"/>
  <c r="N16" i="9"/>
  <c r="L16" i="9"/>
  <c r="P16" i="9"/>
  <c r="N17" i="9"/>
  <c r="L17" i="9"/>
  <c r="P17" i="9"/>
  <c r="N18" i="9"/>
  <c r="L18" i="9"/>
  <c r="P18" i="9"/>
  <c r="N19" i="9"/>
  <c r="L19" i="9"/>
  <c r="P19" i="9"/>
  <c r="N20" i="9"/>
  <c r="L20" i="9"/>
  <c r="P20" i="9"/>
  <c r="N21" i="9"/>
  <c r="L21" i="9"/>
  <c r="P21" i="9"/>
  <c r="N22" i="9"/>
  <c r="L22" i="9"/>
  <c r="P22" i="9"/>
  <c r="N23" i="9"/>
  <c r="L23" i="9"/>
  <c r="P23" i="9"/>
  <c r="N24" i="9"/>
  <c r="L24" i="9"/>
  <c r="P24" i="9"/>
  <c r="N25" i="9"/>
  <c r="L25" i="9"/>
  <c r="P25" i="9"/>
  <c r="N26" i="9"/>
  <c r="L26" i="9"/>
  <c r="P26" i="9"/>
  <c r="N27" i="9"/>
  <c r="L27" i="9"/>
  <c r="P27" i="9"/>
  <c r="N28" i="9"/>
  <c r="L28" i="9"/>
  <c r="P28" i="9"/>
  <c r="N29" i="9"/>
  <c r="L29" i="9"/>
  <c r="P29" i="9"/>
  <c r="N30" i="9"/>
  <c r="L30" i="9"/>
  <c r="P30" i="9"/>
  <c r="N31" i="9"/>
  <c r="L31" i="9"/>
  <c r="P31" i="9"/>
  <c r="N32" i="9"/>
  <c r="L32" i="9"/>
  <c r="P32" i="9"/>
  <c r="N33" i="9"/>
  <c r="L33" i="9"/>
  <c r="P33" i="9"/>
  <c r="N34" i="9"/>
  <c r="L34" i="9"/>
  <c r="P34" i="9"/>
  <c r="N35" i="9"/>
  <c r="L35" i="9"/>
  <c r="P35" i="9"/>
  <c r="N36" i="9"/>
  <c r="L36" i="9"/>
  <c r="P36" i="9"/>
  <c r="N37" i="9"/>
  <c r="L37" i="9"/>
  <c r="P37" i="9"/>
  <c r="N38" i="9"/>
  <c r="L38" i="9"/>
  <c r="P38" i="9"/>
  <c r="A23" i="10" a="1"/>
  <c r="A23" i="10" s="1"/>
  <c r="I23" i="10" s="1"/>
  <c r="B23" i="10" a="1"/>
  <c r="B23" i="10" s="1"/>
  <c r="C23" i="10" a="1"/>
  <c r="C23" i="10" s="1"/>
  <c r="D23" i="10" a="1"/>
  <c r="D23" i="10" s="1"/>
  <c r="E23" i="10" a="1"/>
  <c r="E23" i="10" s="1"/>
  <c r="F24" i="10" s="1"/>
  <c r="J23" i="10" a="1"/>
  <c r="J23" i="10" s="1"/>
  <c r="K23" i="10" a="1"/>
  <c r="K23" i="10" s="1"/>
  <c r="L23" i="10" a="1"/>
  <c r="L23" i="10" s="1"/>
  <c r="M23" i="10" a="1"/>
  <c r="M23" i="10" s="1"/>
  <c r="O23" i="10" a="1"/>
  <c r="O23" i="10" s="1"/>
  <c r="A24" i="10" a="1"/>
  <c r="A24" i="10" s="1"/>
  <c r="I24" i="10" s="1"/>
  <c r="B24" i="10" a="1"/>
  <c r="B24" i="10" s="1"/>
  <c r="C24" i="10" a="1"/>
  <c r="C24" i="10" s="1"/>
  <c r="D24" i="10" a="1"/>
  <c r="D24" i="10" s="1"/>
  <c r="E24" i="10" a="1"/>
  <c r="E24" i="10" s="1"/>
  <c r="F25" i="10" s="1"/>
  <c r="J24" i="10" a="1"/>
  <c r="J24" i="10" s="1"/>
  <c r="K24" i="10" a="1"/>
  <c r="K24" i="10" s="1"/>
  <c r="L24" i="10" a="1"/>
  <c r="L24" i="10" s="1"/>
  <c r="M24" i="10" a="1"/>
  <c r="M24" i="10" s="1"/>
  <c r="O24" i="10" a="1"/>
  <c r="O24" i="10" s="1"/>
  <c r="A25" i="10" a="1"/>
  <c r="A25" i="10" s="1"/>
  <c r="I25" i="10" s="1"/>
  <c r="B25" i="10" a="1"/>
  <c r="B25" i="10" s="1"/>
  <c r="C25" i="10" a="1"/>
  <c r="C25" i="10" s="1"/>
  <c r="D25" i="10" a="1"/>
  <c r="D25" i="10" s="1"/>
  <c r="E25" i="10" a="1"/>
  <c r="E25" i="10" s="1"/>
  <c r="F26" i="10" s="1"/>
  <c r="J25" i="10" a="1"/>
  <c r="J25" i="10" s="1"/>
  <c r="K25" i="10" a="1"/>
  <c r="K25" i="10" s="1"/>
  <c r="L25" i="10" a="1"/>
  <c r="L25" i="10" s="1"/>
  <c r="M25" i="10" a="1"/>
  <c r="M25" i="10" s="1"/>
  <c r="O25" i="10" a="1"/>
  <c r="O25" i="10" s="1"/>
  <c r="A26" i="10" a="1"/>
  <c r="A26" i="10" s="1"/>
  <c r="I26" i="10" s="1"/>
  <c r="B26" i="10" a="1"/>
  <c r="B26" i="10" s="1"/>
  <c r="C26" i="10" a="1"/>
  <c r="C26" i="10" s="1"/>
  <c r="D26" i="10" a="1"/>
  <c r="D26" i="10" s="1"/>
  <c r="E26" i="10" a="1"/>
  <c r="E26" i="10" s="1"/>
  <c r="F27" i="10" s="1"/>
  <c r="J26" i="10" a="1"/>
  <c r="J26" i="10" s="1"/>
  <c r="K26" i="10" a="1"/>
  <c r="K26" i="10" s="1"/>
  <c r="L26" i="10" a="1"/>
  <c r="L26" i="10" s="1"/>
  <c r="M26" i="10" a="1"/>
  <c r="M26" i="10" s="1"/>
  <c r="O26" i="10" a="1"/>
  <c r="O26" i="10" s="1"/>
  <c r="A27" i="10" a="1"/>
  <c r="A27" i="10" s="1"/>
  <c r="I27" i="10" s="1"/>
  <c r="B27" i="10" a="1"/>
  <c r="B27" i="10" s="1"/>
  <c r="C27" i="10" a="1"/>
  <c r="C27" i="10" s="1"/>
  <c r="D27" i="10" a="1"/>
  <c r="D27" i="10" s="1"/>
  <c r="E27" i="10" a="1"/>
  <c r="E27" i="10" s="1"/>
  <c r="F28" i="10" s="1"/>
  <c r="J27" i="10" a="1"/>
  <c r="J27" i="10" s="1"/>
  <c r="K27" i="10" a="1"/>
  <c r="K27" i="10" s="1"/>
  <c r="L27" i="10" a="1"/>
  <c r="L27" i="10" s="1"/>
  <c r="M27" i="10" a="1"/>
  <c r="M27" i="10" s="1"/>
  <c r="O27" i="10" a="1"/>
  <c r="O27" i="10" s="1"/>
  <c r="A28" i="10" a="1"/>
  <c r="A28" i="10" s="1"/>
  <c r="I28" i="10" s="1"/>
  <c r="B28" i="10" a="1"/>
  <c r="B28" i="10" s="1"/>
  <c r="C28" i="10" a="1"/>
  <c r="C28" i="10" s="1"/>
  <c r="D28" i="10" a="1"/>
  <c r="D28" i="10" s="1"/>
  <c r="E28" i="10" a="1"/>
  <c r="E28" i="10" s="1"/>
  <c r="F29" i="10" s="1"/>
  <c r="J28" i="10" a="1"/>
  <c r="J28" i="10" s="1"/>
  <c r="K28" i="10" a="1"/>
  <c r="K28" i="10" s="1"/>
  <c r="L28" i="10" a="1"/>
  <c r="L28" i="10" s="1"/>
  <c r="M28" i="10" a="1"/>
  <c r="M28" i="10" s="1"/>
  <c r="O28" i="10" a="1"/>
  <c r="O28" i="10" s="1"/>
  <c r="A29" i="10" a="1"/>
  <c r="A29" i="10" s="1"/>
  <c r="I29" i="10" s="1"/>
  <c r="B29" i="10" a="1"/>
  <c r="B29" i="10" s="1"/>
  <c r="C29" i="10" a="1"/>
  <c r="C29" i="10" s="1"/>
  <c r="D29" i="10" a="1"/>
  <c r="D29" i="10" s="1"/>
  <c r="E29" i="10" a="1"/>
  <c r="E29" i="10" s="1"/>
  <c r="F30" i="10" s="1"/>
  <c r="J29" i="10" a="1"/>
  <c r="J29" i="10" s="1"/>
  <c r="K29" i="10" a="1"/>
  <c r="K29" i="10" s="1"/>
  <c r="L29" i="10" a="1"/>
  <c r="L29" i="10" s="1"/>
  <c r="M29" i="10" a="1"/>
  <c r="M29" i="10" s="1"/>
  <c r="O29" i="10" a="1"/>
  <c r="O29" i="10" s="1"/>
  <c r="A30" i="10" a="1"/>
  <c r="A30" i="10" s="1"/>
  <c r="I30" i="10" s="1"/>
  <c r="B30" i="10" a="1"/>
  <c r="B30" i="10" s="1"/>
  <c r="C30" i="10" a="1"/>
  <c r="C30" i="10" s="1"/>
  <c r="D30" i="10" a="1"/>
  <c r="D30" i="10" s="1"/>
  <c r="E30" i="10" a="1"/>
  <c r="E30" i="10" s="1"/>
  <c r="F31" i="10" s="1"/>
  <c r="J30" i="10" a="1"/>
  <c r="J30" i="10" s="1"/>
  <c r="K30" i="10" a="1"/>
  <c r="K30" i="10" s="1"/>
  <c r="L30" i="10" a="1"/>
  <c r="L30" i="10" s="1"/>
  <c r="M30" i="10" a="1"/>
  <c r="M30" i="10" s="1"/>
  <c r="O30" i="10" a="1"/>
  <c r="O30" i="10" s="1"/>
  <c r="A31" i="10" a="1"/>
  <c r="A31" i="10" s="1"/>
  <c r="I31" i="10" s="1"/>
  <c r="B31" i="10" a="1"/>
  <c r="B31" i="10" s="1"/>
  <c r="C31" i="10" a="1"/>
  <c r="C31" i="10" s="1"/>
  <c r="D31" i="10" a="1"/>
  <c r="D31" i="10" s="1"/>
  <c r="E31" i="10" a="1"/>
  <c r="E31" i="10" s="1"/>
  <c r="F32" i="10" s="1"/>
  <c r="J31" i="10" a="1"/>
  <c r="J31" i="10" s="1"/>
  <c r="K31" i="10" a="1"/>
  <c r="K31" i="10" s="1"/>
  <c r="L31" i="10" a="1"/>
  <c r="L31" i="10" s="1"/>
  <c r="Q31" i="10" s="1"/>
  <c r="M31" i="10" a="1"/>
  <c r="M31" i="10" s="1"/>
  <c r="O31" i="10" a="1"/>
  <c r="O31" i="10" s="1"/>
  <c r="A32" i="10" a="1"/>
  <c r="A32" i="10" s="1"/>
  <c r="I32" i="10" s="1"/>
  <c r="B32" i="10" a="1"/>
  <c r="B32" i="10" s="1"/>
  <c r="C32" i="10" a="1"/>
  <c r="C32" i="10" s="1"/>
  <c r="D32" i="10" a="1"/>
  <c r="D32" i="10" s="1"/>
  <c r="E32" i="10" a="1"/>
  <c r="E32" i="10" s="1"/>
  <c r="F33" i="10" s="1"/>
  <c r="J32" i="10" a="1"/>
  <c r="J32" i="10" s="1"/>
  <c r="K32" i="10" a="1"/>
  <c r="K32" i="10" s="1"/>
  <c r="L32" i="10" a="1"/>
  <c r="L32" i="10" s="1"/>
  <c r="M32" i="10" a="1"/>
  <c r="M32" i="10" s="1"/>
  <c r="O32" i="10" a="1"/>
  <c r="O32" i="10" s="1"/>
  <c r="A33" i="10" a="1"/>
  <c r="A33" i="10" s="1"/>
  <c r="I33" i="10" s="1"/>
  <c r="B33" i="10" a="1"/>
  <c r="B33" i="10" s="1"/>
  <c r="C33" i="10" a="1"/>
  <c r="C33" i="10" s="1"/>
  <c r="D33" i="10" a="1"/>
  <c r="D33" i="10" s="1"/>
  <c r="E33" i="10" a="1"/>
  <c r="E33" i="10" s="1"/>
  <c r="F34" i="10" s="1"/>
  <c r="J33" i="10" a="1"/>
  <c r="J33" i="10" s="1"/>
  <c r="K33" i="10" a="1"/>
  <c r="K33" i="10" s="1"/>
  <c r="L33" i="10" a="1"/>
  <c r="L33" i="10" s="1"/>
  <c r="M33" i="10" a="1"/>
  <c r="M33" i="10" s="1"/>
  <c r="O33" i="10" a="1"/>
  <c r="O33" i="10" s="1"/>
  <c r="A34" i="10" a="1"/>
  <c r="A34" i="10" s="1"/>
  <c r="I34" i="10" s="1"/>
  <c r="B34" i="10" a="1"/>
  <c r="B34" i="10" s="1"/>
  <c r="C34" i="10" a="1"/>
  <c r="C34" i="10" s="1"/>
  <c r="D34" i="10" a="1"/>
  <c r="D34" i="10" s="1"/>
  <c r="E34" i="10" a="1"/>
  <c r="E34" i="10" s="1"/>
  <c r="F35" i="10" s="1"/>
  <c r="J34" i="10" a="1"/>
  <c r="J34" i="10" s="1"/>
  <c r="K34" i="10" a="1"/>
  <c r="K34" i="10" s="1"/>
  <c r="L34" i="10" a="1"/>
  <c r="L34" i="10" s="1"/>
  <c r="M34" i="10" a="1"/>
  <c r="M34" i="10" s="1"/>
  <c r="O34" i="10" a="1"/>
  <c r="O34" i="10" s="1"/>
  <c r="A35" i="10" a="1"/>
  <c r="A35" i="10" s="1"/>
  <c r="I35" i="10" s="1"/>
  <c r="B35" i="10" a="1"/>
  <c r="B35" i="10" s="1"/>
  <c r="C35" i="10" a="1"/>
  <c r="C35" i="10" s="1"/>
  <c r="D35" i="10" a="1"/>
  <c r="D35" i="10" s="1"/>
  <c r="E35" i="10" a="1"/>
  <c r="E35" i="10" s="1"/>
  <c r="F36" i="10" s="1"/>
  <c r="J35" i="10" a="1"/>
  <c r="J35" i="10" s="1"/>
  <c r="K35" i="10" a="1"/>
  <c r="K35" i="10" s="1"/>
  <c r="L35" i="10" a="1"/>
  <c r="L35" i="10" s="1"/>
  <c r="M35" i="10" a="1"/>
  <c r="M35" i="10" s="1"/>
  <c r="O35" i="10" a="1"/>
  <c r="O35" i="10" s="1"/>
  <c r="A36" i="10" a="1"/>
  <c r="A36" i="10" s="1"/>
  <c r="I36" i="10" s="1"/>
  <c r="B36" i="10" a="1"/>
  <c r="B36" i="10" s="1"/>
  <c r="C36" i="10" a="1"/>
  <c r="C36" i="10" s="1"/>
  <c r="D36" i="10" a="1"/>
  <c r="D36" i="10" s="1"/>
  <c r="E36" i="10" a="1"/>
  <c r="E36" i="10" s="1"/>
  <c r="F37" i="10" s="1"/>
  <c r="J36" i="10" a="1"/>
  <c r="J36" i="10" s="1"/>
  <c r="K36" i="10" a="1"/>
  <c r="K36" i="10" s="1"/>
  <c r="L36" i="10" a="1"/>
  <c r="L36" i="10" s="1"/>
  <c r="M36" i="10" a="1"/>
  <c r="M36" i="10" s="1"/>
  <c r="O36" i="10" a="1"/>
  <c r="O36" i="10" s="1"/>
  <c r="A37" i="10" a="1"/>
  <c r="A37" i="10" s="1"/>
  <c r="I37" i="10" s="1"/>
  <c r="B37" i="10" a="1"/>
  <c r="B37" i="10" s="1"/>
  <c r="C37" i="10" a="1"/>
  <c r="C37" i="10" s="1"/>
  <c r="D37" i="10" a="1"/>
  <c r="D37" i="10" s="1"/>
  <c r="E37" i="10" a="1"/>
  <c r="E37" i="10" s="1"/>
  <c r="F38" i="10" s="1"/>
  <c r="J37" i="10" a="1"/>
  <c r="J37" i="10" s="1"/>
  <c r="K37" i="10" a="1"/>
  <c r="K37" i="10" s="1"/>
  <c r="L37" i="10" a="1"/>
  <c r="L37" i="10" s="1"/>
  <c r="M37" i="10" a="1"/>
  <c r="M37" i="10" s="1"/>
  <c r="O37" i="10" a="1"/>
  <c r="O37" i="10" s="1"/>
  <c r="A38" i="10" a="1"/>
  <c r="A38" i="10" s="1"/>
  <c r="I38" i="10" s="1"/>
  <c r="B38" i="10" a="1"/>
  <c r="B38" i="10" s="1"/>
  <c r="C38" i="10" a="1"/>
  <c r="C38" i="10" s="1"/>
  <c r="D38" i="10" a="1"/>
  <c r="D38" i="10"/>
  <c r="E38" i="10" a="1"/>
  <c r="E38" i="10" s="1"/>
  <c r="F39" i="10" s="1"/>
  <c r="J38" i="10" a="1"/>
  <c r="J38" i="10" s="1"/>
  <c r="K38" i="10" a="1"/>
  <c r="K38" i="10" s="1"/>
  <c r="L38" i="10" a="1"/>
  <c r="L38" i="10" s="1"/>
  <c r="M38" i="10" a="1"/>
  <c r="M38" i="10" s="1"/>
  <c r="O38" i="10" a="1"/>
  <c r="O38" i="10" s="1"/>
  <c r="A39" i="10" a="1"/>
  <c r="A39" i="10" s="1"/>
  <c r="I39" i="10" s="1"/>
  <c r="B39" i="10" a="1"/>
  <c r="B39" i="10" s="1"/>
  <c r="C39" i="10" a="1"/>
  <c r="C39" i="10" s="1"/>
  <c r="D39" i="10" a="1"/>
  <c r="D39" i="10" s="1"/>
  <c r="E39" i="10" a="1"/>
  <c r="E39" i="10" s="1"/>
  <c r="F40" i="10" s="1"/>
  <c r="J39" i="10" a="1"/>
  <c r="J39" i="10" s="1"/>
  <c r="K39" i="10" a="1"/>
  <c r="K39" i="10" s="1"/>
  <c r="L39" i="10" a="1"/>
  <c r="L39" i="10" s="1"/>
  <c r="M39" i="10" a="1"/>
  <c r="M39" i="10" s="1"/>
  <c r="O39" i="10" a="1"/>
  <c r="O39" i="10" s="1"/>
  <c r="A40" i="10" a="1"/>
  <c r="A40" i="10" s="1"/>
  <c r="I40" i="10" s="1"/>
  <c r="B40" i="10" a="1"/>
  <c r="B40" i="10" s="1"/>
  <c r="C40" i="10" a="1"/>
  <c r="C40" i="10" s="1"/>
  <c r="D40" i="10" a="1"/>
  <c r="D40" i="10" s="1"/>
  <c r="E40" i="10" a="1"/>
  <c r="E40" i="10" s="1"/>
  <c r="F41" i="10" s="1"/>
  <c r="J40" i="10" a="1"/>
  <c r="J40" i="10" s="1"/>
  <c r="K40" i="10" a="1"/>
  <c r="K40" i="10" s="1"/>
  <c r="L40" i="10" a="1"/>
  <c r="L40" i="10" s="1"/>
  <c r="M40" i="10" a="1"/>
  <c r="M40" i="10" s="1"/>
  <c r="O40" i="10" a="1"/>
  <c r="O40" i="10" s="1"/>
  <c r="A41" i="10" a="1"/>
  <c r="A41" i="10" s="1"/>
  <c r="I41" i="10" s="1"/>
  <c r="B41" i="10" a="1"/>
  <c r="B41" i="10" s="1"/>
  <c r="C41" i="10" a="1"/>
  <c r="C41" i="10" s="1"/>
  <c r="D41" i="10" a="1"/>
  <c r="D41" i="10" s="1"/>
  <c r="E41" i="10" a="1"/>
  <c r="E41" i="10" s="1"/>
  <c r="F42" i="10" s="1"/>
  <c r="J41" i="10" a="1"/>
  <c r="J41" i="10" s="1"/>
  <c r="K41" i="10" a="1"/>
  <c r="K41" i="10" s="1"/>
  <c r="L41" i="10" a="1"/>
  <c r="L41" i="10" s="1"/>
  <c r="M41" i="10" a="1"/>
  <c r="M41" i="10" s="1"/>
  <c r="O41" i="10" a="1"/>
  <c r="O41" i="10" s="1"/>
  <c r="A42" i="10" a="1"/>
  <c r="A42" i="10" s="1"/>
  <c r="I42" i="10" s="1"/>
  <c r="B42" i="10" a="1"/>
  <c r="B42" i="10" s="1"/>
  <c r="C42" i="10" a="1"/>
  <c r="C42" i="10" s="1"/>
  <c r="D42" i="10" a="1"/>
  <c r="D42" i="10" s="1"/>
  <c r="E42" i="10" a="1"/>
  <c r="E42" i="10" s="1"/>
  <c r="F43" i="10" s="1"/>
  <c r="J42" i="10" a="1"/>
  <c r="J42" i="10" s="1"/>
  <c r="K42" i="10" a="1"/>
  <c r="K42" i="10" s="1"/>
  <c r="L42" i="10" a="1"/>
  <c r="L42" i="10" s="1"/>
  <c r="M42" i="10" a="1"/>
  <c r="M42" i="10" s="1"/>
  <c r="O42" i="10" a="1"/>
  <c r="O42" i="10" s="1"/>
  <c r="P42" i="10" s="1"/>
  <c r="A43" i="10" a="1"/>
  <c r="A43" i="10" s="1"/>
  <c r="I43" i="10" s="1"/>
  <c r="B43" i="10" a="1"/>
  <c r="B43" i="10" s="1"/>
  <c r="C43" i="10" a="1"/>
  <c r="C43" i="10" s="1"/>
  <c r="D43" i="10" a="1"/>
  <c r="D43" i="10" s="1"/>
  <c r="E43" i="10" a="1"/>
  <c r="E43" i="10" s="1"/>
  <c r="F44" i="10" s="1"/>
  <c r="J43" i="10" a="1"/>
  <c r="J43" i="10" s="1"/>
  <c r="K43" i="10" a="1"/>
  <c r="K43" i="10" s="1"/>
  <c r="L43" i="10" a="1"/>
  <c r="L43" i="10" s="1"/>
  <c r="M43" i="10" a="1"/>
  <c r="M43" i="10" s="1"/>
  <c r="O43" i="10" a="1"/>
  <c r="O43" i="10" s="1"/>
  <c r="P43" i="10" s="1"/>
  <c r="A44" i="10" a="1"/>
  <c r="A44" i="10" s="1"/>
  <c r="I44" i="10" s="1"/>
  <c r="B44" i="10" a="1"/>
  <c r="B44" i="10" s="1"/>
  <c r="C44" i="10" a="1"/>
  <c r="C44" i="10" s="1"/>
  <c r="D44" i="10" a="1"/>
  <c r="D44" i="10" s="1"/>
  <c r="E44" i="10" a="1"/>
  <c r="E44" i="10" s="1"/>
  <c r="F45" i="10" s="1"/>
  <c r="J44" i="10" a="1"/>
  <c r="J44" i="10" s="1"/>
  <c r="K44" i="10" a="1"/>
  <c r="K44" i="10" s="1"/>
  <c r="L44" i="10" a="1"/>
  <c r="L44" i="10" s="1"/>
  <c r="M44" i="10" a="1"/>
  <c r="M44" i="10" s="1"/>
  <c r="O44" i="10" a="1"/>
  <c r="O44" i="10" s="1"/>
  <c r="A45" i="10" a="1"/>
  <c r="A45" i="10" s="1"/>
  <c r="I45" i="10" s="1"/>
  <c r="B45" i="10" a="1"/>
  <c r="B45" i="10" s="1"/>
  <c r="C45" i="10" a="1"/>
  <c r="C45" i="10" s="1"/>
  <c r="D45" i="10" a="1"/>
  <c r="D45" i="10" s="1"/>
  <c r="E45" i="10" a="1"/>
  <c r="E45" i="10" s="1"/>
  <c r="F46" i="10" s="1"/>
  <c r="J45" i="10" a="1"/>
  <c r="J45" i="10" s="1"/>
  <c r="K45" i="10" a="1"/>
  <c r="K45" i="10" s="1"/>
  <c r="L45" i="10" a="1"/>
  <c r="L45" i="10" s="1"/>
  <c r="M45" i="10" a="1"/>
  <c r="M45" i="10" s="1"/>
  <c r="O45" i="10" a="1"/>
  <c r="O45" i="10" s="1"/>
  <c r="A46" i="10" a="1"/>
  <c r="A46" i="10" s="1"/>
  <c r="I46" i="10" s="1"/>
  <c r="B46" i="10" a="1"/>
  <c r="B46" i="10" s="1"/>
  <c r="C46" i="10" a="1"/>
  <c r="C46" i="10" s="1"/>
  <c r="D46" i="10" a="1"/>
  <c r="D46" i="10" s="1"/>
  <c r="E46" i="10" a="1"/>
  <c r="E46" i="10" s="1"/>
  <c r="F47" i="10" s="1"/>
  <c r="J46" i="10" a="1"/>
  <c r="J46" i="10" s="1"/>
  <c r="K46" i="10" a="1"/>
  <c r="K46" i="10" s="1"/>
  <c r="L46" i="10" a="1"/>
  <c r="L46" i="10" s="1"/>
  <c r="M46" i="10" a="1"/>
  <c r="M46" i="10" s="1"/>
  <c r="O46" i="10" a="1"/>
  <c r="O46" i="10" s="1"/>
  <c r="P46" i="10" s="1"/>
  <c r="A47" i="10" a="1"/>
  <c r="A47" i="10" s="1"/>
  <c r="I47" i="10" s="1"/>
  <c r="B47" i="10" a="1"/>
  <c r="B47" i="10" s="1"/>
  <c r="C47" i="10" a="1"/>
  <c r="C47" i="10" s="1"/>
  <c r="D47" i="10" a="1"/>
  <c r="D47" i="10" s="1"/>
  <c r="E47" i="10" a="1"/>
  <c r="E47" i="10" s="1"/>
  <c r="F48" i="10" s="1"/>
  <c r="J47" i="10" a="1"/>
  <c r="J47" i="10" s="1"/>
  <c r="K47" i="10" a="1"/>
  <c r="K47" i="10" s="1"/>
  <c r="L47" i="10" a="1"/>
  <c r="L47" i="10" s="1"/>
  <c r="M47" i="10" a="1"/>
  <c r="M47" i="10" s="1"/>
  <c r="O47" i="10" a="1"/>
  <c r="O47" i="10" s="1"/>
  <c r="P47" i="10" s="1"/>
  <c r="A48" i="10" a="1"/>
  <c r="A48" i="10" s="1"/>
  <c r="I48" i="10" s="1"/>
  <c r="B48" i="10" a="1"/>
  <c r="B48" i="10" s="1"/>
  <c r="C48" i="10" a="1"/>
  <c r="C48" i="10" s="1"/>
  <c r="D48" i="10" a="1"/>
  <c r="D48" i="10" s="1"/>
  <c r="E48" i="10" a="1"/>
  <c r="E48" i="10" s="1"/>
  <c r="F49" i="10" s="1"/>
  <c r="J48" i="10" a="1"/>
  <c r="J48" i="10" s="1"/>
  <c r="K48" i="10" a="1"/>
  <c r="K48" i="10" s="1"/>
  <c r="L48" i="10" a="1"/>
  <c r="L48" i="10" s="1"/>
  <c r="M48" i="10" a="1"/>
  <c r="M48" i="10" s="1"/>
  <c r="O48" i="10" a="1"/>
  <c r="O48" i="10" s="1"/>
  <c r="A49" i="10" a="1"/>
  <c r="A49" i="10" s="1"/>
  <c r="I49" i="10" s="1"/>
  <c r="B49" i="10" a="1"/>
  <c r="B49" i="10" s="1"/>
  <c r="C49" i="10" a="1"/>
  <c r="C49" i="10" s="1"/>
  <c r="D49" i="10" a="1"/>
  <c r="D49" i="10" s="1"/>
  <c r="E49" i="10" a="1"/>
  <c r="E49" i="10" s="1"/>
  <c r="F50" i="10" s="1"/>
  <c r="J49" i="10" a="1"/>
  <c r="J49" i="10" s="1"/>
  <c r="K49" i="10" a="1"/>
  <c r="K49" i="10" s="1"/>
  <c r="L49" i="10" a="1"/>
  <c r="L49" i="10" s="1"/>
  <c r="M49" i="10" a="1"/>
  <c r="M49" i="10" s="1"/>
  <c r="O49" i="10" a="1"/>
  <c r="O49" i="10" s="1"/>
  <c r="A50" i="10" a="1"/>
  <c r="A50" i="10" s="1"/>
  <c r="I50" i="10" s="1"/>
  <c r="B50" i="10" a="1"/>
  <c r="B50" i="10" s="1"/>
  <c r="C50" i="10" a="1"/>
  <c r="C50" i="10" s="1"/>
  <c r="D50" i="10" a="1"/>
  <c r="D50" i="10" s="1"/>
  <c r="E50" i="10" a="1"/>
  <c r="E50" i="10" s="1"/>
  <c r="J50" i="10" a="1"/>
  <c r="J50" i="10" s="1"/>
  <c r="K50" i="10" a="1"/>
  <c r="K50" i="10" s="1"/>
  <c r="L50" i="10" a="1"/>
  <c r="L50" i="10" s="1"/>
  <c r="M50" i="10" a="1"/>
  <c r="M50" i="10" s="1"/>
  <c r="O50" i="10" a="1"/>
  <c r="O50" i="10" s="1"/>
  <c r="J4" i="10" a="1"/>
  <c r="J4" i="10" s="1"/>
  <c r="J5" i="10" a="1"/>
  <c r="J5" i="10"/>
  <c r="J6" i="10" a="1"/>
  <c r="J6" i="10" s="1"/>
  <c r="J7" i="10" a="1"/>
  <c r="J7" i="10" s="1"/>
  <c r="J8" i="10" a="1"/>
  <c r="J8" i="10" s="1"/>
  <c r="J9" i="10" a="1"/>
  <c r="J9" i="10" s="1"/>
  <c r="J10" i="10" a="1"/>
  <c r="J10" i="10" s="1"/>
  <c r="J11" i="10" a="1"/>
  <c r="J11" i="10" s="1"/>
  <c r="J12" i="10" a="1"/>
  <c r="J12" i="10" s="1"/>
  <c r="J13" i="10" a="1"/>
  <c r="J13" i="10" s="1"/>
  <c r="J14" i="10" a="1"/>
  <c r="J14" i="10" s="1"/>
  <c r="J15" i="10" a="1"/>
  <c r="J15" i="10" s="1"/>
  <c r="J16" i="10" a="1"/>
  <c r="J16" i="10" s="1"/>
  <c r="J17" i="10" a="1"/>
  <c r="J17" i="10" s="1"/>
  <c r="J18" i="10" a="1"/>
  <c r="J18" i="10" s="1"/>
  <c r="J19" i="10" a="1"/>
  <c r="J19" i="10" s="1"/>
  <c r="J20" i="10" a="1"/>
  <c r="J20" i="10" s="1"/>
  <c r="J21" i="10" a="1"/>
  <c r="J21" i="10" s="1"/>
  <c r="J22" i="10" a="1"/>
  <c r="J22" i="10" s="1"/>
  <c r="J3" i="10" a="1"/>
  <c r="J3" i="10" s="1"/>
  <c r="H48" i="10" l="1"/>
  <c r="H44" i="10"/>
  <c r="H40" i="10"/>
  <c r="H36" i="10"/>
  <c r="H32" i="10"/>
  <c r="H28" i="10"/>
  <c r="H24" i="10"/>
  <c r="H47" i="10"/>
  <c r="H43" i="10"/>
  <c r="H39" i="10"/>
  <c r="H35" i="10"/>
  <c r="H31" i="10"/>
  <c r="H27" i="10"/>
  <c r="H50" i="10"/>
  <c r="H46" i="10"/>
  <c r="H42" i="10"/>
  <c r="H38" i="10"/>
  <c r="H34" i="10"/>
  <c r="H30" i="10"/>
  <c r="H26" i="10"/>
  <c r="H49" i="10"/>
  <c r="H45" i="10"/>
  <c r="H41" i="10"/>
  <c r="H37" i="10"/>
  <c r="H33" i="10"/>
  <c r="H29" i="10"/>
  <c r="H25" i="10"/>
  <c r="N47" i="10"/>
  <c r="N43" i="10"/>
  <c r="G24" i="10"/>
  <c r="G48" i="10"/>
  <c r="G44" i="10"/>
  <c r="G40" i="10"/>
  <c r="G36" i="10"/>
  <c r="G32" i="10"/>
  <c r="G28" i="10"/>
  <c r="Q47" i="10"/>
  <c r="Q43" i="10"/>
  <c r="Q27" i="10"/>
  <c r="G47" i="10"/>
  <c r="G43" i="10"/>
  <c r="G39" i="10"/>
  <c r="G35" i="10"/>
  <c r="G31" i="10"/>
  <c r="G27" i="10"/>
  <c r="P50" i="10"/>
  <c r="G50" i="10"/>
  <c r="G46" i="10"/>
  <c r="G42" i="10"/>
  <c r="G38" i="10"/>
  <c r="G34" i="10"/>
  <c r="G30" i="10"/>
  <c r="G26" i="10"/>
  <c r="N35" i="10"/>
  <c r="G49" i="10"/>
  <c r="G45" i="10"/>
  <c r="G41" i="10"/>
  <c r="G37" i="10"/>
  <c r="G33" i="10"/>
  <c r="G29" i="10"/>
  <c r="G25" i="10"/>
  <c r="N48" i="10"/>
  <c r="Q28" i="10"/>
  <c r="Q33" i="10"/>
  <c r="N27" i="10"/>
  <c r="R39" i="10"/>
  <c r="Q40" i="10"/>
  <c r="N29" i="10"/>
  <c r="N44" i="10"/>
  <c r="N41" i="10"/>
  <c r="Q39" i="10"/>
  <c r="N36" i="10"/>
  <c r="Q35" i="10"/>
  <c r="Q34" i="10"/>
  <c r="R30" i="10"/>
  <c r="Q29" i="10"/>
  <c r="Q23" i="10"/>
  <c r="Q41" i="10"/>
  <c r="Q36" i="10"/>
  <c r="N40" i="10"/>
  <c r="R35" i="10"/>
  <c r="N34" i="10"/>
  <c r="R26" i="10"/>
  <c r="N25" i="10"/>
  <c r="N32" i="10"/>
  <c r="N31" i="10"/>
  <c r="N28" i="10"/>
  <c r="Q50" i="10"/>
  <c r="Q46" i="10"/>
  <c r="Q42" i="10"/>
  <c r="N39" i="10"/>
  <c r="N38" i="10"/>
  <c r="P34" i="10"/>
  <c r="Q25" i="10"/>
  <c r="N24" i="10"/>
  <c r="Q38" i="10"/>
  <c r="N37" i="10"/>
  <c r="N33" i="10"/>
  <c r="N23" i="10"/>
  <c r="Q48" i="10"/>
  <c r="N45" i="10"/>
  <c r="Q44" i="10"/>
  <c r="P40" i="10"/>
  <c r="R40" i="10"/>
  <c r="Q37" i="10"/>
  <c r="N49" i="10"/>
  <c r="N50" i="10"/>
  <c r="Q49" i="10"/>
  <c r="P48" i="10"/>
  <c r="N46" i="10"/>
  <c r="Q45" i="10"/>
  <c r="P44" i="10"/>
  <c r="N42" i="10"/>
  <c r="P38" i="10"/>
  <c r="R38" i="10"/>
  <c r="P49" i="10"/>
  <c r="P45" i="10"/>
  <c r="P36" i="10"/>
  <c r="R36" i="10"/>
  <c r="R50" i="10"/>
  <c r="R49" i="10"/>
  <c r="R48" i="10"/>
  <c r="R47" i="10"/>
  <c r="R46" i="10"/>
  <c r="R45" i="10"/>
  <c r="R44" i="10"/>
  <c r="R43" i="10"/>
  <c r="R42" i="10"/>
  <c r="Q30" i="10"/>
  <c r="N30" i="10"/>
  <c r="P25" i="10"/>
  <c r="R25" i="10"/>
  <c r="Q24" i="10"/>
  <c r="P41" i="10"/>
  <c r="P37" i="10"/>
  <c r="P31" i="10"/>
  <c r="R31" i="10"/>
  <c r="Q26" i="10"/>
  <c r="N26" i="10"/>
  <c r="Q32" i="10"/>
  <c r="P27" i="10"/>
  <c r="R27" i="10"/>
  <c r="R41" i="10"/>
  <c r="P39" i="10"/>
  <c r="R37" i="10"/>
  <c r="P35" i="10"/>
  <c r="R34" i="10"/>
  <c r="P33" i="10"/>
  <c r="R33" i="10"/>
  <c r="P32" i="10"/>
  <c r="R32" i="10"/>
  <c r="P29" i="10"/>
  <c r="R29" i="10"/>
  <c r="P23" i="10"/>
  <c r="R23" i="10"/>
  <c r="P28" i="10"/>
  <c r="P24" i="10"/>
  <c r="P30" i="10"/>
  <c r="R28" i="10"/>
  <c r="P26" i="10"/>
  <c r="R24" i="10"/>
  <c r="K3" i="10" l="1" a="1"/>
  <c r="K3" i="10" s="1"/>
  <c r="K6" i="10"/>
  <c r="K10" i="10"/>
  <c r="K14" i="10"/>
  <c r="K18" i="10"/>
  <c r="K22" i="10"/>
  <c r="F3" i="10" a="1"/>
  <c r="F3" i="10" s="1"/>
  <c r="E4" i="10" a="1"/>
  <c r="E4" i="10" s="1"/>
  <c r="E5" i="10" a="1"/>
  <c r="E5" i="10" s="1"/>
  <c r="E6" i="10" a="1"/>
  <c r="E6" i="10" s="1"/>
  <c r="E7" i="10" a="1"/>
  <c r="E7" i="10" s="1"/>
  <c r="E8" i="10" a="1"/>
  <c r="E8" i="10" s="1"/>
  <c r="E9" i="10" a="1"/>
  <c r="E9" i="10" s="1"/>
  <c r="E10" i="10" a="1"/>
  <c r="E10" i="10" s="1"/>
  <c r="E11" i="10" a="1"/>
  <c r="E11" i="10" s="1"/>
  <c r="E12" i="10" a="1"/>
  <c r="E12" i="10" s="1"/>
  <c r="E13" i="10" a="1"/>
  <c r="E13" i="10" s="1"/>
  <c r="E14" i="10" a="1"/>
  <c r="E14" i="10" s="1"/>
  <c r="E15" i="10" a="1"/>
  <c r="E15" i="10" s="1"/>
  <c r="E16" i="10" a="1"/>
  <c r="E16" i="10" s="1"/>
  <c r="E17" i="10" a="1"/>
  <c r="E17" i="10" s="1"/>
  <c r="E18" i="10" a="1"/>
  <c r="E18" i="10" s="1"/>
  <c r="E19" i="10" a="1"/>
  <c r="E19" i="10" s="1"/>
  <c r="E20" i="10" a="1"/>
  <c r="E20" i="10" s="1"/>
  <c r="E21" i="10" a="1"/>
  <c r="E21" i="10" s="1"/>
  <c r="E22" i="10" a="1"/>
  <c r="E22" i="10" s="1"/>
  <c r="E3" i="10" a="1"/>
  <c r="E3" i="10" s="1"/>
  <c r="D4" i="10" a="1"/>
  <c r="D4" i="10" s="1"/>
  <c r="D5" i="10" a="1"/>
  <c r="D5" i="10" s="1"/>
  <c r="D6" i="10" a="1"/>
  <c r="D6" i="10" s="1"/>
  <c r="D7" i="10" a="1"/>
  <c r="D7" i="10" s="1"/>
  <c r="D8" i="10" a="1"/>
  <c r="D8" i="10" s="1"/>
  <c r="D9" i="10" a="1"/>
  <c r="D9" i="10" s="1"/>
  <c r="D10" i="10" a="1"/>
  <c r="D10" i="10" s="1"/>
  <c r="D11" i="10" a="1"/>
  <c r="D11" i="10" s="1"/>
  <c r="D12" i="10" a="1"/>
  <c r="D12" i="10" s="1"/>
  <c r="D13" i="10" a="1"/>
  <c r="D13" i="10" s="1"/>
  <c r="D14" i="10" a="1"/>
  <c r="D14" i="10" s="1"/>
  <c r="D15" i="10" a="1"/>
  <c r="D15" i="10" s="1"/>
  <c r="D16" i="10" a="1"/>
  <c r="D16" i="10" s="1"/>
  <c r="D17" i="10" a="1"/>
  <c r="D17" i="10" s="1"/>
  <c r="D18" i="10" a="1"/>
  <c r="D18" i="10" s="1"/>
  <c r="D19" i="10" a="1"/>
  <c r="D19" i="10" s="1"/>
  <c r="D20" i="10" a="1"/>
  <c r="D20" i="10" s="1"/>
  <c r="D21" i="10" a="1"/>
  <c r="D21" i="10" s="1"/>
  <c r="D22" i="10" a="1"/>
  <c r="D22" i="10" s="1"/>
  <c r="D3" i="10" a="1"/>
  <c r="D3" i="10" s="1"/>
  <c r="C4" i="10" a="1"/>
  <c r="C4" i="10" s="1"/>
  <c r="C5" i="10" a="1"/>
  <c r="C5" i="10" s="1"/>
  <c r="C6" i="10" a="1"/>
  <c r="C6" i="10" s="1"/>
  <c r="C7" i="10" a="1"/>
  <c r="C7" i="10" s="1"/>
  <c r="C8" i="10" a="1"/>
  <c r="C8" i="10" s="1"/>
  <c r="C9" i="10" a="1"/>
  <c r="C9" i="10" s="1"/>
  <c r="C10" i="10" a="1"/>
  <c r="C10" i="10" s="1"/>
  <c r="C11" i="10" a="1"/>
  <c r="C11" i="10" s="1"/>
  <c r="C12" i="10" a="1"/>
  <c r="C12" i="10" s="1"/>
  <c r="C13" i="10" a="1"/>
  <c r="C13" i="10" s="1"/>
  <c r="C14" i="10" a="1"/>
  <c r="C14" i="10" s="1"/>
  <c r="C15" i="10" a="1"/>
  <c r="C15" i="10" s="1"/>
  <c r="C16" i="10" a="1"/>
  <c r="C16" i="10" s="1"/>
  <c r="C17" i="10" a="1"/>
  <c r="C17" i="10" s="1"/>
  <c r="C18" i="10" a="1"/>
  <c r="C18" i="10" s="1"/>
  <c r="C19" i="10" a="1"/>
  <c r="C19" i="10" s="1"/>
  <c r="C20" i="10" a="1"/>
  <c r="C20" i="10" s="1"/>
  <c r="C21" i="10" a="1"/>
  <c r="C21" i="10" s="1"/>
  <c r="C22" i="10" a="1"/>
  <c r="C22" i="10" s="1"/>
  <c r="C3" i="10" a="1"/>
  <c r="C3" i="10" s="1"/>
  <c r="B4" i="10" a="1"/>
  <c r="B4" i="10" s="1"/>
  <c r="B5" i="10" a="1"/>
  <c r="B5" i="10" s="1"/>
  <c r="B6" i="10" a="1"/>
  <c r="B6" i="10" s="1"/>
  <c r="B7" i="10" a="1"/>
  <c r="B7" i="10" s="1"/>
  <c r="B8" i="10" a="1"/>
  <c r="B8" i="10" s="1"/>
  <c r="B9" i="10" a="1"/>
  <c r="B9" i="10" s="1"/>
  <c r="B10" i="10" a="1"/>
  <c r="B10" i="10" s="1"/>
  <c r="B11" i="10" a="1"/>
  <c r="B11" i="10" s="1"/>
  <c r="B12" i="10" a="1"/>
  <c r="B12" i="10" s="1"/>
  <c r="B13" i="10" a="1"/>
  <c r="B13" i="10" s="1"/>
  <c r="B14" i="10" a="1"/>
  <c r="B14" i="10" s="1"/>
  <c r="B15" i="10" a="1"/>
  <c r="B15" i="10" s="1"/>
  <c r="B16" i="10" a="1"/>
  <c r="B16" i="10" s="1"/>
  <c r="B17" i="10" a="1"/>
  <c r="B17" i="10" s="1"/>
  <c r="B18" i="10" a="1"/>
  <c r="B18" i="10" s="1"/>
  <c r="B19" i="10" a="1"/>
  <c r="B19" i="10" s="1"/>
  <c r="B20" i="10" a="1"/>
  <c r="B20" i="10" s="1"/>
  <c r="B21" i="10" a="1"/>
  <c r="B21" i="10" s="1"/>
  <c r="B22" i="10" a="1"/>
  <c r="B22" i="10" s="1"/>
  <c r="B3" i="10" a="1"/>
  <c r="B3" i="10" s="1"/>
  <c r="A4" i="10" a="1"/>
  <c r="A4" i="10" s="1"/>
  <c r="A5" i="10" a="1"/>
  <c r="A5" i="10" s="1"/>
  <c r="A6" i="10" a="1"/>
  <c r="A6" i="10" s="1"/>
  <c r="A7" i="10" a="1"/>
  <c r="A7" i="10" s="1"/>
  <c r="A8" i="10" a="1"/>
  <c r="A8" i="10" s="1"/>
  <c r="A9" i="10" a="1"/>
  <c r="A9" i="10" s="1"/>
  <c r="A10" i="10" a="1"/>
  <c r="A10" i="10" s="1"/>
  <c r="A11" i="10" a="1"/>
  <c r="A11" i="10" s="1"/>
  <c r="A12" i="10" a="1"/>
  <c r="A12" i="10" s="1"/>
  <c r="A13" i="10" a="1"/>
  <c r="A13" i="10" s="1"/>
  <c r="A14" i="10" a="1"/>
  <c r="A14" i="10" s="1"/>
  <c r="A15" i="10" a="1"/>
  <c r="A15" i="10" s="1"/>
  <c r="A16" i="10" a="1"/>
  <c r="A16" i="10" s="1"/>
  <c r="A17" i="10" a="1"/>
  <c r="A17" i="10" s="1"/>
  <c r="A18" i="10" a="1"/>
  <c r="A18" i="10" s="1"/>
  <c r="A19" i="10" a="1"/>
  <c r="A19" i="10" s="1"/>
  <c r="A20" i="10" a="1"/>
  <c r="A20" i="10" s="1"/>
  <c r="A21" i="10" a="1"/>
  <c r="A21" i="10" s="1"/>
  <c r="A22" i="10" a="1"/>
  <c r="A22" i="10" s="1"/>
  <c r="A3" i="10" a="1"/>
  <c r="A3" i="10" s="1"/>
  <c r="F1" i="9" a="1"/>
  <c r="F1" i="9" s="1"/>
  <c r="G1" i="9" a="1"/>
  <c r="G1" i="9" s="1"/>
  <c r="H1" i="9" a="1"/>
  <c r="H1" i="9"/>
  <c r="I1" i="9" a="1"/>
  <c r="I1" i="9" s="1"/>
  <c r="J1" i="9" a="1"/>
  <c r="J1" i="9"/>
  <c r="K1" i="9" a="1"/>
  <c r="K1" i="9" s="1"/>
  <c r="L1" i="9" a="1"/>
  <c r="L1" i="9" s="1"/>
  <c r="M1" i="9" a="1"/>
  <c r="M1" i="9" s="1"/>
  <c r="F4" i="10" l="1"/>
  <c r="F5" i="10"/>
  <c r="F6" i="10" s="1"/>
  <c r="F7" i="10"/>
  <c r="F8" i="10"/>
  <c r="F9" i="10" s="1"/>
  <c r="F10" i="10" s="1"/>
  <c r="F11" i="10" s="1"/>
  <c r="F12" i="10" s="1"/>
  <c r="F13" i="10" s="1"/>
  <c r="F14" i="10" s="1"/>
  <c r="F15" i="10" s="1"/>
  <c r="F16" i="10" s="1"/>
  <c r="F17" i="10" s="1"/>
  <c r="F18" i="10" s="1"/>
  <c r="F19" i="10" s="1"/>
  <c r="F20" i="10" s="1"/>
  <c r="F21" i="10" s="1"/>
  <c r="F22" i="10" s="1"/>
  <c r="F23" i="10" s="1"/>
  <c r="K21" i="10"/>
  <c r="K17" i="10"/>
  <c r="K13" i="10"/>
  <c r="K9" i="10"/>
  <c r="K5" i="10"/>
  <c r="K20" i="10"/>
  <c r="K16" i="10"/>
  <c r="K12" i="10"/>
  <c r="K8" i="10"/>
  <c r="K4" i="10"/>
  <c r="K19" i="10"/>
  <c r="K15" i="10"/>
  <c r="K11" i="10"/>
  <c r="K7" i="10"/>
  <c r="N1" i="9" a="1"/>
  <c r="N1" i="9" s="1"/>
  <c r="H7" i="9"/>
  <c r="G7" i="9"/>
  <c r="F7" i="9"/>
  <c r="F30" i="9" l="1"/>
  <c r="F32" i="9"/>
  <c r="F34" i="9"/>
  <c r="F27" i="9"/>
  <c r="F28" i="9"/>
  <c r="F29" i="9"/>
  <c r="G8" i="9"/>
  <c r="F9" i="9"/>
  <c r="G10" i="9"/>
  <c r="G11" i="9"/>
  <c r="G12" i="9"/>
  <c r="F13" i="9"/>
  <c r="F14" i="9"/>
  <c r="F15" i="9"/>
  <c r="F16" i="9"/>
  <c r="F17" i="9"/>
  <c r="F18" i="9"/>
  <c r="F19" i="9"/>
  <c r="F20" i="9"/>
  <c r="F21" i="9"/>
  <c r="F22" i="9"/>
  <c r="F23" i="9"/>
  <c r="F24" i="9"/>
  <c r="F25" i="9"/>
  <c r="F26" i="9"/>
  <c r="I4" i="10" a="1"/>
  <c r="I4" i="10" s="1"/>
  <c r="I5" i="10" a="1"/>
  <c r="I5" i="10" s="1"/>
  <c r="I6" i="10" a="1"/>
  <c r="I6" i="10" s="1"/>
  <c r="I7" i="10" a="1"/>
  <c r="I7" i="10" s="1"/>
  <c r="I8" i="10" a="1"/>
  <c r="I8" i="10" s="1"/>
  <c r="I9" i="10" a="1"/>
  <c r="I9" i="10" s="1"/>
  <c r="I10" i="10" a="1"/>
  <c r="I10" i="10" s="1"/>
  <c r="I11" i="10" a="1"/>
  <c r="I11" i="10" s="1"/>
  <c r="I12" i="10" a="1"/>
  <c r="I12" i="10" s="1"/>
  <c r="I13" i="10" a="1"/>
  <c r="I13" i="10" s="1"/>
  <c r="I14" i="10" a="1"/>
  <c r="I14" i="10" s="1"/>
  <c r="I15" i="10" a="1"/>
  <c r="I15" i="10" s="1"/>
  <c r="I16" i="10" a="1"/>
  <c r="I16" i="10" s="1"/>
  <c r="I17" i="10" a="1"/>
  <c r="I17" i="10" s="1"/>
  <c r="I18" i="10" a="1"/>
  <c r="I18" i="10" s="1"/>
  <c r="G3" i="10" a="1"/>
  <c r="G3" i="10" s="1"/>
  <c r="G4" i="10" s="1"/>
  <c r="G5" i="10" s="1"/>
  <c r="G6" i="10" s="1"/>
  <c r="G7" i="10" s="1"/>
  <c r="G8" i="10" s="1"/>
  <c r="G9" i="10" s="1"/>
  <c r="G10" i="10" s="1"/>
  <c r="G11" i="10" s="1"/>
  <c r="G12" i="10" s="1"/>
  <c r="G13" i="10" s="1"/>
  <c r="G14" i="10" s="1"/>
  <c r="G15" i="10" s="1"/>
  <c r="G16" i="10" s="1"/>
  <c r="G17" i="10" s="1"/>
  <c r="G18" i="10" s="1"/>
  <c r="G19" i="10" s="1"/>
  <c r="G20" i="10" s="1"/>
  <c r="G21" i="10" s="1"/>
  <c r="G22" i="10" s="1"/>
  <c r="G23" i="10" s="1"/>
  <c r="H3" i="10" a="1"/>
  <c r="H3" i="10" s="1"/>
  <c r="H4" i="10" s="1"/>
  <c r="H5" i="10" s="1"/>
  <c r="H6" i="10" s="1"/>
  <c r="H7" i="10" s="1"/>
  <c r="H8" i="10" s="1"/>
  <c r="H9" i="10" s="1"/>
  <c r="H10" i="10" s="1"/>
  <c r="H11" i="10" s="1"/>
  <c r="H12" i="10" s="1"/>
  <c r="H13" i="10" s="1"/>
  <c r="H14" i="10" s="1"/>
  <c r="H15" i="10" s="1"/>
  <c r="H16" i="10" s="1"/>
  <c r="H17" i="10" s="1"/>
  <c r="H18" i="10" s="1"/>
  <c r="H19" i="10" s="1"/>
  <c r="H20" i="10" s="1"/>
  <c r="H21" i="10" s="1"/>
  <c r="H22" i="10" s="1"/>
  <c r="H23" i="10" s="1"/>
  <c r="I3" i="10" a="1"/>
  <c r="I3" i="10" s="1"/>
  <c r="G38" i="9" l="1"/>
  <c r="F38" i="9"/>
  <c r="G36" i="9"/>
  <c r="F36" i="9"/>
  <c r="H31" i="9"/>
  <c r="F31" i="9"/>
  <c r="G31" i="9"/>
  <c r="H33" i="9"/>
  <c r="F33" i="9"/>
  <c r="G33" i="9"/>
  <c r="H37" i="9"/>
  <c r="F37" i="9"/>
  <c r="G37" i="9"/>
  <c r="H35" i="9"/>
  <c r="F35" i="9"/>
  <c r="G35" i="9"/>
  <c r="H38" i="9"/>
  <c r="H36" i="9"/>
  <c r="H34" i="9"/>
  <c r="H32" i="9"/>
  <c r="H30" i="9"/>
  <c r="G34" i="9"/>
  <c r="G32" i="9"/>
  <c r="G30" i="9"/>
  <c r="F8" i="9"/>
  <c r="H11" i="9"/>
  <c r="H9" i="9"/>
  <c r="F11" i="9"/>
  <c r="F12" i="9"/>
  <c r="G9" i="9"/>
  <c r="F10" i="9"/>
  <c r="H12" i="9"/>
  <c r="H10" i="9"/>
  <c r="H8" i="9"/>
  <c r="H17" i="9"/>
  <c r="H13" i="9"/>
  <c r="G13" i="9"/>
  <c r="H29" i="9"/>
  <c r="H27" i="9"/>
  <c r="H25" i="9"/>
  <c r="H23" i="9"/>
  <c r="H21" i="9"/>
  <c r="H19" i="9"/>
  <c r="H15" i="9"/>
  <c r="G29" i="9"/>
  <c r="G27" i="9"/>
  <c r="G25" i="9"/>
  <c r="G23" i="9"/>
  <c r="G21" i="9"/>
  <c r="G19" i="9"/>
  <c r="G17" i="9"/>
  <c r="G15" i="9"/>
  <c r="H28" i="9"/>
  <c r="H26" i="9"/>
  <c r="H24" i="9"/>
  <c r="H22" i="9"/>
  <c r="H20" i="9"/>
  <c r="H18" i="9"/>
  <c r="H16" i="9"/>
  <c r="H14" i="9"/>
  <c r="G28" i="9"/>
  <c r="G26" i="9"/>
  <c r="G24" i="9"/>
  <c r="G22" i="9"/>
  <c r="G20" i="9"/>
  <c r="G18" i="9"/>
  <c r="G16" i="9"/>
  <c r="G14" i="9"/>
  <c r="V4" i="1" l="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3" i="1"/>
  <c r="T1" i="1" l="1"/>
  <c r="U1" i="1"/>
  <c r="S1" i="1"/>
  <c r="O30" i="1" l="1"/>
  <c r="O28" i="1"/>
  <c r="O31" i="1"/>
  <c r="O32" i="1"/>
  <c r="O33" i="1"/>
  <c r="O38" i="1"/>
  <c r="O35" i="1"/>
  <c r="O36" i="1"/>
  <c r="O37" i="1"/>
  <c r="O41" i="1"/>
  <c r="O42" i="1"/>
  <c r="O43" i="1"/>
  <c r="O44" i="1"/>
  <c r="O45" i="1"/>
  <c r="O46" i="1"/>
  <c r="O48" i="1"/>
  <c r="O49" i="1"/>
  <c r="O50" i="1"/>
  <c r="O51" i="1"/>
  <c r="O52" i="1"/>
  <c r="O53" i="1"/>
  <c r="O54" i="1"/>
  <c r="O55" i="1"/>
  <c r="O61" i="1"/>
  <c r="O62" i="1"/>
  <c r="O63" i="1"/>
  <c r="O64" i="1"/>
  <c r="O65" i="1"/>
  <c r="O66" i="1"/>
  <c r="O67" i="1"/>
  <c r="O68" i="1"/>
  <c r="O69" i="1"/>
  <c r="O70" i="1"/>
  <c r="O71" i="1"/>
  <c r="O72" i="1"/>
  <c r="O73" i="1"/>
  <c r="O74" i="1"/>
  <c r="O75" i="1"/>
  <c r="O76" i="1"/>
  <c r="O77" i="1"/>
  <c r="O80" i="1"/>
  <c r="O78" i="1"/>
  <c r="O79" i="1"/>
  <c r="O83" i="1"/>
  <c r="O84" i="1"/>
  <c r="O85" i="1"/>
  <c r="O86" i="1"/>
  <c r="O87" i="1"/>
  <c r="O89" i="1"/>
  <c r="O90" i="1"/>
  <c r="O91" i="1"/>
  <c r="O92" i="1"/>
  <c r="O93" i="1"/>
  <c r="O94" i="1"/>
  <c r="O95" i="1"/>
  <c r="O96" i="1"/>
  <c r="O97" i="1"/>
  <c r="O98" i="1"/>
  <c r="O104" i="1"/>
  <c r="O105" i="1"/>
  <c r="O106" i="1"/>
  <c r="O109" i="1"/>
  <c r="O110" i="1"/>
  <c r="O112" i="1"/>
  <c r="O113" i="1"/>
  <c r="Q113" i="1" l="1"/>
  <c r="Q106" i="1"/>
  <c r="Q105" i="1"/>
  <c r="Q104" i="1"/>
  <c r="Q97" i="1"/>
  <c r="Q96" i="1"/>
  <c r="Q95" i="1"/>
  <c r="Q93" i="1"/>
  <c r="Q91" i="1"/>
  <c r="Q89" i="1"/>
  <c r="Q86" i="1"/>
  <c r="Q85" i="1"/>
  <c r="Q83" i="1"/>
  <c r="Q79" i="1"/>
  <c r="Q80" i="1"/>
  <c r="Q76" i="1"/>
  <c r="Q74" i="1"/>
  <c r="Q73" i="1"/>
  <c r="Q72" i="1"/>
  <c r="Q71" i="1"/>
  <c r="Q69" i="1"/>
  <c r="Q68" i="1"/>
  <c r="Q66" i="1"/>
  <c r="Q64" i="1"/>
  <c r="Q55" i="1"/>
  <c r="Q53" i="1"/>
  <c r="Q52" i="1"/>
  <c r="Q51" i="1"/>
  <c r="Q50" i="1"/>
  <c r="Q49" i="1"/>
  <c r="Q46" i="1"/>
  <c r="Q45" i="1"/>
  <c r="Q43" i="1"/>
  <c r="Q42" i="1"/>
  <c r="Q37" i="1"/>
  <c r="Q38" i="1"/>
  <c r="Q33" i="1"/>
  <c r="Q32" i="1"/>
  <c r="Q30" i="1"/>
  <c r="Q28" i="1"/>
  <c r="P113" i="1"/>
  <c r="P106" i="1"/>
  <c r="Y106" i="1" s="1"/>
  <c r="Z106" i="1" s="1"/>
  <c r="P105" i="1"/>
  <c r="P104" i="1"/>
  <c r="P97" i="1"/>
  <c r="P96" i="1"/>
  <c r="P95" i="1"/>
  <c r="Y95" i="1" s="1"/>
  <c r="Z95" i="1" s="1"/>
  <c r="P93" i="1"/>
  <c r="Y93" i="1" s="1"/>
  <c r="P91" i="1"/>
  <c r="P89" i="1"/>
  <c r="P86" i="1"/>
  <c r="Y86" i="1" s="1"/>
  <c r="P85" i="1"/>
  <c r="Y85" i="1" s="1"/>
  <c r="Z85" i="1" s="1"/>
  <c r="P83" i="1"/>
  <c r="P79" i="1"/>
  <c r="P80" i="1"/>
  <c r="P76" i="1"/>
  <c r="Y76" i="1" s="1"/>
  <c r="Z76" i="1" s="1"/>
  <c r="P74" i="1"/>
  <c r="Y74" i="1" s="1"/>
  <c r="P73" i="1"/>
  <c r="P72" i="1"/>
  <c r="P71" i="1"/>
  <c r="Y71" i="1" s="1"/>
  <c r="P69" i="1"/>
  <c r="P68" i="1"/>
  <c r="Y68" i="1" s="1"/>
  <c r="Z68" i="1" s="1"/>
  <c r="P66" i="1"/>
  <c r="P64" i="1"/>
  <c r="P55" i="1"/>
  <c r="Y55" i="1" s="1"/>
  <c r="Z55" i="1" s="1"/>
  <c r="P53" i="1"/>
  <c r="P52" i="1"/>
  <c r="P51" i="1"/>
  <c r="P50" i="1"/>
  <c r="Y50" i="1" s="1"/>
  <c r="P49" i="1"/>
  <c r="P46" i="1"/>
  <c r="Y46" i="1" s="1"/>
  <c r="Z46" i="1" s="1"/>
  <c r="P45" i="1"/>
  <c r="Y45" i="1" s="1"/>
  <c r="Z45" i="1" s="1"/>
  <c r="P43" i="1"/>
  <c r="P42" i="1"/>
  <c r="P37" i="1"/>
  <c r="P38" i="1"/>
  <c r="Y38" i="1" s="1"/>
  <c r="P33" i="1"/>
  <c r="P32" i="1"/>
  <c r="P30" i="1"/>
  <c r="Y30" i="1" s="1"/>
  <c r="L3" i="10" s="1" a="1"/>
  <c r="P28" i="1"/>
  <c r="Y28" i="1" s="1"/>
  <c r="Z28" i="1" s="1"/>
  <c r="P112" i="1"/>
  <c r="P110" i="1"/>
  <c r="Y110" i="1" s="1"/>
  <c r="Z110" i="1" s="1"/>
  <c r="P109" i="1"/>
  <c r="Y109" i="1" s="1"/>
  <c r="Z109" i="1" s="1"/>
  <c r="P98" i="1"/>
  <c r="Y98" i="1" s="1"/>
  <c r="Z98" i="1" s="1"/>
  <c r="P94" i="1"/>
  <c r="Y94" i="1" s="1"/>
  <c r="Z94" i="1" s="1"/>
  <c r="P92" i="1"/>
  <c r="P90" i="1"/>
  <c r="P87" i="1"/>
  <c r="P84" i="1"/>
  <c r="P78" i="1"/>
  <c r="P77" i="1"/>
  <c r="P75" i="1"/>
  <c r="P70" i="1"/>
  <c r="P67" i="1"/>
  <c r="P65" i="1"/>
  <c r="P63" i="1"/>
  <c r="P62" i="1"/>
  <c r="P61" i="1"/>
  <c r="P54" i="1"/>
  <c r="P48" i="1"/>
  <c r="P44" i="1"/>
  <c r="P41" i="1"/>
  <c r="Y41" i="1" s="1"/>
  <c r="Z41" i="1" s="1"/>
  <c r="P36" i="1"/>
  <c r="P35" i="1"/>
  <c r="Y35" i="1" s="1"/>
  <c r="P31" i="1"/>
  <c r="L3" i="10" l="1"/>
  <c r="L6" i="10"/>
  <c r="L10" i="10"/>
  <c r="L14" i="10"/>
  <c r="L18" i="10"/>
  <c r="L22" i="10"/>
  <c r="L21" i="10"/>
  <c r="L17" i="10"/>
  <c r="L13" i="10"/>
  <c r="L9" i="10"/>
  <c r="L5" i="10"/>
  <c r="L20" i="10"/>
  <c r="L16" i="10"/>
  <c r="L12" i="10"/>
  <c r="L8" i="10"/>
  <c r="L4" i="10"/>
  <c r="L19" i="10"/>
  <c r="L15" i="10"/>
  <c r="L11" i="10"/>
  <c r="L7" i="10"/>
  <c r="Q5" i="10"/>
  <c r="Q7" i="10"/>
  <c r="Q13" i="10"/>
  <c r="Q15" i="10"/>
  <c r="Q18" i="10"/>
  <c r="Q3" i="10"/>
  <c r="Y67" i="1"/>
  <c r="Z67" i="1" s="1"/>
  <c r="Y78" i="1"/>
  <c r="Z78" i="1" s="1"/>
  <c r="Y54" i="1"/>
  <c r="Z54" i="1" s="1"/>
  <c r="Y90" i="1"/>
  <c r="Z90" i="1" s="1"/>
  <c r="Y84" i="1"/>
  <c r="Z84" i="1" s="1"/>
  <c r="Y75" i="1"/>
  <c r="Z75" i="1" s="1"/>
  <c r="Y63" i="1"/>
  <c r="Z63" i="1" s="1"/>
  <c r="Z35" i="1"/>
  <c r="Z38" i="1"/>
  <c r="Z93" i="1"/>
  <c r="Z30" i="1"/>
  <c r="Z86" i="1"/>
  <c r="Z71" i="1"/>
  <c r="Z50" i="1"/>
  <c r="Z74" i="1"/>
  <c r="W28" i="1"/>
  <c r="X28" i="1" s="1"/>
  <c r="W30" i="1"/>
  <c r="O3" i="10" s="1" a="1"/>
  <c r="W90" i="1"/>
  <c r="X90" i="1" s="1"/>
  <c r="W71" i="1"/>
  <c r="X71" i="1" s="1"/>
  <c r="W50" i="1"/>
  <c r="X50" i="1" s="1"/>
  <c r="W42" i="1"/>
  <c r="X42" i="1" s="1"/>
  <c r="Y42" i="1"/>
  <c r="Z42" i="1" s="1"/>
  <c r="W49" i="1"/>
  <c r="X49" i="1" s="1"/>
  <c r="Y49" i="1"/>
  <c r="Z49" i="1" s="1"/>
  <c r="Y89" i="1"/>
  <c r="W89" i="1"/>
  <c r="X89" i="1" s="1"/>
  <c r="W77" i="1"/>
  <c r="X77" i="1" s="1"/>
  <c r="Y77" i="1"/>
  <c r="W37" i="1"/>
  <c r="X37" i="1" s="1"/>
  <c r="Y37" i="1"/>
  <c r="Z37" i="1" s="1"/>
  <c r="W52" i="1"/>
  <c r="X52" i="1" s="1"/>
  <c r="Y52" i="1"/>
  <c r="Z52" i="1" s="1"/>
  <c r="Y66" i="1"/>
  <c r="Q11" i="10" s="1"/>
  <c r="W66" i="1"/>
  <c r="X66" i="1" s="1"/>
  <c r="Y72" i="1"/>
  <c r="Q14" i="10" s="1"/>
  <c r="W72" i="1"/>
  <c r="X72" i="1" s="1"/>
  <c r="Y80" i="1"/>
  <c r="Q16" i="10" s="1"/>
  <c r="W80" i="1"/>
  <c r="X80" i="1" s="1"/>
  <c r="W105" i="1"/>
  <c r="X105" i="1" s="1"/>
  <c r="Y105" i="1"/>
  <c r="W106" i="1"/>
  <c r="X106" i="1" s="1"/>
  <c r="W68" i="1"/>
  <c r="X68" i="1" s="1"/>
  <c r="W45" i="1"/>
  <c r="X45" i="1" s="1"/>
  <c r="W67" i="1"/>
  <c r="X67" i="1" s="1"/>
  <c r="W85" i="1"/>
  <c r="X85" i="1" s="1"/>
  <c r="W109" i="1"/>
  <c r="X109" i="1" s="1"/>
  <c r="W93" i="1"/>
  <c r="X93" i="1" s="1"/>
  <c r="W55" i="1"/>
  <c r="X55" i="1" s="1"/>
  <c r="W95" i="1"/>
  <c r="X95" i="1" s="1"/>
  <c r="W92" i="1"/>
  <c r="X92" i="1" s="1"/>
  <c r="Y92" i="1"/>
  <c r="Z92" i="1" s="1"/>
  <c r="W32" i="1"/>
  <c r="X32" i="1" s="1"/>
  <c r="Y32" i="1"/>
  <c r="Z32" i="1" s="1"/>
  <c r="Y53" i="1"/>
  <c r="Q9" i="10" s="1"/>
  <c r="W53" i="1"/>
  <c r="X53" i="1" s="1"/>
  <c r="W73" i="1"/>
  <c r="X73" i="1" s="1"/>
  <c r="Y73" i="1"/>
  <c r="Z73" i="1" s="1"/>
  <c r="W79" i="1"/>
  <c r="X79" i="1" s="1"/>
  <c r="Y79" i="1"/>
  <c r="Z79" i="1" s="1"/>
  <c r="W36" i="1"/>
  <c r="X36" i="1" s="1"/>
  <c r="Y36" i="1"/>
  <c r="Z36" i="1" s="1"/>
  <c r="W65" i="1"/>
  <c r="X65" i="1" s="1"/>
  <c r="Y65" i="1"/>
  <c r="Z65" i="1" s="1"/>
  <c r="W48" i="1"/>
  <c r="X48" i="1" s="1"/>
  <c r="Y48" i="1"/>
  <c r="Z48" i="1" s="1"/>
  <c r="W87" i="1"/>
  <c r="X87" i="1" s="1"/>
  <c r="Y87" i="1"/>
  <c r="Z87" i="1" s="1"/>
  <c r="Y51" i="1"/>
  <c r="Q8" i="10" s="1"/>
  <c r="W51" i="1"/>
  <c r="X51" i="1" s="1"/>
  <c r="W64" i="1"/>
  <c r="X64" i="1" s="1"/>
  <c r="Y64" i="1"/>
  <c r="Q10" i="10" s="1"/>
  <c r="W104" i="1"/>
  <c r="X104" i="1" s="1"/>
  <c r="Y104" i="1"/>
  <c r="Z104" i="1" s="1"/>
  <c r="W110" i="1"/>
  <c r="X110" i="1" s="1"/>
  <c r="W41" i="1"/>
  <c r="X41" i="1" s="1"/>
  <c r="W63" i="1"/>
  <c r="X63" i="1" s="1"/>
  <c r="W78" i="1"/>
  <c r="X78" i="1" s="1"/>
  <c r="W98" i="1"/>
  <c r="X98" i="1" s="1"/>
  <c r="W84" i="1"/>
  <c r="X84" i="1" s="1"/>
  <c r="W46" i="1"/>
  <c r="X46" i="1" s="1"/>
  <c r="W86" i="1"/>
  <c r="X86" i="1" s="1"/>
  <c r="W61" i="1"/>
  <c r="X61" i="1" s="1"/>
  <c r="Y61" i="1"/>
  <c r="Z61" i="1" s="1"/>
  <c r="W96" i="1"/>
  <c r="X96" i="1" s="1"/>
  <c r="Y96" i="1"/>
  <c r="Z96" i="1" s="1"/>
  <c r="W31" i="1"/>
  <c r="X31" i="1" s="1"/>
  <c r="Y31" i="1"/>
  <c r="Z31" i="1" s="1"/>
  <c r="Y44" i="1"/>
  <c r="Z44" i="1" s="1"/>
  <c r="W44" i="1"/>
  <c r="X44" i="1" s="1"/>
  <c r="W62" i="1"/>
  <c r="X62" i="1" s="1"/>
  <c r="Y62" i="1"/>
  <c r="Z62" i="1" s="1"/>
  <c r="W70" i="1"/>
  <c r="X70" i="1" s="1"/>
  <c r="Y70" i="1"/>
  <c r="Z70" i="1" s="1"/>
  <c r="W112" i="1"/>
  <c r="X112" i="1" s="1"/>
  <c r="Y112" i="1"/>
  <c r="Z112" i="1" s="1"/>
  <c r="Y33" i="1"/>
  <c r="Q4" i="10" s="1"/>
  <c r="W33" i="1"/>
  <c r="X33" i="1" s="1"/>
  <c r="W43" i="1"/>
  <c r="X43" i="1" s="1"/>
  <c r="Y43" i="1"/>
  <c r="Q6" i="10" s="1"/>
  <c r="W69" i="1"/>
  <c r="X69" i="1" s="1"/>
  <c r="Y69" i="1"/>
  <c r="Q12" i="10" s="1"/>
  <c r="W83" i="1"/>
  <c r="X83" i="1" s="1"/>
  <c r="Y83" i="1"/>
  <c r="Q17" i="10" s="1"/>
  <c r="Y91" i="1"/>
  <c r="W91" i="1"/>
  <c r="X91" i="1" s="1"/>
  <c r="Y97" i="1"/>
  <c r="Z97" i="1" s="1"/>
  <c r="W97" i="1"/>
  <c r="X97" i="1" s="1"/>
  <c r="W113" i="1"/>
  <c r="X113" i="1" s="1"/>
  <c r="Y113" i="1"/>
  <c r="Z113" i="1" s="1"/>
  <c r="W38" i="1"/>
  <c r="X38" i="1" s="1"/>
  <c r="W54" i="1"/>
  <c r="X54" i="1" s="1"/>
  <c r="W75" i="1"/>
  <c r="X75" i="1" s="1"/>
  <c r="W94" i="1"/>
  <c r="X94" i="1" s="1"/>
  <c r="W74" i="1"/>
  <c r="X74" i="1" s="1"/>
  <c r="W35" i="1"/>
  <c r="X35" i="1" s="1"/>
  <c r="W76" i="1"/>
  <c r="X76" i="1" s="1"/>
  <c r="R113" i="1"/>
  <c r="Q112" i="1"/>
  <c r="Q110" i="1"/>
  <c r="Q109" i="1"/>
  <c r="Q98" i="1"/>
  <c r="Q94" i="1"/>
  <c r="Q92" i="1"/>
  <c r="Q90" i="1"/>
  <c r="Q87" i="1"/>
  <c r="Q84" i="1"/>
  <c r="Q78" i="1"/>
  <c r="Q77" i="1"/>
  <c r="Q75" i="1"/>
  <c r="Q70" i="1"/>
  <c r="Q67" i="1"/>
  <c r="Q65" i="1"/>
  <c r="Q63" i="1"/>
  <c r="Q62" i="1"/>
  <c r="Q61" i="1"/>
  <c r="Q54" i="1"/>
  <c r="Q48" i="1"/>
  <c r="Q44" i="1"/>
  <c r="Q41" i="1"/>
  <c r="Q36" i="1"/>
  <c r="Q35" i="1"/>
  <c r="Q31" i="1"/>
  <c r="O3" i="10" l="1"/>
  <c r="O6" i="10"/>
  <c r="O10" i="10"/>
  <c r="O14" i="10"/>
  <c r="O18" i="10"/>
  <c r="P18" i="10" s="1"/>
  <c r="O22" i="10"/>
  <c r="O21" i="10"/>
  <c r="O17" i="10"/>
  <c r="O13" i="10"/>
  <c r="P13" i="10" s="1"/>
  <c r="O9" i="10"/>
  <c r="P9" i="10" s="1"/>
  <c r="O5" i="10"/>
  <c r="O20" i="10"/>
  <c r="O16" i="10"/>
  <c r="P16" i="10" s="1"/>
  <c r="O12" i="10"/>
  <c r="O8" i="10"/>
  <c r="O4" i="10"/>
  <c r="O19" i="10"/>
  <c r="O15" i="10"/>
  <c r="O11" i="10"/>
  <c r="P11" i="10" s="1"/>
  <c r="O7" i="10"/>
  <c r="P8" i="10"/>
  <c r="X30" i="1"/>
  <c r="P4" i="10"/>
  <c r="P5" i="10"/>
  <c r="P15" i="10"/>
  <c r="P10" i="10"/>
  <c r="P6" i="10"/>
  <c r="P7" i="10"/>
  <c r="P14" i="10"/>
  <c r="P12" i="10"/>
  <c r="P17" i="10"/>
  <c r="Z80" i="1"/>
  <c r="Z105" i="1"/>
  <c r="Z77" i="1"/>
  <c r="Z69" i="1"/>
  <c r="Z66" i="1"/>
  <c r="Z89" i="1"/>
  <c r="Z91" i="1"/>
  <c r="Z33" i="1"/>
  <c r="Z51" i="1"/>
  <c r="Z83" i="1"/>
  <c r="Z43" i="1"/>
  <c r="Z64" i="1"/>
  <c r="Z72" i="1"/>
  <c r="Z53" i="1"/>
  <c r="AA113" i="1"/>
  <c r="R62" i="1"/>
  <c r="R112" i="1"/>
  <c r="R110" i="1"/>
  <c r="R109" i="1"/>
  <c r="R106" i="1"/>
  <c r="R105" i="1"/>
  <c r="R104" i="1"/>
  <c r="R98" i="1"/>
  <c r="R97" i="1"/>
  <c r="R96" i="1"/>
  <c r="R95" i="1"/>
  <c r="R94" i="1"/>
  <c r="R93" i="1"/>
  <c r="R92" i="1"/>
  <c r="R91" i="1"/>
  <c r="R90" i="1"/>
  <c r="R89" i="1"/>
  <c r="R87" i="1"/>
  <c r="R86" i="1"/>
  <c r="R85" i="1"/>
  <c r="R84" i="1"/>
  <c r="R83" i="1"/>
  <c r="R79" i="1"/>
  <c r="R78" i="1"/>
  <c r="R80" i="1"/>
  <c r="R77" i="1"/>
  <c r="R76" i="1"/>
  <c r="R75" i="1"/>
  <c r="R74" i="1"/>
  <c r="R73" i="1"/>
  <c r="R72" i="1"/>
  <c r="R71" i="1"/>
  <c r="R70" i="1"/>
  <c r="R69" i="1"/>
  <c r="R68" i="1"/>
  <c r="R67" i="1"/>
  <c r="R66" i="1"/>
  <c r="R65" i="1"/>
  <c r="R64" i="1"/>
  <c r="R63" i="1"/>
  <c r="R61" i="1"/>
  <c r="R55" i="1"/>
  <c r="R54" i="1"/>
  <c r="R53" i="1"/>
  <c r="R52" i="1"/>
  <c r="R51" i="1"/>
  <c r="R50" i="1"/>
  <c r="R49" i="1"/>
  <c r="R48" i="1"/>
  <c r="R46" i="1"/>
  <c r="R45" i="1"/>
  <c r="R44" i="1"/>
  <c r="R43" i="1"/>
  <c r="R42" i="1"/>
  <c r="R41" i="1"/>
  <c r="R37" i="1"/>
  <c r="R36" i="1"/>
  <c r="R35" i="1"/>
  <c r="R38" i="1"/>
  <c r="R33" i="1"/>
  <c r="R32" i="1"/>
  <c r="R31" i="1"/>
  <c r="R30" i="1"/>
  <c r="R28" i="1"/>
  <c r="M3" i="10" l="1" a="1"/>
  <c r="P3" i="10"/>
  <c r="AA44" i="1"/>
  <c r="AA75" i="1"/>
  <c r="AA90" i="1"/>
  <c r="AA96" i="1"/>
  <c r="AA112" i="1"/>
  <c r="AA41" i="1"/>
  <c r="AA45" i="1"/>
  <c r="AA70" i="1"/>
  <c r="AA76" i="1"/>
  <c r="AA92" i="1"/>
  <c r="AA106" i="1"/>
  <c r="AA31" i="1"/>
  <c r="AA35" i="1"/>
  <c r="AA42" i="1"/>
  <c r="AA46" i="1"/>
  <c r="AA55" i="1"/>
  <c r="AA67" i="1"/>
  <c r="AA77" i="1"/>
  <c r="AA85" i="1"/>
  <c r="AA94" i="1"/>
  <c r="AA98" i="1"/>
  <c r="AA109" i="1"/>
  <c r="AA28" i="1"/>
  <c r="AA37" i="1"/>
  <c r="AA49" i="1"/>
  <c r="AA63" i="1"/>
  <c r="AA79" i="1"/>
  <c r="AA54" i="1"/>
  <c r="AA65" i="1"/>
  <c r="AA84" i="1"/>
  <c r="AA97" i="1"/>
  <c r="AA62" i="1"/>
  <c r="AA32" i="1"/>
  <c r="AA36" i="1"/>
  <c r="AA48" i="1"/>
  <c r="AA52" i="1"/>
  <c r="AA61" i="1"/>
  <c r="AA68" i="1"/>
  <c r="AA73" i="1"/>
  <c r="AA78" i="1"/>
  <c r="AA87" i="1"/>
  <c r="AA95" i="1"/>
  <c r="AA104" i="1"/>
  <c r="AA110" i="1"/>
  <c r="AA66" i="1"/>
  <c r="AA71" i="1"/>
  <c r="AA93" i="1"/>
  <c r="AA33" i="1"/>
  <c r="AA53" i="1"/>
  <c r="AA69" i="1"/>
  <c r="AA74" i="1"/>
  <c r="AA89" i="1"/>
  <c r="AA105" i="1"/>
  <c r="AA51" i="1"/>
  <c r="AA72" i="1"/>
  <c r="AA43" i="1"/>
  <c r="AA80" i="1"/>
  <c r="AA86" i="1"/>
  <c r="AA38" i="1"/>
  <c r="AA50" i="1"/>
  <c r="AA64" i="1"/>
  <c r="AA83" i="1"/>
  <c r="AA91" i="1"/>
  <c r="AA30" i="1"/>
  <c r="AA26" i="1"/>
  <c r="A82" i="10" a="1"/>
  <c r="A82" i="10" s="1"/>
  <c r="A59" i="10" a="1"/>
  <c r="A59" i="10" s="1"/>
  <c r="A56" i="10" a="1"/>
  <c r="A56" i="10" s="1"/>
  <c r="A61" i="10" a="1"/>
  <c r="A61" i="10" s="1"/>
  <c r="A54" i="10" a="1"/>
  <c r="A54" i="10" s="1"/>
  <c r="A70" i="10" a="1"/>
  <c r="A70" i="10" s="1"/>
  <c r="A86" i="10" a="1"/>
  <c r="A86" i="10" s="1"/>
  <c r="A57" i="10" a="1"/>
  <c r="A57" i="10" s="1"/>
  <c r="A63" i="10" a="1"/>
  <c r="A63" i="10" s="1"/>
  <c r="A79" i="10" a="1"/>
  <c r="A79" i="10" s="1"/>
  <c r="A95" i="10" a="1"/>
  <c r="A95" i="10" s="1"/>
  <c r="A89" i="10" a="1"/>
  <c r="A89" i="10" s="1"/>
  <c r="A60" i="10" a="1"/>
  <c r="A60" i="10" s="1"/>
  <c r="A76" i="10" a="1"/>
  <c r="A76" i="10" s="1"/>
  <c r="A92" i="10" a="1"/>
  <c r="A92" i="10" s="1"/>
  <c r="A73" i="10" a="1"/>
  <c r="A73" i="10" s="1"/>
  <c r="A75" i="10" a="1"/>
  <c r="A75" i="10" s="1"/>
  <c r="A77" i="10" a="1"/>
  <c r="A77" i="10" s="1"/>
  <c r="A88" i="10" a="1"/>
  <c r="A88" i="10" s="1"/>
  <c r="A58" i="10" a="1"/>
  <c r="A58" i="10" s="1"/>
  <c r="A74" i="10" a="1"/>
  <c r="A74" i="10" s="1"/>
  <c r="A90" i="10" a="1"/>
  <c r="A90" i="10" s="1"/>
  <c r="A69" i="10" a="1"/>
  <c r="A69" i="10" s="1"/>
  <c r="A51" i="10" a="1"/>
  <c r="A51" i="10" s="1"/>
  <c r="A67" i="10" a="1"/>
  <c r="A67" i="10" s="1"/>
  <c r="A83" i="10" a="1"/>
  <c r="A83" i="10" s="1"/>
  <c r="A53" i="10" a="1"/>
  <c r="A53" i="10" s="1"/>
  <c r="A64" i="10" a="1"/>
  <c r="A64" i="10" s="1"/>
  <c r="A80" i="10" a="1"/>
  <c r="A80" i="10" s="1"/>
  <c r="A96" i="10" a="1"/>
  <c r="A96" i="10" s="1"/>
  <c r="A66" i="10" a="1"/>
  <c r="A66" i="10" s="1"/>
  <c r="A93" i="10" a="1"/>
  <c r="A93" i="10" s="1"/>
  <c r="A91" i="10" a="1"/>
  <c r="A91" i="10" s="1"/>
  <c r="A72" i="10" a="1"/>
  <c r="A72" i="10" s="1"/>
  <c r="A97" i="10" a="1"/>
  <c r="A97" i="10" s="1"/>
  <c r="A62" i="10" a="1"/>
  <c r="A62" i="10" s="1"/>
  <c r="A78" i="10" a="1"/>
  <c r="A78" i="10" s="1"/>
  <c r="A94" i="10" a="1"/>
  <c r="A94" i="10" s="1"/>
  <c r="A81" i="10" a="1"/>
  <c r="A81" i="10" s="1"/>
  <c r="A55" i="10" a="1"/>
  <c r="A55" i="10" s="1"/>
  <c r="A71" i="10" a="1"/>
  <c r="A71" i="10" s="1"/>
  <c r="A87" i="10" a="1"/>
  <c r="A87" i="10" s="1"/>
  <c r="A65" i="10" a="1"/>
  <c r="A65" i="10" s="1"/>
  <c r="A52" i="10" a="1"/>
  <c r="A52" i="10" s="1"/>
  <c r="A68" i="10" a="1"/>
  <c r="A68" i="10" s="1"/>
  <c r="A84" i="10" a="1"/>
  <c r="A84" i="10" s="1"/>
  <c r="A85" i="10" a="1"/>
  <c r="A85" i="10" s="1"/>
  <c r="M3" i="10" l="1"/>
  <c r="M5" i="10"/>
  <c r="M6" i="10"/>
  <c r="M9" i="10"/>
  <c r="M10" i="10"/>
  <c r="M13" i="10"/>
  <c r="M14" i="10"/>
  <c r="M17" i="10"/>
  <c r="M18" i="10"/>
  <c r="M21" i="10"/>
  <c r="M22" i="10"/>
  <c r="M20" i="10"/>
  <c r="M16" i="10"/>
  <c r="M12" i="10"/>
  <c r="M8" i="10"/>
  <c r="M4" i="10"/>
  <c r="M19" i="10"/>
  <c r="M15" i="10"/>
  <c r="M11" i="10"/>
  <c r="M7" i="10"/>
  <c r="I21" i="10"/>
  <c r="I20" i="10"/>
  <c r="R21" i="10"/>
  <c r="Q19" i="10"/>
  <c r="Q20" i="10"/>
  <c r="Q21" i="10"/>
  <c r="R19" i="10"/>
  <c r="I19" i="10"/>
  <c r="Q22" i="10"/>
  <c r="I22" i="10"/>
  <c r="R22" i="10"/>
  <c r="N7" i="10" l="1"/>
  <c r="R7" i="10"/>
  <c r="N11" i="10"/>
  <c r="R11" i="10"/>
  <c r="N15" i="10"/>
  <c r="R15" i="10"/>
  <c r="N4" i="10"/>
  <c r="R4" i="10"/>
  <c r="N8" i="10"/>
  <c r="R8" i="10"/>
  <c r="N12" i="10"/>
  <c r="R12" i="10"/>
  <c r="N16" i="10"/>
  <c r="R16" i="10"/>
  <c r="N18" i="10"/>
  <c r="R18" i="10"/>
  <c r="N17" i="10"/>
  <c r="R17" i="10"/>
  <c r="N14" i="10"/>
  <c r="R14" i="10"/>
  <c r="N13" i="10"/>
  <c r="R13" i="10"/>
  <c r="N10" i="10"/>
  <c r="R10" i="10"/>
  <c r="N9" i="10"/>
  <c r="R9" i="10"/>
  <c r="N6" i="10"/>
  <c r="R6" i="10"/>
  <c r="N5" i="10"/>
  <c r="R5" i="10"/>
  <c r="N3" i="10"/>
  <c r="R3" i="10"/>
  <c r="P20" i="10"/>
  <c r="R20" i="10"/>
  <c r="P21" i="10"/>
  <c r="P22" i="10"/>
  <c r="P19" i="10"/>
  <c r="N22" i="10"/>
  <c r="N21" i="10"/>
  <c r="N20" i="10"/>
  <c r="N1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tc={BC15870E-BEF1-4931-AD6A-00E60C0DC8B3}</author>
  </authors>
  <commentList>
    <comment ref="A5" authorId="0" shapeId="0" xr:uid="{BC15870E-BEF1-4931-AD6A-00E60C0DC8B3}">
      <text>
        <t>[Threaded comment]
Your version of Excel allows you to read this threaded comment; however, any edits to it will get removed if the file is opened in a newer version of Excel. Learn more: https://go.microsoft.com/fwlink/?linkid=870924
Comment:
    date de l'achat</t>
      </text>
    </comment>
  </commentList>
</comments>
</file>

<file path=xl/sharedStrings.xml><?xml version="1.0" encoding="utf-8"?>
<sst xmlns="http://schemas.openxmlformats.org/spreadsheetml/2006/main" count="531" uniqueCount="90">
  <si>
    <t>Facture N°</t>
  </si>
  <si>
    <t>Origine</t>
  </si>
  <si>
    <t>N° déclarat° export</t>
  </si>
  <si>
    <t>Date déclarat° export</t>
  </si>
  <si>
    <t>Réf article</t>
  </si>
  <si>
    <t>Désignation</t>
  </si>
  <si>
    <t>N° fiche</t>
  </si>
  <si>
    <t>matière</t>
  </si>
  <si>
    <t>forme</t>
  </si>
  <si>
    <t>taille</t>
  </si>
  <si>
    <t>N° déclarat° import</t>
  </si>
  <si>
    <t>Qté livrée</t>
  </si>
  <si>
    <t>Poids net/ pièce</t>
  </si>
  <si>
    <t>longueur pièce</t>
  </si>
  <si>
    <t>nbre pièces /barre</t>
  </si>
  <si>
    <t>pids par barre</t>
  </si>
  <si>
    <t>POIDS NET TOTAL</t>
  </si>
  <si>
    <t>Poids brut/pièce</t>
  </si>
  <si>
    <t>Qté utilisée</t>
  </si>
  <si>
    <t>Qté importée</t>
  </si>
  <si>
    <t>QTE STOCK INIT (Kg)</t>
  </si>
  <si>
    <t>stock (Kg)</t>
  </si>
  <si>
    <t>Poids copeaux/
pièce</t>
  </si>
  <si>
    <t>poids copeaux total</t>
  </si>
  <si>
    <t>Participat° dans la FB</t>
  </si>
  <si>
    <t>Poids déchet  fin de barre total</t>
  </si>
  <si>
    <t xml:space="preserve">POIDS DECHET total </t>
  </si>
  <si>
    <t>STOCK INITIAL</t>
  </si>
  <si>
    <t>LAITON</t>
  </si>
  <si>
    <t>Carrée</t>
  </si>
  <si>
    <t>HEX</t>
  </si>
  <si>
    <t>ROND</t>
  </si>
  <si>
    <t>achat</t>
  </si>
  <si>
    <t>vente</t>
  </si>
  <si>
    <t>PERNO DISINNESTO RULLO G16922290</t>
  </si>
  <si>
    <t>EMBOUT DE TIGE</t>
  </si>
  <si>
    <t>INSERTO ESAG,M6 8*6</t>
  </si>
  <si>
    <t>INSERTI M8 12*12 laiton hex12</t>
  </si>
  <si>
    <t>BRONZINA 16/18X10.3</t>
  </si>
  <si>
    <t xml:space="preserve">TUBE </t>
  </si>
  <si>
    <t>30*22</t>
  </si>
  <si>
    <t>INSERT D8</t>
  </si>
  <si>
    <t>INSERT LAITON D8</t>
  </si>
  <si>
    <t>Laiton</t>
  </si>
  <si>
    <t>Dates des factures :</t>
  </si>
  <si>
    <t>rond</t>
  </si>
  <si>
    <t>Date Facture d'achat</t>
  </si>
  <si>
    <t>N° facture</t>
  </si>
  <si>
    <t>Type</t>
  </si>
  <si>
    <t>N° Déclaration</t>
  </si>
  <si>
    <t>Date 
Déclaration</t>
  </si>
  <si>
    <t xml:space="preserve">Qté importée
</t>
  </si>
  <si>
    <t xml:space="preserve">Qté utilisée
</t>
  </si>
  <si>
    <t>N°
fiche</t>
  </si>
  <si>
    <t>Déchet copeaux</t>
  </si>
  <si>
    <t>Déchet fin de barre</t>
  </si>
  <si>
    <t>Taux Déchet total</t>
  </si>
  <si>
    <t>Matière</t>
  </si>
  <si>
    <t>Forme</t>
  </si>
  <si>
    <t>Taille</t>
  </si>
  <si>
    <t>Taux</t>
  </si>
  <si>
    <t xml:space="preserve">Poids déchet  fin de barre total </t>
  </si>
  <si>
    <t>EUROVA 231209-1</t>
  </si>
  <si>
    <t>SA</t>
  </si>
  <si>
    <t>EUROVA 08102010-1</t>
  </si>
  <si>
    <t>GP 17022011-1</t>
  </si>
  <si>
    <t>GP 130711-2</t>
  </si>
  <si>
    <t>DEPERY 204762</t>
  </si>
  <si>
    <t>GP 020212-2</t>
  </si>
  <si>
    <t>GP 010312-1</t>
  </si>
  <si>
    <t>DEPERY 210593</t>
  </si>
  <si>
    <t>DEPERY 214427</t>
  </si>
  <si>
    <t>GP 210612-1</t>
  </si>
  <si>
    <t>GP 290311-3</t>
  </si>
  <si>
    <t>EUROVA 220509</t>
  </si>
  <si>
    <t>DEPERY 201458</t>
  </si>
  <si>
    <t>DEPERY 212526</t>
  </si>
  <si>
    <t>DEPERY 205701</t>
  </si>
  <si>
    <t>DEPERY 216783</t>
  </si>
  <si>
    <t>GP 311012-1</t>
  </si>
  <si>
    <t>Poids brut total</t>
  </si>
  <si>
    <t>Poids copeaux total</t>
  </si>
  <si>
    <t>% Déchet</t>
  </si>
  <si>
    <t>formes</t>
  </si>
  <si>
    <t>Dia</t>
  </si>
  <si>
    <t>carrée</t>
  </si>
  <si>
    <t>or</t>
  </si>
  <si>
    <t>tube</t>
  </si>
  <si>
    <t>diamant</t>
  </si>
  <si>
    <t>hex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</si>
</sst>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000&quot; Kg&quot;"/>
    <numFmt numFmtId="166" formatCode="0;0;"/>
    <numFmt numFmtId="167" formatCode="#,##0.000"/>
  </numFmts>
  <fonts count="21">
    <font>
      <sz val="11"/>
      <color theme="1"/>
      <name val="Calibri"/>
      <family val="2"/>
      <scheme val="minor"/>
    </font>
    <font>
      <sz val="11"/>
      <color theme="1"/>
      <name val="Calibri"/>
      <family val="2"/>
      <scheme val="minor"/>
    </font>
    <font>
      <sz val="10"/>
      <color indexed="8"/>
      <name val="Arial"/>
      <family val="2"/>
    </font>
    <font>
      <u/>
      <sz val="12.3"/>
      <color theme="10"/>
      <name val="Calibri"/>
      <family val="2"/>
    </font>
    <font>
      <sz val="10"/>
      <name val="Cambria"/>
      <family val="1"/>
      <scheme val="major"/>
    </font>
    <font>
      <sz val="10"/>
      <color rgb="FFFF0000"/>
      <name val="Cambria"/>
      <family val="1"/>
      <scheme val="major"/>
    </font>
    <font>
      <sz val="10"/>
      <color theme="1"/>
      <name val="Cambria"/>
      <family val="1"/>
      <scheme val="major"/>
    </font>
    <font>
      <sz val="10"/>
      <color rgb="FF000000"/>
      <name val="Cambria"/>
      <family val="1"/>
      <scheme val="major"/>
    </font>
    <font>
      <sz val="10"/>
      <name val="Arial"/>
      <family val="2"/>
    </font>
    <font>
      <u/>
      <sz val="11"/>
      <color theme="10"/>
      <name val="Calibri"/>
      <family val="2"/>
    </font>
    <font>
      <sz val="11"/>
      <name val="Calibri"/>
      <family val="2"/>
    </font>
    <font>
      <sz val="11"/>
      <name val="Calibri"/>
      <family val="2"/>
      <scheme val="minor"/>
    </font>
    <font>
      <sz val="9"/>
      <color theme="1"/>
      <name val="Cambria"/>
      <family val="1"/>
      <scheme val="major"/>
    </font>
    <font>
      <sz val="8"/>
      <name val="Calibri"/>
      <family val="2"/>
      <scheme val="minor"/>
    </font>
    <font>
      <b/>
      <sz val="11"/>
      <name val="Times New Roman"/>
      <family val="1"/>
    </font>
    <font>
      <sz val="10"/>
      <name val="Cambria"/>
      <family val="2"/>
      <scheme val="major"/>
    </font>
    <font>
      <b/>
      <sz val="9"/>
      <name val="Calibri"/>
      <family val="2"/>
      <scheme val="minor"/>
    </font>
    <font>
      <b/>
      <sz val="9"/>
      <color theme="1"/>
      <name val="Calibri"/>
      <family val="2"/>
      <scheme val="minor"/>
    </font>
    <font>
      <sz val="11"/>
      <name val="Times New Roman"/>
      <family val="1"/>
    </font>
    <font>
      <b/>
      <sz val="10"/>
      <name val="Cambria"/>
      <family val="1"/>
      <scheme val="major"/>
    </font>
    <font>
      <b/>
      <sz val="10"/>
      <name val="Cambria"/>
      <family val="2"/>
      <scheme val="major"/>
    </font>
  </fonts>
  <fills count="24">
    <fill>
      <patternFill patternType="none"/>
    </fill>
    <fill>
      <patternFill patternType="gray125"/>
    </fill>
    <fill>
      <patternFill patternType="solid">
        <fgColor rgb="FF00B0F0"/>
        <bgColor indexed="64"/>
      </patternFill>
    </fill>
    <fill>
      <patternFill patternType="solid">
        <fgColor indexed="65"/>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rgb="FF008080"/>
        <bgColor indexed="64"/>
      </patternFill>
    </fill>
    <fill>
      <patternFill patternType="solid">
        <fgColor theme="5" tint="0.59999389629810485"/>
        <bgColor indexed="64"/>
      </patternFill>
    </fill>
    <fill>
      <patternFill patternType="solid">
        <fgColor theme="5"/>
        <bgColor indexed="64"/>
      </patternFill>
    </fill>
    <fill>
      <patternFill patternType="solid">
        <fgColor theme="1" tint="0.499984740745262"/>
        <bgColor indexed="64"/>
      </patternFill>
    </fill>
    <fill>
      <patternFill patternType="solid">
        <fgColor rgb="FFFFFF00"/>
        <bgColor indexed="64"/>
      </patternFill>
    </fill>
    <fill>
      <patternFill patternType="solid">
        <fgColor rgb="FF92D050"/>
        <bgColor indexed="64"/>
      </patternFill>
    </fill>
    <fill>
      <patternFill patternType="solid">
        <fgColor rgb="FF7030A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499984740745262"/>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bgColor theme="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6"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double">
        <color auto="1"/>
      </left>
      <right/>
      <top/>
      <bottom/>
      <diagonal/>
    </border>
    <border>
      <left/>
      <right/>
      <top style="thin">
        <color indexed="64"/>
      </top>
      <bottom/>
      <diagonal/>
    </border>
    <border>
      <left style="thin">
        <color indexed="64"/>
      </left>
      <right/>
      <top/>
      <bottom/>
      <diagonal/>
    </border>
  </borders>
  <cellStyleXfs count="8">
    <xf numFmtId="0" fontId="0" fillId="0" borderId="0"/>
    <xf numFmtId="0" fontId="2" fillId="0" borderId="0">
      <alignment vertical="top"/>
    </xf>
    <xf numFmtId="0" fontId="3"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0" fontId="8" fillId="0" borderId="0"/>
    <xf numFmtId="0" fontId="9" fillId="0" borderId="0" applyNumberFormat="0" applyFill="0" applyBorder="0" applyAlignment="0" applyProtection="0">
      <alignment vertical="top"/>
      <protection locked="0"/>
    </xf>
    <xf numFmtId="9" fontId="1" fillId="0" borderId="0" applyFont="0" applyFill="0" applyBorder="0" applyAlignment="0" applyProtection="0"/>
  </cellStyleXfs>
  <cellXfs count="121">
    <xf numFmtId="0" fontId="0" fillId="0" borderId="0" xfId="0"/>
    <xf numFmtId="0" fontId="6" fillId="0" borderId="0" xfId="0" applyFont="1" applyAlignment="1">
      <alignment horizontal="center" vertical="center"/>
    </xf>
    <xf numFmtId="0" fontId="5"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Fill="1" applyAlignment="1">
      <alignment horizontal="center" vertical="center"/>
    </xf>
    <xf numFmtId="0" fontId="0" fillId="0" borderId="1" xfId="0" applyBorder="1" applyAlignment="1">
      <alignment horizontal="center" vertical="center"/>
    </xf>
    <xf numFmtId="0" fontId="6" fillId="3" borderId="0" xfId="0" applyNumberFormat="1" applyFont="1" applyFill="1" applyAlignment="1">
      <alignment horizontal="center" vertical="center"/>
    </xf>
    <xf numFmtId="0" fontId="6" fillId="0" borderId="0" xfId="0" applyNumberFormat="1" applyFont="1" applyAlignment="1">
      <alignment horizontal="center" vertical="center"/>
    </xf>
    <xf numFmtId="166" fontId="6" fillId="0" borderId="0" xfId="0" applyNumberFormat="1" applyFont="1" applyAlignment="1">
      <alignment horizontal="center" vertical="center"/>
    </xf>
    <xf numFmtId="0" fontId="0" fillId="0" borderId="0" xfId="0" applyAlignment="1">
      <alignment horizontal="center" vertical="center"/>
    </xf>
    <xf numFmtId="0" fontId="14" fillId="5" borderId="3" xfId="1" applyFont="1" applyFill="1" applyBorder="1" applyAlignment="1">
      <alignment horizontal="center" vertical="center"/>
    </xf>
    <xf numFmtId="10" fontId="14" fillId="0" borderId="1" xfId="1" applyNumberFormat="1" applyFont="1" applyBorder="1" applyAlignment="1">
      <alignment horizontal="center" vertical="center" wrapText="1"/>
    </xf>
    <xf numFmtId="167" fontId="14" fillId="8" borderId="1" xfId="1" applyNumberFormat="1" applyFont="1" applyFill="1" applyBorder="1" applyAlignment="1">
      <alignment horizontal="center" vertical="center" wrapText="1"/>
    </xf>
    <xf numFmtId="0" fontId="14" fillId="0" borderId="1" xfId="1" applyFont="1" applyBorder="1" applyAlignment="1">
      <alignment horizontal="center" vertical="center" wrapText="1"/>
    </xf>
    <xf numFmtId="167" fontId="14" fillId="9" borderId="1" xfId="1" applyNumberFormat="1" applyFont="1" applyFill="1" applyBorder="1" applyAlignment="1">
      <alignment horizontal="center" vertical="center" wrapText="1"/>
    </xf>
    <xf numFmtId="14" fontId="0" fillId="10" borderId="1" xfId="0" applyNumberFormat="1" applyFill="1" applyBorder="1" applyAlignment="1">
      <alignment horizontal="center"/>
    </xf>
    <xf numFmtId="0" fontId="0" fillId="0" borderId="1" xfId="0" applyBorder="1" applyAlignment="1">
      <alignment horizontal="center"/>
    </xf>
    <xf numFmtId="0" fontId="0" fillId="5" borderId="1" xfId="0" applyFill="1" applyBorder="1" applyAlignment="1">
      <alignment horizontal="center"/>
    </xf>
    <xf numFmtId="10" fontId="0" fillId="0" borderId="1" xfId="0" applyNumberFormat="1" applyBorder="1" applyAlignment="1">
      <alignment horizontal="center"/>
    </xf>
    <xf numFmtId="0" fontId="0" fillId="0" borderId="0" xfId="0" applyAlignment="1">
      <alignment horizontal="center"/>
    </xf>
    <xf numFmtId="0" fontId="4" fillId="11"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6" fillId="13" borderId="1"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16" fillId="14" borderId="1" xfId="0" applyFont="1" applyFill="1" applyBorder="1" applyAlignment="1">
      <alignment horizontal="center" vertical="center" wrapText="1"/>
    </xf>
    <xf numFmtId="0" fontId="16" fillId="15" borderId="1" xfId="0" applyFont="1" applyFill="1" applyBorder="1" applyAlignment="1">
      <alignment horizontal="center" vertical="center" wrapText="1"/>
    </xf>
    <xf numFmtId="0" fontId="16" fillId="16"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17" fillId="0" borderId="2" xfId="0" applyFont="1" applyBorder="1" applyAlignment="1">
      <alignment horizontal="center" vertical="center" wrapText="1"/>
    </xf>
    <xf numFmtId="10" fontId="16" fillId="0" borderId="2" xfId="7" applyNumberFormat="1" applyFont="1" applyFill="1" applyBorder="1" applyAlignment="1">
      <alignment horizontal="center" vertical="center" wrapText="1"/>
    </xf>
    <xf numFmtId="0" fontId="18" fillId="5" borderId="3" xfId="1" applyFont="1" applyFill="1" applyBorder="1" applyAlignment="1">
      <alignment horizontal="center" vertical="center"/>
    </xf>
    <xf numFmtId="0" fontId="14" fillId="7" borderId="2" xfId="1" applyFont="1" applyFill="1" applyBorder="1" applyAlignment="1">
      <alignment horizontal="center" vertical="center" wrapText="1"/>
    </xf>
    <xf numFmtId="0" fontId="14" fillId="7" borderId="6" xfId="1" applyFont="1" applyFill="1" applyBorder="1" applyAlignment="1">
      <alignment vertical="center" wrapText="1"/>
    </xf>
    <xf numFmtId="14" fontId="14" fillId="0" borderId="2" xfId="1" applyNumberFormat="1" applyFont="1" applyBorder="1" applyAlignment="1">
      <alignment vertical="center" wrapText="1"/>
    </xf>
    <xf numFmtId="14" fontId="14" fillId="0" borderId="6" xfId="1" applyNumberFormat="1" applyFont="1" applyBorder="1" applyAlignment="1">
      <alignment vertical="center" wrapText="1"/>
    </xf>
    <xf numFmtId="0" fontId="14" fillId="0" borderId="2" xfId="1" applyFont="1" applyBorder="1" applyAlignment="1">
      <alignment vertical="center" wrapText="1"/>
    </xf>
    <xf numFmtId="0" fontId="14" fillId="0" borderId="6" xfId="1" applyFont="1" applyBorder="1" applyAlignment="1">
      <alignment vertical="center" wrapText="1"/>
    </xf>
    <xf numFmtId="167" fontId="14" fillId="6" borderId="5" xfId="1" applyNumberFormat="1" applyFont="1" applyFill="1" applyBorder="1" applyAlignment="1">
      <alignment vertical="center"/>
    </xf>
    <xf numFmtId="0" fontId="19" fillId="17" borderId="2" xfId="0" applyFont="1" applyFill="1" applyBorder="1" applyAlignment="1">
      <alignment horizontal="center" vertical="center" wrapText="1"/>
    </xf>
    <xf numFmtId="0" fontId="0" fillId="0" borderId="6" xfId="0" applyBorder="1" applyAlignment="1">
      <alignment horizontal="center"/>
    </xf>
    <xf numFmtId="167" fontId="14" fillId="6" borderId="4" xfId="1" applyNumberFormat="1" applyFont="1" applyFill="1" applyBorder="1" applyAlignment="1">
      <alignment vertical="center"/>
    </xf>
    <xf numFmtId="0" fontId="19" fillId="17" borderId="6" xfId="0" applyFont="1" applyFill="1" applyBorder="1" applyAlignment="1">
      <alignment horizontal="center" vertical="center" wrapText="1"/>
    </xf>
    <xf numFmtId="0" fontId="6" fillId="18" borderId="8" xfId="0" applyFont="1" applyFill="1" applyBorder="1" applyAlignment="1">
      <alignment horizontal="center" vertical="center"/>
    </xf>
    <xf numFmtId="0" fontId="0" fillId="10" borderId="1" xfId="0" applyFill="1" applyBorder="1" applyAlignment="1">
      <alignment horizontal="center" vertical="center"/>
    </xf>
    <xf numFmtId="14" fontId="0" fillId="0" borderId="0" xfId="0" applyNumberFormat="1"/>
    <xf numFmtId="0" fontId="19" fillId="18" borderId="1" xfId="0" applyFont="1" applyFill="1" applyBorder="1" applyAlignment="1">
      <alignment horizontal="center" vertical="center" wrapText="1"/>
    </xf>
    <xf numFmtId="0" fontId="0" fillId="10" borderId="0" xfId="0" applyFill="1"/>
    <xf numFmtId="0" fontId="0" fillId="10" borderId="1" xfId="0" applyNumberFormat="1" applyFill="1" applyBorder="1" applyAlignment="1">
      <alignment horizontal="center" vertical="center"/>
    </xf>
    <xf numFmtId="14" fontId="4" fillId="12" borderId="11" xfId="0" applyNumberFormat="1" applyFont="1" applyFill="1" applyBorder="1" applyAlignment="1">
      <alignment horizontal="center" vertical="center" wrapText="1"/>
    </xf>
    <xf numFmtId="14" fontId="0" fillId="0" borderId="1" xfId="0" applyNumberFormat="1" applyFill="1" applyBorder="1" applyAlignment="1">
      <alignment horizontal="center"/>
    </xf>
    <xf numFmtId="14" fontId="0" fillId="0" borderId="0" xfId="0" applyNumberFormat="1" applyFill="1" applyBorder="1" applyAlignment="1">
      <alignment horizontal="center"/>
    </xf>
    <xf numFmtId="0" fontId="0" fillId="0" borderId="0" xfId="0" applyBorder="1"/>
    <xf numFmtId="0" fontId="0" fillId="0" borderId="1" xfId="0" applyFill="1" applyBorder="1" applyAlignment="1">
      <alignment horizontal="center"/>
    </xf>
    <xf numFmtId="0" fontId="10" fillId="0" borderId="0" xfId="6" applyNumberFormat="1" applyFont="1" applyFill="1" applyBorder="1" applyAlignment="1" applyProtection="1">
      <alignment horizontal="center" vertical="center"/>
      <protection locked="0"/>
    </xf>
    <xf numFmtId="0" fontId="0" fillId="0" borderId="0" xfId="0" applyNumberFormat="1" applyFill="1" applyBorder="1" applyAlignment="1" applyProtection="1">
      <alignment horizontal="center" vertical="center" wrapText="1"/>
    </xf>
    <xf numFmtId="0" fontId="8" fillId="0" borderId="0" xfId="0" applyNumberFormat="1" applyFont="1" applyFill="1" applyBorder="1" applyAlignment="1">
      <alignment horizontal="center" vertical="center"/>
    </xf>
    <xf numFmtId="0" fontId="0" fillId="0" borderId="0" xfId="0" applyNumberFormat="1" applyFill="1" applyBorder="1" applyAlignment="1">
      <alignment horizontal="center" vertical="center"/>
    </xf>
    <xf numFmtId="0" fontId="0" fillId="21" borderId="0" xfId="0" applyFill="1"/>
    <xf numFmtId="0" fontId="12" fillId="18" borderId="8" xfId="0" applyFont="1" applyFill="1" applyBorder="1" applyAlignment="1">
      <alignment horizontal="center" vertical="center" wrapText="1"/>
    </xf>
    <xf numFmtId="14" fontId="6" fillId="18" borderId="8" xfId="0" applyNumberFormat="1" applyFont="1" applyFill="1" applyBorder="1" applyAlignment="1">
      <alignment horizontal="center" vertical="center"/>
    </xf>
    <xf numFmtId="1" fontId="7" fillId="18" borderId="8" xfId="0" applyNumberFormat="1" applyFont="1" applyFill="1" applyBorder="1" applyAlignment="1">
      <alignment horizontal="center" vertical="center" wrapText="1"/>
    </xf>
    <xf numFmtId="0" fontId="0" fillId="18" borderId="8" xfId="0" applyFont="1" applyFill="1" applyBorder="1" applyAlignment="1">
      <alignment horizontal="center" vertical="center"/>
    </xf>
    <xf numFmtId="0" fontId="10" fillId="18" borderId="8" xfId="6" applyFont="1" applyFill="1" applyBorder="1" applyAlignment="1" applyProtection="1">
      <alignment horizontal="center" vertical="center"/>
    </xf>
    <xf numFmtId="0" fontId="10" fillId="18" borderId="8" xfId="6" applyNumberFormat="1" applyFont="1" applyFill="1" applyBorder="1" applyAlignment="1" applyProtection="1">
      <alignment horizontal="center" vertical="center"/>
    </xf>
    <xf numFmtId="0" fontId="5" fillId="18" borderId="8" xfId="0" applyFont="1" applyFill="1" applyBorder="1" applyAlignment="1">
      <alignment horizontal="center" vertical="center"/>
    </xf>
    <xf numFmtId="166" fontId="6" fillId="18" borderId="8" xfId="0" applyNumberFormat="1" applyFont="1" applyFill="1" applyBorder="1" applyAlignment="1">
      <alignment horizontal="center" vertical="center"/>
    </xf>
    <xf numFmtId="0" fontId="6" fillId="18" borderId="8" xfId="0" applyNumberFormat="1" applyFont="1" applyFill="1" applyBorder="1" applyAlignment="1">
      <alignment horizontal="center" vertical="center"/>
    </xf>
    <xf numFmtId="0" fontId="0" fillId="18" borderId="8" xfId="0" applyNumberFormat="1" applyFont="1" applyFill="1" applyBorder="1" applyAlignment="1">
      <alignment horizontal="center" vertical="center" wrapText="1"/>
    </xf>
    <xf numFmtId="0" fontId="11" fillId="18" borderId="8" xfId="0" applyFont="1" applyFill="1" applyBorder="1" applyAlignment="1">
      <alignment horizontal="center" vertical="center"/>
    </xf>
    <xf numFmtId="164" fontId="6" fillId="18" borderId="8" xfId="0" applyNumberFormat="1" applyFont="1" applyFill="1" applyBorder="1" applyAlignment="1">
      <alignment horizontal="center" vertical="center"/>
    </xf>
    <xf numFmtId="14" fontId="8" fillId="18" borderId="8" xfId="0" applyNumberFormat="1" applyFont="1" applyFill="1" applyBorder="1" applyAlignment="1">
      <alignment horizontal="center" vertical="center"/>
    </xf>
    <xf numFmtId="0" fontId="8" fillId="18" borderId="8" xfId="5" applyNumberFormat="1" applyFont="1" applyFill="1" applyBorder="1" applyAlignment="1">
      <alignment horizontal="center" vertical="center" wrapText="1"/>
    </xf>
    <xf numFmtId="0" fontId="8" fillId="18" borderId="8" xfId="0" applyNumberFormat="1" applyFont="1" applyFill="1" applyBorder="1" applyAlignment="1">
      <alignment horizontal="center" vertical="center"/>
    </xf>
    <xf numFmtId="0" fontId="8" fillId="18" borderId="8" xfId="1" applyNumberFormat="1" applyFont="1" applyFill="1" applyBorder="1" applyAlignment="1">
      <alignment horizontal="center" vertical="center"/>
    </xf>
    <xf numFmtId="0" fontId="4" fillId="18" borderId="8" xfId="0" applyFont="1" applyFill="1" applyBorder="1" applyAlignment="1">
      <alignment horizontal="center" vertical="center" wrapText="1"/>
    </xf>
    <xf numFmtId="0" fontId="6" fillId="18" borderId="8" xfId="0" applyNumberFormat="1" applyFont="1" applyFill="1" applyBorder="1" applyAlignment="1">
      <alignment horizontal="center" vertical="center" wrapText="1"/>
    </xf>
    <xf numFmtId="0" fontId="7" fillId="18" borderId="8" xfId="0" applyFont="1" applyFill="1" applyBorder="1" applyAlignment="1">
      <alignment horizontal="center" vertical="center" wrapText="1"/>
    </xf>
    <xf numFmtId="0" fontId="4" fillId="18" borderId="8" xfId="0" applyNumberFormat="1" applyFont="1" applyFill="1" applyBorder="1" applyAlignment="1">
      <alignment horizontal="center" vertical="center" wrapText="1"/>
    </xf>
    <xf numFmtId="3" fontId="6" fillId="18" borderId="8" xfId="0" applyNumberFormat="1" applyFont="1" applyFill="1" applyBorder="1" applyAlignment="1">
      <alignment horizontal="center" vertical="center" wrapText="1"/>
    </xf>
    <xf numFmtId="165" fontId="4" fillId="18" borderId="8" xfId="0" applyNumberFormat="1" applyFont="1" applyFill="1" applyBorder="1" applyAlignment="1">
      <alignment horizontal="center" vertical="center" wrapText="1"/>
    </xf>
    <xf numFmtId="3" fontId="4" fillId="18" borderId="8" xfId="0" applyNumberFormat="1" applyFont="1" applyFill="1" applyBorder="1" applyAlignment="1">
      <alignment horizontal="center" vertical="center" wrapText="1"/>
    </xf>
    <xf numFmtId="164" fontId="6" fillId="18" borderId="8" xfId="0" applyNumberFormat="1" applyFont="1" applyFill="1" applyBorder="1" applyAlignment="1">
      <alignment horizontal="center" vertical="center" wrapText="1"/>
    </xf>
    <xf numFmtId="4" fontId="7" fillId="18" borderId="8" xfId="0" applyNumberFormat="1" applyFont="1" applyFill="1" applyBorder="1" applyAlignment="1">
      <alignment horizontal="center" vertical="center" wrapText="1"/>
    </xf>
    <xf numFmtId="0" fontId="6" fillId="18" borderId="8" xfId="0" applyFont="1" applyFill="1" applyBorder="1" applyAlignment="1">
      <alignment horizontal="center" vertical="center" wrapText="1"/>
    </xf>
    <xf numFmtId="164" fontId="4" fillId="18" borderId="8" xfId="0" applyNumberFormat="1" applyFont="1" applyFill="1" applyBorder="1" applyAlignment="1">
      <alignment horizontal="center" vertical="center" wrapText="1"/>
    </xf>
    <xf numFmtId="4" fontId="4" fillId="18" borderId="8" xfId="0" applyNumberFormat="1" applyFont="1" applyFill="1" applyBorder="1" applyAlignment="1">
      <alignment horizontal="center" vertical="center" wrapText="1"/>
    </xf>
    <xf numFmtId="3" fontId="6" fillId="18" borderId="8" xfId="0" applyNumberFormat="1" applyFont="1" applyFill="1" applyBorder="1" applyAlignment="1">
      <alignment horizontal="center" vertical="center"/>
    </xf>
    <xf numFmtId="49" fontId="4" fillId="18" borderId="8" xfId="0" applyNumberFormat="1" applyFont="1" applyFill="1" applyBorder="1" applyAlignment="1">
      <alignment horizontal="center" vertical="center" wrapText="1"/>
    </xf>
    <xf numFmtId="0" fontId="0" fillId="18" borderId="8" xfId="0" applyNumberFormat="1" applyFont="1" applyFill="1" applyBorder="1" applyAlignment="1">
      <alignment horizontal="center" vertical="center"/>
    </xf>
    <xf numFmtId="0" fontId="0" fillId="0" borderId="0" xfId="0" applyAlignment="1"/>
    <xf numFmtId="0" fontId="0" fillId="19" borderId="0" xfId="0" applyFill="1" applyAlignment="1"/>
    <xf numFmtId="0" fontId="0" fillId="19" borderId="12" xfId="0" applyFill="1" applyBorder="1" applyAlignment="1">
      <alignment horizontal="center"/>
    </xf>
    <xf numFmtId="14" fontId="0" fillId="22" borderId="0" xfId="0" applyNumberFormat="1" applyFill="1"/>
    <xf numFmtId="14" fontId="0" fillId="23" borderId="0" xfId="0" applyNumberFormat="1" applyFill="1" applyAlignment="1">
      <alignment horizontal="right"/>
    </xf>
    <xf numFmtId="0" fontId="0" fillId="23" borderId="0" xfId="0" applyFill="1" applyAlignment="1"/>
    <xf numFmtId="0" fontId="14" fillId="5" borderId="9" xfId="1" applyFont="1" applyFill="1" applyBorder="1" applyAlignment="1">
      <alignment horizontal="center" vertical="center"/>
    </xf>
    <xf numFmtId="0" fontId="6" fillId="18" borderId="13" xfId="0" applyFont="1" applyFill="1" applyBorder="1" applyAlignment="1">
      <alignment horizontal="center" vertical="center"/>
    </xf>
    <xf numFmtId="0" fontId="4" fillId="18" borderId="13" xfId="0" applyFont="1" applyFill="1" applyBorder="1" applyAlignment="1">
      <alignment horizontal="center" vertical="center" wrapText="1"/>
    </xf>
    <xf numFmtId="0" fontId="6" fillId="18" borderId="13" xfId="0" applyNumberFormat="1" applyFont="1" applyFill="1" applyBorder="1" applyAlignment="1">
      <alignment horizontal="center" vertical="center" wrapText="1"/>
    </xf>
    <xf numFmtId="0" fontId="19" fillId="11" borderId="0" xfId="0" applyFont="1" applyFill="1" applyBorder="1" applyAlignment="1">
      <alignment horizontal="center" vertical="center" wrapText="1"/>
    </xf>
    <xf numFmtId="0" fontId="19" fillId="20" borderId="14"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9" fillId="12" borderId="14" xfId="0" applyFont="1" applyFill="1" applyBorder="1" applyAlignment="1">
      <alignment horizontal="center" vertical="center" wrapText="1"/>
    </xf>
    <xf numFmtId="0" fontId="16" fillId="13" borderId="14" xfId="0" applyFont="1" applyFill="1" applyBorder="1" applyAlignment="1">
      <alignment horizontal="center" vertical="center" wrapText="1"/>
    </xf>
    <xf numFmtId="0" fontId="19" fillId="7" borderId="14" xfId="0" applyFont="1" applyFill="1" applyBorder="1" applyAlignment="1">
      <alignment horizontal="center" vertical="center" wrapText="1"/>
    </xf>
    <xf numFmtId="0" fontId="14" fillId="5" borderId="14" xfId="1" applyNumberFormat="1" applyFont="1" applyFill="1" applyBorder="1" applyAlignment="1">
      <alignment horizontal="center" vertical="center"/>
    </xf>
    <xf numFmtId="0" fontId="19" fillId="9" borderId="14" xfId="0" applyFont="1" applyFill="1" applyBorder="1" applyAlignment="1">
      <alignment horizontal="center" vertical="center" wrapText="1"/>
    </xf>
    <xf numFmtId="0" fontId="19" fillId="4" borderId="14" xfId="0" applyFont="1" applyFill="1" applyBorder="1" applyAlignment="1">
      <alignment horizontal="center" vertical="center" wrapText="1"/>
    </xf>
    <xf numFmtId="49" fontId="19" fillId="4" borderId="14" xfId="0" applyNumberFormat="1" applyFont="1" applyFill="1" applyBorder="1" applyAlignment="1">
      <alignment horizontal="center" vertical="center" wrapText="1"/>
    </xf>
    <xf numFmtId="167" fontId="14" fillId="6" borderId="14" xfId="1" applyNumberFormat="1" applyFont="1" applyFill="1" applyBorder="1" applyAlignment="1">
      <alignment vertical="center"/>
    </xf>
    <xf numFmtId="0" fontId="19" fillId="17" borderId="14" xfId="0" applyFont="1" applyFill="1" applyBorder="1" applyAlignment="1">
      <alignment horizontal="center" vertical="center" wrapText="1"/>
    </xf>
    <xf numFmtId="0" fontId="19" fillId="18" borderId="14" xfId="0" applyFont="1" applyFill="1" applyBorder="1" applyAlignment="1">
      <alignment horizontal="center" vertical="center" wrapText="1"/>
    </xf>
    <xf numFmtId="167" fontId="14" fillId="8" borderId="14" xfId="1" applyNumberFormat="1" applyFont="1" applyFill="1" applyBorder="1" applyAlignment="1">
      <alignment horizontal="center" vertical="center" wrapText="1"/>
    </xf>
    <xf numFmtId="167" fontId="14" fillId="9" borderId="14" xfId="1" applyNumberFormat="1" applyFont="1" applyFill="1" applyBorder="1" applyAlignment="1">
      <alignment horizontal="center" vertical="center" wrapText="1"/>
    </xf>
    <xf numFmtId="0" fontId="14" fillId="5" borderId="7" xfId="1" applyFont="1" applyFill="1" applyBorder="1" applyAlignment="1">
      <alignment horizontal="center" vertical="center"/>
    </xf>
    <xf numFmtId="0" fontId="14" fillId="5" borderId="9" xfId="1" applyFont="1" applyFill="1" applyBorder="1" applyAlignment="1">
      <alignment horizontal="center" vertical="center"/>
    </xf>
    <xf numFmtId="0" fontId="14" fillId="0" borderId="7" xfId="1" applyFont="1" applyBorder="1" applyAlignment="1">
      <alignment horizontal="center" vertical="center" wrapText="1"/>
    </xf>
    <xf numFmtId="0" fontId="14" fillId="0" borderId="3" xfId="1" applyFont="1" applyBorder="1" applyAlignment="1">
      <alignment horizontal="center" vertical="center" wrapText="1"/>
    </xf>
    <xf numFmtId="0" fontId="0" fillId="0" borderId="1" xfId="0" applyBorder="1"/>
    <xf numFmtId="14" fontId="0" fillId="0" borderId="1" xfId="0" applyNumberFormat="1" applyBorder="1" applyAlignment="1">
      <alignment horizontal="center"/>
    </xf>
  </cellXfs>
  <cellStyles count="8">
    <cellStyle name="Hyperlink" xfId="6" builtinId="8"/>
    <cellStyle name="Lien hypertexte 2" xfId="2" xr:uid="{00000000-0005-0000-0000-000001000000}"/>
    <cellStyle name="Normal" xfId="0" builtinId="0"/>
    <cellStyle name="Normal 2" xfId="1" xr:uid="{00000000-0005-0000-0000-000003000000}"/>
    <cellStyle name="Normal 2 2" xfId="3" xr:uid="{00000000-0005-0000-0000-000004000000}"/>
    <cellStyle name="Normal 3" xfId="5" xr:uid="{00000000-0005-0000-0000-000005000000}"/>
    <cellStyle name="Percent" xfId="7" builtinId="5"/>
    <cellStyle name="Pourcentage 2" xfId="4" xr:uid="{00000000-0005-0000-0000-000007000000}"/>
  </cellStyles>
  <dxfs count="29">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numFmt numFmtId="0" formatCode="General"/>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numFmt numFmtId="0" formatCode="General"/>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numFmt numFmtId="166" formatCode="0;0;"/>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Cambria"/>
        <family val="1"/>
        <scheme val="major"/>
      </font>
      <fill>
        <patternFill patternType="solid">
          <fgColor indexed="64"/>
          <bgColor theme="6" tint="0.79998168889431442"/>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Cambria"/>
        <family val="1"/>
        <scheme val="major"/>
      </font>
      <fill>
        <patternFill patternType="solid">
          <fgColor indexed="64"/>
          <bgColor theme="6" tint="0.79998168889431442"/>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rgb="FF000000"/>
        <name val="Cambria"/>
        <family val="1"/>
        <scheme val="major"/>
      </font>
      <numFmt numFmtId="1" formatCode="0"/>
      <fill>
        <patternFill patternType="solid">
          <fgColor indexed="64"/>
          <bgColor theme="6" tint="0.79998168889431442"/>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numFmt numFmtId="168" formatCode="dd/mm/yyyy"/>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Cambria"/>
        <family val="1"/>
        <scheme val="major"/>
      </font>
      <fill>
        <patternFill patternType="solid">
          <fgColor indexed="64"/>
          <bgColor theme="6" tint="0.79998168889431442"/>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Cambria"/>
        <family val="1"/>
        <scheme val="major"/>
      </font>
      <fill>
        <patternFill patternType="solid">
          <fgColor indexed="64"/>
          <bgColor theme="6" tint="0.79998168889431442"/>
        </patternFill>
      </fill>
      <alignment horizontal="center" vertical="center" textRotation="0" wrapText="1" indent="0" justifyLastLine="0" shrinkToFit="0" readingOrder="0"/>
      <border diagonalUp="0" diagonalDown="0">
        <left/>
        <right/>
        <top style="thin">
          <color indexed="64"/>
        </top>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mbria"/>
        <family val="1"/>
        <scheme val="major"/>
      </font>
      <fill>
        <patternFill patternType="solid">
          <fgColor indexed="64"/>
          <bgColor theme="6" tint="0.79998168889431442"/>
        </patternFill>
      </fill>
      <alignment horizontal="center" vertical="center" textRotation="0" wrapText="0" indent="0" justifyLastLine="0" shrinkToFit="0" readingOrder="0"/>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63240"/>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11</xdr:col>
      <xdr:colOff>533400</xdr:colOff>
      <xdr:row>38</xdr:row>
      <xdr:rowOff>123825</xdr:rowOff>
    </xdr:from>
    <xdr:to>
      <xdr:col>17</xdr:col>
      <xdr:colOff>714375</xdr:colOff>
      <xdr:row>44</xdr:row>
      <xdr:rowOff>180975</xdr:rowOff>
    </xdr:to>
    <xdr:sp macro="" textlink="">
      <xdr:nvSpPr>
        <xdr:cNvPr id="2" name="ZoneTexte 1">
          <a:extLst>
            <a:ext uri="{FF2B5EF4-FFF2-40B4-BE49-F238E27FC236}">
              <a16:creationId xmlns:a16="http://schemas.microsoft.com/office/drawing/2014/main" id="{FD8C81A6-A796-4CCF-AC15-1F661EC346D0}"/>
            </a:ext>
          </a:extLst>
        </xdr:cNvPr>
        <xdr:cNvSpPr txBox="1"/>
      </xdr:nvSpPr>
      <xdr:spPr>
        <a:xfrm>
          <a:off x="9058275" y="7924800"/>
          <a:ext cx="6019800" cy="1200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je veux que quand je choisis la forme en B2 et la dimension en B3 du laiton, les données des colonnes colorées seront remplies à partir de la "Base de données"</a:t>
          </a:r>
          <a:br>
            <a:rPr lang="fr-BE"/>
          </a:br>
          <a:r>
            <a:rPr lang="fr-BE"/>
            <a:t>la feuille "achat laiton" sera remplie par les données d'achat du laiton</a:t>
          </a:r>
          <a:br>
            <a:rPr lang="fr-BE"/>
          </a:br>
          <a:r>
            <a:rPr lang="fr-BE"/>
            <a:t>la feuille vente du laiton sera remplie par les données de vente</a:t>
          </a:r>
          <a:br>
            <a:rPr lang="fr-BE"/>
          </a:br>
          <a:r>
            <a:rPr lang="fr-BE"/>
            <a:t>les colonnes dans les feuilles et celles de la Base de données portent les même noms</a:t>
          </a:r>
          <a:br>
            <a:rPr lang="fr-BE"/>
          </a:br>
          <a:r>
            <a:rPr lang="fr-BE"/>
            <a:t>j'ai fais une correspondance de couleurs entre la source des données et les feuilles à remplir</a:t>
          </a:r>
          <a:endParaRPr lang="fr-BE" sz="1100"/>
        </a:p>
      </xdr:txBody>
    </xdr:sp>
    <xdr:clientData/>
  </xdr:twoCellAnchor>
  <xdr:oneCellAnchor>
    <xdr:from>
      <xdr:col>7</xdr:col>
      <xdr:colOff>514350</xdr:colOff>
      <xdr:row>0</xdr:row>
      <xdr:rowOff>104775</xdr:rowOff>
    </xdr:from>
    <xdr:ext cx="184731" cy="264560"/>
    <xdr:sp macro="" textlink="">
      <xdr:nvSpPr>
        <xdr:cNvPr id="4" name="ZoneTexte 3">
          <a:extLst>
            <a:ext uri="{FF2B5EF4-FFF2-40B4-BE49-F238E27FC236}">
              <a16:creationId xmlns:a16="http://schemas.microsoft.com/office/drawing/2014/main" id="{E8E8DB0F-C4AC-4D7D-B606-52FF397D0825}"/>
            </a:ext>
          </a:extLst>
        </xdr:cNvPr>
        <xdr:cNvSpPr txBox="1"/>
      </xdr:nvSpPr>
      <xdr:spPr>
        <a:xfrm>
          <a:off x="5848350" y="104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13</xdr:col>
      <xdr:colOff>381000</xdr:colOff>
      <xdr:row>24</xdr:row>
      <xdr:rowOff>95249</xdr:rowOff>
    </xdr:from>
    <xdr:to>
      <xdr:col>15</xdr:col>
      <xdr:colOff>381000</xdr:colOff>
      <xdr:row>28</xdr:row>
      <xdr:rowOff>9524</xdr:rowOff>
    </xdr:to>
    <xdr:sp macro="" textlink="">
      <xdr:nvSpPr>
        <xdr:cNvPr id="3" name="Phylactère : pensées 2">
          <a:extLst>
            <a:ext uri="{FF2B5EF4-FFF2-40B4-BE49-F238E27FC236}">
              <a16:creationId xmlns:a16="http://schemas.microsoft.com/office/drawing/2014/main" id="{D5A28B6C-2404-49D8-803A-454DB63D6BC4}"/>
            </a:ext>
          </a:extLst>
        </xdr:cNvPr>
        <xdr:cNvSpPr/>
      </xdr:nvSpPr>
      <xdr:spPr>
        <a:xfrm>
          <a:off x="11830050" y="4981574"/>
          <a:ext cx="1524000" cy="676275"/>
        </a:xfrm>
        <a:prstGeom prst="cloudCallout">
          <a:avLst>
            <a:gd name="adj1" fmla="val 3018"/>
            <a:gd name="adj2" fmla="val -164288"/>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fr-BE" sz="1100"/>
            <a:t>colonne W</a:t>
          </a:r>
        </a:p>
        <a:p>
          <a:pPr algn="l"/>
          <a:r>
            <a:rPr lang="fr-BE" sz="1100"/>
            <a:t>dans BDD</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28575</xdr:colOff>
      <xdr:row>1</xdr:row>
      <xdr:rowOff>0</xdr:rowOff>
    </xdr:from>
    <xdr:to>
      <xdr:col>11</xdr:col>
      <xdr:colOff>285750</xdr:colOff>
      <xdr:row>5</xdr:row>
      <xdr:rowOff>142875</xdr:rowOff>
    </xdr:to>
    <xdr:sp macro="" textlink="">
      <xdr:nvSpPr>
        <xdr:cNvPr id="2" name="ZoneTexte 1">
          <a:extLst>
            <a:ext uri="{FF2B5EF4-FFF2-40B4-BE49-F238E27FC236}">
              <a16:creationId xmlns:a16="http://schemas.microsoft.com/office/drawing/2014/main" id="{E331BAFC-AA28-4AB2-AF6B-E6B00B15654E}"/>
            </a:ext>
          </a:extLst>
        </xdr:cNvPr>
        <xdr:cNvSpPr txBox="1"/>
      </xdr:nvSpPr>
      <xdr:spPr>
        <a:xfrm>
          <a:off x="3838575" y="190500"/>
          <a:ext cx="4829175"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une dernière question, en ce qui concerne la feuille " liste" , on alimentant la base de données avec d'autres types de laiton comment dois-je procéder , est ce que je dois tout simplement saisir le nouveau type dans les deux colonnes E et G de la feuille "liste"?</a:t>
          </a:r>
        </a:p>
      </xdr:txBody>
    </xdr:sp>
    <xdr:clientData/>
  </xdr:twoCellAnchor>
  <xdr:twoCellAnchor>
    <xdr:from>
      <xdr:col>5</xdr:col>
      <xdr:colOff>9525</xdr:colOff>
      <xdr:row>6</xdr:row>
      <xdr:rowOff>180975</xdr:rowOff>
    </xdr:from>
    <xdr:to>
      <xdr:col>11</xdr:col>
      <xdr:colOff>219075</xdr:colOff>
      <xdr:row>13</xdr:row>
      <xdr:rowOff>66675</xdr:rowOff>
    </xdr:to>
    <xdr:sp macro="" textlink="">
      <xdr:nvSpPr>
        <xdr:cNvPr id="3" name="ZoneTexte 2">
          <a:extLst>
            <a:ext uri="{FF2B5EF4-FFF2-40B4-BE49-F238E27FC236}">
              <a16:creationId xmlns:a16="http://schemas.microsoft.com/office/drawing/2014/main" id="{74A53501-CE2B-4886-AC7D-A91487CB9775}"/>
            </a:ext>
          </a:extLst>
        </xdr:cNvPr>
        <xdr:cNvSpPr txBox="1"/>
      </xdr:nvSpPr>
      <xdr:spPr>
        <a:xfrm>
          <a:off x="3819525" y="1323975"/>
          <a:ext cx="478155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Les listes sont dynamiques</a:t>
          </a:r>
        </a:p>
        <a:p>
          <a:r>
            <a:rPr lang="fr-BE" sz="1100"/>
            <a:t>tu peux ajouter (ou supprimer) autant de forme ou de dia ou de matière que tu veux.</a:t>
          </a:r>
        </a:p>
        <a:p>
          <a:r>
            <a:rPr lang="fr-BE" sz="1100"/>
            <a:t>On peut aussi faire des listes spécifiques. Par exemple une liste de dia qui correspond seulement au rond, ce qui fait que tu mets rondon ne propose que les dia  spécifiques des rond</a:t>
          </a:r>
        </a:p>
      </xdr:txBody>
    </xdr:sp>
    <xdr:clientData/>
  </xdr:twoCellAnchor>
</xdr:wsDr>
</file>

<file path=xl/persons/person.xml><?xml version="1.0" encoding="utf-8"?>
<personList xmlns="http://schemas.microsoft.com/office/spreadsheetml/2018/threadedcomments" xmlns:x="http://schemas.openxmlformats.org/spreadsheetml/2006/main">
  <person displayName="TOSHIBA" id="{87B01068-E7F2-4D90-8BA3-7B4B96EC8C08}" userId="TOSHIBA" providerId="Non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747EED8-0F8E-4E64-9942-DA0825BFF844}" name="Tableau1" displayName="Tableau1" ref="A2:AA114" totalsRowShown="0" dataDxfId="26" tableBorderDxfId="25">
  <autoFilter ref="A2:AA114" xr:uid="{9214A355-70DF-4111-A03D-33D56F238CCF}"/>
  <tableColumns count="27">
    <tableColumn id="1" xr3:uid="{1F9336F0-6A3B-4923-BDE6-7F4593AA176E}" name="Facture N°" dataDxfId="24"/>
    <tableColumn id="2" xr3:uid="{39BF6259-8841-4FAC-B5A3-82A042A5F06E}" name="Origine" dataDxfId="23"/>
    <tableColumn id="3" xr3:uid="{5A133C78-B79D-4DE6-B7DA-176C782623A7}" name="N° déclarat° export" dataDxfId="22"/>
    <tableColumn id="4" xr3:uid="{2EC50FB1-7703-489C-B114-4137D8036DDF}" name="Date déclarat° export" dataDxfId="21"/>
    <tableColumn id="5" xr3:uid="{A4E7C4AD-74D3-4974-9CEF-77FB135738B4}" name="Réf article" dataDxfId="20"/>
    <tableColumn id="6" xr3:uid="{0800A5B9-3052-4D26-996A-EC927A690330}" name="Désignation" dataDxfId="19"/>
    <tableColumn id="7" xr3:uid="{3E1ADC43-A582-4E22-A9FD-827FDE903974}" name="N° fiche" dataDxfId="18"/>
    <tableColumn id="8" xr3:uid="{3050E2F6-296E-4D3F-85AA-EFE0A4EF45DD}" name="matière" dataDxfId="17"/>
    <tableColumn id="9" xr3:uid="{22474D03-CA8E-4EA8-8A73-AF68C53E80BE}" name="forme"/>
    <tableColumn id="10" xr3:uid="{35AB0737-733D-4CF9-AD65-BE5F5DA46237}" name="taille"/>
    <tableColumn id="11" xr3:uid="{30EEDC14-2FCD-484F-8390-8D6FAE0A140A}" name="N° déclarat° import" dataDxfId="16"/>
    <tableColumn id="12" xr3:uid="{48CF9DD6-50E6-4C55-A447-0FDE21977666}" name="Qté livrée" dataDxfId="15"/>
    <tableColumn id="13" xr3:uid="{5D77B2FD-A7D7-463D-AB88-AA9BF4F0D0CB}" name="Poids net/ pièce" dataDxfId="14"/>
    <tableColumn id="14" xr3:uid="{6E2325B9-2B34-498A-9E09-EBCFA7F58FAB}" name="longueur pièce" dataDxfId="13"/>
    <tableColumn id="15" xr3:uid="{7BB17295-A7FB-43B5-890E-6201365BBC54}" name="nbre pièces /barre" dataDxfId="12"/>
    <tableColumn id="16" xr3:uid="{211C77C0-015E-48B8-926F-B16C6C550C10}" name="pids par barre" dataDxfId="11"/>
    <tableColumn id="17" xr3:uid="{F70B77A5-E7CC-4F12-AFB3-33B7E9A3245D}" name="POIDS NET TOTAL" dataDxfId="10"/>
    <tableColumn id="18" xr3:uid="{4C7CB2C3-E55C-4799-B403-9EEAEDA4E0DD}" name="Poids brut/pièce" dataDxfId="9"/>
    <tableColumn id="19" xr3:uid="{C08A9C63-C5E3-4ED9-81A6-8341226BC8F5}" name="Qté utilisée" dataDxfId="8"/>
    <tableColumn id="20" xr3:uid="{7BE54AE7-5E42-4BE8-B97C-865FF7A43B48}" name="Qté importée" dataDxfId="7"/>
    <tableColumn id="21" xr3:uid="{99A624D4-AB7E-4B2F-B133-6A40905FF6AC}" name="QTE STOCK INIT (Kg)" dataDxfId="6"/>
    <tableColumn id="22" xr3:uid="{CF9555E9-4BA8-44F0-91F9-49F909AE9ECE}" name="stock (Kg)" dataDxfId="5">
      <calculatedColumnFormula>IF(SUMPRODUCT(MAX(('Base de données'!$D$3:$D$114)*(('Base de données'!$H$3:$H$114='Base de données'!$H3)*('Base de données'!$I$3:$I$114='Base de données'!$I3)*('Base de données'!$J$3:$J$114='Base de données'!$J3))))&lt;&gt;'Base de données'!$D3,"",SUMPRODUCT((-'Base de données'!$S$3:$S$114+'Base de données'!$T$3:$T$114+'Base de données'!$U$3:$U$114)*(('Base de données'!$H$3:$H$114='Base de données'!$H3)*('Base de données'!$I$3:$I$114='Base de données'!$I3)*('Base de données'!$J$3:$J$114='Base de données'!$J3))))</calculatedColumnFormula>
    </tableColumn>
    <tableColumn id="23" xr3:uid="{6D6588FE-7118-4B0A-894B-989A8F141596}" name="Poids copeaux/_x000a_pièce" dataDxfId="4"/>
    <tableColumn id="24" xr3:uid="{B66F28AF-9A70-4296-AAC0-B1909B18427C}" name="poids copeaux total" dataDxfId="3"/>
    <tableColumn id="25" xr3:uid="{B8849BCE-FC3B-4FCF-9A08-A88781ABE179}" name="Participat° dans la FB" dataDxfId="2"/>
    <tableColumn id="26" xr3:uid="{A51185F4-9607-4380-A009-9B891A1D5702}" name="Poids déchet  fin de barre total" dataDxfId="1"/>
    <tableColumn id="27" xr3:uid="{9C48DB43-BE18-4ACB-8ED0-0C573C4027B2}" name="POIDS DECHET total "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5" dT="2020-02-22T08:56:23.40" personId="{87B01068-E7F2-4D90-8BA3-7B4B96EC8C08}" id="{BC15870E-BEF1-4931-AD6A-00E60C0DC8B3}">
    <text>date de l'achat</text>
  </threadedComment>
</ThreadedComments>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AA116"/>
  <sheetViews>
    <sheetView zoomScale="96" zoomScaleNormal="96" workbookViewId="0">
      <pane ySplit="2" topLeftCell="A3" activePane="bottomLeft" state="frozen"/>
      <selection pane="bottomLeft" activeCell="U2" sqref="U2:U114"/>
    </sheetView>
  </sheetViews>
  <sheetFormatPr defaultColWidth="11.5703125" defaultRowHeight="12.75"/>
  <cols>
    <col min="1" max="1" width="12.5703125" style="1" customWidth="1"/>
    <col min="2" max="2" width="10.5703125" style="1" customWidth="1"/>
    <col min="3" max="3" width="20.28515625" style="1" customWidth="1"/>
    <col min="4" max="4" width="22.28515625" style="7" customWidth="1"/>
    <col min="5" max="5" width="12" style="3" customWidth="1"/>
    <col min="6" max="6" width="24.28515625" style="1" customWidth="1"/>
    <col min="7" max="7" width="10" style="4" customWidth="1"/>
    <col min="8" max="8" width="10.140625" style="1" customWidth="1"/>
    <col min="9" max="9" width="8.5703125" style="1" customWidth="1"/>
    <col min="10" max="10" width="7.7109375" style="6" customWidth="1"/>
    <col min="11" max="11" width="20.5703125" style="1" customWidth="1"/>
    <col min="12" max="12" width="11.85546875" style="1" customWidth="1"/>
    <col min="13" max="13" width="17.7109375" style="1" customWidth="1"/>
    <col min="14" max="14" width="16.5703125" style="1" customWidth="1"/>
    <col min="15" max="15" width="20.140625" style="2" customWidth="1"/>
    <col min="16" max="16" width="16.140625" style="1" customWidth="1"/>
    <col min="17" max="17" width="19.28515625" style="1" customWidth="1"/>
    <col min="18" max="18" width="18.28515625" style="1" customWidth="1"/>
    <col min="19" max="19" width="13.5703125" style="8" customWidth="1"/>
    <col min="20" max="20" width="15" style="1" customWidth="1"/>
    <col min="21" max="21" width="22" style="1" customWidth="1"/>
    <col min="22" max="22" width="14.28515625" style="1" bestFit="1" customWidth="1"/>
    <col min="23" max="23" width="24" style="1" bestFit="1" customWidth="1"/>
    <col min="24" max="24" width="26" style="1" bestFit="1" customWidth="1"/>
    <col min="25" max="25" width="24.140625" style="1" bestFit="1" customWidth="1"/>
    <col min="26" max="26" width="32.42578125" style="1" bestFit="1" customWidth="1"/>
    <col min="27" max="27" width="23" style="1" bestFit="1" customWidth="1"/>
    <col min="28" max="16384" width="11.5703125" style="1"/>
  </cols>
  <sheetData>
    <row r="1" spans="1:27">
      <c r="S1" s="8">
        <f>SUBTOTAL(9,S2:S107)</f>
        <v>8253.3081020685258</v>
      </c>
      <c r="T1" s="8">
        <f t="shared" ref="T1:U1" si="0">SUBTOTAL(9,T2:T107)</f>
        <v>13376.119999999999</v>
      </c>
      <c r="U1" s="8">
        <f t="shared" si="0"/>
        <v>3199.6830000000004</v>
      </c>
    </row>
    <row r="2" spans="1:27" ht="52.5" customHeight="1">
      <c r="A2" s="100" t="s">
        <v>0</v>
      </c>
      <c r="B2" s="101" t="s">
        <v>1</v>
      </c>
      <c r="C2" s="102" t="s">
        <v>2</v>
      </c>
      <c r="D2" s="103" t="s">
        <v>3</v>
      </c>
      <c r="E2" s="104" t="s">
        <v>4</v>
      </c>
      <c r="F2" s="104" t="s">
        <v>5</v>
      </c>
      <c r="G2" s="105" t="s">
        <v>6</v>
      </c>
      <c r="H2" s="106" t="s">
        <v>7</v>
      </c>
      <c r="I2" s="106" t="s">
        <v>8</v>
      </c>
      <c r="J2" s="106" t="s">
        <v>9</v>
      </c>
      <c r="K2" s="101" t="s">
        <v>10</v>
      </c>
      <c r="L2" s="107" t="s">
        <v>11</v>
      </c>
      <c r="M2" s="108" t="s">
        <v>12</v>
      </c>
      <c r="N2" s="109" t="s">
        <v>13</v>
      </c>
      <c r="O2" s="108" t="s">
        <v>14</v>
      </c>
      <c r="P2" s="108" t="s">
        <v>15</v>
      </c>
      <c r="Q2" s="108" t="s">
        <v>16</v>
      </c>
      <c r="R2" s="108" t="s">
        <v>17</v>
      </c>
      <c r="S2" s="110" t="s">
        <v>18</v>
      </c>
      <c r="T2" s="111" t="s">
        <v>19</v>
      </c>
      <c r="U2" s="112" t="s">
        <v>20</v>
      </c>
      <c r="V2" s="108" t="s">
        <v>21</v>
      </c>
      <c r="W2" s="112" t="s">
        <v>22</v>
      </c>
      <c r="X2" s="113" t="s">
        <v>23</v>
      </c>
      <c r="Y2" s="114" t="s">
        <v>24</v>
      </c>
      <c r="Z2" s="114" t="s">
        <v>25</v>
      </c>
      <c r="AA2" s="112" t="s">
        <v>26</v>
      </c>
    </row>
    <row r="3" spans="1:27" ht="24.95" customHeight="1">
      <c r="A3" s="97"/>
      <c r="B3" s="59" t="s">
        <v>27</v>
      </c>
      <c r="C3" s="43"/>
      <c r="D3" s="60">
        <v>42735</v>
      </c>
      <c r="E3" s="61"/>
      <c r="F3" s="43"/>
      <c r="G3" s="43"/>
      <c r="H3" s="62" t="s">
        <v>28</v>
      </c>
      <c r="I3" s="63" t="s">
        <v>29</v>
      </c>
      <c r="J3" s="64">
        <v>6</v>
      </c>
      <c r="K3" s="43"/>
      <c r="L3" s="43"/>
      <c r="M3" s="43"/>
      <c r="N3" s="43"/>
      <c r="O3" s="65"/>
      <c r="P3" s="43"/>
      <c r="Q3" s="43"/>
      <c r="R3" s="43"/>
      <c r="S3" s="66">
        <v>0</v>
      </c>
      <c r="T3" s="67"/>
      <c r="U3" s="68">
        <v>123.69000000000001</v>
      </c>
      <c r="V3" s="68">
        <f>IF(SUMPRODUCT(MAX(('Base de données'!$D$3:$D$114)*(('Base de données'!$H$3:$H$114='Base de données'!$H3)*('Base de données'!$I$3:$I$114='Base de données'!$I3)*('Base de données'!$J$3:$J$114='Base de données'!$J3))))&lt;&gt;'Base de données'!$D3,"",SUMPRODUCT((-'Base de données'!$S$3:$S$114+'Base de données'!$T$3:$T$114+'Base de données'!$U$3:$U$114)*(('Base de données'!$H$3:$H$114='Base de données'!$H3)*('Base de données'!$I$3:$I$114='Base de données'!$I3)*('Base de données'!$J$3:$J$114='Base de données'!$J3))))</f>
        <v>123.69000000000001</v>
      </c>
      <c r="W3" s="43"/>
      <c r="X3" s="43"/>
      <c r="Y3" s="43"/>
      <c r="Z3" s="43"/>
      <c r="AA3" s="43"/>
    </row>
    <row r="4" spans="1:27" ht="24.95" customHeight="1">
      <c r="A4" s="97"/>
      <c r="B4" s="59" t="s">
        <v>27</v>
      </c>
      <c r="C4" s="43"/>
      <c r="D4" s="60">
        <v>42735</v>
      </c>
      <c r="E4" s="61"/>
      <c r="F4" s="43"/>
      <c r="G4" s="43"/>
      <c r="H4" s="62" t="s">
        <v>28</v>
      </c>
      <c r="I4" s="63" t="s">
        <v>30</v>
      </c>
      <c r="J4" s="68">
        <v>8</v>
      </c>
      <c r="K4" s="43"/>
      <c r="L4" s="43"/>
      <c r="M4" s="43"/>
      <c r="N4" s="43"/>
      <c r="O4" s="65"/>
      <c r="P4" s="43"/>
      <c r="Q4" s="43"/>
      <c r="R4" s="43"/>
      <c r="S4" s="66">
        <v>0</v>
      </c>
      <c r="T4" s="67"/>
      <c r="U4" s="68">
        <v>40.067999999999998</v>
      </c>
      <c r="V4" s="68" t="str">
        <f>IF(SUMPRODUCT(MAX(('Base de données'!$D$3:$D$114)*(('Base de données'!$H$3:$H$114='Base de données'!$H4)*('Base de données'!$I$3:$I$114='Base de données'!$I4)*('Base de données'!$J$3:$J$114='Base de données'!$J4))))&lt;&gt;'Base de données'!$D4,"",SUMPRODUCT((-'Base de données'!$S$3:$S$114+'Base de données'!$T$3:$T$114+'Base de données'!$U$3:$U$114)*(('Base de données'!$H$3:$H$114='Base de données'!$H4)*('Base de données'!$I$3:$I$114='Base de données'!$I4)*('Base de données'!$J$3:$J$114='Base de données'!$J4))))</f>
        <v/>
      </c>
      <c r="W4" s="43"/>
      <c r="X4" s="43"/>
      <c r="Y4" s="43"/>
      <c r="Z4" s="43"/>
      <c r="AA4" s="43"/>
    </row>
    <row r="5" spans="1:27" ht="24.95" customHeight="1">
      <c r="A5" s="97"/>
      <c r="B5" s="59" t="s">
        <v>27</v>
      </c>
      <c r="C5" s="43"/>
      <c r="D5" s="60">
        <v>42735</v>
      </c>
      <c r="E5" s="61"/>
      <c r="F5" s="43"/>
      <c r="G5" s="43"/>
      <c r="H5" s="62" t="s">
        <v>28</v>
      </c>
      <c r="I5" s="63" t="s">
        <v>30</v>
      </c>
      <c r="J5" s="64">
        <v>10</v>
      </c>
      <c r="K5" s="43"/>
      <c r="L5" s="43"/>
      <c r="M5" s="43"/>
      <c r="N5" s="43"/>
      <c r="O5" s="65"/>
      <c r="P5" s="43"/>
      <c r="Q5" s="43"/>
      <c r="R5" s="43"/>
      <c r="S5" s="66">
        <v>0</v>
      </c>
      <c r="T5" s="67"/>
      <c r="U5" s="68">
        <v>346.42499999999995</v>
      </c>
      <c r="V5" s="68">
        <f>IF(SUMPRODUCT(MAX(('Base de données'!$D$3:$D$114)*(('Base de données'!$H$3:$H$114='Base de données'!$H5)*('Base de données'!$I$3:$I$114='Base de données'!$I5)*('Base de données'!$J$3:$J$114='Base de données'!$J5))))&lt;&gt;'Base de données'!$D5,"",SUMPRODUCT((-'Base de données'!$S$3:$S$114+'Base de données'!$T$3:$T$114+'Base de données'!$U$3:$U$114)*(('Base de données'!$H$3:$H$114='Base de données'!$H5)*('Base de données'!$I$3:$I$114='Base de données'!$I5)*('Base de données'!$J$3:$J$114='Base de données'!$J5))))</f>
        <v>346.42499999999995</v>
      </c>
      <c r="W5" s="43"/>
      <c r="X5" s="43"/>
      <c r="Y5" s="43"/>
      <c r="Z5" s="43"/>
      <c r="AA5" s="43"/>
    </row>
    <row r="6" spans="1:27" ht="24.95" customHeight="1">
      <c r="A6" s="97"/>
      <c r="B6" s="59" t="s">
        <v>27</v>
      </c>
      <c r="C6" s="43"/>
      <c r="D6" s="60">
        <v>42735</v>
      </c>
      <c r="E6" s="61"/>
      <c r="F6" s="43"/>
      <c r="G6" s="43"/>
      <c r="H6" s="62" t="s">
        <v>28</v>
      </c>
      <c r="I6" s="63" t="s">
        <v>30</v>
      </c>
      <c r="J6" s="64">
        <v>12</v>
      </c>
      <c r="K6" s="43"/>
      <c r="L6" s="43"/>
      <c r="M6" s="43"/>
      <c r="N6" s="43"/>
      <c r="O6" s="65"/>
      <c r="P6" s="43"/>
      <c r="Q6" s="43"/>
      <c r="R6" s="43"/>
      <c r="S6" s="66">
        <v>0</v>
      </c>
      <c r="T6" s="67"/>
      <c r="U6" s="68">
        <v>77.183999999999997</v>
      </c>
      <c r="V6" s="68" t="str">
        <f>IF(SUMPRODUCT(MAX(('Base de données'!$D$3:$D$114)*(('Base de données'!$H$3:$H$114='Base de données'!$H6)*('Base de données'!$I$3:$I$114='Base de données'!$I6)*('Base de données'!$J$3:$J$114='Base de données'!$J6))))&lt;&gt;'Base de données'!$D6,"",SUMPRODUCT((-'Base de données'!$S$3:$S$114+'Base de données'!$T$3:$T$114+'Base de données'!$U$3:$U$114)*(('Base de données'!$H$3:$H$114='Base de données'!$H6)*('Base de données'!$I$3:$I$114='Base de données'!$I6)*('Base de données'!$J$3:$J$114='Base de données'!$J6))))</f>
        <v/>
      </c>
      <c r="W6" s="43"/>
      <c r="X6" s="43"/>
      <c r="Y6" s="43"/>
      <c r="Z6" s="43"/>
      <c r="AA6" s="43"/>
    </row>
    <row r="7" spans="1:27" ht="24.95" customHeight="1">
      <c r="A7" s="97"/>
      <c r="B7" s="59" t="s">
        <v>27</v>
      </c>
      <c r="C7" s="43"/>
      <c r="D7" s="60">
        <v>42735</v>
      </c>
      <c r="E7" s="61"/>
      <c r="F7" s="43"/>
      <c r="G7" s="43"/>
      <c r="H7" s="62" t="s">
        <v>28</v>
      </c>
      <c r="I7" s="63" t="s">
        <v>30</v>
      </c>
      <c r="J7" s="64">
        <v>14</v>
      </c>
      <c r="K7" s="43"/>
      <c r="L7" s="43"/>
      <c r="M7" s="43"/>
      <c r="N7" s="43"/>
      <c r="O7" s="65"/>
      <c r="P7" s="43"/>
      <c r="Q7" s="43"/>
      <c r="R7" s="43"/>
      <c r="S7" s="66">
        <v>0</v>
      </c>
      <c r="T7" s="67"/>
      <c r="U7" s="68">
        <v>293.25899999999996</v>
      </c>
      <c r="V7" s="68">
        <f>IF(SUMPRODUCT(MAX(('Base de données'!$D$3:$D$114)*(('Base de données'!$H$3:$H$114='Base de données'!$H7)*('Base de données'!$I$3:$I$114='Base de données'!$I7)*('Base de données'!$J$3:$J$114='Base de données'!$J7))))&lt;&gt;'Base de données'!$D7,"",SUMPRODUCT((-'Base de données'!$S$3:$S$114+'Base de données'!$T$3:$T$114+'Base de données'!$U$3:$U$114)*(('Base de données'!$H$3:$H$114='Base de données'!$H7)*('Base de données'!$I$3:$I$114='Base de données'!$I7)*('Base de données'!$J$3:$J$114='Base de données'!$J7))))</f>
        <v>293.25899999999996</v>
      </c>
      <c r="W7" s="43"/>
      <c r="X7" s="43"/>
      <c r="Y7" s="43"/>
      <c r="Z7" s="43"/>
      <c r="AA7" s="43"/>
    </row>
    <row r="8" spans="1:27" ht="24.95" customHeight="1">
      <c r="A8" s="97"/>
      <c r="B8" s="59" t="s">
        <v>27</v>
      </c>
      <c r="C8" s="43"/>
      <c r="D8" s="60">
        <v>42735</v>
      </c>
      <c r="E8" s="61"/>
      <c r="F8" s="43"/>
      <c r="G8" s="43"/>
      <c r="H8" s="62" t="s">
        <v>28</v>
      </c>
      <c r="I8" s="63" t="s">
        <v>30</v>
      </c>
      <c r="J8" s="64">
        <v>17</v>
      </c>
      <c r="K8" s="43"/>
      <c r="L8" s="43"/>
      <c r="M8" s="43"/>
      <c r="N8" s="43"/>
      <c r="O8" s="65"/>
      <c r="P8" s="43"/>
      <c r="Q8" s="43"/>
      <c r="R8" s="43"/>
      <c r="S8" s="66">
        <v>0</v>
      </c>
      <c r="T8" s="67"/>
      <c r="U8" s="68">
        <v>238.87200000000001</v>
      </c>
      <c r="V8" s="68">
        <f>IF(SUMPRODUCT(MAX(('Base de données'!$D$3:$D$114)*(('Base de données'!$H$3:$H$114='Base de données'!$H8)*('Base de données'!$I$3:$I$114='Base de données'!$I8)*('Base de données'!$J$3:$J$114='Base de données'!$J8))))&lt;&gt;'Base de données'!$D8,"",SUMPRODUCT((-'Base de données'!$S$3:$S$114+'Base de données'!$T$3:$T$114+'Base de données'!$U$3:$U$114)*(('Base de données'!$H$3:$H$114='Base de données'!$H8)*('Base de données'!$I$3:$I$114='Base de données'!$I8)*('Base de données'!$J$3:$J$114='Base de données'!$J8))))</f>
        <v>238.87200000000001</v>
      </c>
      <c r="W8" s="43"/>
      <c r="X8" s="43"/>
      <c r="Y8" s="43"/>
      <c r="Z8" s="43"/>
      <c r="AA8" s="43"/>
    </row>
    <row r="9" spans="1:27" ht="24.95" customHeight="1">
      <c r="A9" s="97"/>
      <c r="B9" s="59" t="s">
        <v>27</v>
      </c>
      <c r="C9" s="43"/>
      <c r="D9" s="60">
        <v>42735</v>
      </c>
      <c r="E9" s="61"/>
      <c r="F9" s="43"/>
      <c r="G9" s="43"/>
      <c r="H9" s="62" t="s">
        <v>28</v>
      </c>
      <c r="I9" s="63" t="s">
        <v>30</v>
      </c>
      <c r="J9" s="64">
        <v>19</v>
      </c>
      <c r="K9" s="43"/>
      <c r="L9" s="43"/>
      <c r="M9" s="43"/>
      <c r="N9" s="43"/>
      <c r="O9" s="65"/>
      <c r="P9" s="43"/>
      <c r="Q9" s="43"/>
      <c r="R9" s="43"/>
      <c r="S9" s="66">
        <v>0</v>
      </c>
      <c r="T9" s="67"/>
      <c r="U9" s="68">
        <v>24.21</v>
      </c>
      <c r="V9" s="68">
        <f>IF(SUMPRODUCT(MAX(('Base de données'!$D$3:$D$114)*(('Base de données'!$H$3:$H$114='Base de données'!$H9)*('Base de données'!$I$3:$I$114='Base de données'!$I9)*('Base de données'!$J$3:$J$114='Base de données'!$J9))))&lt;&gt;'Base de données'!$D9,"",SUMPRODUCT((-'Base de données'!$S$3:$S$114+'Base de données'!$T$3:$T$114+'Base de données'!$U$3:$U$114)*(('Base de données'!$H$3:$H$114='Base de données'!$H9)*('Base de données'!$I$3:$I$114='Base de données'!$I9)*('Base de données'!$J$3:$J$114='Base de données'!$J9))))</f>
        <v>24.21</v>
      </c>
      <c r="W9" s="43"/>
      <c r="X9" s="43"/>
      <c r="Y9" s="43"/>
      <c r="Z9" s="43"/>
      <c r="AA9" s="43"/>
    </row>
    <row r="10" spans="1:27" ht="24.95" customHeight="1">
      <c r="A10" s="97"/>
      <c r="B10" s="59" t="s">
        <v>27</v>
      </c>
      <c r="C10" s="43"/>
      <c r="D10" s="60">
        <v>42735</v>
      </c>
      <c r="E10" s="61"/>
      <c r="F10" s="43"/>
      <c r="G10" s="43"/>
      <c r="H10" s="62" t="s">
        <v>28</v>
      </c>
      <c r="I10" s="63" t="s">
        <v>30</v>
      </c>
      <c r="J10" s="64">
        <v>27</v>
      </c>
      <c r="K10" s="43"/>
      <c r="L10" s="43"/>
      <c r="M10" s="43"/>
      <c r="N10" s="43"/>
      <c r="O10" s="65"/>
      <c r="P10" s="43"/>
      <c r="Q10" s="43"/>
      <c r="R10" s="43"/>
      <c r="S10" s="66">
        <v>0</v>
      </c>
      <c r="T10" s="67"/>
      <c r="U10" s="68">
        <v>48.87</v>
      </c>
      <c r="V10" s="68">
        <f>IF(SUMPRODUCT(MAX(('Base de données'!$D$3:$D$114)*(('Base de données'!$H$3:$H$114='Base de données'!$H10)*('Base de données'!$I$3:$I$114='Base de données'!$I10)*('Base de données'!$J$3:$J$114='Base de données'!$J10))))&lt;&gt;'Base de données'!$D10,"",SUMPRODUCT((-'Base de données'!$S$3:$S$114+'Base de données'!$T$3:$T$114+'Base de données'!$U$3:$U$114)*(('Base de données'!$H$3:$H$114='Base de données'!$H10)*('Base de données'!$I$3:$I$114='Base de données'!$I10)*('Base de données'!$J$3:$J$114='Base de données'!$J10))))</f>
        <v>48.87</v>
      </c>
      <c r="W10" s="43"/>
      <c r="X10" s="43"/>
      <c r="Y10" s="43"/>
      <c r="Z10" s="43"/>
      <c r="AA10" s="43"/>
    </row>
    <row r="11" spans="1:27" ht="24.95" customHeight="1">
      <c r="A11" s="97"/>
      <c r="B11" s="59" t="s">
        <v>27</v>
      </c>
      <c r="C11" s="43"/>
      <c r="D11" s="60">
        <v>42735</v>
      </c>
      <c r="E11" s="61"/>
      <c r="F11" s="43"/>
      <c r="G11" s="43"/>
      <c r="H11" s="62" t="s">
        <v>28</v>
      </c>
      <c r="I11" s="63" t="s">
        <v>31</v>
      </c>
      <c r="J11" s="64">
        <v>4</v>
      </c>
      <c r="K11" s="43"/>
      <c r="L11" s="43"/>
      <c r="M11" s="43"/>
      <c r="N11" s="43"/>
      <c r="O11" s="65"/>
      <c r="P11" s="43"/>
      <c r="Q11" s="43"/>
      <c r="R11" s="43"/>
      <c r="S11" s="66">
        <v>0</v>
      </c>
      <c r="T11" s="67"/>
      <c r="U11" s="68">
        <v>47.628</v>
      </c>
      <c r="V11" s="68">
        <f>IF(SUMPRODUCT(MAX(('Base de données'!$D$3:$D$114)*(('Base de données'!$H$3:$H$114='Base de données'!$H11)*('Base de données'!$I$3:$I$114='Base de données'!$I11)*('Base de données'!$J$3:$J$114='Base de données'!$J11))))&lt;&gt;'Base de données'!$D11,"",SUMPRODUCT((-'Base de données'!$S$3:$S$114+'Base de données'!$T$3:$T$114+'Base de données'!$U$3:$U$114)*(('Base de données'!$H$3:$H$114='Base de données'!$H11)*('Base de données'!$I$3:$I$114='Base de données'!$I11)*('Base de données'!$J$3:$J$114='Base de données'!$J11))))</f>
        <v>47.628</v>
      </c>
      <c r="W11" s="43"/>
      <c r="X11" s="43"/>
      <c r="Y11" s="43"/>
      <c r="Z11" s="43"/>
      <c r="AA11" s="43"/>
    </row>
    <row r="12" spans="1:27" ht="24.95" customHeight="1">
      <c r="A12" s="97"/>
      <c r="B12" s="59" t="s">
        <v>27</v>
      </c>
      <c r="C12" s="43"/>
      <c r="D12" s="60">
        <v>42735</v>
      </c>
      <c r="E12" s="61"/>
      <c r="F12" s="43"/>
      <c r="G12" s="43"/>
      <c r="H12" s="62" t="s">
        <v>28</v>
      </c>
      <c r="I12" s="69" t="s">
        <v>31</v>
      </c>
      <c r="J12" s="64">
        <v>5</v>
      </c>
      <c r="K12" s="43"/>
      <c r="L12" s="43"/>
      <c r="M12" s="43"/>
      <c r="N12" s="43"/>
      <c r="O12" s="65"/>
      <c r="P12" s="43"/>
      <c r="Q12" s="43"/>
      <c r="R12" s="43"/>
      <c r="S12" s="66">
        <v>0</v>
      </c>
      <c r="T12" s="67"/>
      <c r="U12" s="68">
        <v>82.641000000000005</v>
      </c>
      <c r="V12" s="68">
        <f>IF(SUMPRODUCT(MAX(('Base de données'!$D$3:$D$114)*(('Base de données'!$H$3:$H$114='Base de données'!$H12)*('Base de données'!$I$3:$I$114='Base de données'!$I12)*('Base de données'!$J$3:$J$114='Base de données'!$J12))))&lt;&gt;'Base de données'!$D12,"",SUMPRODUCT((-'Base de données'!$S$3:$S$114+'Base de données'!$T$3:$T$114+'Base de données'!$U$3:$U$114)*(('Base de données'!$H$3:$H$114='Base de données'!$H12)*('Base de données'!$I$3:$I$114='Base de données'!$I12)*('Base de données'!$J$3:$J$114='Base de données'!$J12))))</f>
        <v>82.641000000000005</v>
      </c>
      <c r="W12" s="43"/>
      <c r="X12" s="43"/>
      <c r="Y12" s="43"/>
      <c r="Z12" s="43"/>
      <c r="AA12" s="43"/>
    </row>
    <row r="13" spans="1:27" ht="24.95" customHeight="1">
      <c r="A13" s="97"/>
      <c r="B13" s="59" t="s">
        <v>27</v>
      </c>
      <c r="C13" s="43"/>
      <c r="D13" s="60">
        <v>42735</v>
      </c>
      <c r="E13" s="61"/>
      <c r="F13" s="43"/>
      <c r="G13" s="43"/>
      <c r="H13" s="62" t="s">
        <v>28</v>
      </c>
      <c r="I13" s="69" t="s">
        <v>31</v>
      </c>
      <c r="J13" s="64">
        <v>6</v>
      </c>
      <c r="K13" s="43"/>
      <c r="L13" s="43"/>
      <c r="M13" s="43"/>
      <c r="N13" s="43"/>
      <c r="O13" s="65"/>
      <c r="P13" s="43"/>
      <c r="Q13" s="43"/>
      <c r="R13" s="43"/>
      <c r="S13" s="66">
        <v>0</v>
      </c>
      <c r="T13" s="67"/>
      <c r="U13" s="68">
        <v>48.113999999999997</v>
      </c>
      <c r="V13" s="68" t="str">
        <f>IF(SUMPRODUCT(MAX(('Base de données'!$D$3:$D$114)*(('Base de données'!$H$3:$H$114='Base de données'!$H13)*('Base de données'!$I$3:$I$114='Base de données'!$I13)*('Base de données'!$J$3:$J$114='Base de données'!$J13))))&lt;&gt;'Base de données'!$D13,"",SUMPRODUCT((-'Base de données'!$S$3:$S$114+'Base de données'!$T$3:$T$114+'Base de données'!$U$3:$U$114)*(('Base de données'!$H$3:$H$114='Base de données'!$H13)*('Base de données'!$I$3:$I$114='Base de données'!$I13)*('Base de données'!$J$3:$J$114='Base de données'!$J13))))</f>
        <v/>
      </c>
      <c r="W13" s="43"/>
      <c r="X13" s="43"/>
      <c r="Y13" s="43"/>
      <c r="Z13" s="43"/>
      <c r="AA13" s="43"/>
    </row>
    <row r="14" spans="1:27" ht="24.95" customHeight="1">
      <c r="A14" s="97"/>
      <c r="B14" s="59" t="s">
        <v>27</v>
      </c>
      <c r="C14" s="43"/>
      <c r="D14" s="60">
        <v>42735</v>
      </c>
      <c r="E14" s="61"/>
      <c r="F14" s="43"/>
      <c r="G14" s="43"/>
      <c r="H14" s="62" t="s">
        <v>28</v>
      </c>
      <c r="I14" s="69" t="s">
        <v>31</v>
      </c>
      <c r="J14" s="64">
        <v>7</v>
      </c>
      <c r="K14" s="43"/>
      <c r="L14" s="43"/>
      <c r="M14" s="43"/>
      <c r="N14" s="43"/>
      <c r="O14" s="65"/>
      <c r="P14" s="43"/>
      <c r="Q14" s="43"/>
      <c r="R14" s="43"/>
      <c r="S14" s="66">
        <v>0</v>
      </c>
      <c r="T14" s="67"/>
      <c r="U14" s="68">
        <v>100.29300000000001</v>
      </c>
      <c r="V14" s="68" t="str">
        <f>IF(SUMPRODUCT(MAX(('Base de données'!$D$3:$D$114)*(('Base de données'!$H$3:$H$114='Base de données'!$H14)*('Base de données'!$I$3:$I$114='Base de données'!$I14)*('Base de données'!$J$3:$J$114='Base de données'!$J14))))&lt;&gt;'Base de données'!$D14,"",SUMPRODUCT((-'Base de données'!$S$3:$S$114+'Base de données'!$T$3:$T$114+'Base de données'!$U$3:$U$114)*(('Base de données'!$H$3:$H$114='Base de données'!$H14)*('Base de données'!$I$3:$I$114='Base de données'!$I14)*('Base de données'!$J$3:$J$114='Base de données'!$J14))))</f>
        <v/>
      </c>
      <c r="W14" s="43"/>
      <c r="X14" s="43"/>
      <c r="Y14" s="43"/>
      <c r="Z14" s="43"/>
      <c r="AA14" s="43"/>
    </row>
    <row r="15" spans="1:27" ht="24.95" customHeight="1">
      <c r="A15" s="97"/>
      <c r="B15" s="59" t="s">
        <v>27</v>
      </c>
      <c r="C15" s="43"/>
      <c r="D15" s="60">
        <v>42735</v>
      </c>
      <c r="E15" s="61"/>
      <c r="F15" s="43"/>
      <c r="G15" s="43"/>
      <c r="H15" s="62" t="s">
        <v>28</v>
      </c>
      <c r="I15" s="63" t="s">
        <v>31</v>
      </c>
      <c r="J15" s="64">
        <v>9</v>
      </c>
      <c r="K15" s="43"/>
      <c r="L15" s="43"/>
      <c r="M15" s="43"/>
      <c r="N15" s="43"/>
      <c r="O15" s="65"/>
      <c r="P15" s="43"/>
      <c r="Q15" s="43"/>
      <c r="R15" s="43"/>
      <c r="S15" s="66">
        <v>0</v>
      </c>
      <c r="T15" s="67"/>
      <c r="U15" s="68">
        <v>116.511</v>
      </c>
      <c r="V15" s="68">
        <f>IF(SUMPRODUCT(MAX(('Base de données'!$D$3:$D$114)*(('Base de données'!$H$3:$H$114='Base de données'!$H15)*('Base de données'!$I$3:$I$114='Base de données'!$I15)*('Base de données'!$J$3:$J$114='Base de données'!$J15))))&lt;&gt;'Base de données'!$D15,"",SUMPRODUCT((-'Base de données'!$S$3:$S$114+'Base de données'!$T$3:$T$114+'Base de données'!$U$3:$U$114)*(('Base de données'!$H$3:$H$114='Base de données'!$H15)*('Base de données'!$I$3:$I$114='Base de données'!$I15)*('Base de données'!$J$3:$J$114='Base de données'!$J15))))</f>
        <v>116.511</v>
      </c>
      <c r="W15" s="43"/>
      <c r="X15" s="43"/>
      <c r="Y15" s="43"/>
      <c r="Z15" s="43"/>
      <c r="AA15" s="43"/>
    </row>
    <row r="16" spans="1:27" ht="24.95" customHeight="1">
      <c r="A16" s="97"/>
      <c r="B16" s="59" t="s">
        <v>27</v>
      </c>
      <c r="C16" s="43"/>
      <c r="D16" s="60">
        <v>42735</v>
      </c>
      <c r="E16" s="61"/>
      <c r="F16" s="43"/>
      <c r="G16" s="43"/>
      <c r="H16" s="62" t="s">
        <v>28</v>
      </c>
      <c r="I16" s="63" t="s">
        <v>31</v>
      </c>
      <c r="J16" s="64">
        <v>10.5</v>
      </c>
      <c r="K16" s="43"/>
      <c r="L16" s="43"/>
      <c r="M16" s="43"/>
      <c r="N16" s="43"/>
      <c r="O16" s="65"/>
      <c r="P16" s="43"/>
      <c r="Q16" s="43"/>
      <c r="R16" s="43"/>
      <c r="S16" s="66">
        <v>0</v>
      </c>
      <c r="T16" s="67"/>
      <c r="U16" s="68">
        <v>182.25</v>
      </c>
      <c r="V16" s="68">
        <f>IF(SUMPRODUCT(MAX(('Base de données'!$D$3:$D$114)*(('Base de données'!$H$3:$H$114='Base de données'!$H16)*('Base de données'!$I$3:$I$114='Base de données'!$I16)*('Base de données'!$J$3:$J$114='Base de données'!$J16))))&lt;&gt;'Base de données'!$D16,"",SUMPRODUCT((-'Base de données'!$S$3:$S$114+'Base de données'!$T$3:$T$114+'Base de données'!$U$3:$U$114)*(('Base de données'!$H$3:$H$114='Base de données'!$H16)*('Base de données'!$I$3:$I$114='Base de données'!$I16)*('Base de données'!$J$3:$J$114='Base de données'!$J16))))</f>
        <v>182.25</v>
      </c>
      <c r="W16" s="43"/>
      <c r="X16" s="43"/>
      <c r="Y16" s="43"/>
      <c r="Z16" s="43"/>
      <c r="AA16" s="43"/>
    </row>
    <row r="17" spans="1:27" ht="24.95" customHeight="1">
      <c r="A17" s="97"/>
      <c r="B17" s="59" t="s">
        <v>27</v>
      </c>
      <c r="C17" s="43"/>
      <c r="D17" s="60">
        <v>42735</v>
      </c>
      <c r="E17" s="61"/>
      <c r="F17" s="43"/>
      <c r="G17" s="43"/>
      <c r="H17" s="62" t="s">
        <v>28</v>
      </c>
      <c r="I17" s="63" t="s">
        <v>31</v>
      </c>
      <c r="J17" s="64">
        <v>11</v>
      </c>
      <c r="K17" s="43"/>
      <c r="L17" s="43"/>
      <c r="M17" s="43"/>
      <c r="N17" s="43"/>
      <c r="O17" s="65"/>
      <c r="P17" s="43"/>
      <c r="Q17" s="43"/>
      <c r="R17" s="43"/>
      <c r="S17" s="66">
        <v>0</v>
      </c>
      <c r="T17" s="67"/>
      <c r="U17" s="68">
        <v>61.274999999999999</v>
      </c>
      <c r="V17" s="68">
        <f>IF(SUMPRODUCT(MAX(('Base de données'!$D$3:$D$114)*(('Base de données'!$H$3:$H$114='Base de données'!$H17)*('Base de données'!$I$3:$I$114='Base de données'!$I17)*('Base de données'!$J$3:$J$114='Base de données'!$J17))))&lt;&gt;'Base de données'!$D17,"",SUMPRODUCT((-'Base de données'!$S$3:$S$114+'Base de données'!$T$3:$T$114+'Base de données'!$U$3:$U$114)*(('Base de données'!$H$3:$H$114='Base de données'!$H17)*('Base de données'!$I$3:$I$114='Base de données'!$I17)*('Base de données'!$J$3:$J$114='Base de données'!$J17))))</f>
        <v>61.274999999999999</v>
      </c>
      <c r="W17" s="43"/>
      <c r="X17" s="43"/>
      <c r="Y17" s="43"/>
      <c r="Z17" s="43"/>
      <c r="AA17" s="43"/>
    </row>
    <row r="18" spans="1:27" ht="24.95" customHeight="1">
      <c r="A18" s="97"/>
      <c r="B18" s="59" t="s">
        <v>27</v>
      </c>
      <c r="C18" s="43"/>
      <c r="D18" s="60">
        <v>42735</v>
      </c>
      <c r="E18" s="61"/>
      <c r="F18" s="43"/>
      <c r="G18" s="43"/>
      <c r="H18" s="62" t="s">
        <v>28</v>
      </c>
      <c r="I18" s="63" t="s">
        <v>31</v>
      </c>
      <c r="J18" s="64">
        <v>12</v>
      </c>
      <c r="K18" s="43"/>
      <c r="L18" s="43"/>
      <c r="M18" s="43"/>
      <c r="N18" s="43"/>
      <c r="O18" s="65"/>
      <c r="P18" s="43"/>
      <c r="Q18" s="43"/>
      <c r="R18" s="43"/>
      <c r="S18" s="66">
        <v>0</v>
      </c>
      <c r="T18" s="67"/>
      <c r="U18" s="68">
        <v>23.352</v>
      </c>
      <c r="V18" s="68">
        <f>IF(SUMPRODUCT(MAX(('Base de données'!$D$3:$D$114)*(('Base de données'!$H$3:$H$114='Base de données'!$H18)*('Base de données'!$I$3:$I$114='Base de données'!$I18)*('Base de données'!$J$3:$J$114='Base de données'!$J18))))&lt;&gt;'Base de données'!$D18,"",SUMPRODUCT((-'Base de données'!$S$3:$S$114+'Base de données'!$T$3:$T$114+'Base de données'!$U$3:$U$114)*(('Base de données'!$H$3:$H$114='Base de données'!$H18)*('Base de données'!$I$3:$I$114='Base de données'!$I18)*('Base de données'!$J$3:$J$114='Base de données'!$J18))))</f>
        <v>23.352</v>
      </c>
      <c r="W18" s="43"/>
      <c r="X18" s="43"/>
      <c r="Y18" s="43"/>
      <c r="Z18" s="43"/>
      <c r="AA18" s="43"/>
    </row>
    <row r="19" spans="1:27" ht="24.95" customHeight="1">
      <c r="A19" s="97"/>
      <c r="B19" s="59" t="s">
        <v>27</v>
      </c>
      <c r="C19" s="43"/>
      <c r="D19" s="60">
        <v>42735</v>
      </c>
      <c r="E19" s="61"/>
      <c r="F19" s="43"/>
      <c r="G19" s="43"/>
      <c r="H19" s="62" t="s">
        <v>28</v>
      </c>
      <c r="I19" s="63" t="s">
        <v>31</v>
      </c>
      <c r="J19" s="64">
        <v>13</v>
      </c>
      <c r="K19" s="43"/>
      <c r="L19" s="43"/>
      <c r="M19" s="43"/>
      <c r="N19" s="43"/>
      <c r="O19" s="65"/>
      <c r="P19" s="43"/>
      <c r="Q19" s="43"/>
      <c r="R19" s="43"/>
      <c r="S19" s="66">
        <v>0</v>
      </c>
      <c r="T19" s="67"/>
      <c r="U19" s="68">
        <v>140.34299999999999</v>
      </c>
      <c r="V19" s="68">
        <f>IF(SUMPRODUCT(MAX(('Base de données'!$D$3:$D$114)*(('Base de données'!$H$3:$H$114='Base de données'!$H19)*('Base de données'!$I$3:$I$114='Base de données'!$I19)*('Base de données'!$J$3:$J$114='Base de données'!$J19))))&lt;&gt;'Base de données'!$D19,"",SUMPRODUCT((-'Base de données'!$S$3:$S$114+'Base de données'!$T$3:$T$114+'Base de données'!$U$3:$U$114)*(('Base de données'!$H$3:$H$114='Base de données'!$H19)*('Base de données'!$I$3:$I$114='Base de données'!$I19)*('Base de données'!$J$3:$J$114='Base de données'!$J19))))</f>
        <v>140.34299999999999</v>
      </c>
      <c r="W19" s="43"/>
      <c r="X19" s="43"/>
      <c r="Y19" s="43"/>
      <c r="Z19" s="43"/>
      <c r="AA19" s="43"/>
    </row>
    <row r="20" spans="1:27" ht="24.95" customHeight="1">
      <c r="A20" s="97"/>
      <c r="B20" s="59" t="s">
        <v>27</v>
      </c>
      <c r="C20" s="43"/>
      <c r="D20" s="60">
        <v>42735</v>
      </c>
      <c r="E20" s="61"/>
      <c r="F20" s="43"/>
      <c r="G20" s="43"/>
      <c r="H20" s="62" t="s">
        <v>28</v>
      </c>
      <c r="I20" s="63" t="s">
        <v>31</v>
      </c>
      <c r="J20" s="64">
        <v>14</v>
      </c>
      <c r="K20" s="43"/>
      <c r="L20" s="43"/>
      <c r="M20" s="43"/>
      <c r="N20" s="43"/>
      <c r="O20" s="65"/>
      <c r="P20" s="43"/>
      <c r="Q20" s="43"/>
      <c r="R20" s="43"/>
      <c r="S20" s="66">
        <v>0</v>
      </c>
      <c r="T20" s="67"/>
      <c r="U20" s="68">
        <v>460.75200000000001</v>
      </c>
      <c r="V20" s="68">
        <f>IF(SUMPRODUCT(MAX(('Base de données'!$D$3:$D$114)*(('Base de données'!$H$3:$H$114='Base de données'!$H20)*('Base de données'!$I$3:$I$114='Base de données'!$I20)*('Base de données'!$J$3:$J$114='Base de données'!$J20))))&lt;&gt;'Base de données'!$D20,"",SUMPRODUCT((-'Base de données'!$S$3:$S$114+'Base de données'!$T$3:$T$114+'Base de données'!$U$3:$U$114)*(('Base de données'!$H$3:$H$114='Base de données'!$H20)*('Base de données'!$I$3:$I$114='Base de données'!$I20)*('Base de données'!$J$3:$J$114='Base de données'!$J20))))</f>
        <v>460.75200000000001</v>
      </c>
      <c r="W20" s="43"/>
      <c r="X20" s="43"/>
      <c r="Y20" s="43"/>
      <c r="Z20" s="43"/>
      <c r="AA20" s="43"/>
    </row>
    <row r="21" spans="1:27" ht="24.95" customHeight="1">
      <c r="A21" s="97"/>
      <c r="B21" s="59" t="s">
        <v>27</v>
      </c>
      <c r="C21" s="43"/>
      <c r="D21" s="60">
        <v>42735</v>
      </c>
      <c r="E21" s="61"/>
      <c r="F21" s="43"/>
      <c r="G21" s="43"/>
      <c r="H21" s="62" t="s">
        <v>28</v>
      </c>
      <c r="I21" s="63" t="s">
        <v>31</v>
      </c>
      <c r="J21" s="64">
        <v>15</v>
      </c>
      <c r="K21" s="43"/>
      <c r="L21" s="43"/>
      <c r="M21" s="43"/>
      <c r="N21" s="43"/>
      <c r="O21" s="65"/>
      <c r="P21" s="43"/>
      <c r="Q21" s="43"/>
      <c r="R21" s="43"/>
      <c r="S21" s="66">
        <v>0</v>
      </c>
      <c r="T21" s="67"/>
      <c r="U21" s="68">
        <v>68.399999999999991</v>
      </c>
      <c r="V21" s="68">
        <f>IF(SUMPRODUCT(MAX(('Base de données'!$D$3:$D$114)*(('Base de données'!$H$3:$H$114='Base de données'!$H21)*('Base de données'!$I$3:$I$114='Base de données'!$I21)*('Base de données'!$J$3:$J$114='Base de données'!$J21))))&lt;&gt;'Base de données'!$D21,"",SUMPRODUCT((-'Base de données'!$S$3:$S$114+'Base de données'!$T$3:$T$114+'Base de données'!$U$3:$U$114)*(('Base de données'!$H$3:$H$114='Base de données'!$H21)*('Base de données'!$I$3:$I$114='Base de données'!$I21)*('Base de données'!$J$3:$J$114='Base de données'!$J21))))</f>
        <v>68.399999999999991</v>
      </c>
      <c r="W21" s="43"/>
      <c r="X21" s="43"/>
      <c r="Y21" s="43"/>
      <c r="Z21" s="43"/>
      <c r="AA21" s="43"/>
    </row>
    <row r="22" spans="1:27" ht="24.95" customHeight="1">
      <c r="A22" s="97"/>
      <c r="B22" s="59" t="s">
        <v>27</v>
      </c>
      <c r="C22" s="43"/>
      <c r="D22" s="60">
        <v>42735</v>
      </c>
      <c r="E22" s="61"/>
      <c r="F22" s="43"/>
      <c r="G22" s="43"/>
      <c r="H22" s="62" t="s">
        <v>28</v>
      </c>
      <c r="I22" s="63" t="s">
        <v>31</v>
      </c>
      <c r="J22" s="64">
        <v>17</v>
      </c>
      <c r="K22" s="43"/>
      <c r="L22" s="43"/>
      <c r="M22" s="43"/>
      <c r="N22" s="43"/>
      <c r="O22" s="65"/>
      <c r="P22" s="43"/>
      <c r="Q22" s="43"/>
      <c r="R22" s="43"/>
      <c r="S22" s="66">
        <v>0</v>
      </c>
      <c r="T22" s="67"/>
      <c r="U22" s="68">
        <v>122.976</v>
      </c>
      <c r="V22" s="68">
        <f>IF(SUMPRODUCT(MAX(('Base de données'!$D$3:$D$114)*(('Base de données'!$H$3:$H$114='Base de données'!$H22)*('Base de données'!$I$3:$I$114='Base de données'!$I22)*('Base de données'!$J$3:$J$114='Base de données'!$J22))))&lt;&gt;'Base de données'!$D22,"",SUMPRODUCT((-'Base de données'!$S$3:$S$114+'Base de données'!$T$3:$T$114+'Base de données'!$U$3:$U$114)*(('Base de données'!$H$3:$H$114='Base de données'!$H22)*('Base de données'!$I$3:$I$114='Base de données'!$I22)*('Base de données'!$J$3:$J$114='Base de données'!$J22))))</f>
        <v>122.976</v>
      </c>
      <c r="W22" s="43"/>
      <c r="X22" s="43"/>
      <c r="Y22" s="43"/>
      <c r="Z22" s="43"/>
      <c r="AA22" s="43"/>
    </row>
    <row r="23" spans="1:27" ht="24.95" customHeight="1">
      <c r="A23" s="97"/>
      <c r="B23" s="59" t="s">
        <v>27</v>
      </c>
      <c r="C23" s="43"/>
      <c r="D23" s="60">
        <v>42735</v>
      </c>
      <c r="E23" s="61"/>
      <c r="F23" s="43"/>
      <c r="G23" s="43"/>
      <c r="H23" s="62" t="s">
        <v>28</v>
      </c>
      <c r="I23" s="63" t="s">
        <v>31</v>
      </c>
      <c r="J23" s="64">
        <v>22</v>
      </c>
      <c r="K23" s="43"/>
      <c r="L23" s="70"/>
      <c r="M23" s="43"/>
      <c r="N23" s="43"/>
      <c r="O23" s="65"/>
      <c r="P23" s="43"/>
      <c r="Q23" s="43"/>
      <c r="R23" s="43"/>
      <c r="S23" s="66">
        <v>0</v>
      </c>
      <c r="T23" s="67"/>
      <c r="U23" s="68">
        <v>206.01000000000002</v>
      </c>
      <c r="V23" s="68" t="str">
        <f>IF(SUMPRODUCT(MAX(('Base de données'!$D$3:$D$114)*(('Base de données'!$H$3:$H$114='Base de données'!$H23)*('Base de données'!$I$3:$I$114='Base de données'!$I23)*('Base de données'!$J$3:$J$114='Base de données'!$J23))))&lt;&gt;'Base de données'!$D23,"",SUMPRODUCT((-'Base de données'!$S$3:$S$114+'Base de données'!$T$3:$T$114+'Base de données'!$U$3:$U$114)*(('Base de données'!$H$3:$H$114='Base de données'!$H23)*('Base de données'!$I$3:$I$114='Base de données'!$I23)*('Base de données'!$J$3:$J$114='Base de données'!$J23))))</f>
        <v/>
      </c>
      <c r="W23" s="43"/>
      <c r="X23" s="43"/>
      <c r="Y23" s="43"/>
      <c r="Z23" s="43"/>
      <c r="AA23" s="43"/>
    </row>
    <row r="24" spans="1:27" ht="24.95" customHeight="1">
      <c r="A24" s="97"/>
      <c r="B24" s="59" t="s">
        <v>27</v>
      </c>
      <c r="C24" s="43"/>
      <c r="D24" s="60">
        <v>42735</v>
      </c>
      <c r="E24" s="61"/>
      <c r="F24" s="43"/>
      <c r="G24" s="43"/>
      <c r="H24" s="62" t="s">
        <v>28</v>
      </c>
      <c r="I24" s="63" t="s">
        <v>31</v>
      </c>
      <c r="J24" s="64">
        <v>23</v>
      </c>
      <c r="K24" s="43"/>
      <c r="L24" s="43"/>
      <c r="M24" s="43"/>
      <c r="N24" s="43"/>
      <c r="O24" s="65"/>
      <c r="P24" s="43"/>
      <c r="Q24" s="43"/>
      <c r="R24" s="43"/>
      <c r="S24" s="66">
        <v>0</v>
      </c>
      <c r="T24" s="67"/>
      <c r="U24" s="68">
        <v>299.88</v>
      </c>
      <c r="V24" s="68">
        <f>IF(SUMPRODUCT(MAX(('Base de données'!$D$3:$D$114)*(('Base de données'!$H$3:$H$114='Base de données'!$H24)*('Base de données'!$I$3:$I$114='Base de données'!$I24)*('Base de données'!$J$3:$J$114='Base de données'!$J24))))&lt;&gt;'Base de données'!$D24,"",SUMPRODUCT((-'Base de données'!$S$3:$S$114+'Base de données'!$T$3:$T$114+'Base de données'!$U$3:$U$114)*(('Base de données'!$H$3:$H$114='Base de données'!$H24)*('Base de données'!$I$3:$I$114='Base de données'!$I24)*('Base de données'!$J$3:$J$114='Base de données'!$J24))))</f>
        <v>299.88</v>
      </c>
      <c r="W24" s="43"/>
      <c r="X24" s="43"/>
      <c r="Y24" s="43"/>
      <c r="Z24" s="43"/>
      <c r="AA24" s="43"/>
    </row>
    <row r="25" spans="1:27" ht="24.95" customHeight="1">
      <c r="A25" s="97"/>
      <c r="B25" s="59" t="s">
        <v>27</v>
      </c>
      <c r="C25" s="43"/>
      <c r="D25" s="60">
        <v>42735</v>
      </c>
      <c r="E25" s="61"/>
      <c r="F25" s="43"/>
      <c r="G25" s="43"/>
      <c r="H25" s="62" t="s">
        <v>28</v>
      </c>
      <c r="I25" s="63" t="s">
        <v>31</v>
      </c>
      <c r="J25" s="64">
        <v>24</v>
      </c>
      <c r="K25" s="43"/>
      <c r="L25" s="43"/>
      <c r="M25" s="43"/>
      <c r="N25" s="43"/>
      <c r="O25" s="65"/>
      <c r="P25" s="43"/>
      <c r="Q25" s="43"/>
      <c r="R25" s="43"/>
      <c r="S25" s="66">
        <v>0</v>
      </c>
      <c r="T25" s="67"/>
      <c r="U25" s="68">
        <v>46.68</v>
      </c>
      <c r="V25" s="68">
        <f>IF(SUMPRODUCT(MAX(('Base de données'!$D$3:$D$114)*(('Base de données'!$H$3:$H$114='Base de données'!$H25)*('Base de données'!$I$3:$I$114='Base de données'!$I25)*('Base de données'!$J$3:$J$114='Base de données'!$J25))))&lt;&gt;'Base de données'!$D25,"",SUMPRODUCT((-'Base de données'!$S$3:$S$114+'Base de données'!$T$3:$T$114+'Base de données'!$U$3:$U$114)*(('Base de données'!$H$3:$H$114='Base de données'!$H25)*('Base de données'!$I$3:$I$114='Base de données'!$I25)*('Base de données'!$J$3:$J$114='Base de données'!$J25))))</f>
        <v>46.68</v>
      </c>
      <c r="W25" s="43"/>
      <c r="X25" s="43"/>
      <c r="Y25" s="43"/>
      <c r="Z25" s="43"/>
      <c r="AA25" s="43"/>
    </row>
    <row r="26" spans="1:27" ht="24.95" customHeight="1">
      <c r="A26" s="97"/>
      <c r="B26" s="71" t="s">
        <v>32</v>
      </c>
      <c r="C26" s="43"/>
      <c r="D26" s="60">
        <v>42754</v>
      </c>
      <c r="E26" s="61"/>
      <c r="F26" s="43"/>
      <c r="G26" s="43"/>
      <c r="H26" s="72" t="s">
        <v>28</v>
      </c>
      <c r="I26" s="71" t="s">
        <v>31</v>
      </c>
      <c r="J26" s="73">
        <v>18</v>
      </c>
      <c r="K26" s="43"/>
      <c r="L26" s="43"/>
      <c r="M26" s="43"/>
      <c r="N26" s="43"/>
      <c r="O26" s="65"/>
      <c r="P26" s="43"/>
      <c r="Q26" s="43"/>
      <c r="R26" s="43"/>
      <c r="S26" s="66">
        <v>0</v>
      </c>
      <c r="T26" s="74">
        <v>211</v>
      </c>
      <c r="U26" s="74"/>
      <c r="V26" s="68" t="str">
        <f>IF(SUMPRODUCT(MAX(('Base de données'!$D$3:$D$114)*(('Base de données'!$H$3:$H$114='Base de données'!$H26)*('Base de données'!$I$3:$I$114='Base de données'!$I26)*('Base de données'!$J$3:$J$114='Base de données'!$J26))))&lt;&gt;'Base de données'!$D26,"",SUMPRODUCT((-'Base de données'!$S$3:$S$114+'Base de données'!$T$3:$T$114+'Base de données'!$U$3:$U$114)*(('Base de données'!$H$3:$H$114='Base de données'!$H26)*('Base de données'!$I$3:$I$114='Base de données'!$I26)*('Base de données'!$J$3:$J$114='Base de données'!$J26))))</f>
        <v/>
      </c>
      <c r="W26" s="43"/>
      <c r="X26" s="43"/>
      <c r="Y26" s="43"/>
      <c r="Z26" s="43"/>
      <c r="AA26" s="43">
        <f>SUBTOTAL(9,AA3:AA25)</f>
        <v>0</v>
      </c>
    </row>
    <row r="27" spans="1:27" ht="24.95" customHeight="1">
      <c r="A27" s="97"/>
      <c r="B27" s="71" t="s">
        <v>32</v>
      </c>
      <c r="C27" s="43"/>
      <c r="D27" s="60">
        <v>42754</v>
      </c>
      <c r="E27" s="61"/>
      <c r="F27" s="43"/>
      <c r="G27" s="43"/>
      <c r="H27" s="72" t="s">
        <v>28</v>
      </c>
      <c r="I27" s="71" t="s">
        <v>31</v>
      </c>
      <c r="J27" s="73">
        <v>22</v>
      </c>
      <c r="K27" s="43"/>
      <c r="L27" s="70"/>
      <c r="M27" s="43"/>
      <c r="N27" s="43"/>
      <c r="O27" s="65"/>
      <c r="P27" s="43"/>
      <c r="Q27" s="43"/>
      <c r="R27" s="43"/>
      <c r="S27" s="66">
        <v>0</v>
      </c>
      <c r="T27" s="74">
        <v>1964</v>
      </c>
      <c r="U27" s="74"/>
      <c r="V27" s="68" t="str">
        <f>IF(SUMPRODUCT(MAX(('Base de données'!$D$3:$D$114)*(('Base de données'!$H$3:$H$114='Base de données'!$H27)*('Base de données'!$I$3:$I$114='Base de données'!$I27)*('Base de données'!$J$3:$J$114='Base de données'!$J27))))&lt;&gt;'Base de données'!$D27,"",SUMPRODUCT((-'Base de données'!$S$3:$S$114+'Base de données'!$T$3:$T$114+'Base de données'!$U$3:$U$114)*(('Base de données'!$H$3:$H$114='Base de données'!$H27)*('Base de données'!$I$3:$I$114='Base de données'!$I27)*('Base de données'!$J$3:$J$114='Base de données'!$J27))))</f>
        <v/>
      </c>
      <c r="W27" s="43"/>
      <c r="X27" s="43"/>
      <c r="Y27" s="43"/>
      <c r="Z27" s="43"/>
      <c r="AA27" s="43"/>
    </row>
    <row r="28" spans="1:27" ht="24.95" customHeight="1">
      <c r="A28" s="98"/>
      <c r="B28" s="75" t="s">
        <v>33</v>
      </c>
      <c r="C28" s="76">
        <v>546390</v>
      </c>
      <c r="D28" s="60">
        <v>42801</v>
      </c>
      <c r="E28" s="61">
        <v>512800</v>
      </c>
      <c r="F28" s="77" t="s">
        <v>34</v>
      </c>
      <c r="G28" s="75"/>
      <c r="H28" s="75" t="s">
        <v>28</v>
      </c>
      <c r="I28" s="43" t="s">
        <v>31</v>
      </c>
      <c r="J28" s="78">
        <v>7</v>
      </c>
      <c r="K28" s="43"/>
      <c r="L28" s="79">
        <v>1000</v>
      </c>
      <c r="M28" s="80">
        <v>3.421E-3</v>
      </c>
      <c r="N28" s="43">
        <v>24.5</v>
      </c>
      <c r="O28" s="43">
        <f>INT(2800/(N28+3))</f>
        <v>101</v>
      </c>
      <c r="P28" s="43">
        <f>((J28/2)*(J28/2)*3.14*9*3)/1000</f>
        <v>1.0385550000000003</v>
      </c>
      <c r="Q28" s="75">
        <f>+M28*L28</f>
        <v>3.4209999999999998</v>
      </c>
      <c r="R28" s="43">
        <f>P28/O28</f>
        <v>1.0282722772277231E-2</v>
      </c>
      <c r="S28" s="66">
        <v>10.28272277227723</v>
      </c>
      <c r="T28" s="67"/>
      <c r="U28" s="67"/>
      <c r="V28" s="68" t="str">
        <f>IF(SUMPRODUCT(MAX(('Base de données'!$D$3:$D$114)*(('Base de données'!$H$3:$H$114='Base de données'!$H28)*('Base de données'!$I$3:$I$114='Base de données'!$I28)*('Base de données'!$J$3:$J$114='Base de données'!$J28))))&lt;&gt;'Base de données'!$D28,"",SUMPRODUCT((-'Base de données'!$S$3:$S$114+'Base de données'!$T$3:$T$114+'Base de données'!$U$3:$U$114)*(('Base de données'!$H$3:$H$114='Base de données'!$H28)*('Base de données'!$I$3:$I$114='Base de données'!$I28)*('Base de données'!$J$3:$J$114='Base de données'!$J28))))</f>
        <v/>
      </c>
      <c r="W28" s="43">
        <f>(((P28/3000)*2880)-(M28*O28))/O28</f>
        <v>6.4504138613861416E-3</v>
      </c>
      <c r="X28" s="43">
        <f>+W28*L28</f>
        <v>6.4504138613861413</v>
      </c>
      <c r="Y28" s="43">
        <f>+((P28/3000)*120)/101</f>
        <v>4.1130891089108927E-4</v>
      </c>
      <c r="Z28" s="43">
        <f>Y28*L28</f>
        <v>0.41130891089108929</v>
      </c>
      <c r="AA28" s="43">
        <f>S28-Q28</f>
        <v>6.8617227722772309</v>
      </c>
    </row>
    <row r="29" spans="1:27" ht="24.95" customHeight="1">
      <c r="A29" s="97"/>
      <c r="B29" s="71" t="s">
        <v>32</v>
      </c>
      <c r="C29" s="43"/>
      <c r="D29" s="60">
        <v>42816</v>
      </c>
      <c r="E29" s="61"/>
      <c r="F29" s="43"/>
      <c r="G29" s="43"/>
      <c r="H29" s="72" t="s">
        <v>28</v>
      </c>
      <c r="I29" s="71" t="s">
        <v>31</v>
      </c>
      <c r="J29" s="73">
        <v>7</v>
      </c>
      <c r="K29" s="43"/>
      <c r="L29" s="43"/>
      <c r="M29" s="43"/>
      <c r="N29" s="43"/>
      <c r="O29" s="65"/>
      <c r="P29" s="43"/>
      <c r="Q29" s="43"/>
      <c r="R29" s="43"/>
      <c r="S29" s="66">
        <v>0</v>
      </c>
      <c r="T29" s="74">
        <v>250</v>
      </c>
      <c r="U29" s="74"/>
      <c r="V29" s="68" t="str">
        <f>IF(SUMPRODUCT(MAX(('Base de données'!$D$3:$D$114)*(('Base de données'!$H$3:$H$114='Base de données'!$H29)*('Base de données'!$I$3:$I$114='Base de données'!$I29)*('Base de données'!$J$3:$J$114='Base de données'!$J29))))&lt;&gt;'Base de données'!$D29,"",SUMPRODUCT((-'Base de données'!$S$3:$S$114+'Base de données'!$T$3:$T$114+'Base de données'!$U$3:$U$114)*(('Base de données'!$H$3:$H$114='Base de données'!$H29)*('Base de données'!$I$3:$I$114='Base de données'!$I29)*('Base de données'!$J$3:$J$114='Base de données'!$J29))))</f>
        <v/>
      </c>
      <c r="W29" s="43"/>
      <c r="X29" s="43"/>
      <c r="Y29" s="43"/>
      <c r="Z29" s="43"/>
      <c r="AA29" s="43"/>
    </row>
    <row r="30" spans="1:27" ht="24.95" customHeight="1">
      <c r="A30" s="98">
        <v>201700021</v>
      </c>
      <c r="B30" s="75" t="s">
        <v>33</v>
      </c>
      <c r="C30" s="81">
        <v>546763</v>
      </c>
      <c r="D30" s="60">
        <v>42818</v>
      </c>
      <c r="E30" s="61">
        <v>200200</v>
      </c>
      <c r="F30" s="77" t="s">
        <v>35</v>
      </c>
      <c r="G30" s="77">
        <v>146</v>
      </c>
      <c r="H30" s="75" t="s">
        <v>28</v>
      </c>
      <c r="I30" s="43" t="s">
        <v>31</v>
      </c>
      <c r="J30" s="67">
        <v>22</v>
      </c>
      <c r="K30" s="43"/>
      <c r="L30" s="82">
        <v>2000</v>
      </c>
      <c r="M30" s="80">
        <v>7.4759999999999993E-2</v>
      </c>
      <c r="N30" s="83">
        <v>39.5</v>
      </c>
      <c r="O30" s="43">
        <f>INT(2800/(N30+3))</f>
        <v>65</v>
      </c>
      <c r="P30" s="43">
        <f>((J30/2)*(J30/2)*3.14*9*3)/1000</f>
        <v>10.258380000000001</v>
      </c>
      <c r="Q30" s="75">
        <f>+M30*L30</f>
        <v>149.51999999999998</v>
      </c>
      <c r="R30" s="43">
        <f>P30/O30</f>
        <v>0.15782123076923077</v>
      </c>
      <c r="S30" s="66">
        <v>315.64246153846153</v>
      </c>
      <c r="T30" s="67"/>
      <c r="U30" s="74"/>
      <c r="V30" s="68" t="str">
        <f>IF(SUMPRODUCT(MAX(('Base de données'!$D$3:$D$114)*(('Base de données'!$H$3:$H$114='Base de données'!$H30)*('Base de données'!$I$3:$I$114='Base de données'!$I30)*('Base de données'!$J$3:$J$114='Base de données'!$J30))))&lt;&gt;'Base de données'!$D30,"",SUMPRODUCT((-'Base de données'!$S$3:$S$114+'Base de données'!$T$3:$T$114+'Base de données'!$U$3:$U$114)*(('Base de données'!$H$3:$H$114='Base de données'!$H30)*('Base de données'!$I$3:$I$114='Base de données'!$I30)*('Base de données'!$J$3:$J$114='Base de données'!$J30))))</f>
        <v/>
      </c>
      <c r="W30" s="43">
        <f>(((P30/3000)*2880)-(M30*O30))/O30</f>
        <v>7.6748381538461544E-2</v>
      </c>
      <c r="X30" s="43">
        <f>+W30*L30</f>
        <v>153.49676307692309</v>
      </c>
      <c r="Y30" s="43">
        <f>+((P30/3000)*120)/101</f>
        <v>4.0627247524752472E-3</v>
      </c>
      <c r="Z30" s="43">
        <f>Y30*L30</f>
        <v>8.1254495049504953</v>
      </c>
      <c r="AA30" s="43">
        <f>S30-Q30</f>
        <v>166.12246153846155</v>
      </c>
    </row>
    <row r="31" spans="1:27" ht="24.95" customHeight="1">
      <c r="A31" s="98">
        <v>201700027</v>
      </c>
      <c r="B31" s="75" t="s">
        <v>33</v>
      </c>
      <c r="C31" s="81">
        <v>547184</v>
      </c>
      <c r="D31" s="60">
        <v>42832</v>
      </c>
      <c r="E31" s="61">
        <v>510020</v>
      </c>
      <c r="F31" s="77" t="s">
        <v>36</v>
      </c>
      <c r="G31" s="84">
        <v>139</v>
      </c>
      <c r="H31" s="75" t="s">
        <v>28</v>
      </c>
      <c r="I31" s="75" t="s">
        <v>30</v>
      </c>
      <c r="J31" s="78">
        <v>8</v>
      </c>
      <c r="K31" s="43"/>
      <c r="L31" s="79">
        <v>20000</v>
      </c>
      <c r="M31" s="80">
        <v>1.446E-3</v>
      </c>
      <c r="N31" s="43">
        <v>6</v>
      </c>
      <c r="O31" s="43">
        <f>INT(2800/(N31+3))</f>
        <v>311</v>
      </c>
      <c r="P31" s="43">
        <f>((J31*J31)*0.866*9*3)/1000</f>
        <v>1.4964479999999998</v>
      </c>
      <c r="Q31" s="75">
        <f>+L31*M31</f>
        <v>28.92</v>
      </c>
      <c r="R31" s="43">
        <f>P31/O31</f>
        <v>4.8117299035369768E-3</v>
      </c>
      <c r="S31" s="66">
        <v>96.234598070739537</v>
      </c>
      <c r="T31" s="67"/>
      <c r="U31" s="67"/>
      <c r="V31" s="68" t="str">
        <f>IF(SUMPRODUCT(MAX(('Base de données'!$D$3:$D$114)*(('Base de données'!$H$3:$H$114='Base de données'!$H31)*('Base de données'!$I$3:$I$114='Base de données'!$I31)*('Base de données'!$J$3:$J$114='Base de données'!$J31))))&lt;&gt;'Base de données'!$D31,"",SUMPRODUCT((-'Base de données'!$S$3:$S$114+'Base de données'!$T$3:$T$114+'Base de données'!$U$3:$U$114)*(('Base de données'!$H$3:$H$114='Base de données'!$H31)*('Base de données'!$I$3:$I$114='Base de données'!$I31)*('Base de données'!$J$3:$J$114='Base de données'!$J31))))</f>
        <v/>
      </c>
      <c r="W31" s="43">
        <f>(((P31/3000)*2880)-(M31*O31))/O31</f>
        <v>3.1732607073954979E-3</v>
      </c>
      <c r="X31" s="43">
        <f>+W31*L31</f>
        <v>63.465214147909954</v>
      </c>
      <c r="Y31" s="43">
        <f>+((P31/3000)*120)/101</f>
        <v>5.9265267326732659E-4</v>
      </c>
      <c r="Z31" s="43">
        <f>Y31*L31</f>
        <v>11.853053465346532</v>
      </c>
      <c r="AA31" s="43">
        <f>S31-Q31</f>
        <v>67.314598070739535</v>
      </c>
    </row>
    <row r="32" spans="1:27" ht="24.95" customHeight="1">
      <c r="A32" s="98">
        <v>201700027</v>
      </c>
      <c r="B32" s="75" t="s">
        <v>33</v>
      </c>
      <c r="C32" s="81">
        <v>547184</v>
      </c>
      <c r="D32" s="60">
        <v>42832</v>
      </c>
      <c r="E32" s="61">
        <v>512800</v>
      </c>
      <c r="F32" s="77" t="s">
        <v>34</v>
      </c>
      <c r="G32" s="75"/>
      <c r="H32" s="75" t="s">
        <v>28</v>
      </c>
      <c r="I32" s="43" t="s">
        <v>31</v>
      </c>
      <c r="J32" s="78">
        <v>7</v>
      </c>
      <c r="K32" s="43"/>
      <c r="L32" s="79">
        <v>10000</v>
      </c>
      <c r="M32" s="80">
        <v>3.421E-3</v>
      </c>
      <c r="N32" s="43">
        <v>24.5</v>
      </c>
      <c r="O32" s="43">
        <f>INT(2800/(N32+3))</f>
        <v>101</v>
      </c>
      <c r="P32" s="43">
        <f>((J32/2)*(J32/2)*3.14*9*3)/1000</f>
        <v>1.0385550000000003</v>
      </c>
      <c r="Q32" s="75">
        <f>+M32*L32</f>
        <v>34.21</v>
      </c>
      <c r="R32" s="43">
        <f>P32/O32</f>
        <v>1.0282722772277231E-2</v>
      </c>
      <c r="S32" s="66">
        <v>102.82722772277231</v>
      </c>
      <c r="T32" s="67"/>
      <c r="U32" s="67"/>
      <c r="V32" s="68" t="str">
        <f>IF(SUMPRODUCT(MAX(('Base de données'!$D$3:$D$114)*(('Base de données'!$H$3:$H$114='Base de données'!$H32)*('Base de données'!$I$3:$I$114='Base de données'!$I32)*('Base de données'!$J$3:$J$114='Base de données'!$J32))))&lt;&gt;'Base de données'!$D32,"",SUMPRODUCT((-'Base de données'!$S$3:$S$114+'Base de données'!$T$3:$T$114+'Base de données'!$U$3:$U$114)*(('Base de données'!$H$3:$H$114='Base de données'!$H32)*('Base de données'!$I$3:$I$114='Base de données'!$I32)*('Base de données'!$J$3:$J$114='Base de données'!$J32))))</f>
        <v/>
      </c>
      <c r="W32" s="43">
        <f>(((P32/3000)*2880)-(M32*O32))/O32</f>
        <v>6.4504138613861416E-3</v>
      </c>
      <c r="X32" s="43">
        <f>+W32*L32</f>
        <v>64.504138613861414</v>
      </c>
      <c r="Y32" s="43">
        <f>+((P32/3000)*120)/101</f>
        <v>4.1130891089108927E-4</v>
      </c>
      <c r="Z32" s="43">
        <f>Y32*L32</f>
        <v>4.1130891089108923</v>
      </c>
      <c r="AA32" s="43">
        <f>S32-Q32</f>
        <v>68.617227722772299</v>
      </c>
    </row>
    <row r="33" spans="1:27" ht="24.95" customHeight="1">
      <c r="A33" s="98">
        <v>201700034</v>
      </c>
      <c r="B33" s="75" t="s">
        <v>33</v>
      </c>
      <c r="C33" s="81">
        <v>547321</v>
      </c>
      <c r="D33" s="60">
        <v>42839</v>
      </c>
      <c r="E33" s="61">
        <v>200200</v>
      </c>
      <c r="F33" s="77" t="s">
        <v>35</v>
      </c>
      <c r="G33" s="77"/>
      <c r="H33" s="75" t="s">
        <v>28</v>
      </c>
      <c r="I33" s="43" t="s">
        <v>31</v>
      </c>
      <c r="J33" s="67">
        <v>22</v>
      </c>
      <c r="K33" s="78"/>
      <c r="L33" s="85">
        <v>2500</v>
      </c>
      <c r="M33" s="80">
        <v>7.4759999999999993E-2</v>
      </c>
      <c r="N33" s="83">
        <v>39.5</v>
      </c>
      <c r="O33" s="43">
        <f>INT(2800/(N33+3))</f>
        <v>65</v>
      </c>
      <c r="P33" s="43">
        <f>((J33/2)*(J33/2)*3.14*9*3)/1000</f>
        <v>10.258380000000001</v>
      </c>
      <c r="Q33" s="75">
        <f>+M33*L33</f>
        <v>186.89999999999998</v>
      </c>
      <c r="R33" s="43">
        <f>P33/O33</f>
        <v>0.15782123076923077</v>
      </c>
      <c r="S33" s="66">
        <v>394.5530769230769</v>
      </c>
      <c r="T33" s="67"/>
      <c r="U33" s="67"/>
      <c r="V33" s="68" t="str">
        <f>IF(SUMPRODUCT(MAX(('Base de données'!$D$3:$D$114)*(('Base de données'!$H$3:$H$114='Base de données'!$H33)*('Base de données'!$I$3:$I$114='Base de données'!$I33)*('Base de données'!$J$3:$J$114='Base de données'!$J33))))&lt;&gt;'Base de données'!$D33,"",SUMPRODUCT((-'Base de données'!$S$3:$S$114+'Base de données'!$T$3:$T$114+'Base de données'!$U$3:$U$114)*(('Base de données'!$H$3:$H$114='Base de données'!$H33)*('Base de données'!$I$3:$I$114='Base de données'!$I33)*('Base de données'!$J$3:$J$114='Base de données'!$J33))))</f>
        <v/>
      </c>
      <c r="W33" s="43">
        <f>(((P33/3000)*2880)-(M33*O33))/O33</f>
        <v>7.6748381538461544E-2</v>
      </c>
      <c r="X33" s="43">
        <f>+W33*L33</f>
        <v>191.87095384615387</v>
      </c>
      <c r="Y33" s="43">
        <f>+((P33/3000)*120)/101</f>
        <v>4.0627247524752472E-3</v>
      </c>
      <c r="Z33" s="43">
        <f>Y33*L33</f>
        <v>10.156811881188117</v>
      </c>
      <c r="AA33" s="43">
        <f>S33-Q33</f>
        <v>207.65307692307692</v>
      </c>
    </row>
    <row r="34" spans="1:27" ht="24.95" customHeight="1">
      <c r="A34" s="98"/>
      <c r="B34" s="71" t="s">
        <v>32</v>
      </c>
      <c r="C34" s="43"/>
      <c r="D34" s="60">
        <v>42857</v>
      </c>
      <c r="E34" s="61"/>
      <c r="F34" s="43"/>
      <c r="G34" s="43"/>
      <c r="H34" s="72" t="s">
        <v>28</v>
      </c>
      <c r="I34" s="71" t="s">
        <v>30</v>
      </c>
      <c r="J34" s="73">
        <v>8</v>
      </c>
      <c r="K34" s="43"/>
      <c r="L34" s="43"/>
      <c r="M34" s="43"/>
      <c r="N34" s="43"/>
      <c r="O34" s="65"/>
      <c r="P34" s="43"/>
      <c r="Q34" s="43"/>
      <c r="R34" s="43"/>
      <c r="S34" s="66">
        <v>0</v>
      </c>
      <c r="T34" s="74">
        <v>150.4</v>
      </c>
      <c r="U34" s="74"/>
      <c r="V34" s="68" t="str">
        <f>IF(SUMPRODUCT(MAX(('Base de données'!$D$3:$D$114)*(('Base de données'!$H$3:$H$114='Base de données'!$H34)*('Base de données'!$I$3:$I$114='Base de données'!$I34)*('Base de données'!$J$3:$J$114='Base de données'!$J34))))&lt;&gt;'Base de données'!$D34,"",SUMPRODUCT((-'Base de données'!$S$3:$S$114+'Base de données'!$T$3:$T$114+'Base de données'!$U$3:$U$114)*(('Base de données'!$H$3:$H$114='Base de données'!$H34)*('Base de données'!$I$3:$I$114='Base de données'!$I34)*('Base de données'!$J$3:$J$114='Base de données'!$J34))))</f>
        <v/>
      </c>
      <c r="W34" s="43"/>
      <c r="X34" s="43"/>
      <c r="Y34" s="43"/>
      <c r="Z34" s="43"/>
      <c r="AA34" s="43"/>
    </row>
    <row r="35" spans="1:27" ht="24.95" customHeight="1">
      <c r="A35" s="98">
        <v>201700044</v>
      </c>
      <c r="B35" s="75" t="s">
        <v>33</v>
      </c>
      <c r="C35" s="81">
        <v>547817</v>
      </c>
      <c r="D35" s="60">
        <v>42861</v>
      </c>
      <c r="E35" s="61">
        <v>510020</v>
      </c>
      <c r="F35" s="77" t="s">
        <v>36</v>
      </c>
      <c r="G35" s="84">
        <v>139</v>
      </c>
      <c r="H35" s="75" t="s">
        <v>28</v>
      </c>
      <c r="I35" s="75" t="s">
        <v>30</v>
      </c>
      <c r="J35" s="78">
        <v>8</v>
      </c>
      <c r="K35" s="43"/>
      <c r="L35" s="79">
        <v>3540</v>
      </c>
      <c r="M35" s="80">
        <v>1.446E-3</v>
      </c>
      <c r="N35" s="43">
        <v>6</v>
      </c>
      <c r="O35" s="43">
        <f>INT(2800/(N35+3))</f>
        <v>311</v>
      </c>
      <c r="P35" s="43">
        <f>((J35*J35)*0.866*9*3)/1000</f>
        <v>1.4964479999999998</v>
      </c>
      <c r="Q35" s="75">
        <f>+L35*M35</f>
        <v>5.1188400000000005</v>
      </c>
      <c r="R35" s="43">
        <f>P35/O35</f>
        <v>4.8117299035369768E-3</v>
      </c>
      <c r="S35" s="66">
        <v>17.033523858520898</v>
      </c>
      <c r="T35" s="67"/>
      <c r="U35" s="67"/>
      <c r="V35" s="68" t="str">
        <f>IF(SUMPRODUCT(MAX(('Base de données'!$D$3:$D$114)*(('Base de données'!$H$3:$H$114='Base de données'!$H35)*('Base de données'!$I$3:$I$114='Base de données'!$I35)*('Base de données'!$J$3:$J$114='Base de données'!$J35))))&lt;&gt;'Base de données'!$D35,"",SUMPRODUCT((-'Base de données'!$S$3:$S$114+'Base de données'!$T$3:$T$114+'Base de données'!$U$3:$U$114)*(('Base de données'!$H$3:$H$114='Base de données'!$H35)*('Base de données'!$I$3:$I$114='Base de données'!$I35)*('Base de données'!$J$3:$J$114='Base de données'!$J35))))</f>
        <v/>
      </c>
      <c r="W35" s="43">
        <f>(((P35/3000)*2880)-(M35*O35))/O35</f>
        <v>3.1732607073954979E-3</v>
      </c>
      <c r="X35" s="43">
        <f>+W35*L35</f>
        <v>11.233342904180063</v>
      </c>
      <c r="Y35" s="43">
        <f>+((P35/3000)*120)/101</f>
        <v>5.9265267326732659E-4</v>
      </c>
      <c r="Z35" s="43">
        <f>Y35*L35</f>
        <v>2.0979904633663362</v>
      </c>
      <c r="AA35" s="43">
        <f>S35-Q35</f>
        <v>11.914683858520897</v>
      </c>
    </row>
    <row r="36" spans="1:27" ht="24.95" customHeight="1">
      <c r="A36" s="98">
        <v>201700044</v>
      </c>
      <c r="B36" s="75" t="s">
        <v>33</v>
      </c>
      <c r="C36" s="81">
        <v>547817</v>
      </c>
      <c r="D36" s="60">
        <v>42861</v>
      </c>
      <c r="E36" s="61">
        <v>510090</v>
      </c>
      <c r="F36" s="84" t="s">
        <v>37</v>
      </c>
      <c r="G36" s="84">
        <v>141</v>
      </c>
      <c r="H36" s="75" t="s">
        <v>28</v>
      </c>
      <c r="I36" s="75" t="s">
        <v>30</v>
      </c>
      <c r="J36" s="76">
        <v>12</v>
      </c>
      <c r="K36" s="43"/>
      <c r="L36" s="79">
        <v>5100</v>
      </c>
      <c r="M36" s="80">
        <v>3.2499999999999999E-3</v>
      </c>
      <c r="N36" s="86">
        <v>12</v>
      </c>
      <c r="O36" s="43">
        <f>INT(2800/(N36+3))</f>
        <v>186</v>
      </c>
      <c r="P36" s="43">
        <f>((J36*J36)*0.866*9*3)/1000</f>
        <v>3.3670079999999998</v>
      </c>
      <c r="Q36" s="75">
        <f>+L36*M36</f>
        <v>16.574999999999999</v>
      </c>
      <c r="R36" s="43">
        <f>P36/O36</f>
        <v>1.8102193548387095E-2</v>
      </c>
      <c r="S36" s="66">
        <v>92.321187096774182</v>
      </c>
      <c r="T36" s="67"/>
      <c r="U36" s="67"/>
      <c r="V36" s="68" t="str">
        <f>IF(SUMPRODUCT(MAX(('Base de données'!$D$3:$D$114)*(('Base de données'!$H$3:$H$114='Base de données'!$H36)*('Base de données'!$I$3:$I$114='Base de données'!$I36)*('Base de données'!$J$3:$J$114='Base de données'!$J36))))&lt;&gt;'Base de données'!$D36,"",SUMPRODUCT((-'Base de données'!$S$3:$S$114+'Base de données'!$T$3:$T$114+'Base de données'!$U$3:$U$114)*(('Base de données'!$H$3:$H$114='Base de données'!$H36)*('Base de données'!$I$3:$I$114='Base de données'!$I36)*('Base de données'!$J$3:$J$114='Base de données'!$J36))))</f>
        <v/>
      </c>
      <c r="W36" s="43">
        <f>(((P36/3000)*2880)-(M36*O36))/O36</f>
        <v>1.4128105806451612E-2</v>
      </c>
      <c r="X36" s="43">
        <f>+W36*L36</f>
        <v>72.053339612903216</v>
      </c>
      <c r="Y36" s="43">
        <f>+((P36/3000)*120)/101</f>
        <v>1.3334685148514848E-3</v>
      </c>
      <c r="Z36" s="43">
        <f>Y36*L36</f>
        <v>6.8006894257425721</v>
      </c>
      <c r="AA36" s="43">
        <f>S36-Q36</f>
        <v>75.746187096774179</v>
      </c>
    </row>
    <row r="37" spans="1:27" ht="24.95" customHeight="1">
      <c r="A37" s="98">
        <v>201700044</v>
      </c>
      <c r="B37" s="75" t="s">
        <v>33</v>
      </c>
      <c r="C37" s="81">
        <v>547817</v>
      </c>
      <c r="D37" s="60">
        <v>42861</v>
      </c>
      <c r="E37" s="61">
        <v>512800</v>
      </c>
      <c r="F37" s="77" t="s">
        <v>34</v>
      </c>
      <c r="G37" s="84"/>
      <c r="H37" s="75" t="s">
        <v>28</v>
      </c>
      <c r="I37" s="43" t="s">
        <v>31</v>
      </c>
      <c r="J37" s="78">
        <v>7</v>
      </c>
      <c r="K37" s="43"/>
      <c r="L37" s="79">
        <v>17400</v>
      </c>
      <c r="M37" s="80">
        <v>3.421E-3</v>
      </c>
      <c r="N37" s="43">
        <v>24.5</v>
      </c>
      <c r="O37" s="43">
        <f>INT(2800/(N37+3))</f>
        <v>101</v>
      </c>
      <c r="P37" s="43">
        <f>((J37/2)*(J37/2)*3.14*9*3)/1000</f>
        <v>1.0385550000000003</v>
      </c>
      <c r="Q37" s="75">
        <f>+M37*L37</f>
        <v>59.525399999999998</v>
      </c>
      <c r="R37" s="43">
        <f>P37/O37</f>
        <v>1.0282722772277231E-2</v>
      </c>
      <c r="S37" s="66">
        <v>178.91937623762382</v>
      </c>
      <c r="T37" s="67"/>
      <c r="U37" s="67"/>
      <c r="V37" s="68" t="str">
        <f>IF(SUMPRODUCT(MAX(('Base de données'!$D$3:$D$114)*(('Base de données'!$H$3:$H$114='Base de données'!$H37)*('Base de données'!$I$3:$I$114='Base de données'!$I37)*('Base de données'!$J$3:$J$114='Base de données'!$J37))))&lt;&gt;'Base de données'!$D37,"",SUMPRODUCT((-'Base de données'!$S$3:$S$114+'Base de données'!$T$3:$T$114+'Base de données'!$U$3:$U$114)*(('Base de données'!$H$3:$H$114='Base de données'!$H37)*('Base de données'!$I$3:$I$114='Base de données'!$I37)*('Base de données'!$J$3:$J$114='Base de données'!$J37))))</f>
        <v/>
      </c>
      <c r="W37" s="43">
        <f>(((P37/3000)*2880)-(M37*O37))/O37</f>
        <v>6.4504138613861416E-3</v>
      </c>
      <c r="X37" s="43">
        <f>+W37*L37</f>
        <v>112.23720118811886</v>
      </c>
      <c r="Y37" s="43">
        <f>+((P37/3000)*120)/101</f>
        <v>4.1130891089108927E-4</v>
      </c>
      <c r="Z37" s="43">
        <f>Y37*L37</f>
        <v>7.1567750495049536</v>
      </c>
      <c r="AA37" s="43">
        <f>S37-Q37</f>
        <v>119.39397623762383</v>
      </c>
    </row>
    <row r="38" spans="1:27" ht="24.95" customHeight="1">
      <c r="A38" s="98">
        <v>201700038</v>
      </c>
      <c r="B38" s="75" t="s">
        <v>33</v>
      </c>
      <c r="C38" s="76">
        <v>547903</v>
      </c>
      <c r="D38" s="60">
        <v>42866</v>
      </c>
      <c r="E38" s="61">
        <v>200200</v>
      </c>
      <c r="F38" s="77" t="s">
        <v>35</v>
      </c>
      <c r="G38" s="77"/>
      <c r="H38" s="75" t="s">
        <v>28</v>
      </c>
      <c r="I38" s="43" t="s">
        <v>31</v>
      </c>
      <c r="J38" s="67">
        <v>22</v>
      </c>
      <c r="K38" s="43"/>
      <c r="L38" s="82">
        <v>1500</v>
      </c>
      <c r="M38" s="80">
        <v>7.4759999999999993E-2</v>
      </c>
      <c r="N38" s="83">
        <v>39.5</v>
      </c>
      <c r="O38" s="43">
        <f>INT(2800/(N38+3))</f>
        <v>65</v>
      </c>
      <c r="P38" s="43">
        <f>((J38/2)*(J38/2)*3.14*9*3)/1000</f>
        <v>10.258380000000001</v>
      </c>
      <c r="Q38" s="75">
        <f>+M38*L38</f>
        <v>112.13999999999999</v>
      </c>
      <c r="R38" s="43">
        <f>P38/O38</f>
        <v>0.15782123076923077</v>
      </c>
      <c r="S38" s="66">
        <v>236.73184615384616</v>
      </c>
      <c r="T38" s="67"/>
      <c r="U38" s="67"/>
      <c r="V38" s="68" t="str">
        <f>IF(SUMPRODUCT(MAX(('Base de données'!$D$3:$D$114)*(('Base de données'!$H$3:$H$114='Base de données'!$H38)*('Base de données'!$I$3:$I$114='Base de données'!$I38)*('Base de données'!$J$3:$J$114='Base de données'!$J38))))&lt;&gt;'Base de données'!$D38,"",SUMPRODUCT((-'Base de données'!$S$3:$S$114+'Base de données'!$T$3:$T$114+'Base de données'!$U$3:$U$114)*(('Base de données'!$H$3:$H$114='Base de données'!$H38)*('Base de données'!$I$3:$I$114='Base de données'!$I38)*('Base de données'!$J$3:$J$114='Base de données'!$J38))))</f>
        <v/>
      </c>
      <c r="W38" s="43">
        <f>(((P38/3000)*2880)-(M38*O38))/O38</f>
        <v>7.6748381538461544E-2</v>
      </c>
      <c r="X38" s="43">
        <f>+W38*L38</f>
        <v>115.12257230769231</v>
      </c>
      <c r="Y38" s="43">
        <f>+((P38/3000)*120)/101</f>
        <v>4.0627247524752472E-3</v>
      </c>
      <c r="Z38" s="43">
        <f>Y38*L38</f>
        <v>6.0940871287128706</v>
      </c>
      <c r="AA38" s="43">
        <f>S38-Q38</f>
        <v>124.59184615384618</v>
      </c>
    </row>
    <row r="39" spans="1:27" ht="24.95" customHeight="1">
      <c r="A39" s="97"/>
      <c r="B39" s="71" t="s">
        <v>32</v>
      </c>
      <c r="C39" s="43"/>
      <c r="D39" s="60">
        <v>42885</v>
      </c>
      <c r="E39" s="61"/>
      <c r="F39" s="43"/>
      <c r="G39" s="43"/>
      <c r="H39" s="72" t="s">
        <v>28</v>
      </c>
      <c r="I39" s="71" t="s">
        <v>31</v>
      </c>
      <c r="J39" s="73">
        <v>7</v>
      </c>
      <c r="K39" s="43"/>
      <c r="L39" s="43"/>
      <c r="M39" s="43"/>
      <c r="N39" s="43"/>
      <c r="O39" s="65"/>
      <c r="P39" s="43"/>
      <c r="Q39" s="43"/>
      <c r="R39" s="43"/>
      <c r="S39" s="66">
        <v>0</v>
      </c>
      <c r="T39" s="74">
        <v>250</v>
      </c>
      <c r="U39" s="74"/>
      <c r="V39" s="68" t="str">
        <f>IF(SUMPRODUCT(MAX(('Base de données'!$D$3:$D$114)*(('Base de données'!$H$3:$H$114='Base de données'!$H39)*('Base de données'!$I$3:$I$114='Base de données'!$I39)*('Base de données'!$J$3:$J$114='Base de données'!$J39))))&lt;&gt;'Base de données'!$D39,"",SUMPRODUCT((-'Base de données'!$S$3:$S$114+'Base de données'!$T$3:$T$114+'Base de données'!$U$3:$U$114)*(('Base de données'!$H$3:$H$114='Base de données'!$H39)*('Base de données'!$I$3:$I$114='Base de données'!$I39)*('Base de données'!$J$3:$J$114='Base de données'!$J39))))</f>
        <v/>
      </c>
      <c r="W39" s="43"/>
      <c r="X39" s="43"/>
      <c r="Y39" s="43"/>
      <c r="Z39" s="43"/>
      <c r="AA39" s="43"/>
    </row>
    <row r="40" spans="1:27" ht="24.95" customHeight="1">
      <c r="A40" s="97"/>
      <c r="B40" s="71" t="s">
        <v>32</v>
      </c>
      <c r="C40" s="43"/>
      <c r="D40" s="60">
        <v>42885</v>
      </c>
      <c r="E40" s="61"/>
      <c r="F40" s="43"/>
      <c r="G40" s="43"/>
      <c r="H40" s="72" t="s">
        <v>28</v>
      </c>
      <c r="I40" s="71" t="s">
        <v>30</v>
      </c>
      <c r="J40" s="73">
        <v>12</v>
      </c>
      <c r="K40" s="43"/>
      <c r="L40" s="43"/>
      <c r="M40" s="43"/>
      <c r="N40" s="43"/>
      <c r="O40" s="65"/>
      <c r="P40" s="43"/>
      <c r="Q40" s="43"/>
      <c r="R40" s="43"/>
      <c r="S40" s="66">
        <v>0</v>
      </c>
      <c r="T40" s="74">
        <v>250</v>
      </c>
      <c r="U40" s="74"/>
      <c r="V40" s="68" t="str">
        <f>IF(SUMPRODUCT(MAX(('Base de données'!$D$3:$D$114)*(('Base de données'!$H$3:$H$114='Base de données'!$H40)*('Base de données'!$I$3:$I$114='Base de données'!$I40)*('Base de données'!$J$3:$J$114='Base de données'!$J40))))&lt;&gt;'Base de données'!$D40,"",SUMPRODUCT((-'Base de données'!$S$3:$S$114+'Base de données'!$T$3:$T$114+'Base de données'!$U$3:$U$114)*(('Base de données'!$H$3:$H$114='Base de données'!$H40)*('Base de données'!$I$3:$I$114='Base de données'!$I40)*('Base de données'!$J$3:$J$114='Base de données'!$J40))))</f>
        <v/>
      </c>
      <c r="W40" s="43"/>
      <c r="X40" s="43"/>
      <c r="Y40" s="43"/>
      <c r="Z40" s="43"/>
      <c r="AA40" s="43"/>
    </row>
    <row r="41" spans="1:27" ht="24.95" customHeight="1">
      <c r="A41" s="98">
        <v>201700054</v>
      </c>
      <c r="B41" s="75" t="s">
        <v>33</v>
      </c>
      <c r="C41" s="76">
        <v>548450</v>
      </c>
      <c r="D41" s="60">
        <v>42893</v>
      </c>
      <c r="E41" s="61">
        <v>510020</v>
      </c>
      <c r="F41" s="77" t="s">
        <v>36</v>
      </c>
      <c r="G41" s="84">
        <v>139</v>
      </c>
      <c r="H41" s="75" t="s">
        <v>28</v>
      </c>
      <c r="I41" s="75" t="s">
        <v>30</v>
      </c>
      <c r="J41" s="78">
        <v>8</v>
      </c>
      <c r="K41" s="43"/>
      <c r="L41" s="79">
        <v>26460</v>
      </c>
      <c r="M41" s="80">
        <v>1.446E-3</v>
      </c>
      <c r="N41" s="43">
        <v>6</v>
      </c>
      <c r="O41" s="43">
        <f t="shared" ref="O41:O46" si="1">INT(2800/(N41+3))</f>
        <v>311</v>
      </c>
      <c r="P41" s="43">
        <f>((J41*J41)*0.866*9*3)/1000</f>
        <v>1.4964479999999998</v>
      </c>
      <c r="Q41" s="75">
        <f>+L41*M41</f>
        <v>38.261160000000004</v>
      </c>
      <c r="R41" s="43">
        <f t="shared" ref="R41:R46" si="2">P41/O41</f>
        <v>4.8117299035369768E-3</v>
      </c>
      <c r="S41" s="66">
        <v>127.31837324758841</v>
      </c>
      <c r="T41" s="67"/>
      <c r="U41" s="67"/>
      <c r="V41" s="68" t="str">
        <f>IF(SUMPRODUCT(MAX(('Base de données'!$D$3:$D$114)*(('Base de données'!$H$3:$H$114='Base de données'!$H41)*('Base de données'!$I$3:$I$114='Base de données'!$I41)*('Base de données'!$J$3:$J$114='Base de données'!$J41))))&lt;&gt;'Base de données'!$D41,"",SUMPRODUCT((-'Base de données'!$S$3:$S$114+'Base de données'!$T$3:$T$114+'Base de données'!$U$3:$U$114)*(('Base de données'!$H$3:$H$114='Base de données'!$H41)*('Base de données'!$I$3:$I$114='Base de données'!$I41)*('Base de données'!$J$3:$J$114='Base de données'!$J41))))</f>
        <v/>
      </c>
      <c r="W41" s="43">
        <f t="shared" ref="W41:W46" si="3">(((P41/3000)*2880)-(M41*O41))/O41</f>
        <v>3.1732607073954979E-3</v>
      </c>
      <c r="X41" s="43">
        <f t="shared" ref="X41:X46" si="4">+W41*L41</f>
        <v>83.964478317684879</v>
      </c>
      <c r="Y41" s="43">
        <f t="shared" ref="Y41:Y46" si="5">+((P41/3000)*120)/101</f>
        <v>5.9265267326732659E-4</v>
      </c>
      <c r="Z41" s="43">
        <f t="shared" ref="Z41:Z46" si="6">Y41*L41</f>
        <v>15.681589734653462</v>
      </c>
      <c r="AA41" s="43">
        <f t="shared" ref="AA41:AA46" si="7">S41-Q41</f>
        <v>89.057213247588408</v>
      </c>
    </row>
    <row r="42" spans="1:27" ht="24.95" customHeight="1">
      <c r="A42" s="98">
        <v>201700054</v>
      </c>
      <c r="B42" s="75" t="s">
        <v>33</v>
      </c>
      <c r="C42" s="76">
        <v>548450</v>
      </c>
      <c r="D42" s="60">
        <v>42893</v>
      </c>
      <c r="E42" s="61">
        <v>512800</v>
      </c>
      <c r="F42" s="77" t="s">
        <v>34</v>
      </c>
      <c r="G42" s="84"/>
      <c r="H42" s="75" t="s">
        <v>28</v>
      </c>
      <c r="I42" s="43" t="s">
        <v>31</v>
      </c>
      <c r="J42" s="78">
        <v>7</v>
      </c>
      <c r="K42" s="43"/>
      <c r="L42" s="79">
        <v>9100</v>
      </c>
      <c r="M42" s="80">
        <v>3.421E-3</v>
      </c>
      <c r="N42" s="43">
        <v>24.5</v>
      </c>
      <c r="O42" s="43">
        <f t="shared" si="1"/>
        <v>101</v>
      </c>
      <c r="P42" s="43">
        <f>((J42/2)*(J42/2)*3.14*9*3)/1000</f>
        <v>1.0385550000000003</v>
      </c>
      <c r="Q42" s="75">
        <f>+M42*L42</f>
        <v>31.1311</v>
      </c>
      <c r="R42" s="43">
        <f t="shared" si="2"/>
        <v>1.0282722772277231E-2</v>
      </c>
      <c r="S42" s="66">
        <v>93.57277722772281</v>
      </c>
      <c r="T42" s="67"/>
      <c r="U42" s="67"/>
      <c r="V42" s="68" t="str">
        <f>IF(SUMPRODUCT(MAX(('Base de données'!$D$3:$D$114)*(('Base de données'!$H$3:$H$114='Base de données'!$H42)*('Base de données'!$I$3:$I$114='Base de données'!$I42)*('Base de données'!$J$3:$J$114='Base de données'!$J42))))&lt;&gt;'Base de données'!$D42,"",SUMPRODUCT((-'Base de données'!$S$3:$S$114+'Base de données'!$T$3:$T$114+'Base de données'!$U$3:$U$114)*(('Base de données'!$H$3:$H$114='Base de données'!$H42)*('Base de données'!$I$3:$I$114='Base de données'!$I42)*('Base de données'!$J$3:$J$114='Base de données'!$J42))))</f>
        <v/>
      </c>
      <c r="W42" s="43">
        <f t="shared" si="3"/>
        <v>6.4504138613861416E-3</v>
      </c>
      <c r="X42" s="43">
        <f t="shared" si="4"/>
        <v>58.698766138613891</v>
      </c>
      <c r="Y42" s="43">
        <f t="shared" si="5"/>
        <v>4.1130891089108927E-4</v>
      </c>
      <c r="Z42" s="43">
        <f t="shared" si="6"/>
        <v>3.7429110891089121</v>
      </c>
      <c r="AA42" s="43">
        <f t="shared" si="7"/>
        <v>62.441677227722806</v>
      </c>
    </row>
    <row r="43" spans="1:27" ht="24.95" customHeight="1">
      <c r="A43" s="98">
        <v>201700061</v>
      </c>
      <c r="B43" s="75" t="s">
        <v>33</v>
      </c>
      <c r="C43" s="76">
        <v>549084</v>
      </c>
      <c r="D43" s="60">
        <v>42923</v>
      </c>
      <c r="E43" s="61">
        <v>200200</v>
      </c>
      <c r="F43" s="77" t="s">
        <v>35</v>
      </c>
      <c r="G43" s="84"/>
      <c r="H43" s="75" t="s">
        <v>28</v>
      </c>
      <c r="I43" s="43" t="s">
        <v>31</v>
      </c>
      <c r="J43" s="67">
        <v>22</v>
      </c>
      <c r="K43" s="43"/>
      <c r="L43" s="82">
        <v>1500</v>
      </c>
      <c r="M43" s="80">
        <v>7.4759999999999993E-2</v>
      </c>
      <c r="N43" s="83">
        <v>39.5</v>
      </c>
      <c r="O43" s="43">
        <f t="shared" si="1"/>
        <v>65</v>
      </c>
      <c r="P43" s="43">
        <f>((J43/2)*(J43/2)*3.14*9*3)/1000</f>
        <v>10.258380000000001</v>
      </c>
      <c r="Q43" s="75">
        <f>+M43*L43</f>
        <v>112.13999999999999</v>
      </c>
      <c r="R43" s="43">
        <f t="shared" si="2"/>
        <v>0.15782123076923077</v>
      </c>
      <c r="S43" s="66">
        <v>236.73184615384616</v>
      </c>
      <c r="T43" s="67"/>
      <c r="U43" s="67"/>
      <c r="V43" s="68" t="str">
        <f>IF(SUMPRODUCT(MAX(('Base de données'!$D$3:$D$114)*(('Base de données'!$H$3:$H$114='Base de données'!$H43)*('Base de données'!$I$3:$I$114='Base de données'!$I43)*('Base de données'!$J$3:$J$114='Base de données'!$J43))))&lt;&gt;'Base de données'!$D43,"",SUMPRODUCT((-'Base de données'!$S$3:$S$114+'Base de données'!$T$3:$T$114+'Base de données'!$U$3:$U$114)*(('Base de données'!$H$3:$H$114='Base de données'!$H43)*('Base de données'!$I$3:$I$114='Base de données'!$I43)*('Base de données'!$J$3:$J$114='Base de données'!$J43))))</f>
        <v/>
      </c>
      <c r="W43" s="43">
        <f t="shared" si="3"/>
        <v>7.6748381538461544E-2</v>
      </c>
      <c r="X43" s="43">
        <f t="shared" si="4"/>
        <v>115.12257230769231</v>
      </c>
      <c r="Y43" s="43">
        <f t="shared" si="5"/>
        <v>4.0627247524752472E-3</v>
      </c>
      <c r="Z43" s="43">
        <f t="shared" si="6"/>
        <v>6.0940871287128706</v>
      </c>
      <c r="AA43" s="43">
        <f t="shared" si="7"/>
        <v>124.59184615384618</v>
      </c>
    </row>
    <row r="44" spans="1:27" ht="24.95" customHeight="1">
      <c r="A44" s="98">
        <v>201700065</v>
      </c>
      <c r="B44" s="75" t="s">
        <v>33</v>
      </c>
      <c r="C44" s="76">
        <v>549089</v>
      </c>
      <c r="D44" s="60">
        <v>42923</v>
      </c>
      <c r="E44" s="61">
        <v>510020</v>
      </c>
      <c r="F44" s="77" t="s">
        <v>36</v>
      </c>
      <c r="G44" s="84">
        <v>139</v>
      </c>
      <c r="H44" s="75" t="s">
        <v>28</v>
      </c>
      <c r="I44" s="75" t="s">
        <v>30</v>
      </c>
      <c r="J44" s="78">
        <v>8</v>
      </c>
      <c r="K44" s="43"/>
      <c r="L44" s="79">
        <v>15517</v>
      </c>
      <c r="M44" s="80">
        <v>1.446E-3</v>
      </c>
      <c r="N44" s="43">
        <v>6</v>
      </c>
      <c r="O44" s="43">
        <f t="shared" si="1"/>
        <v>311</v>
      </c>
      <c r="P44" s="43">
        <f>((J44*J44)*0.866*9*3)/1000</f>
        <v>1.4964479999999998</v>
      </c>
      <c r="Q44" s="75">
        <f>+L44*M44</f>
        <v>22.437581999999999</v>
      </c>
      <c r="R44" s="43">
        <f t="shared" si="2"/>
        <v>4.8117299035369768E-3</v>
      </c>
      <c r="S44" s="66">
        <v>74.663612913183272</v>
      </c>
      <c r="T44" s="67"/>
      <c r="U44" s="67"/>
      <c r="V44" s="68" t="str">
        <f>IF(SUMPRODUCT(MAX(('Base de données'!$D$3:$D$114)*(('Base de données'!$H$3:$H$114='Base de données'!$H44)*('Base de données'!$I$3:$I$114='Base de données'!$I44)*('Base de données'!$J$3:$J$114='Base de données'!$J44))))&lt;&gt;'Base de données'!$D44,"",SUMPRODUCT((-'Base de données'!$S$3:$S$114+'Base de données'!$T$3:$T$114+'Base de données'!$U$3:$U$114)*(('Base de données'!$H$3:$H$114='Base de données'!$H44)*('Base de données'!$I$3:$I$114='Base de données'!$I44)*('Base de données'!$J$3:$J$114='Base de données'!$J44))))</f>
        <v/>
      </c>
      <c r="W44" s="43">
        <f t="shared" si="3"/>
        <v>3.1732607073954979E-3</v>
      </c>
      <c r="X44" s="43">
        <f t="shared" si="4"/>
        <v>49.239486396655941</v>
      </c>
      <c r="Y44" s="43">
        <f t="shared" si="5"/>
        <v>5.9265267326732659E-4</v>
      </c>
      <c r="Z44" s="43">
        <f t="shared" si="6"/>
        <v>9.1961915310891076</v>
      </c>
      <c r="AA44" s="43">
        <f t="shared" si="7"/>
        <v>52.226030913183273</v>
      </c>
    </row>
    <row r="45" spans="1:27" ht="24.95" customHeight="1">
      <c r="A45" s="98">
        <v>201700065</v>
      </c>
      <c r="B45" s="75" t="s">
        <v>33</v>
      </c>
      <c r="C45" s="76">
        <v>549089</v>
      </c>
      <c r="D45" s="60">
        <v>42923</v>
      </c>
      <c r="E45" s="61">
        <v>511040</v>
      </c>
      <c r="F45" s="77" t="s">
        <v>38</v>
      </c>
      <c r="G45" s="84">
        <v>138</v>
      </c>
      <c r="H45" s="75" t="s">
        <v>28</v>
      </c>
      <c r="I45" s="43" t="s">
        <v>31</v>
      </c>
      <c r="J45" s="76">
        <v>18</v>
      </c>
      <c r="K45" s="43"/>
      <c r="L45" s="79">
        <v>865</v>
      </c>
      <c r="M45" s="80">
        <v>3.676E-3</v>
      </c>
      <c r="N45" s="43">
        <v>10.3</v>
      </c>
      <c r="O45" s="43">
        <f t="shared" si="1"/>
        <v>210</v>
      </c>
      <c r="P45" s="43">
        <f>((J45/2)*(J45/2)*3.14*9*3)/1000</f>
        <v>6.8671800000000003</v>
      </c>
      <c r="Q45" s="75">
        <f>+M45*L45</f>
        <v>3.1797400000000002</v>
      </c>
      <c r="R45" s="43">
        <f t="shared" si="2"/>
        <v>3.2700857142857143E-2</v>
      </c>
      <c r="S45" s="66">
        <v>28.286241428571429</v>
      </c>
      <c r="T45" s="67"/>
      <c r="U45" s="67"/>
      <c r="V45" s="68" t="str">
        <f>IF(SUMPRODUCT(MAX(('Base de données'!$D$3:$D$114)*(('Base de données'!$H$3:$H$114='Base de données'!$H45)*('Base de données'!$I$3:$I$114='Base de données'!$I45)*('Base de données'!$J$3:$J$114='Base de données'!$J45))))&lt;&gt;'Base de données'!$D45,"",SUMPRODUCT((-'Base de données'!$S$3:$S$114+'Base de données'!$T$3:$T$114+'Base de données'!$U$3:$U$114)*(('Base de données'!$H$3:$H$114='Base de données'!$H45)*('Base de données'!$I$3:$I$114='Base de données'!$I45)*('Base de données'!$J$3:$J$114='Base de données'!$J45))))</f>
        <v/>
      </c>
      <c r="W45" s="43">
        <f t="shared" si="3"/>
        <v>2.7716822857142855E-2</v>
      </c>
      <c r="X45" s="43">
        <f t="shared" si="4"/>
        <v>23.975051771428571</v>
      </c>
      <c r="Y45" s="43">
        <f t="shared" si="5"/>
        <v>2.719675247524752E-3</v>
      </c>
      <c r="Z45" s="43">
        <f t="shared" si="6"/>
        <v>2.3525190891089105</v>
      </c>
      <c r="AA45" s="43">
        <f t="shared" si="7"/>
        <v>25.106501428571431</v>
      </c>
    </row>
    <row r="46" spans="1:27" ht="24.95" customHeight="1">
      <c r="A46" s="98">
        <v>201700065</v>
      </c>
      <c r="B46" s="75" t="s">
        <v>33</v>
      </c>
      <c r="C46" s="76">
        <v>549089</v>
      </c>
      <c r="D46" s="60">
        <v>42923</v>
      </c>
      <c r="E46" s="61">
        <v>512800</v>
      </c>
      <c r="F46" s="77" t="s">
        <v>34</v>
      </c>
      <c r="G46" s="84"/>
      <c r="H46" s="75" t="s">
        <v>28</v>
      </c>
      <c r="I46" s="43" t="s">
        <v>31</v>
      </c>
      <c r="J46" s="78">
        <v>7</v>
      </c>
      <c r="K46" s="43"/>
      <c r="L46" s="79">
        <v>6000</v>
      </c>
      <c r="M46" s="80">
        <v>3.421E-3</v>
      </c>
      <c r="N46" s="43">
        <v>24.5</v>
      </c>
      <c r="O46" s="43">
        <f t="shared" si="1"/>
        <v>101</v>
      </c>
      <c r="P46" s="43">
        <f>((J46/2)*(J46/2)*3.14*9*3)/1000</f>
        <v>1.0385550000000003</v>
      </c>
      <c r="Q46" s="75">
        <f>+M46*L46</f>
        <v>20.526</v>
      </c>
      <c r="R46" s="43">
        <f t="shared" si="2"/>
        <v>1.0282722772277231E-2</v>
      </c>
      <c r="S46" s="66">
        <v>61.696336633663385</v>
      </c>
      <c r="T46" s="67"/>
      <c r="U46" s="67"/>
      <c r="V46" s="68" t="str">
        <f>IF(SUMPRODUCT(MAX(('Base de données'!$D$3:$D$114)*(('Base de données'!$H$3:$H$114='Base de données'!$H46)*('Base de données'!$I$3:$I$114='Base de données'!$I46)*('Base de données'!$J$3:$J$114='Base de données'!$J46))))&lt;&gt;'Base de données'!$D46,"",SUMPRODUCT((-'Base de données'!$S$3:$S$114+'Base de données'!$T$3:$T$114+'Base de données'!$U$3:$U$114)*(('Base de données'!$H$3:$H$114='Base de données'!$H46)*('Base de données'!$I$3:$I$114='Base de données'!$I46)*('Base de données'!$J$3:$J$114='Base de données'!$J46))))</f>
        <v/>
      </c>
      <c r="W46" s="43">
        <f t="shared" si="3"/>
        <v>6.4504138613861416E-3</v>
      </c>
      <c r="X46" s="43">
        <f t="shared" si="4"/>
        <v>38.702483168316853</v>
      </c>
      <c r="Y46" s="43">
        <f t="shared" si="5"/>
        <v>4.1130891089108927E-4</v>
      </c>
      <c r="Z46" s="43">
        <f t="shared" si="6"/>
        <v>2.4678534653465358</v>
      </c>
      <c r="AA46" s="43">
        <f t="shared" si="7"/>
        <v>41.170336633663382</v>
      </c>
    </row>
    <row r="47" spans="1:27" ht="24.95" customHeight="1">
      <c r="A47" s="97"/>
      <c r="B47" s="71" t="s">
        <v>32</v>
      </c>
      <c r="C47" s="43"/>
      <c r="D47" s="60">
        <v>42923</v>
      </c>
      <c r="E47" s="61"/>
      <c r="F47" s="43"/>
      <c r="G47" s="43"/>
      <c r="H47" s="72" t="s">
        <v>28</v>
      </c>
      <c r="I47" s="71" t="s">
        <v>30</v>
      </c>
      <c r="J47" s="73">
        <v>8</v>
      </c>
      <c r="K47" s="43"/>
      <c r="L47" s="43"/>
      <c r="M47" s="43"/>
      <c r="N47" s="43"/>
      <c r="O47" s="65"/>
      <c r="P47" s="43"/>
      <c r="Q47" s="43"/>
      <c r="R47" s="43"/>
      <c r="S47" s="66">
        <v>0</v>
      </c>
      <c r="T47" s="74">
        <v>150.4</v>
      </c>
      <c r="U47" s="74"/>
      <c r="V47" s="68" t="str">
        <f>IF(SUMPRODUCT(MAX(('Base de données'!$D$3:$D$114)*(('Base de données'!$H$3:$H$114='Base de données'!$H47)*('Base de données'!$I$3:$I$114='Base de données'!$I47)*('Base de données'!$J$3:$J$114='Base de données'!$J47))))&lt;&gt;'Base de données'!$D47,"",SUMPRODUCT((-'Base de données'!$S$3:$S$114+'Base de données'!$T$3:$T$114+'Base de données'!$U$3:$U$114)*(('Base de données'!$H$3:$H$114='Base de données'!$H47)*('Base de données'!$I$3:$I$114='Base de données'!$I47)*('Base de données'!$J$3:$J$114='Base de données'!$J47))))</f>
        <v/>
      </c>
      <c r="W47" s="43"/>
      <c r="X47" s="43"/>
      <c r="Y47" s="43"/>
      <c r="Z47" s="43"/>
      <c r="AA47" s="43"/>
    </row>
    <row r="48" spans="1:27" ht="24.95" customHeight="1">
      <c r="A48" s="98">
        <v>201700072</v>
      </c>
      <c r="B48" s="75" t="s">
        <v>33</v>
      </c>
      <c r="C48" s="76">
        <v>549600</v>
      </c>
      <c r="D48" s="60">
        <v>42950</v>
      </c>
      <c r="E48" s="61">
        <v>510090</v>
      </c>
      <c r="F48" s="84" t="s">
        <v>37</v>
      </c>
      <c r="G48" s="84">
        <v>141</v>
      </c>
      <c r="H48" s="75" t="s">
        <v>28</v>
      </c>
      <c r="I48" s="75" t="s">
        <v>30</v>
      </c>
      <c r="J48" s="76">
        <v>12</v>
      </c>
      <c r="K48" s="43"/>
      <c r="L48" s="79">
        <v>3000</v>
      </c>
      <c r="M48" s="80">
        <v>3.2499999999999999E-3</v>
      </c>
      <c r="N48" s="86">
        <v>12</v>
      </c>
      <c r="O48" s="43">
        <f t="shared" ref="O48:O55" si="8">INT(2800/(N48+3))</f>
        <v>186</v>
      </c>
      <c r="P48" s="43">
        <f>((J48*J48)*0.866*9*3)/1000</f>
        <v>3.3670079999999998</v>
      </c>
      <c r="Q48" s="75">
        <f>+L48*M48</f>
        <v>9.75</v>
      </c>
      <c r="R48" s="43">
        <f t="shared" ref="R48:R55" si="9">P48/O48</f>
        <v>1.8102193548387095E-2</v>
      </c>
      <c r="S48" s="66">
        <v>54.306580645161283</v>
      </c>
      <c r="T48" s="67"/>
      <c r="U48" s="67"/>
      <c r="V48" s="68" t="str">
        <f>IF(SUMPRODUCT(MAX(('Base de données'!$D$3:$D$114)*(('Base de données'!$H$3:$H$114='Base de données'!$H48)*('Base de données'!$I$3:$I$114='Base de données'!$I48)*('Base de données'!$J$3:$J$114='Base de données'!$J48))))&lt;&gt;'Base de données'!$D48,"",SUMPRODUCT((-'Base de données'!$S$3:$S$114+'Base de données'!$T$3:$T$114+'Base de données'!$U$3:$U$114)*(('Base de données'!$H$3:$H$114='Base de données'!$H48)*('Base de données'!$I$3:$I$114='Base de données'!$I48)*('Base de données'!$J$3:$J$114='Base de données'!$J48))))</f>
        <v/>
      </c>
      <c r="W48" s="43">
        <f t="shared" ref="W48:W55" si="10">(((P48/3000)*2880)-(M48*O48))/O48</f>
        <v>1.4128105806451612E-2</v>
      </c>
      <c r="X48" s="43">
        <f t="shared" ref="X48:X55" si="11">+W48*L48</f>
        <v>42.384317419354836</v>
      </c>
      <c r="Y48" s="43">
        <f t="shared" ref="Y48:Y55" si="12">+((P48/3000)*120)/101</f>
        <v>1.3334685148514848E-3</v>
      </c>
      <c r="Z48" s="43">
        <f t="shared" ref="Z48:Z55" si="13">Y48*L48</f>
        <v>4.0004055445544546</v>
      </c>
      <c r="AA48" s="43">
        <f t="shared" ref="AA48:AA55" si="14">S48-Q48</f>
        <v>44.556580645161283</v>
      </c>
    </row>
    <row r="49" spans="1:27" ht="24.95" customHeight="1">
      <c r="A49" s="98">
        <v>201700072</v>
      </c>
      <c r="B49" s="75" t="s">
        <v>33</v>
      </c>
      <c r="C49" s="76">
        <v>549600</v>
      </c>
      <c r="D49" s="60">
        <v>42950</v>
      </c>
      <c r="E49" s="61">
        <v>512800</v>
      </c>
      <c r="F49" s="77" t="s">
        <v>34</v>
      </c>
      <c r="G49" s="84"/>
      <c r="H49" s="75" t="s">
        <v>28</v>
      </c>
      <c r="I49" s="43" t="s">
        <v>31</v>
      </c>
      <c r="J49" s="78">
        <v>7</v>
      </c>
      <c r="K49" s="43"/>
      <c r="L49" s="79">
        <v>3000</v>
      </c>
      <c r="M49" s="80">
        <v>3.421E-3</v>
      </c>
      <c r="N49" s="43">
        <v>24.5</v>
      </c>
      <c r="O49" s="43">
        <f t="shared" si="8"/>
        <v>101</v>
      </c>
      <c r="P49" s="43">
        <f>((J49/2)*(J49/2)*3.14*9*3)/1000</f>
        <v>1.0385550000000003</v>
      </c>
      <c r="Q49" s="75">
        <f>+M49*L49</f>
        <v>10.263</v>
      </c>
      <c r="R49" s="43">
        <f t="shared" si="9"/>
        <v>1.0282722772277231E-2</v>
      </c>
      <c r="S49" s="66">
        <v>30.848168316831693</v>
      </c>
      <c r="T49" s="67"/>
      <c r="U49" s="67"/>
      <c r="V49" s="68" t="str">
        <f>IF(SUMPRODUCT(MAX(('Base de données'!$D$3:$D$114)*(('Base de données'!$H$3:$H$114='Base de données'!$H49)*('Base de données'!$I$3:$I$114='Base de données'!$I49)*('Base de données'!$J$3:$J$114='Base de données'!$J49))))&lt;&gt;'Base de données'!$D49,"",SUMPRODUCT((-'Base de données'!$S$3:$S$114+'Base de données'!$T$3:$T$114+'Base de données'!$U$3:$U$114)*(('Base de données'!$H$3:$H$114='Base de données'!$H49)*('Base de données'!$I$3:$I$114='Base de données'!$I49)*('Base de données'!$J$3:$J$114='Base de données'!$J49))))</f>
        <v/>
      </c>
      <c r="W49" s="43">
        <f t="shared" si="10"/>
        <v>6.4504138613861416E-3</v>
      </c>
      <c r="X49" s="43">
        <f t="shared" si="11"/>
        <v>19.351241584158426</v>
      </c>
      <c r="Y49" s="43">
        <f t="shared" si="12"/>
        <v>4.1130891089108927E-4</v>
      </c>
      <c r="Z49" s="43">
        <f t="shared" si="13"/>
        <v>1.2339267326732679</v>
      </c>
      <c r="AA49" s="43">
        <f t="shared" si="14"/>
        <v>20.585168316831691</v>
      </c>
    </row>
    <row r="50" spans="1:27" ht="24.95" customHeight="1">
      <c r="A50" s="98">
        <v>201700076</v>
      </c>
      <c r="B50" s="75" t="s">
        <v>33</v>
      </c>
      <c r="C50" s="76">
        <v>530052</v>
      </c>
      <c r="D50" s="60">
        <v>42984</v>
      </c>
      <c r="E50" s="61">
        <v>200200</v>
      </c>
      <c r="F50" s="77" t="s">
        <v>35</v>
      </c>
      <c r="G50" s="84"/>
      <c r="H50" s="75" t="s">
        <v>28</v>
      </c>
      <c r="I50" s="43" t="s">
        <v>31</v>
      </c>
      <c r="J50" s="67">
        <v>22</v>
      </c>
      <c r="K50" s="43"/>
      <c r="L50" s="82">
        <v>1500</v>
      </c>
      <c r="M50" s="80">
        <v>7.4759999999999993E-2</v>
      </c>
      <c r="N50" s="83">
        <v>39.5</v>
      </c>
      <c r="O50" s="43">
        <f t="shared" si="8"/>
        <v>65</v>
      </c>
      <c r="P50" s="43">
        <f>((J50/2)*(J50/2)*3.14*9*3)/1000</f>
        <v>10.258380000000001</v>
      </c>
      <c r="Q50" s="75">
        <f>+M50*L50</f>
        <v>112.13999999999999</v>
      </c>
      <c r="R50" s="43">
        <f t="shared" si="9"/>
        <v>0.15782123076923077</v>
      </c>
      <c r="S50" s="66">
        <v>236.73184615384616</v>
      </c>
      <c r="T50" s="67"/>
      <c r="U50" s="67"/>
      <c r="V50" s="68" t="str">
        <f>IF(SUMPRODUCT(MAX(('Base de données'!$D$3:$D$114)*(('Base de données'!$H$3:$H$114='Base de données'!$H50)*('Base de données'!$I$3:$I$114='Base de données'!$I50)*('Base de données'!$J$3:$J$114='Base de données'!$J50))))&lt;&gt;'Base de données'!$D50,"",SUMPRODUCT((-'Base de données'!$S$3:$S$114+'Base de données'!$T$3:$T$114+'Base de données'!$U$3:$U$114)*(('Base de données'!$H$3:$H$114='Base de données'!$H50)*('Base de données'!$I$3:$I$114='Base de données'!$I50)*('Base de données'!$J$3:$J$114='Base de données'!$J50))))</f>
        <v/>
      </c>
      <c r="W50" s="43">
        <f t="shared" si="10"/>
        <v>7.6748381538461544E-2</v>
      </c>
      <c r="X50" s="43">
        <f t="shared" si="11"/>
        <v>115.12257230769231</v>
      </c>
      <c r="Y50" s="43">
        <f t="shared" si="12"/>
        <v>4.0627247524752472E-3</v>
      </c>
      <c r="Z50" s="43">
        <f t="shared" si="13"/>
        <v>6.0940871287128706</v>
      </c>
      <c r="AA50" s="43">
        <f t="shared" si="14"/>
        <v>124.59184615384618</v>
      </c>
    </row>
    <row r="51" spans="1:27" ht="24.95" customHeight="1">
      <c r="A51" s="98">
        <v>201700081</v>
      </c>
      <c r="B51" s="75" t="s">
        <v>33</v>
      </c>
      <c r="C51" s="76">
        <v>530407</v>
      </c>
      <c r="D51" s="60">
        <v>43003</v>
      </c>
      <c r="E51" s="61">
        <v>200200</v>
      </c>
      <c r="F51" s="77" t="s">
        <v>35</v>
      </c>
      <c r="G51" s="84"/>
      <c r="H51" s="75" t="s">
        <v>28</v>
      </c>
      <c r="I51" s="43" t="s">
        <v>31</v>
      </c>
      <c r="J51" s="67">
        <v>22</v>
      </c>
      <c r="K51" s="43"/>
      <c r="L51" s="82">
        <v>1100</v>
      </c>
      <c r="M51" s="80">
        <v>7.4759999999999993E-2</v>
      </c>
      <c r="N51" s="83">
        <v>39.5</v>
      </c>
      <c r="O51" s="43">
        <f t="shared" si="8"/>
        <v>65</v>
      </c>
      <c r="P51" s="43">
        <f>((J51/2)*(J51/2)*3.14*9*3)/1000</f>
        <v>10.258380000000001</v>
      </c>
      <c r="Q51" s="75">
        <f>+M51*L51</f>
        <v>82.23599999999999</v>
      </c>
      <c r="R51" s="43">
        <f t="shared" si="9"/>
        <v>0.15782123076923077</v>
      </c>
      <c r="S51" s="66">
        <v>173.60335384615385</v>
      </c>
      <c r="T51" s="67"/>
      <c r="U51" s="67"/>
      <c r="V51" s="68" t="str">
        <f>IF(SUMPRODUCT(MAX(('Base de données'!$D$3:$D$114)*(('Base de données'!$H$3:$H$114='Base de données'!$H51)*('Base de données'!$I$3:$I$114='Base de données'!$I51)*('Base de données'!$J$3:$J$114='Base de données'!$J51))))&lt;&gt;'Base de données'!$D51,"",SUMPRODUCT((-'Base de données'!$S$3:$S$114+'Base de données'!$T$3:$T$114+'Base de données'!$U$3:$U$114)*(('Base de données'!$H$3:$H$114='Base de données'!$H51)*('Base de données'!$I$3:$I$114='Base de données'!$I51)*('Base de données'!$J$3:$J$114='Base de données'!$J51))))</f>
        <v/>
      </c>
      <c r="W51" s="43">
        <f t="shared" si="10"/>
        <v>7.6748381538461544E-2</v>
      </c>
      <c r="X51" s="43">
        <f t="shared" si="11"/>
        <v>84.423219692307697</v>
      </c>
      <c r="Y51" s="43">
        <f t="shared" si="12"/>
        <v>4.0627247524752472E-3</v>
      </c>
      <c r="Z51" s="43">
        <f t="shared" si="13"/>
        <v>4.4689972277227721</v>
      </c>
      <c r="AA51" s="43">
        <f t="shared" si="14"/>
        <v>91.367353846153861</v>
      </c>
    </row>
    <row r="52" spans="1:27" ht="24.95" customHeight="1">
      <c r="A52" s="98">
        <v>201700085</v>
      </c>
      <c r="B52" s="75" t="s">
        <v>33</v>
      </c>
      <c r="C52" s="76">
        <v>530684</v>
      </c>
      <c r="D52" s="60">
        <v>43017</v>
      </c>
      <c r="E52" s="61">
        <v>511040</v>
      </c>
      <c r="F52" s="77" t="s">
        <v>38</v>
      </c>
      <c r="G52" s="84">
        <v>138</v>
      </c>
      <c r="H52" s="75" t="s">
        <v>28</v>
      </c>
      <c r="I52" s="43" t="s">
        <v>31</v>
      </c>
      <c r="J52" s="76">
        <v>18</v>
      </c>
      <c r="K52" s="43"/>
      <c r="L52" s="79">
        <v>4200</v>
      </c>
      <c r="M52" s="80">
        <v>3.676E-3</v>
      </c>
      <c r="N52" s="43">
        <v>10.3</v>
      </c>
      <c r="O52" s="43">
        <f t="shared" si="8"/>
        <v>210</v>
      </c>
      <c r="P52" s="43">
        <f>((J52/2)*(J52/2)*3.14*9*3)/1000</f>
        <v>6.8671800000000003</v>
      </c>
      <c r="Q52" s="75">
        <f>+M52*L52</f>
        <v>15.4392</v>
      </c>
      <c r="R52" s="43">
        <f t="shared" si="9"/>
        <v>3.2700857142857143E-2</v>
      </c>
      <c r="S52" s="66">
        <v>137.34360000000001</v>
      </c>
      <c r="T52" s="67"/>
      <c r="U52" s="67"/>
      <c r="V52" s="68" t="str">
        <f>IF(SUMPRODUCT(MAX(('Base de données'!$D$3:$D$114)*(('Base de données'!$H$3:$H$114='Base de données'!$H52)*('Base de données'!$I$3:$I$114='Base de données'!$I52)*('Base de données'!$J$3:$J$114='Base de données'!$J52))))&lt;&gt;'Base de données'!$D52,"",SUMPRODUCT((-'Base de données'!$S$3:$S$114+'Base de données'!$T$3:$T$114+'Base de données'!$U$3:$U$114)*(('Base de données'!$H$3:$H$114='Base de données'!$H52)*('Base de données'!$I$3:$I$114='Base de données'!$I52)*('Base de données'!$J$3:$J$114='Base de données'!$J52))))</f>
        <v/>
      </c>
      <c r="W52" s="43">
        <f t="shared" si="10"/>
        <v>2.7716822857142855E-2</v>
      </c>
      <c r="X52" s="43">
        <f t="shared" si="11"/>
        <v>116.41065599999999</v>
      </c>
      <c r="Y52" s="43">
        <f t="shared" si="12"/>
        <v>2.719675247524752E-3</v>
      </c>
      <c r="Z52" s="43">
        <f t="shared" si="13"/>
        <v>11.422636039603958</v>
      </c>
      <c r="AA52" s="43">
        <f t="shared" si="14"/>
        <v>121.90440000000001</v>
      </c>
    </row>
    <row r="53" spans="1:27" ht="24.95" customHeight="1">
      <c r="A53" s="98">
        <v>201700095</v>
      </c>
      <c r="B53" s="75" t="s">
        <v>33</v>
      </c>
      <c r="C53" s="76">
        <v>531288</v>
      </c>
      <c r="D53" s="60">
        <v>43043</v>
      </c>
      <c r="E53" s="61">
        <v>200200</v>
      </c>
      <c r="F53" s="77" t="s">
        <v>35</v>
      </c>
      <c r="G53" s="84"/>
      <c r="H53" s="75" t="s">
        <v>28</v>
      </c>
      <c r="I53" s="43" t="s">
        <v>31</v>
      </c>
      <c r="J53" s="67">
        <v>22</v>
      </c>
      <c r="K53" s="43"/>
      <c r="L53" s="82">
        <v>1300</v>
      </c>
      <c r="M53" s="80">
        <v>7.4759999999999993E-2</v>
      </c>
      <c r="N53" s="83">
        <v>39.5</v>
      </c>
      <c r="O53" s="43">
        <f t="shared" si="8"/>
        <v>65</v>
      </c>
      <c r="P53" s="43">
        <f>((J53/2)*(J53/2)*3.14*9*3)/1000</f>
        <v>10.258380000000001</v>
      </c>
      <c r="Q53" s="75">
        <f>+M53*L53</f>
        <v>97.187999999999988</v>
      </c>
      <c r="R53" s="43">
        <f t="shared" si="9"/>
        <v>0.15782123076923077</v>
      </c>
      <c r="S53" s="66">
        <v>205.16759999999999</v>
      </c>
      <c r="T53" s="67"/>
      <c r="U53" s="67"/>
      <c r="V53" s="68" t="str">
        <f>IF(SUMPRODUCT(MAX(('Base de données'!$D$3:$D$114)*(('Base de données'!$H$3:$H$114='Base de données'!$H53)*('Base de données'!$I$3:$I$114='Base de données'!$I53)*('Base de données'!$J$3:$J$114='Base de données'!$J53))))&lt;&gt;'Base de données'!$D53,"",SUMPRODUCT((-'Base de données'!$S$3:$S$114+'Base de données'!$T$3:$T$114+'Base de données'!$U$3:$U$114)*(('Base de données'!$H$3:$H$114='Base de données'!$H53)*('Base de données'!$I$3:$I$114='Base de données'!$I53)*('Base de données'!$J$3:$J$114='Base de données'!$J53))))</f>
        <v/>
      </c>
      <c r="W53" s="43">
        <f t="shared" si="10"/>
        <v>7.6748381538461544E-2</v>
      </c>
      <c r="X53" s="43">
        <f t="shared" si="11"/>
        <v>99.772896000000003</v>
      </c>
      <c r="Y53" s="43">
        <f t="shared" si="12"/>
        <v>4.0627247524752472E-3</v>
      </c>
      <c r="Z53" s="43">
        <f t="shared" si="13"/>
        <v>5.2815421782178218</v>
      </c>
      <c r="AA53" s="43">
        <f t="shared" si="14"/>
        <v>107.9796</v>
      </c>
    </row>
    <row r="54" spans="1:27" ht="24.95" customHeight="1">
      <c r="A54" s="98">
        <v>201700098</v>
      </c>
      <c r="B54" s="75" t="s">
        <v>33</v>
      </c>
      <c r="C54" s="76">
        <v>531306</v>
      </c>
      <c r="D54" s="60">
        <v>43045</v>
      </c>
      <c r="E54" s="61">
        <v>510020</v>
      </c>
      <c r="F54" s="77" t="s">
        <v>36</v>
      </c>
      <c r="G54" s="84">
        <v>139</v>
      </c>
      <c r="H54" s="75" t="s">
        <v>28</v>
      </c>
      <c r="I54" s="75" t="s">
        <v>30</v>
      </c>
      <c r="J54" s="78">
        <v>8</v>
      </c>
      <c r="K54" s="43"/>
      <c r="L54" s="79">
        <v>25000</v>
      </c>
      <c r="M54" s="80">
        <v>1.446E-3</v>
      </c>
      <c r="N54" s="43">
        <v>6</v>
      </c>
      <c r="O54" s="43">
        <f t="shared" si="8"/>
        <v>311</v>
      </c>
      <c r="P54" s="43">
        <f>((J54*J54)*0.866*9*3)/1000</f>
        <v>1.4964479999999998</v>
      </c>
      <c r="Q54" s="75">
        <f>+L54*M54</f>
        <v>36.15</v>
      </c>
      <c r="R54" s="43">
        <f t="shared" si="9"/>
        <v>4.8117299035369768E-3</v>
      </c>
      <c r="S54" s="66">
        <v>120.29324758842442</v>
      </c>
      <c r="T54" s="67"/>
      <c r="U54" s="67"/>
      <c r="V54" s="68" t="str">
        <f>IF(SUMPRODUCT(MAX(('Base de données'!$D$3:$D$114)*(('Base de données'!$H$3:$H$114='Base de données'!$H54)*('Base de données'!$I$3:$I$114='Base de données'!$I54)*('Base de données'!$J$3:$J$114='Base de données'!$J54))))&lt;&gt;'Base de données'!$D54,"",SUMPRODUCT((-'Base de données'!$S$3:$S$114+'Base de données'!$T$3:$T$114+'Base de données'!$U$3:$U$114)*(('Base de données'!$H$3:$H$114='Base de données'!$H54)*('Base de données'!$I$3:$I$114='Base de données'!$I54)*('Base de données'!$J$3:$J$114='Base de données'!$J54))))</f>
        <v/>
      </c>
      <c r="W54" s="43">
        <f t="shared" si="10"/>
        <v>3.1732607073954979E-3</v>
      </c>
      <c r="X54" s="43">
        <f t="shared" si="11"/>
        <v>79.331517684887444</v>
      </c>
      <c r="Y54" s="43">
        <f t="shared" si="12"/>
        <v>5.9265267326732659E-4</v>
      </c>
      <c r="Z54" s="43">
        <f t="shared" si="13"/>
        <v>14.816316831683165</v>
      </c>
      <c r="AA54" s="43">
        <f t="shared" si="14"/>
        <v>84.14324758842443</v>
      </c>
    </row>
    <row r="55" spans="1:27" ht="24.95" customHeight="1">
      <c r="A55" s="98">
        <v>201700098</v>
      </c>
      <c r="B55" s="75" t="s">
        <v>33</v>
      </c>
      <c r="C55" s="76">
        <v>531306</v>
      </c>
      <c r="D55" s="60">
        <v>43045</v>
      </c>
      <c r="E55" s="61">
        <v>512800</v>
      </c>
      <c r="F55" s="77" t="s">
        <v>34</v>
      </c>
      <c r="G55" s="84"/>
      <c r="H55" s="75" t="s">
        <v>28</v>
      </c>
      <c r="I55" s="43" t="s">
        <v>31</v>
      </c>
      <c r="J55" s="78">
        <v>7</v>
      </c>
      <c r="K55" s="43"/>
      <c r="L55" s="79">
        <v>12000</v>
      </c>
      <c r="M55" s="80">
        <v>3.421E-3</v>
      </c>
      <c r="N55" s="43">
        <v>24.5</v>
      </c>
      <c r="O55" s="43">
        <f t="shared" si="8"/>
        <v>101</v>
      </c>
      <c r="P55" s="43">
        <f>((J55/2)*(J55/2)*3.14*9*3)/1000</f>
        <v>1.0385550000000003</v>
      </c>
      <c r="Q55" s="75">
        <f>+M55*L55</f>
        <v>41.052</v>
      </c>
      <c r="R55" s="43">
        <f t="shared" si="9"/>
        <v>1.0282722772277231E-2</v>
      </c>
      <c r="S55" s="66">
        <v>123.39267326732677</v>
      </c>
      <c r="T55" s="67"/>
      <c r="U55" s="67"/>
      <c r="V55" s="68" t="str">
        <f>IF(SUMPRODUCT(MAX(('Base de données'!$D$3:$D$114)*(('Base de données'!$H$3:$H$114='Base de données'!$H55)*('Base de données'!$I$3:$I$114='Base de données'!$I55)*('Base de données'!$J$3:$J$114='Base de données'!$J55))))&lt;&gt;'Base de données'!$D55,"",SUMPRODUCT((-'Base de données'!$S$3:$S$114+'Base de données'!$T$3:$T$114+'Base de données'!$U$3:$U$114)*(('Base de données'!$H$3:$H$114='Base de données'!$H55)*('Base de données'!$I$3:$I$114='Base de données'!$I55)*('Base de données'!$J$3:$J$114='Base de données'!$J55))))</f>
        <v/>
      </c>
      <c r="W55" s="43">
        <f t="shared" si="10"/>
        <v>6.4504138613861416E-3</v>
      </c>
      <c r="X55" s="43">
        <f t="shared" si="11"/>
        <v>77.404966336633706</v>
      </c>
      <c r="Y55" s="43">
        <f t="shared" si="12"/>
        <v>4.1130891089108927E-4</v>
      </c>
      <c r="Z55" s="43">
        <f t="shared" si="13"/>
        <v>4.9357069306930716</v>
      </c>
      <c r="AA55" s="43">
        <f t="shared" si="14"/>
        <v>82.340673267326764</v>
      </c>
    </row>
    <row r="56" spans="1:27" ht="24.95" customHeight="1">
      <c r="A56" s="97"/>
      <c r="B56" s="71" t="s">
        <v>32</v>
      </c>
      <c r="C56" s="43"/>
      <c r="D56" s="60">
        <v>43067</v>
      </c>
      <c r="E56" s="61"/>
      <c r="F56" s="43"/>
      <c r="G56" s="43"/>
      <c r="H56" s="72" t="s">
        <v>28</v>
      </c>
      <c r="I56" s="71" t="s">
        <v>31</v>
      </c>
      <c r="J56" s="73">
        <v>22</v>
      </c>
      <c r="K56" s="43"/>
      <c r="L56" s="70"/>
      <c r="M56" s="43"/>
      <c r="N56" s="43"/>
      <c r="O56" s="65"/>
      <c r="P56" s="43"/>
      <c r="Q56" s="43"/>
      <c r="R56" s="43"/>
      <c r="S56" s="66">
        <v>0</v>
      </c>
      <c r="T56" s="74">
        <v>2548</v>
      </c>
      <c r="U56" s="74"/>
      <c r="V56" s="68" t="str">
        <f>IF(SUMPRODUCT(MAX(('Base de données'!$D$3:$D$114)*(('Base de données'!$H$3:$H$114='Base de données'!$H56)*('Base de données'!$I$3:$I$114='Base de données'!$I56)*('Base de données'!$J$3:$J$114='Base de données'!$J56))))&lt;&gt;'Base de données'!$D56,"",SUMPRODUCT((-'Base de données'!$S$3:$S$114+'Base de données'!$T$3:$T$114+'Base de données'!$U$3:$U$114)*(('Base de données'!$H$3:$H$114='Base de données'!$H56)*('Base de données'!$I$3:$I$114='Base de données'!$I56)*('Base de données'!$J$3:$J$114='Base de données'!$J56))))</f>
        <v/>
      </c>
      <c r="W56" s="43"/>
      <c r="X56" s="43"/>
      <c r="Y56" s="43"/>
      <c r="Z56" s="43"/>
      <c r="AA56" s="43"/>
    </row>
    <row r="57" spans="1:27" ht="24.95" customHeight="1">
      <c r="A57" s="97"/>
      <c r="B57" s="71" t="s">
        <v>32</v>
      </c>
      <c r="C57" s="43"/>
      <c r="D57" s="60">
        <v>43067</v>
      </c>
      <c r="E57" s="61"/>
      <c r="F57" s="43"/>
      <c r="G57" s="43"/>
      <c r="H57" s="72" t="s">
        <v>28</v>
      </c>
      <c r="I57" s="71" t="s">
        <v>31</v>
      </c>
      <c r="J57" s="73">
        <v>18</v>
      </c>
      <c r="K57" s="43"/>
      <c r="L57" s="43"/>
      <c r="M57" s="43"/>
      <c r="N57" s="43"/>
      <c r="O57" s="65"/>
      <c r="P57" s="43"/>
      <c r="Q57" s="43"/>
      <c r="R57" s="43"/>
      <c r="S57" s="66">
        <v>0</v>
      </c>
      <c r="T57" s="74">
        <v>314</v>
      </c>
      <c r="U57" s="74"/>
      <c r="V57" s="68" t="str">
        <f>IF(SUMPRODUCT(MAX(('Base de données'!$D$3:$D$114)*(('Base de données'!$H$3:$H$114='Base de données'!$H57)*('Base de données'!$I$3:$I$114='Base de données'!$I57)*('Base de données'!$J$3:$J$114='Base de données'!$J57))))&lt;&gt;'Base de données'!$D57,"",SUMPRODUCT((-'Base de données'!$S$3:$S$114+'Base de données'!$T$3:$T$114+'Base de données'!$U$3:$U$114)*(('Base de données'!$H$3:$H$114='Base de données'!$H57)*('Base de données'!$I$3:$I$114='Base de données'!$I57)*('Base de données'!$J$3:$J$114='Base de données'!$J57))))</f>
        <v/>
      </c>
      <c r="W57" s="43"/>
      <c r="X57" s="43"/>
      <c r="Y57" s="43"/>
      <c r="Z57" s="43"/>
      <c r="AA57" s="43"/>
    </row>
    <row r="58" spans="1:27" ht="24.95" customHeight="1">
      <c r="A58" s="97"/>
      <c r="B58" s="71" t="s">
        <v>32</v>
      </c>
      <c r="C58" s="43"/>
      <c r="D58" s="60">
        <v>43067</v>
      </c>
      <c r="E58" s="61"/>
      <c r="F58" s="43"/>
      <c r="G58" s="43"/>
      <c r="H58" s="72" t="s">
        <v>28</v>
      </c>
      <c r="I58" s="71" t="s">
        <v>31</v>
      </c>
      <c r="J58" s="73">
        <v>7</v>
      </c>
      <c r="K58" s="43"/>
      <c r="L58" s="43"/>
      <c r="M58" s="43"/>
      <c r="N58" s="43"/>
      <c r="O58" s="65"/>
      <c r="P58" s="43"/>
      <c r="Q58" s="43"/>
      <c r="R58" s="43"/>
      <c r="S58" s="66">
        <v>0</v>
      </c>
      <c r="T58" s="74">
        <v>306</v>
      </c>
      <c r="U58" s="74"/>
      <c r="V58" s="68" t="str">
        <f>IF(SUMPRODUCT(MAX(('Base de données'!$D$3:$D$114)*(('Base de données'!$H$3:$H$114='Base de données'!$H58)*('Base de données'!$I$3:$I$114='Base de données'!$I58)*('Base de données'!$J$3:$J$114='Base de données'!$J58))))&lt;&gt;'Base de données'!$D58,"",SUMPRODUCT((-'Base de données'!$S$3:$S$114+'Base de données'!$T$3:$T$114+'Base de données'!$U$3:$U$114)*(('Base de données'!$H$3:$H$114='Base de données'!$H58)*('Base de données'!$I$3:$I$114='Base de données'!$I58)*('Base de données'!$J$3:$J$114='Base de données'!$J58))))</f>
        <v/>
      </c>
      <c r="W58" s="43"/>
      <c r="X58" s="43"/>
      <c r="Y58" s="43"/>
      <c r="Z58" s="43"/>
      <c r="AA58" s="43"/>
    </row>
    <row r="59" spans="1:27" ht="24.95" customHeight="1">
      <c r="A59" s="97"/>
      <c r="B59" s="71" t="s">
        <v>32</v>
      </c>
      <c r="C59" s="43"/>
      <c r="D59" s="60">
        <v>43067</v>
      </c>
      <c r="E59" s="61"/>
      <c r="F59" s="43"/>
      <c r="G59" s="43"/>
      <c r="H59" s="72" t="s">
        <v>28</v>
      </c>
      <c r="I59" s="71" t="s">
        <v>30</v>
      </c>
      <c r="J59" s="73">
        <v>12</v>
      </c>
      <c r="K59" s="43"/>
      <c r="L59" s="43"/>
      <c r="M59" s="43"/>
      <c r="N59" s="43"/>
      <c r="O59" s="65"/>
      <c r="P59" s="43"/>
      <c r="Q59" s="43"/>
      <c r="R59" s="43"/>
      <c r="S59" s="66">
        <v>0</v>
      </c>
      <c r="T59" s="74">
        <v>201</v>
      </c>
      <c r="U59" s="74"/>
      <c r="V59" s="68" t="str">
        <f>IF(SUMPRODUCT(MAX(('Base de données'!$D$3:$D$114)*(('Base de données'!$H$3:$H$114='Base de données'!$H59)*('Base de données'!$I$3:$I$114='Base de données'!$I59)*('Base de données'!$J$3:$J$114='Base de données'!$J59))))&lt;&gt;'Base de données'!$D59,"",SUMPRODUCT((-'Base de données'!$S$3:$S$114+'Base de données'!$T$3:$T$114+'Base de données'!$U$3:$U$114)*(('Base de données'!$H$3:$H$114='Base de données'!$H59)*('Base de données'!$I$3:$I$114='Base de données'!$I59)*('Base de données'!$J$3:$J$114='Base de données'!$J59))))</f>
        <v/>
      </c>
      <c r="W59" s="43"/>
      <c r="X59" s="43"/>
      <c r="Y59" s="43"/>
      <c r="Z59" s="43"/>
      <c r="AA59" s="43"/>
    </row>
    <row r="60" spans="1:27" ht="24.95" customHeight="1">
      <c r="A60" s="97"/>
      <c r="B60" s="71" t="s">
        <v>32</v>
      </c>
      <c r="C60" s="43"/>
      <c r="D60" s="60">
        <v>43067</v>
      </c>
      <c r="E60" s="61"/>
      <c r="F60" s="43"/>
      <c r="G60" s="43"/>
      <c r="H60" s="72" t="s">
        <v>28</v>
      </c>
      <c r="I60" s="71" t="s">
        <v>30</v>
      </c>
      <c r="J60" s="73">
        <v>8</v>
      </c>
      <c r="K60" s="43"/>
      <c r="L60" s="43"/>
      <c r="M60" s="43"/>
      <c r="N60" s="43"/>
      <c r="O60" s="65"/>
      <c r="P60" s="43"/>
      <c r="Q60" s="43"/>
      <c r="R60" s="43"/>
      <c r="S60" s="66">
        <v>0</v>
      </c>
      <c r="T60" s="74">
        <v>447</v>
      </c>
      <c r="U60" s="74"/>
      <c r="V60" s="68" t="str">
        <f>IF(SUMPRODUCT(MAX(('Base de données'!$D$3:$D$114)*(('Base de données'!$H$3:$H$114='Base de données'!$H60)*('Base de données'!$I$3:$I$114='Base de données'!$I60)*('Base de données'!$J$3:$J$114='Base de données'!$J60))))&lt;&gt;'Base de données'!$D60,"",SUMPRODUCT((-'Base de données'!$S$3:$S$114+'Base de données'!$T$3:$T$114+'Base de données'!$U$3:$U$114)*(('Base de données'!$H$3:$H$114='Base de données'!$H60)*('Base de données'!$I$3:$I$114='Base de données'!$I60)*('Base de données'!$J$3:$J$114='Base de données'!$J60))))</f>
        <v/>
      </c>
      <c r="W60" s="43"/>
      <c r="X60" s="43"/>
      <c r="Y60" s="43"/>
      <c r="Z60" s="43"/>
      <c r="AA60" s="43"/>
    </row>
    <row r="61" spans="1:27" ht="24.95" customHeight="1">
      <c r="A61" s="98">
        <v>201700108</v>
      </c>
      <c r="B61" s="75" t="s">
        <v>33</v>
      </c>
      <c r="C61" s="76">
        <v>531987</v>
      </c>
      <c r="D61" s="60">
        <v>43076</v>
      </c>
      <c r="E61" s="61">
        <v>510020</v>
      </c>
      <c r="F61" s="77" t="s">
        <v>36</v>
      </c>
      <c r="G61" s="84">
        <v>139</v>
      </c>
      <c r="H61" s="75" t="s">
        <v>28</v>
      </c>
      <c r="I61" s="75" t="s">
        <v>30</v>
      </c>
      <c r="J61" s="78">
        <v>8</v>
      </c>
      <c r="K61" s="43"/>
      <c r="L61" s="79">
        <v>6568</v>
      </c>
      <c r="M61" s="80">
        <v>1.446E-3</v>
      </c>
      <c r="N61" s="43">
        <v>6</v>
      </c>
      <c r="O61" s="43">
        <f t="shared" ref="O61:O80" si="15">INT(2800/(N61+3))</f>
        <v>311</v>
      </c>
      <c r="P61" s="43">
        <f>((J61*J61)*0.866*9*3)/1000</f>
        <v>1.4964479999999998</v>
      </c>
      <c r="Q61" s="75">
        <f>+L61*M61</f>
        <v>9.4973279999999995</v>
      </c>
      <c r="R61" s="43">
        <f t="shared" ref="R61:R80" si="16">P61/O61</f>
        <v>4.8117299035369768E-3</v>
      </c>
      <c r="S61" s="66">
        <v>31.603442006430864</v>
      </c>
      <c r="T61" s="67"/>
      <c r="U61" s="67"/>
      <c r="V61" s="68" t="str">
        <f>IF(SUMPRODUCT(MAX(('Base de données'!$D$3:$D$114)*(('Base de données'!$H$3:$H$114='Base de données'!$H61)*('Base de données'!$I$3:$I$114='Base de données'!$I61)*('Base de données'!$J$3:$J$114='Base de données'!$J61))))&lt;&gt;'Base de données'!$D61,"",SUMPRODUCT((-'Base de données'!$S$3:$S$114+'Base de données'!$T$3:$T$114+'Base de données'!$U$3:$U$114)*(('Base de données'!$H$3:$H$114='Base de données'!$H61)*('Base de données'!$I$3:$I$114='Base de données'!$I61)*('Base de données'!$J$3:$J$114='Base de données'!$J61))))</f>
        <v/>
      </c>
      <c r="W61" s="43">
        <f t="shared" ref="W61:W80" si="17">(((P61/3000)*2880)-(M61*O61))/O61</f>
        <v>3.1732607073954979E-3</v>
      </c>
      <c r="X61" s="43">
        <f t="shared" ref="X61:X80" si="18">+W61*L61</f>
        <v>20.841976326173629</v>
      </c>
      <c r="Y61" s="43">
        <f t="shared" ref="Y61:Y80" si="19">+((P61/3000)*120)/101</f>
        <v>5.9265267326732659E-4</v>
      </c>
      <c r="Z61" s="43">
        <f t="shared" ref="Z61:Z80" si="20">Y61*L61</f>
        <v>3.8925427580198009</v>
      </c>
      <c r="AA61" s="43">
        <f t="shared" ref="AA61:AA80" si="21">S61-Q61</f>
        <v>22.106114006430865</v>
      </c>
    </row>
    <row r="62" spans="1:27" ht="24.95" customHeight="1">
      <c r="A62" s="98">
        <v>201700108</v>
      </c>
      <c r="B62" s="75" t="s">
        <v>33</v>
      </c>
      <c r="C62" s="76">
        <v>531987</v>
      </c>
      <c r="D62" s="60">
        <v>43076</v>
      </c>
      <c r="E62" s="61">
        <v>510090</v>
      </c>
      <c r="F62" s="84" t="s">
        <v>37</v>
      </c>
      <c r="G62" s="84">
        <v>141</v>
      </c>
      <c r="H62" s="75" t="s">
        <v>28</v>
      </c>
      <c r="I62" s="75" t="s">
        <v>30</v>
      </c>
      <c r="J62" s="76">
        <v>12</v>
      </c>
      <c r="K62" s="43"/>
      <c r="L62" s="79">
        <v>3000</v>
      </c>
      <c r="M62" s="80">
        <v>3.2499999999999999E-3</v>
      </c>
      <c r="N62" s="86">
        <v>12</v>
      </c>
      <c r="O62" s="43">
        <f t="shared" si="15"/>
        <v>186</v>
      </c>
      <c r="P62" s="43">
        <f>((J62*J62)*0.866*9*3)/1000</f>
        <v>3.3670079999999998</v>
      </c>
      <c r="Q62" s="75">
        <f>+L62*M62</f>
        <v>9.75</v>
      </c>
      <c r="R62" s="43">
        <f t="shared" si="16"/>
        <v>1.8102193548387095E-2</v>
      </c>
      <c r="S62" s="66">
        <v>54.306580645161283</v>
      </c>
      <c r="T62" s="67"/>
      <c r="U62" s="67"/>
      <c r="V62" s="68" t="str">
        <f>IF(SUMPRODUCT(MAX(('Base de données'!$D$3:$D$114)*(('Base de données'!$H$3:$H$114='Base de données'!$H62)*('Base de données'!$I$3:$I$114='Base de données'!$I62)*('Base de données'!$J$3:$J$114='Base de données'!$J62))))&lt;&gt;'Base de données'!$D62,"",SUMPRODUCT((-'Base de données'!$S$3:$S$114+'Base de données'!$T$3:$T$114+'Base de données'!$U$3:$U$114)*(('Base de données'!$H$3:$H$114='Base de données'!$H62)*('Base de données'!$I$3:$I$114='Base de données'!$I62)*('Base de données'!$J$3:$J$114='Base de données'!$J62))))</f>
        <v/>
      </c>
      <c r="W62" s="43">
        <f t="shared" si="17"/>
        <v>1.4128105806451612E-2</v>
      </c>
      <c r="X62" s="43">
        <f t="shared" si="18"/>
        <v>42.384317419354836</v>
      </c>
      <c r="Y62" s="43">
        <f t="shared" si="19"/>
        <v>1.3334685148514848E-3</v>
      </c>
      <c r="Z62" s="43">
        <f t="shared" si="20"/>
        <v>4.0004055445544546</v>
      </c>
      <c r="AA62" s="43">
        <f t="shared" si="21"/>
        <v>44.556580645161283</v>
      </c>
    </row>
    <row r="63" spans="1:27" ht="24.95" customHeight="1">
      <c r="A63" s="98">
        <v>201700114</v>
      </c>
      <c r="B63" s="75" t="s">
        <v>33</v>
      </c>
      <c r="C63" s="76">
        <v>532603</v>
      </c>
      <c r="D63" s="60">
        <v>43106</v>
      </c>
      <c r="E63" s="61">
        <v>510090</v>
      </c>
      <c r="F63" s="84" t="s">
        <v>37</v>
      </c>
      <c r="G63" s="84">
        <v>141</v>
      </c>
      <c r="H63" s="75" t="s">
        <v>28</v>
      </c>
      <c r="I63" s="75" t="s">
        <v>30</v>
      </c>
      <c r="J63" s="76">
        <v>12</v>
      </c>
      <c r="K63" s="43"/>
      <c r="L63" s="79">
        <v>6000</v>
      </c>
      <c r="M63" s="80">
        <v>3.2499999999999999E-3</v>
      </c>
      <c r="N63" s="86">
        <v>12</v>
      </c>
      <c r="O63" s="43">
        <f t="shared" si="15"/>
        <v>186</v>
      </c>
      <c r="P63" s="43">
        <f>((J63*J63)*0.866*9*3)/1000</f>
        <v>3.3670079999999998</v>
      </c>
      <c r="Q63" s="75">
        <f>+L63*M63</f>
        <v>19.5</v>
      </c>
      <c r="R63" s="43">
        <f t="shared" si="16"/>
        <v>1.8102193548387095E-2</v>
      </c>
      <c r="S63" s="66">
        <v>108.61316129032257</v>
      </c>
      <c r="T63" s="67"/>
      <c r="U63" s="67"/>
      <c r="V63" s="68">
        <f>IF(SUMPRODUCT(MAX(('Base de données'!$D$3:$D$114)*(('Base de données'!$H$3:$H$114='Base de données'!$H63)*('Base de données'!$I$3:$I$114='Base de données'!$I63)*('Base de données'!$J$3:$J$114='Base de données'!$J63))))&lt;&gt;'Base de données'!$D63,"",SUMPRODUCT((-'Base de données'!$S$3:$S$114+'Base de données'!$T$3:$T$114+'Base de données'!$U$3:$U$114)*(('Base de données'!$H$3:$H$114='Base de données'!$H63)*('Base de données'!$I$3:$I$114='Base de données'!$I63)*('Base de données'!$J$3:$J$114='Base de données'!$J63))))</f>
        <v>218.63649032258064</v>
      </c>
      <c r="W63" s="43">
        <f t="shared" si="17"/>
        <v>1.4128105806451612E-2</v>
      </c>
      <c r="X63" s="43">
        <f t="shared" si="18"/>
        <v>84.768634838709673</v>
      </c>
      <c r="Y63" s="43">
        <f t="shared" si="19"/>
        <v>1.3334685148514848E-3</v>
      </c>
      <c r="Z63" s="43">
        <f t="shared" si="20"/>
        <v>8.0008110891089093</v>
      </c>
      <c r="AA63" s="43">
        <f t="shared" si="21"/>
        <v>89.113161290322566</v>
      </c>
    </row>
    <row r="64" spans="1:27" ht="24.95" customHeight="1">
      <c r="A64" s="99">
        <v>201800002</v>
      </c>
      <c r="B64" s="75" t="s">
        <v>33</v>
      </c>
      <c r="C64" s="76">
        <v>532778</v>
      </c>
      <c r="D64" s="60">
        <v>43113</v>
      </c>
      <c r="E64" s="61">
        <v>200200</v>
      </c>
      <c r="F64" s="77" t="s">
        <v>35</v>
      </c>
      <c r="G64" s="77"/>
      <c r="H64" s="75" t="s">
        <v>28</v>
      </c>
      <c r="I64" s="43" t="s">
        <v>31</v>
      </c>
      <c r="J64" s="67">
        <v>22</v>
      </c>
      <c r="K64" s="43"/>
      <c r="L64" s="82">
        <v>1900</v>
      </c>
      <c r="M64" s="80">
        <v>7.4759999999999993E-2</v>
      </c>
      <c r="N64" s="83">
        <v>39.5</v>
      </c>
      <c r="O64" s="43">
        <f t="shared" si="15"/>
        <v>65</v>
      </c>
      <c r="P64" s="43">
        <f>((J64/2)*(J64/2)*3.14*9*3)/1000</f>
        <v>10.258380000000001</v>
      </c>
      <c r="Q64" s="75">
        <f>+M64*L64</f>
        <v>142.04399999999998</v>
      </c>
      <c r="R64" s="43">
        <f t="shared" si="16"/>
        <v>0.15782123076923077</v>
      </c>
      <c r="S64" s="66">
        <v>299.86033846153845</v>
      </c>
      <c r="T64" s="67"/>
      <c r="U64" s="67"/>
      <c r="V64" s="68" t="str">
        <f>IF(SUMPRODUCT(MAX(('Base de données'!$D$3:$D$114)*(('Base de données'!$H$3:$H$114='Base de données'!$H64)*('Base de données'!$I$3:$I$114='Base de données'!$I64)*('Base de données'!$J$3:$J$114='Base de données'!$J64))))&lt;&gt;'Base de données'!$D64,"",SUMPRODUCT((-'Base de données'!$S$3:$S$114+'Base de données'!$T$3:$T$114+'Base de données'!$U$3:$U$114)*(('Base de données'!$H$3:$H$114='Base de données'!$H64)*('Base de données'!$I$3:$I$114='Base de données'!$I64)*('Base de données'!$J$3:$J$114='Base de données'!$J64))))</f>
        <v/>
      </c>
      <c r="W64" s="43">
        <f t="shared" si="17"/>
        <v>7.6748381538461544E-2</v>
      </c>
      <c r="X64" s="43">
        <f t="shared" si="18"/>
        <v>145.82192492307692</v>
      </c>
      <c r="Y64" s="43">
        <f t="shared" si="19"/>
        <v>4.0627247524752472E-3</v>
      </c>
      <c r="Z64" s="43">
        <f t="shared" si="20"/>
        <v>7.71917702970297</v>
      </c>
      <c r="AA64" s="43">
        <f t="shared" si="21"/>
        <v>157.81633846153846</v>
      </c>
    </row>
    <row r="65" spans="1:27" ht="24.95" customHeight="1">
      <c r="A65" s="98">
        <v>201800007</v>
      </c>
      <c r="B65" s="75" t="s">
        <v>33</v>
      </c>
      <c r="C65" s="81">
        <v>533273</v>
      </c>
      <c r="D65" s="60">
        <v>43138</v>
      </c>
      <c r="E65" s="61">
        <v>510020</v>
      </c>
      <c r="F65" s="77" t="s">
        <v>36</v>
      </c>
      <c r="G65" s="84">
        <v>139</v>
      </c>
      <c r="H65" s="75" t="s">
        <v>28</v>
      </c>
      <c r="I65" s="75" t="s">
        <v>30</v>
      </c>
      <c r="J65" s="78">
        <v>8</v>
      </c>
      <c r="K65" s="78"/>
      <c r="L65" s="81">
        <v>19000</v>
      </c>
      <c r="M65" s="80">
        <v>1.446E-3</v>
      </c>
      <c r="N65" s="43">
        <v>6</v>
      </c>
      <c r="O65" s="43">
        <f t="shared" si="15"/>
        <v>311</v>
      </c>
      <c r="P65" s="43">
        <f>((J65*J65)*0.866*9*3)/1000</f>
        <v>1.4964479999999998</v>
      </c>
      <c r="Q65" s="75">
        <f>+L65*M65</f>
        <v>27.474</v>
      </c>
      <c r="R65" s="43">
        <f t="shared" si="16"/>
        <v>4.8117299035369768E-3</v>
      </c>
      <c r="S65" s="66">
        <v>91.422868167202566</v>
      </c>
      <c r="T65" s="67"/>
      <c r="U65" s="67"/>
      <c r="V65" s="68" t="str">
        <f>IF(SUMPRODUCT(MAX(('Base de données'!$D$3:$D$114)*(('Base de données'!$H$3:$H$114='Base de données'!$H65)*('Base de données'!$I$3:$I$114='Base de données'!$I65)*('Base de données'!$J$3:$J$114='Base de données'!$J65))))&lt;&gt;'Base de données'!$D65,"",SUMPRODUCT((-'Base de données'!$S$3:$S$114+'Base de données'!$T$3:$T$114+'Base de données'!$U$3:$U$114)*(('Base de données'!$H$3:$H$114='Base de données'!$H65)*('Base de données'!$I$3:$I$114='Base de données'!$I65)*('Base de données'!$J$3:$J$114='Base de données'!$J65))))</f>
        <v/>
      </c>
      <c r="W65" s="43">
        <f t="shared" si="17"/>
        <v>3.1732607073954979E-3</v>
      </c>
      <c r="X65" s="43">
        <f t="shared" si="18"/>
        <v>60.291953440514462</v>
      </c>
      <c r="Y65" s="43">
        <f t="shared" si="19"/>
        <v>5.9265267326732659E-4</v>
      </c>
      <c r="Z65" s="43">
        <f t="shared" si="20"/>
        <v>11.260400792079205</v>
      </c>
      <c r="AA65" s="43">
        <f t="shared" si="21"/>
        <v>63.948868167202562</v>
      </c>
    </row>
    <row r="66" spans="1:27" ht="24.95" customHeight="1">
      <c r="A66" s="99">
        <v>201800011</v>
      </c>
      <c r="B66" s="75" t="s">
        <v>33</v>
      </c>
      <c r="C66" s="76">
        <v>533503</v>
      </c>
      <c r="D66" s="60">
        <v>43148</v>
      </c>
      <c r="E66" s="61">
        <v>200200</v>
      </c>
      <c r="F66" s="77" t="s">
        <v>35</v>
      </c>
      <c r="G66" s="77"/>
      <c r="H66" s="75" t="s">
        <v>28</v>
      </c>
      <c r="I66" s="43" t="s">
        <v>31</v>
      </c>
      <c r="J66" s="67">
        <v>22</v>
      </c>
      <c r="K66" s="43"/>
      <c r="L66" s="82">
        <v>550</v>
      </c>
      <c r="M66" s="80">
        <v>7.4759999999999993E-2</v>
      </c>
      <c r="N66" s="83">
        <v>39.5</v>
      </c>
      <c r="O66" s="43">
        <f t="shared" si="15"/>
        <v>65</v>
      </c>
      <c r="P66" s="43">
        <f>((J66/2)*(J66/2)*3.14*9*3)/1000</f>
        <v>10.258380000000001</v>
      </c>
      <c r="Q66" s="75">
        <f>+M66*L66</f>
        <v>41.117999999999995</v>
      </c>
      <c r="R66" s="43">
        <f t="shared" si="16"/>
        <v>0.15782123076923077</v>
      </c>
      <c r="S66" s="66">
        <v>86.801676923076926</v>
      </c>
      <c r="T66" s="67"/>
      <c r="U66" s="67"/>
      <c r="V66" s="68" t="str">
        <f>IF(SUMPRODUCT(MAX(('Base de données'!$D$3:$D$114)*(('Base de données'!$H$3:$H$114='Base de données'!$H66)*('Base de données'!$I$3:$I$114='Base de données'!$I66)*('Base de données'!$J$3:$J$114='Base de données'!$J66))))&lt;&gt;'Base de données'!$D66,"",SUMPRODUCT((-'Base de données'!$S$3:$S$114+'Base de données'!$T$3:$T$114+'Base de données'!$U$3:$U$114)*(('Base de données'!$H$3:$H$114='Base de données'!$H66)*('Base de données'!$I$3:$I$114='Base de données'!$I66)*('Base de données'!$J$3:$J$114='Base de données'!$J66))))</f>
        <v/>
      </c>
      <c r="W66" s="43">
        <f t="shared" si="17"/>
        <v>7.6748381538461544E-2</v>
      </c>
      <c r="X66" s="43">
        <f t="shared" si="18"/>
        <v>42.211609846153848</v>
      </c>
      <c r="Y66" s="43">
        <f t="shared" si="19"/>
        <v>4.0627247524752472E-3</v>
      </c>
      <c r="Z66" s="43">
        <f t="shared" si="20"/>
        <v>2.234498613861386</v>
      </c>
      <c r="AA66" s="43">
        <f t="shared" si="21"/>
        <v>45.683676923076931</v>
      </c>
    </row>
    <row r="67" spans="1:27" ht="24.95" customHeight="1">
      <c r="A67" s="98">
        <v>201800014</v>
      </c>
      <c r="B67" s="75" t="s">
        <v>33</v>
      </c>
      <c r="C67" s="81">
        <v>533899</v>
      </c>
      <c r="D67" s="60">
        <v>43166</v>
      </c>
      <c r="E67" s="61">
        <v>510020</v>
      </c>
      <c r="F67" s="77" t="s">
        <v>36</v>
      </c>
      <c r="G67" s="84">
        <v>139</v>
      </c>
      <c r="H67" s="75" t="s">
        <v>28</v>
      </c>
      <c r="I67" s="75" t="s">
        <v>30</v>
      </c>
      <c r="J67" s="78">
        <v>8</v>
      </c>
      <c r="K67" s="78"/>
      <c r="L67" s="81">
        <v>21500</v>
      </c>
      <c r="M67" s="80">
        <v>1.446E-3</v>
      </c>
      <c r="N67" s="43">
        <v>6</v>
      </c>
      <c r="O67" s="43">
        <f t="shared" si="15"/>
        <v>311</v>
      </c>
      <c r="P67" s="43">
        <f>((J67*J67)*0.866*9*3)/1000</f>
        <v>1.4964479999999998</v>
      </c>
      <c r="Q67" s="75">
        <f>+L67*M67</f>
        <v>31.089000000000002</v>
      </c>
      <c r="R67" s="43">
        <f t="shared" si="16"/>
        <v>4.8117299035369768E-3</v>
      </c>
      <c r="S67" s="66">
        <v>103.452192926045</v>
      </c>
      <c r="T67" s="67"/>
      <c r="U67" s="67"/>
      <c r="V67" s="68" t="str">
        <f>IF(SUMPRODUCT(MAX(('Base de données'!$D$3:$D$114)*(('Base de données'!$H$3:$H$114='Base de données'!$H67)*('Base de données'!$I$3:$I$114='Base de données'!$I67)*('Base de données'!$J$3:$J$114='Base de données'!$J67))))&lt;&gt;'Base de données'!$D67,"",SUMPRODUCT((-'Base de données'!$S$3:$S$114+'Base de données'!$T$3:$T$114+'Base de données'!$U$3:$U$114)*(('Base de données'!$H$3:$H$114='Base de données'!$H67)*('Base de données'!$I$3:$I$114='Base de données'!$I67)*('Base de données'!$J$3:$J$114='Base de données'!$J67))))</f>
        <v/>
      </c>
      <c r="W67" s="43">
        <f t="shared" si="17"/>
        <v>3.1732607073954979E-3</v>
      </c>
      <c r="X67" s="43">
        <f t="shared" si="18"/>
        <v>68.225105209003203</v>
      </c>
      <c r="Y67" s="43">
        <f t="shared" si="19"/>
        <v>5.9265267326732659E-4</v>
      </c>
      <c r="Z67" s="43">
        <f t="shared" si="20"/>
        <v>12.742032475247521</v>
      </c>
      <c r="AA67" s="43">
        <f t="shared" si="21"/>
        <v>72.363192926045002</v>
      </c>
    </row>
    <row r="68" spans="1:27" ht="24.95" customHeight="1">
      <c r="A68" s="98">
        <v>201800014</v>
      </c>
      <c r="B68" s="75" t="s">
        <v>33</v>
      </c>
      <c r="C68" s="81">
        <v>533899</v>
      </c>
      <c r="D68" s="60">
        <v>43166</v>
      </c>
      <c r="E68" s="61">
        <v>512800</v>
      </c>
      <c r="F68" s="77" t="s">
        <v>34</v>
      </c>
      <c r="G68" s="75"/>
      <c r="H68" s="75" t="s">
        <v>28</v>
      </c>
      <c r="I68" s="43" t="s">
        <v>31</v>
      </c>
      <c r="J68" s="78">
        <v>7</v>
      </c>
      <c r="K68" s="78"/>
      <c r="L68" s="81">
        <v>6000</v>
      </c>
      <c r="M68" s="80">
        <v>3.421E-3</v>
      </c>
      <c r="N68" s="43">
        <v>24.5</v>
      </c>
      <c r="O68" s="43">
        <f t="shared" si="15"/>
        <v>101</v>
      </c>
      <c r="P68" s="43">
        <f>((J68/2)*(J68/2)*3.14*9*3)/1000</f>
        <v>1.0385550000000003</v>
      </c>
      <c r="Q68" s="75">
        <f>+M68*L68</f>
        <v>20.526</v>
      </c>
      <c r="R68" s="43">
        <f t="shared" si="16"/>
        <v>1.0282722772277231E-2</v>
      </c>
      <c r="S68" s="66">
        <v>61.696336633663385</v>
      </c>
      <c r="T68" s="67"/>
      <c r="U68" s="67"/>
      <c r="V68" s="68" t="str">
        <f>IF(SUMPRODUCT(MAX(('Base de données'!$D$3:$D$114)*(('Base de données'!$H$3:$H$114='Base de données'!$H68)*('Base de données'!$I$3:$I$114='Base de données'!$I68)*('Base de données'!$J$3:$J$114='Base de données'!$J68))))&lt;&gt;'Base de données'!$D68,"",SUMPRODUCT((-'Base de données'!$S$3:$S$114+'Base de données'!$T$3:$T$114+'Base de données'!$U$3:$U$114)*(('Base de données'!$H$3:$H$114='Base de données'!$H68)*('Base de données'!$I$3:$I$114='Base de données'!$I68)*('Base de données'!$J$3:$J$114='Base de données'!$J68))))</f>
        <v/>
      </c>
      <c r="W68" s="43">
        <f t="shared" si="17"/>
        <v>6.4504138613861416E-3</v>
      </c>
      <c r="X68" s="43">
        <f t="shared" si="18"/>
        <v>38.702483168316853</v>
      </c>
      <c r="Y68" s="43">
        <f t="shared" si="19"/>
        <v>4.1130891089108927E-4</v>
      </c>
      <c r="Z68" s="43">
        <f t="shared" si="20"/>
        <v>2.4678534653465358</v>
      </c>
      <c r="AA68" s="43">
        <f t="shared" si="21"/>
        <v>41.170336633663382</v>
      </c>
    </row>
    <row r="69" spans="1:27" ht="24.95" customHeight="1">
      <c r="A69" s="98">
        <v>201800023</v>
      </c>
      <c r="B69" s="75" t="s">
        <v>33</v>
      </c>
      <c r="C69" s="76">
        <v>534593</v>
      </c>
      <c r="D69" s="60">
        <v>43194</v>
      </c>
      <c r="E69" s="61">
        <v>200200</v>
      </c>
      <c r="F69" s="77" t="s">
        <v>35</v>
      </c>
      <c r="G69" s="77"/>
      <c r="H69" s="75" t="s">
        <v>28</v>
      </c>
      <c r="I69" s="43" t="s">
        <v>31</v>
      </c>
      <c r="J69" s="67">
        <v>22</v>
      </c>
      <c r="K69" s="43"/>
      <c r="L69" s="82">
        <v>2700</v>
      </c>
      <c r="M69" s="80">
        <v>7.4759999999999993E-2</v>
      </c>
      <c r="N69" s="83">
        <v>39.5</v>
      </c>
      <c r="O69" s="43">
        <f t="shared" si="15"/>
        <v>65</v>
      </c>
      <c r="P69" s="43">
        <f>((J69/2)*(J69/2)*3.14*9*3)/1000</f>
        <v>10.258380000000001</v>
      </c>
      <c r="Q69" s="75">
        <f>+M69*L69</f>
        <v>201.85199999999998</v>
      </c>
      <c r="R69" s="43">
        <f t="shared" si="16"/>
        <v>0.15782123076923077</v>
      </c>
      <c r="S69" s="66">
        <v>426.11732307692307</v>
      </c>
      <c r="T69" s="67"/>
      <c r="U69" s="67"/>
      <c r="V69" s="68" t="str">
        <f>IF(SUMPRODUCT(MAX(('Base de données'!$D$3:$D$114)*(('Base de données'!$H$3:$H$114='Base de données'!$H69)*('Base de données'!$I$3:$I$114='Base de données'!$I69)*('Base de données'!$J$3:$J$114='Base de données'!$J69))))&lt;&gt;'Base de données'!$D69,"",SUMPRODUCT((-'Base de données'!$S$3:$S$114+'Base de données'!$T$3:$T$114+'Base de données'!$U$3:$U$114)*(('Base de données'!$H$3:$H$114='Base de données'!$H69)*('Base de données'!$I$3:$I$114='Base de données'!$I69)*('Base de données'!$J$3:$J$114='Base de données'!$J69))))</f>
        <v/>
      </c>
      <c r="W69" s="43">
        <f t="shared" si="17"/>
        <v>7.6748381538461544E-2</v>
      </c>
      <c r="X69" s="43">
        <f t="shared" si="18"/>
        <v>207.22063015384617</v>
      </c>
      <c r="Y69" s="43">
        <f t="shared" si="19"/>
        <v>4.0627247524752472E-3</v>
      </c>
      <c r="Z69" s="43">
        <f t="shared" si="20"/>
        <v>10.969356831683168</v>
      </c>
      <c r="AA69" s="43">
        <f t="shared" si="21"/>
        <v>224.2653230769231</v>
      </c>
    </row>
    <row r="70" spans="1:27" ht="24.95" customHeight="1">
      <c r="A70" s="98">
        <v>201800026</v>
      </c>
      <c r="B70" s="75" t="s">
        <v>33</v>
      </c>
      <c r="C70" s="81">
        <v>534802</v>
      </c>
      <c r="D70" s="60">
        <v>43200</v>
      </c>
      <c r="E70" s="61">
        <v>510020</v>
      </c>
      <c r="F70" s="77" t="s">
        <v>36</v>
      </c>
      <c r="G70" s="84">
        <v>139</v>
      </c>
      <c r="H70" s="75" t="s">
        <v>28</v>
      </c>
      <c r="I70" s="75" t="s">
        <v>30</v>
      </c>
      <c r="J70" s="78">
        <v>8</v>
      </c>
      <c r="K70" s="78"/>
      <c r="L70" s="81">
        <v>15733</v>
      </c>
      <c r="M70" s="80">
        <v>1.446E-3</v>
      </c>
      <c r="N70" s="43">
        <v>6</v>
      </c>
      <c r="O70" s="43">
        <f t="shared" si="15"/>
        <v>311</v>
      </c>
      <c r="P70" s="43">
        <f>((J70*J70)*0.866*9*3)/1000</f>
        <v>1.4964479999999998</v>
      </c>
      <c r="Q70" s="75">
        <f>+L70*M70</f>
        <v>22.749918000000001</v>
      </c>
      <c r="R70" s="43">
        <f t="shared" si="16"/>
        <v>4.8117299035369768E-3</v>
      </c>
      <c r="S70" s="66">
        <v>75.702946572347258</v>
      </c>
      <c r="T70" s="67"/>
      <c r="U70" s="67"/>
      <c r="V70" s="68" t="str">
        <f>IF(SUMPRODUCT(MAX(('Base de données'!$D$3:$D$114)*(('Base de données'!$H$3:$H$114='Base de données'!$H70)*('Base de données'!$I$3:$I$114='Base de données'!$I70)*('Base de données'!$J$3:$J$114='Base de données'!$J70))))&lt;&gt;'Base de données'!$D70,"",SUMPRODUCT((-'Base de données'!$S$3:$S$114+'Base de données'!$T$3:$T$114+'Base de données'!$U$3:$U$114)*(('Base de données'!$H$3:$H$114='Base de données'!$H70)*('Base de données'!$I$3:$I$114='Base de données'!$I70)*('Base de données'!$J$3:$J$114='Base de données'!$J70))))</f>
        <v/>
      </c>
      <c r="W70" s="43">
        <f t="shared" si="17"/>
        <v>3.1732607073954979E-3</v>
      </c>
      <c r="X70" s="43">
        <f t="shared" si="18"/>
        <v>49.924910709453371</v>
      </c>
      <c r="Y70" s="43">
        <f t="shared" si="19"/>
        <v>5.9265267326732659E-4</v>
      </c>
      <c r="Z70" s="43">
        <f t="shared" si="20"/>
        <v>9.3242045085148497</v>
      </c>
      <c r="AA70" s="43">
        <f t="shared" si="21"/>
        <v>52.953028572347257</v>
      </c>
    </row>
    <row r="71" spans="1:27" ht="24.95" customHeight="1">
      <c r="A71" s="99">
        <v>201800033</v>
      </c>
      <c r="B71" s="75" t="s">
        <v>33</v>
      </c>
      <c r="C71" s="76">
        <v>535277</v>
      </c>
      <c r="D71" s="60">
        <v>43217</v>
      </c>
      <c r="E71" s="61">
        <v>200200</v>
      </c>
      <c r="F71" s="77" t="s">
        <v>35</v>
      </c>
      <c r="G71" s="77"/>
      <c r="H71" s="75" t="s">
        <v>28</v>
      </c>
      <c r="I71" s="43" t="s">
        <v>31</v>
      </c>
      <c r="J71" s="67">
        <v>22</v>
      </c>
      <c r="K71" s="43"/>
      <c r="L71" s="82">
        <v>1200</v>
      </c>
      <c r="M71" s="80">
        <v>7.4759999999999993E-2</v>
      </c>
      <c r="N71" s="83">
        <v>39.5</v>
      </c>
      <c r="O71" s="43">
        <f t="shared" si="15"/>
        <v>65</v>
      </c>
      <c r="P71" s="43">
        <f>((J71/2)*(J71/2)*3.14*9*3)/1000</f>
        <v>10.258380000000001</v>
      </c>
      <c r="Q71" s="75">
        <f>+M71*L71</f>
        <v>89.711999999999989</v>
      </c>
      <c r="R71" s="43">
        <f t="shared" si="16"/>
        <v>0.15782123076923077</v>
      </c>
      <c r="S71" s="66">
        <v>189.38547692307694</v>
      </c>
      <c r="T71" s="67"/>
      <c r="U71" s="67"/>
      <c r="V71" s="68" t="str">
        <f>IF(SUMPRODUCT(MAX(('Base de données'!$D$3:$D$114)*(('Base de données'!$H$3:$H$114='Base de données'!$H71)*('Base de données'!$I$3:$I$114='Base de données'!$I71)*('Base de données'!$J$3:$J$114='Base de données'!$J71))))&lt;&gt;'Base de données'!$D71,"",SUMPRODUCT((-'Base de données'!$S$3:$S$114+'Base de données'!$T$3:$T$114+'Base de données'!$U$3:$U$114)*(('Base de données'!$H$3:$H$114='Base de données'!$H71)*('Base de données'!$I$3:$I$114='Base de données'!$I71)*('Base de données'!$J$3:$J$114='Base de données'!$J71))))</f>
        <v/>
      </c>
      <c r="W71" s="43">
        <f t="shared" si="17"/>
        <v>7.6748381538461544E-2</v>
      </c>
      <c r="X71" s="43">
        <f t="shared" si="18"/>
        <v>92.09805784615385</v>
      </c>
      <c r="Y71" s="43">
        <f t="shared" si="19"/>
        <v>4.0627247524752472E-3</v>
      </c>
      <c r="Z71" s="43">
        <f t="shared" si="20"/>
        <v>4.8752697029702965</v>
      </c>
      <c r="AA71" s="43">
        <f t="shared" si="21"/>
        <v>99.673476923076947</v>
      </c>
    </row>
    <row r="72" spans="1:27" ht="24.95" customHeight="1">
      <c r="A72" s="98">
        <v>201800048</v>
      </c>
      <c r="B72" s="75" t="s">
        <v>33</v>
      </c>
      <c r="C72" s="76">
        <v>536321</v>
      </c>
      <c r="D72" s="60">
        <v>43263</v>
      </c>
      <c r="E72" s="61">
        <v>200200</v>
      </c>
      <c r="F72" s="77" t="s">
        <v>35</v>
      </c>
      <c r="G72" s="77"/>
      <c r="H72" s="75" t="s">
        <v>28</v>
      </c>
      <c r="I72" s="43" t="s">
        <v>31</v>
      </c>
      <c r="J72" s="67">
        <v>22</v>
      </c>
      <c r="K72" s="43"/>
      <c r="L72" s="82">
        <v>1000</v>
      </c>
      <c r="M72" s="80">
        <v>7.4759999999999993E-2</v>
      </c>
      <c r="N72" s="83">
        <v>39.5</v>
      </c>
      <c r="O72" s="43">
        <f t="shared" si="15"/>
        <v>65</v>
      </c>
      <c r="P72" s="43">
        <f>((J72/2)*(J72/2)*3.14*9*3)/1000</f>
        <v>10.258380000000001</v>
      </c>
      <c r="Q72" s="75">
        <f>+M72*L72</f>
        <v>74.759999999999991</v>
      </c>
      <c r="R72" s="43">
        <f t="shared" si="16"/>
        <v>0.15782123076923077</v>
      </c>
      <c r="S72" s="66">
        <v>157.82123076923077</v>
      </c>
      <c r="T72" s="67"/>
      <c r="U72" s="67"/>
      <c r="V72" s="68" t="str">
        <f>IF(SUMPRODUCT(MAX(('Base de données'!$D$3:$D$114)*(('Base de données'!$H$3:$H$114='Base de données'!$H72)*('Base de données'!$I$3:$I$114='Base de données'!$I72)*('Base de données'!$J$3:$J$114='Base de données'!$J72))))&lt;&gt;'Base de données'!$D72,"",SUMPRODUCT((-'Base de données'!$S$3:$S$114+'Base de données'!$T$3:$T$114+'Base de données'!$U$3:$U$114)*(('Base de données'!$H$3:$H$114='Base de données'!$H72)*('Base de données'!$I$3:$I$114='Base de données'!$I72)*('Base de données'!$J$3:$J$114='Base de données'!$J72))))</f>
        <v/>
      </c>
      <c r="W72" s="43">
        <f t="shared" si="17"/>
        <v>7.6748381538461544E-2</v>
      </c>
      <c r="X72" s="43">
        <f t="shared" si="18"/>
        <v>76.748381538461544</v>
      </c>
      <c r="Y72" s="43">
        <f t="shared" si="19"/>
        <v>4.0627247524752472E-3</v>
      </c>
      <c r="Z72" s="43">
        <f t="shared" si="20"/>
        <v>4.0627247524752477</v>
      </c>
      <c r="AA72" s="43">
        <f t="shared" si="21"/>
        <v>83.061230769230775</v>
      </c>
    </row>
    <row r="73" spans="1:27" ht="24.95" customHeight="1">
      <c r="A73" s="98">
        <v>201800052</v>
      </c>
      <c r="B73" s="75" t="s">
        <v>33</v>
      </c>
      <c r="C73" s="76">
        <v>536867</v>
      </c>
      <c r="D73" s="60">
        <v>43289</v>
      </c>
      <c r="E73" s="61">
        <v>512800</v>
      </c>
      <c r="F73" s="77" t="s">
        <v>34</v>
      </c>
      <c r="G73" s="75"/>
      <c r="H73" s="75" t="s">
        <v>28</v>
      </c>
      <c r="I73" s="43" t="s">
        <v>31</v>
      </c>
      <c r="J73" s="78">
        <v>7</v>
      </c>
      <c r="K73" s="43"/>
      <c r="L73" s="79">
        <v>27000</v>
      </c>
      <c r="M73" s="80">
        <v>3.421E-3</v>
      </c>
      <c r="N73" s="43">
        <v>24.5</v>
      </c>
      <c r="O73" s="43">
        <f t="shared" si="15"/>
        <v>101</v>
      </c>
      <c r="P73" s="43">
        <f>((J73/2)*(J73/2)*3.14*9*3)/1000</f>
        <v>1.0385550000000003</v>
      </c>
      <c r="Q73" s="75">
        <f>+M73*L73</f>
        <v>92.367000000000004</v>
      </c>
      <c r="R73" s="43">
        <f t="shared" si="16"/>
        <v>1.0282722772277231E-2</v>
      </c>
      <c r="S73" s="66">
        <v>277.63351485148524</v>
      </c>
      <c r="T73" s="67"/>
      <c r="U73" s="67"/>
      <c r="V73" s="68" t="str">
        <f>IF(SUMPRODUCT(MAX(('Base de données'!$D$3:$D$114)*(('Base de données'!$H$3:$H$114='Base de données'!$H73)*('Base de données'!$I$3:$I$114='Base de données'!$I73)*('Base de données'!$J$3:$J$114='Base de données'!$J73))))&lt;&gt;'Base de données'!$D73,"",SUMPRODUCT((-'Base de données'!$S$3:$S$114+'Base de données'!$T$3:$T$114+'Base de données'!$U$3:$U$114)*(('Base de données'!$H$3:$H$114='Base de données'!$H73)*('Base de données'!$I$3:$I$114='Base de données'!$I73)*('Base de données'!$J$3:$J$114='Base de données'!$J73))))</f>
        <v/>
      </c>
      <c r="W73" s="43">
        <f t="shared" si="17"/>
        <v>6.4504138613861416E-3</v>
      </c>
      <c r="X73" s="43">
        <f t="shared" si="18"/>
        <v>174.16117425742581</v>
      </c>
      <c r="Y73" s="43">
        <f t="shared" si="19"/>
        <v>4.1130891089108927E-4</v>
      </c>
      <c r="Z73" s="43">
        <f t="shared" si="20"/>
        <v>11.10534059405941</v>
      </c>
      <c r="AA73" s="43">
        <f t="shared" si="21"/>
        <v>185.26651485148523</v>
      </c>
    </row>
    <row r="74" spans="1:27" ht="24.95" customHeight="1">
      <c r="A74" s="99">
        <v>201800056</v>
      </c>
      <c r="B74" s="75" t="s">
        <v>33</v>
      </c>
      <c r="C74" s="76">
        <v>537031</v>
      </c>
      <c r="D74" s="60">
        <v>43297</v>
      </c>
      <c r="E74" s="61">
        <v>200200</v>
      </c>
      <c r="F74" s="77" t="s">
        <v>35</v>
      </c>
      <c r="G74" s="77"/>
      <c r="H74" s="75" t="s">
        <v>28</v>
      </c>
      <c r="I74" s="43" t="s">
        <v>31</v>
      </c>
      <c r="J74" s="67">
        <v>22</v>
      </c>
      <c r="K74" s="43"/>
      <c r="L74" s="82">
        <v>1550</v>
      </c>
      <c r="M74" s="80">
        <v>7.4759999999999993E-2</v>
      </c>
      <c r="N74" s="83">
        <v>39.5</v>
      </c>
      <c r="O74" s="43">
        <f t="shared" si="15"/>
        <v>65</v>
      </c>
      <c r="P74" s="43">
        <f>((J74/2)*(J74/2)*3.14*9*3)/1000</f>
        <v>10.258380000000001</v>
      </c>
      <c r="Q74" s="75">
        <f>+M74*L74</f>
        <v>115.87799999999999</v>
      </c>
      <c r="R74" s="43">
        <f t="shared" si="16"/>
        <v>0.15782123076923077</v>
      </c>
      <c r="S74" s="66">
        <v>244.62290769230771</v>
      </c>
      <c r="T74" s="67"/>
      <c r="U74" s="67"/>
      <c r="V74" s="68" t="str">
        <f>IF(SUMPRODUCT(MAX(('Base de données'!$D$3:$D$114)*(('Base de données'!$H$3:$H$114='Base de données'!$H74)*('Base de données'!$I$3:$I$114='Base de données'!$I74)*('Base de données'!$J$3:$J$114='Base de données'!$J74))))&lt;&gt;'Base de données'!$D74,"",SUMPRODUCT((-'Base de données'!$S$3:$S$114+'Base de données'!$T$3:$T$114+'Base de données'!$U$3:$U$114)*(('Base de données'!$H$3:$H$114='Base de données'!$H74)*('Base de données'!$I$3:$I$114='Base de données'!$I74)*('Base de données'!$J$3:$J$114='Base de données'!$J74))))</f>
        <v/>
      </c>
      <c r="W74" s="43">
        <f t="shared" si="17"/>
        <v>7.6748381538461544E-2</v>
      </c>
      <c r="X74" s="43">
        <f t="shared" si="18"/>
        <v>118.95999138461539</v>
      </c>
      <c r="Y74" s="43">
        <f t="shared" si="19"/>
        <v>4.0627247524752472E-3</v>
      </c>
      <c r="Z74" s="43">
        <f t="shared" si="20"/>
        <v>6.2972233663366328</v>
      </c>
      <c r="AA74" s="43">
        <f t="shared" si="21"/>
        <v>128.74490769230772</v>
      </c>
    </row>
    <row r="75" spans="1:27" ht="24.95" customHeight="1">
      <c r="A75" s="98">
        <v>201800060</v>
      </c>
      <c r="B75" s="75" t="s">
        <v>33</v>
      </c>
      <c r="C75" s="81">
        <v>537461</v>
      </c>
      <c r="D75" s="60">
        <v>43320</v>
      </c>
      <c r="E75" s="61">
        <v>510020</v>
      </c>
      <c r="F75" s="77" t="s">
        <v>36</v>
      </c>
      <c r="G75" s="84">
        <v>139</v>
      </c>
      <c r="H75" s="75" t="s">
        <v>28</v>
      </c>
      <c r="I75" s="75" t="s">
        <v>30</v>
      </c>
      <c r="J75" s="78">
        <v>8</v>
      </c>
      <c r="K75" s="78"/>
      <c r="L75" s="81">
        <v>1000</v>
      </c>
      <c r="M75" s="80">
        <v>1.446E-3</v>
      </c>
      <c r="N75" s="43">
        <v>6</v>
      </c>
      <c r="O75" s="43">
        <f t="shared" si="15"/>
        <v>311</v>
      </c>
      <c r="P75" s="43">
        <f>((J75*J75)*0.866*9*3)/1000</f>
        <v>1.4964479999999998</v>
      </c>
      <c r="Q75" s="75">
        <f>+L75*M75</f>
        <v>1.446</v>
      </c>
      <c r="R75" s="43">
        <f t="shared" si="16"/>
        <v>4.8117299035369768E-3</v>
      </c>
      <c r="S75" s="66">
        <v>4.8117299035369765</v>
      </c>
      <c r="T75" s="67"/>
      <c r="U75" s="67"/>
      <c r="V75" s="68" t="str">
        <f>IF(SUMPRODUCT(MAX(('Base de données'!$D$3:$D$114)*(('Base de données'!$H$3:$H$114='Base de données'!$H75)*('Base de données'!$I$3:$I$114='Base de données'!$I75)*('Base de données'!$J$3:$J$114='Base de données'!$J75))))&lt;&gt;'Base de données'!$D75,"",SUMPRODUCT((-'Base de données'!$S$3:$S$114+'Base de données'!$T$3:$T$114+'Base de données'!$U$3:$U$114)*(('Base de données'!$H$3:$H$114='Base de données'!$H75)*('Base de données'!$I$3:$I$114='Base de données'!$I75)*('Base de données'!$J$3:$J$114='Base de données'!$J75))))</f>
        <v/>
      </c>
      <c r="W75" s="43">
        <f t="shared" si="17"/>
        <v>3.1732607073954979E-3</v>
      </c>
      <c r="X75" s="43">
        <f t="shared" si="18"/>
        <v>3.1732607073954977</v>
      </c>
      <c r="Y75" s="43">
        <f t="shared" si="19"/>
        <v>5.9265267326732659E-4</v>
      </c>
      <c r="Z75" s="43">
        <f t="shared" si="20"/>
        <v>0.59265267326732662</v>
      </c>
      <c r="AA75" s="43">
        <f t="shared" si="21"/>
        <v>3.3657299035369768</v>
      </c>
    </row>
    <row r="76" spans="1:27" ht="24.95" customHeight="1">
      <c r="A76" s="98">
        <v>201800060</v>
      </c>
      <c r="B76" s="75" t="s">
        <v>33</v>
      </c>
      <c r="C76" s="76">
        <v>537461</v>
      </c>
      <c r="D76" s="60">
        <v>43320</v>
      </c>
      <c r="E76" s="61">
        <v>511040</v>
      </c>
      <c r="F76" s="77" t="s">
        <v>38</v>
      </c>
      <c r="G76" s="84">
        <v>138</v>
      </c>
      <c r="H76" s="75" t="s">
        <v>28</v>
      </c>
      <c r="I76" s="43" t="s">
        <v>31</v>
      </c>
      <c r="J76" s="76">
        <v>18</v>
      </c>
      <c r="K76" s="43"/>
      <c r="L76" s="79">
        <v>5000</v>
      </c>
      <c r="M76" s="80">
        <v>3.676E-3</v>
      </c>
      <c r="N76" s="43">
        <v>10.3</v>
      </c>
      <c r="O76" s="43">
        <f t="shared" si="15"/>
        <v>210</v>
      </c>
      <c r="P76" s="43">
        <f>((J76/2)*(J76/2)*3.14*9*3)/1000</f>
        <v>6.8671800000000003</v>
      </c>
      <c r="Q76" s="75">
        <f>+M76*L76</f>
        <v>18.38</v>
      </c>
      <c r="R76" s="43">
        <f t="shared" si="16"/>
        <v>3.2700857142857143E-2</v>
      </c>
      <c r="S76" s="66">
        <v>163.50428571428571</v>
      </c>
      <c r="T76" s="67"/>
      <c r="U76" s="67"/>
      <c r="V76" s="68" t="str">
        <f>IF(SUMPRODUCT(MAX(('Base de données'!$D$3:$D$114)*(('Base de données'!$H$3:$H$114='Base de données'!$H76)*('Base de données'!$I$3:$I$114='Base de données'!$I76)*('Base de données'!$J$3:$J$114='Base de données'!$J76))))&lt;&gt;'Base de données'!$D76,"",SUMPRODUCT((-'Base de données'!$S$3:$S$114+'Base de données'!$T$3:$T$114+'Base de données'!$U$3:$U$114)*(('Base de données'!$H$3:$H$114='Base de données'!$H76)*('Base de données'!$I$3:$I$114='Base de données'!$I76)*('Base de données'!$J$3:$J$114='Base de données'!$J76))))</f>
        <v/>
      </c>
      <c r="W76" s="43">
        <f t="shared" si="17"/>
        <v>2.7716822857142855E-2</v>
      </c>
      <c r="X76" s="43">
        <f t="shared" si="18"/>
        <v>138.58411428571426</v>
      </c>
      <c r="Y76" s="43">
        <f t="shared" si="19"/>
        <v>2.719675247524752E-3</v>
      </c>
      <c r="Z76" s="43">
        <f t="shared" si="20"/>
        <v>13.598376237623759</v>
      </c>
      <c r="AA76" s="43">
        <f t="shared" si="21"/>
        <v>145.12428571428572</v>
      </c>
    </row>
    <row r="77" spans="1:27" ht="24.95" customHeight="1">
      <c r="A77" s="98">
        <v>201800073</v>
      </c>
      <c r="B77" s="75" t="s">
        <v>33</v>
      </c>
      <c r="C77" s="81">
        <v>537851</v>
      </c>
      <c r="D77" s="60">
        <v>43350</v>
      </c>
      <c r="E77" s="61">
        <v>510020</v>
      </c>
      <c r="F77" s="77" t="s">
        <v>36</v>
      </c>
      <c r="G77" s="84">
        <v>139</v>
      </c>
      <c r="H77" s="75" t="s">
        <v>28</v>
      </c>
      <c r="I77" s="75" t="s">
        <v>30</v>
      </c>
      <c r="J77" s="78">
        <v>8</v>
      </c>
      <c r="K77" s="78"/>
      <c r="L77" s="81">
        <v>20000</v>
      </c>
      <c r="M77" s="80">
        <v>1.446E-3</v>
      </c>
      <c r="N77" s="43">
        <v>6</v>
      </c>
      <c r="O77" s="43">
        <f t="shared" si="15"/>
        <v>311</v>
      </c>
      <c r="P77" s="43">
        <f>((J77*J77)*0.866*9*3)/1000</f>
        <v>1.4964479999999998</v>
      </c>
      <c r="Q77" s="75">
        <f>+L77*M77</f>
        <v>28.92</v>
      </c>
      <c r="R77" s="43">
        <f t="shared" si="16"/>
        <v>4.8117299035369768E-3</v>
      </c>
      <c r="S77" s="66">
        <v>96.234598070739537</v>
      </c>
      <c r="T77" s="67"/>
      <c r="U77" s="67"/>
      <c r="V77" s="68" t="str">
        <f>IF(SUMPRODUCT(MAX(('Base de données'!$D$3:$D$114)*(('Base de données'!$H$3:$H$114='Base de données'!$H77)*('Base de données'!$I$3:$I$114='Base de données'!$I77)*('Base de données'!$J$3:$J$114='Base de données'!$J77))))&lt;&gt;'Base de données'!$D77,"",SUMPRODUCT((-'Base de données'!$S$3:$S$114+'Base de données'!$T$3:$T$114+'Base de données'!$U$3:$U$114)*(('Base de données'!$H$3:$H$114='Base de données'!$H77)*('Base de données'!$I$3:$I$114='Base de données'!$I77)*('Base de données'!$J$3:$J$114='Base de données'!$J77))))</f>
        <v/>
      </c>
      <c r="W77" s="43">
        <f t="shared" si="17"/>
        <v>3.1732607073954979E-3</v>
      </c>
      <c r="X77" s="43">
        <f t="shared" si="18"/>
        <v>63.465214147909954</v>
      </c>
      <c r="Y77" s="43">
        <f t="shared" si="19"/>
        <v>5.9265267326732659E-4</v>
      </c>
      <c r="Z77" s="43">
        <f t="shared" si="20"/>
        <v>11.853053465346532</v>
      </c>
      <c r="AA77" s="43">
        <f t="shared" si="21"/>
        <v>67.314598070739535</v>
      </c>
    </row>
    <row r="78" spans="1:27" ht="24.95" customHeight="1">
      <c r="A78" s="98">
        <v>201800084</v>
      </c>
      <c r="B78" s="75" t="s">
        <v>33</v>
      </c>
      <c r="C78" s="87">
        <v>539092</v>
      </c>
      <c r="D78" s="60">
        <v>43411</v>
      </c>
      <c r="E78" s="61">
        <v>510020</v>
      </c>
      <c r="F78" s="77" t="s">
        <v>36</v>
      </c>
      <c r="G78" s="84">
        <v>139</v>
      </c>
      <c r="H78" s="75" t="s">
        <v>28</v>
      </c>
      <c r="I78" s="75" t="s">
        <v>30</v>
      </c>
      <c r="J78" s="78">
        <v>8</v>
      </c>
      <c r="K78" s="78"/>
      <c r="L78" s="81">
        <v>20000</v>
      </c>
      <c r="M78" s="80">
        <v>1.446E-3</v>
      </c>
      <c r="N78" s="43">
        <v>6</v>
      </c>
      <c r="O78" s="43">
        <f t="shared" si="15"/>
        <v>311</v>
      </c>
      <c r="P78" s="43">
        <f>((J78*J78)*0.866*9*3)/1000</f>
        <v>1.4964479999999998</v>
      </c>
      <c r="Q78" s="75">
        <f>+L78*M78</f>
        <v>28.92</v>
      </c>
      <c r="R78" s="43">
        <f t="shared" si="16"/>
        <v>4.8117299035369768E-3</v>
      </c>
      <c r="S78" s="66">
        <v>96.234598070739537</v>
      </c>
      <c r="T78" s="67"/>
      <c r="U78" s="67"/>
      <c r="V78" s="68" t="str">
        <f>IF(SUMPRODUCT(MAX(('Base de données'!$D$3:$D$114)*(('Base de données'!$H$3:$H$114='Base de données'!$H78)*('Base de données'!$I$3:$I$114='Base de données'!$I78)*('Base de données'!$J$3:$J$114='Base de données'!$J78))))&lt;&gt;'Base de données'!$D78,"",SUMPRODUCT((-'Base de données'!$S$3:$S$114+'Base de données'!$T$3:$T$114+'Base de données'!$U$3:$U$114)*(('Base de données'!$H$3:$H$114='Base de données'!$H78)*('Base de données'!$I$3:$I$114='Base de données'!$I78)*('Base de données'!$J$3:$J$114='Base de données'!$J78))))</f>
        <v/>
      </c>
      <c r="W78" s="43">
        <f t="shared" si="17"/>
        <v>3.1732607073954979E-3</v>
      </c>
      <c r="X78" s="43">
        <f t="shared" si="18"/>
        <v>63.465214147909954</v>
      </c>
      <c r="Y78" s="43">
        <f t="shared" si="19"/>
        <v>5.9265267326732659E-4</v>
      </c>
      <c r="Z78" s="43">
        <f t="shared" si="20"/>
        <v>11.853053465346532</v>
      </c>
      <c r="AA78" s="43">
        <f t="shared" si="21"/>
        <v>67.314598070739535</v>
      </c>
    </row>
    <row r="79" spans="1:27" ht="24.95" customHeight="1">
      <c r="A79" s="98">
        <v>201800084</v>
      </c>
      <c r="B79" s="75" t="s">
        <v>33</v>
      </c>
      <c r="C79" s="76">
        <v>539092</v>
      </c>
      <c r="D79" s="60">
        <v>43411</v>
      </c>
      <c r="E79" s="61">
        <v>512800</v>
      </c>
      <c r="F79" s="77" t="s">
        <v>34</v>
      </c>
      <c r="G79" s="75"/>
      <c r="H79" s="75" t="s">
        <v>28</v>
      </c>
      <c r="I79" s="43" t="s">
        <v>31</v>
      </c>
      <c r="J79" s="78">
        <v>7</v>
      </c>
      <c r="K79" s="43"/>
      <c r="L79" s="79">
        <v>6109</v>
      </c>
      <c r="M79" s="80">
        <v>3.421E-3</v>
      </c>
      <c r="N79" s="43">
        <v>24.5</v>
      </c>
      <c r="O79" s="43">
        <f t="shared" si="15"/>
        <v>101</v>
      </c>
      <c r="P79" s="43">
        <f>((J79/2)*(J79/2)*3.14*9*3)/1000</f>
        <v>1.0385550000000003</v>
      </c>
      <c r="Q79" s="75">
        <f>+M79*L79</f>
        <v>20.898889</v>
      </c>
      <c r="R79" s="43">
        <f t="shared" si="16"/>
        <v>1.0282722772277231E-2</v>
      </c>
      <c r="S79" s="66">
        <v>62.817153415841602</v>
      </c>
      <c r="T79" s="67"/>
      <c r="U79" s="67"/>
      <c r="V79" s="68" t="str">
        <f>IF(SUMPRODUCT(MAX(('Base de données'!$D$3:$D$114)*(('Base de données'!$H$3:$H$114='Base de données'!$H79)*('Base de données'!$I$3:$I$114='Base de données'!$I79)*('Base de données'!$J$3:$J$114='Base de données'!$J79))))&lt;&gt;'Base de données'!$D79,"",SUMPRODUCT((-'Base de données'!$S$3:$S$114+'Base de données'!$T$3:$T$114+'Base de données'!$U$3:$U$114)*(('Base de données'!$H$3:$H$114='Base de données'!$H79)*('Base de données'!$I$3:$I$114='Base de données'!$I79)*('Base de données'!$J$3:$J$114='Base de données'!$J79))))</f>
        <v/>
      </c>
      <c r="W79" s="43">
        <f t="shared" si="17"/>
        <v>6.4504138613861416E-3</v>
      </c>
      <c r="X79" s="43">
        <f t="shared" si="18"/>
        <v>39.405578279207937</v>
      </c>
      <c r="Y79" s="43">
        <f t="shared" si="19"/>
        <v>4.1130891089108927E-4</v>
      </c>
      <c r="Z79" s="43">
        <f t="shared" si="20"/>
        <v>2.5126861366336644</v>
      </c>
      <c r="AA79" s="43">
        <f t="shared" si="21"/>
        <v>41.918264415841605</v>
      </c>
    </row>
    <row r="80" spans="1:27" ht="24.95" customHeight="1">
      <c r="A80" s="99">
        <v>201800081</v>
      </c>
      <c r="B80" s="75" t="s">
        <v>33</v>
      </c>
      <c r="C80" s="76">
        <v>539116</v>
      </c>
      <c r="D80" s="60">
        <v>43412</v>
      </c>
      <c r="E80" s="61">
        <v>200200</v>
      </c>
      <c r="F80" s="77" t="s">
        <v>35</v>
      </c>
      <c r="G80" s="77"/>
      <c r="H80" s="75" t="s">
        <v>28</v>
      </c>
      <c r="I80" s="43" t="s">
        <v>31</v>
      </c>
      <c r="J80" s="67">
        <v>22</v>
      </c>
      <c r="K80" s="43"/>
      <c r="L80" s="82">
        <v>1700</v>
      </c>
      <c r="M80" s="80">
        <v>7.4759999999999993E-2</v>
      </c>
      <c r="N80" s="83">
        <v>39.5</v>
      </c>
      <c r="O80" s="43">
        <f t="shared" si="15"/>
        <v>65</v>
      </c>
      <c r="P80" s="43">
        <f>((J80/2)*(J80/2)*3.14*9*3)/1000</f>
        <v>10.258380000000001</v>
      </c>
      <c r="Q80" s="75">
        <f>+M80*L80</f>
        <v>127.09199999999998</v>
      </c>
      <c r="R80" s="43">
        <f t="shared" si="16"/>
        <v>0.15782123076923077</v>
      </c>
      <c r="S80" s="66">
        <v>268.29609230769233</v>
      </c>
      <c r="T80" s="67"/>
      <c r="U80" s="67"/>
      <c r="V80" s="68" t="str">
        <f>IF(SUMPRODUCT(MAX(('Base de données'!$D$3:$D$114)*(('Base de données'!$H$3:$H$114='Base de données'!$H80)*('Base de données'!$I$3:$I$114='Base de données'!$I80)*('Base de données'!$J$3:$J$114='Base de données'!$J80))))&lt;&gt;'Base de données'!$D80,"",SUMPRODUCT((-'Base de données'!$S$3:$S$114+'Base de données'!$T$3:$T$114+'Base de données'!$U$3:$U$114)*(('Base de données'!$H$3:$H$114='Base de données'!$H80)*('Base de données'!$I$3:$I$114='Base de données'!$I80)*('Base de données'!$J$3:$J$114='Base de données'!$J80))))</f>
        <v/>
      </c>
      <c r="W80" s="43">
        <f t="shared" si="17"/>
        <v>7.6748381538461544E-2</v>
      </c>
      <c r="X80" s="43">
        <f t="shared" si="18"/>
        <v>130.47224861538461</v>
      </c>
      <c r="Y80" s="43">
        <f t="shared" si="19"/>
        <v>4.0627247524752472E-3</v>
      </c>
      <c r="Z80" s="43">
        <f t="shared" si="20"/>
        <v>6.9066320792079203</v>
      </c>
      <c r="AA80" s="43">
        <f t="shared" si="21"/>
        <v>141.20409230769235</v>
      </c>
    </row>
    <row r="81" spans="1:27" ht="24.95" customHeight="1">
      <c r="A81" s="97"/>
      <c r="B81" s="71" t="s">
        <v>32</v>
      </c>
      <c r="C81" s="43"/>
      <c r="D81" s="60">
        <v>43416</v>
      </c>
      <c r="E81" s="61"/>
      <c r="F81" s="43"/>
      <c r="G81" s="43"/>
      <c r="H81" s="72" t="s">
        <v>28</v>
      </c>
      <c r="I81" s="71" t="s">
        <v>31</v>
      </c>
      <c r="J81" s="73">
        <v>7</v>
      </c>
      <c r="K81" s="43"/>
      <c r="L81" s="43"/>
      <c r="M81" s="43"/>
      <c r="N81" s="43"/>
      <c r="O81" s="65"/>
      <c r="P81" s="43"/>
      <c r="Q81" s="43"/>
      <c r="R81" s="43"/>
      <c r="S81" s="66">
        <v>0</v>
      </c>
      <c r="T81" s="74">
        <v>150</v>
      </c>
      <c r="U81" s="74"/>
      <c r="V81" s="68" t="str">
        <f>IF(SUMPRODUCT(MAX(('Base de données'!$D$3:$D$114)*(('Base de données'!$H$3:$H$114='Base de données'!$H81)*('Base de données'!$I$3:$I$114='Base de données'!$I81)*('Base de données'!$J$3:$J$114='Base de données'!$J81))))&lt;&gt;'Base de données'!$D81,"",SUMPRODUCT((-'Base de données'!$S$3:$S$114+'Base de données'!$T$3:$T$114+'Base de données'!$U$3:$U$114)*(('Base de données'!$H$3:$H$114='Base de données'!$H81)*('Base de données'!$I$3:$I$114='Base de données'!$I81)*('Base de données'!$J$3:$J$114='Base de données'!$J81))))</f>
        <v/>
      </c>
      <c r="W81" s="43"/>
      <c r="X81" s="43"/>
      <c r="Y81" s="43"/>
      <c r="Z81" s="43"/>
      <c r="AA81" s="43"/>
    </row>
    <row r="82" spans="1:27" ht="24.95" customHeight="1">
      <c r="A82" s="97"/>
      <c r="B82" s="71" t="s">
        <v>32</v>
      </c>
      <c r="C82" s="43"/>
      <c r="D82" s="60">
        <v>43416</v>
      </c>
      <c r="E82" s="61"/>
      <c r="F82" s="43"/>
      <c r="G82" s="43"/>
      <c r="H82" s="72" t="s">
        <v>28</v>
      </c>
      <c r="I82" s="71" t="s">
        <v>30</v>
      </c>
      <c r="J82" s="73">
        <v>8</v>
      </c>
      <c r="K82" s="43"/>
      <c r="L82" s="43"/>
      <c r="M82" s="43"/>
      <c r="N82" s="43"/>
      <c r="O82" s="65"/>
      <c r="P82" s="43"/>
      <c r="Q82" s="43"/>
      <c r="R82" s="43"/>
      <c r="S82" s="66">
        <v>0</v>
      </c>
      <c r="T82" s="74">
        <v>200</v>
      </c>
      <c r="U82" s="74"/>
      <c r="V82" s="68" t="str">
        <f>IF(SUMPRODUCT(MAX(('Base de données'!$D$3:$D$114)*(('Base de données'!$H$3:$H$114='Base de données'!$H82)*('Base de données'!$I$3:$I$114='Base de données'!$I82)*('Base de données'!$J$3:$J$114='Base de données'!$J82))))&lt;&gt;'Base de données'!$D82,"",SUMPRODUCT((-'Base de données'!$S$3:$S$114+'Base de données'!$T$3:$T$114+'Base de données'!$U$3:$U$114)*(('Base de données'!$H$3:$H$114='Base de données'!$H82)*('Base de données'!$I$3:$I$114='Base de données'!$I82)*('Base de données'!$J$3:$J$114='Base de données'!$J82))))</f>
        <v/>
      </c>
      <c r="W82" s="43"/>
      <c r="X82" s="43"/>
      <c r="Y82" s="43"/>
      <c r="Z82" s="43"/>
      <c r="AA82" s="43"/>
    </row>
    <row r="83" spans="1:27" ht="24.95" customHeight="1">
      <c r="A83" s="99">
        <v>201800087</v>
      </c>
      <c r="B83" s="75" t="s">
        <v>33</v>
      </c>
      <c r="C83" s="67">
        <v>539596</v>
      </c>
      <c r="D83" s="60">
        <v>43435</v>
      </c>
      <c r="E83" s="61">
        <v>200200</v>
      </c>
      <c r="F83" s="77" t="s">
        <v>35</v>
      </c>
      <c r="G83" s="77"/>
      <c r="H83" s="75" t="s">
        <v>28</v>
      </c>
      <c r="I83" s="43" t="s">
        <v>31</v>
      </c>
      <c r="J83" s="67">
        <v>22</v>
      </c>
      <c r="K83" s="43"/>
      <c r="L83" s="82">
        <v>1450</v>
      </c>
      <c r="M83" s="80">
        <v>7.4759999999999993E-2</v>
      </c>
      <c r="N83" s="83">
        <v>39.5</v>
      </c>
      <c r="O83" s="43">
        <f>INT(2800/(N83+3))</f>
        <v>65</v>
      </c>
      <c r="P83" s="43">
        <f>((J83/2)*(J83/2)*3.14*9*3)/1000</f>
        <v>10.258380000000001</v>
      </c>
      <c r="Q83" s="75">
        <f>+M83*L83</f>
        <v>108.40199999999999</v>
      </c>
      <c r="R83" s="43">
        <f>P83/O83</f>
        <v>0.15782123076923077</v>
      </c>
      <c r="S83" s="66">
        <v>228.84078461538462</v>
      </c>
      <c r="T83" s="67"/>
      <c r="U83" s="67"/>
      <c r="V83" s="68" t="str">
        <f>IF(SUMPRODUCT(MAX(('Base de données'!$D$3:$D$114)*(('Base de données'!$H$3:$H$114='Base de données'!$H83)*('Base de données'!$I$3:$I$114='Base de données'!$I83)*('Base de données'!$J$3:$J$114='Base de données'!$J83))))&lt;&gt;'Base de données'!$D83,"",SUMPRODUCT((-'Base de données'!$S$3:$S$114+'Base de données'!$T$3:$T$114+'Base de données'!$U$3:$U$114)*(('Base de données'!$H$3:$H$114='Base de données'!$H83)*('Base de données'!$I$3:$I$114='Base de données'!$I83)*('Base de données'!$J$3:$J$114='Base de données'!$J83))))</f>
        <v/>
      </c>
      <c r="W83" s="43">
        <f>(((P83/3000)*2880)-(M83*O83))/O83</f>
        <v>7.6748381538461544E-2</v>
      </c>
      <c r="X83" s="43">
        <f>+W83*L83</f>
        <v>111.28515323076924</v>
      </c>
      <c r="Y83" s="43">
        <f>+((P83/3000)*120)/101</f>
        <v>4.0627247524752472E-3</v>
      </c>
      <c r="Z83" s="43">
        <f>Y83*L83</f>
        <v>5.8909508910891084</v>
      </c>
      <c r="AA83" s="43">
        <f>S83-Q83</f>
        <v>120.43878461538463</v>
      </c>
    </row>
    <row r="84" spans="1:27" ht="24.95" customHeight="1">
      <c r="A84" s="98">
        <v>201800102</v>
      </c>
      <c r="B84" s="75" t="s">
        <v>33</v>
      </c>
      <c r="C84" s="81">
        <v>540304</v>
      </c>
      <c r="D84" s="60">
        <v>43470</v>
      </c>
      <c r="E84" s="61">
        <v>510020</v>
      </c>
      <c r="F84" s="77" t="s">
        <v>36</v>
      </c>
      <c r="G84" s="84">
        <v>139</v>
      </c>
      <c r="H84" s="75" t="s">
        <v>28</v>
      </c>
      <c r="I84" s="75" t="s">
        <v>30</v>
      </c>
      <c r="J84" s="78">
        <v>8</v>
      </c>
      <c r="K84" s="78"/>
      <c r="L84" s="81">
        <v>16772</v>
      </c>
      <c r="M84" s="80">
        <v>1.446E-3</v>
      </c>
      <c r="N84" s="43">
        <v>6</v>
      </c>
      <c r="O84" s="43">
        <f>INT(2800/(N84+3))</f>
        <v>311</v>
      </c>
      <c r="P84" s="43">
        <f>((J84*J84)*0.866*9*3)/1000</f>
        <v>1.4964479999999998</v>
      </c>
      <c r="Q84" s="75">
        <f>+L84*M84</f>
        <v>24.252312</v>
      </c>
      <c r="R84" s="43">
        <f>P84/O84</f>
        <v>4.8117299035369768E-3</v>
      </c>
      <c r="S84" s="66">
        <v>80.702333942122181</v>
      </c>
      <c r="T84" s="67"/>
      <c r="U84" s="67"/>
      <c r="V84" s="68" t="str">
        <f>IF(SUMPRODUCT(MAX(('Base de données'!$D$3:$D$114)*(('Base de données'!$H$3:$H$114='Base de données'!$H84)*('Base de données'!$I$3:$I$114='Base de données'!$I84)*('Base de données'!$J$3:$J$114='Base de données'!$J84))))&lt;&gt;'Base de données'!$D84,"",SUMPRODUCT((-'Base de données'!$S$3:$S$114+'Base de données'!$T$3:$T$114+'Base de données'!$U$3:$U$114)*(('Base de données'!$H$3:$H$114='Base de données'!$H84)*('Base de données'!$I$3:$I$114='Base de données'!$I84)*('Base de données'!$J$3:$J$114='Base de données'!$J84))))</f>
        <v/>
      </c>
      <c r="W84" s="43">
        <f>(((P84/3000)*2880)-(M84*O84))/O84</f>
        <v>3.1732607073954979E-3</v>
      </c>
      <c r="X84" s="43">
        <f>+W84*L84</f>
        <v>53.221928584437293</v>
      </c>
      <c r="Y84" s="43">
        <f>+((P84/3000)*120)/101</f>
        <v>5.9265267326732659E-4</v>
      </c>
      <c r="Z84" s="43">
        <f>Y84*L84</f>
        <v>9.9399706360396021</v>
      </c>
      <c r="AA84" s="43">
        <f>S84-Q84</f>
        <v>56.450021942122177</v>
      </c>
    </row>
    <row r="85" spans="1:27" ht="24.95" customHeight="1">
      <c r="A85" s="98">
        <v>201800102</v>
      </c>
      <c r="B85" s="75" t="s">
        <v>33</v>
      </c>
      <c r="C85" s="81">
        <v>540304</v>
      </c>
      <c r="D85" s="60">
        <v>43470</v>
      </c>
      <c r="E85" s="61">
        <v>512800</v>
      </c>
      <c r="F85" s="77" t="s">
        <v>34</v>
      </c>
      <c r="G85" s="75"/>
      <c r="H85" s="75" t="s">
        <v>28</v>
      </c>
      <c r="I85" s="43" t="s">
        <v>31</v>
      </c>
      <c r="J85" s="78">
        <v>7</v>
      </c>
      <c r="K85" s="78"/>
      <c r="L85" s="81">
        <v>1000</v>
      </c>
      <c r="M85" s="80">
        <v>3.421E-3</v>
      </c>
      <c r="N85" s="43">
        <v>24.5</v>
      </c>
      <c r="O85" s="43">
        <f>INT(2800/(N85+3))</f>
        <v>101</v>
      </c>
      <c r="P85" s="43">
        <f>((J85/2)*(J85/2)*3.14*9*3)/1000</f>
        <v>1.0385550000000003</v>
      </c>
      <c r="Q85" s="75">
        <f>+M85*L85</f>
        <v>3.4209999999999998</v>
      </c>
      <c r="R85" s="43">
        <f>P85/O85</f>
        <v>1.0282722772277231E-2</v>
      </c>
      <c r="S85" s="66">
        <v>10.28272277227723</v>
      </c>
      <c r="T85" s="67"/>
      <c r="U85" s="67"/>
      <c r="V85" s="68" t="str">
        <f>IF(SUMPRODUCT(MAX(('Base de données'!$D$3:$D$114)*(('Base de données'!$H$3:$H$114='Base de données'!$H85)*('Base de données'!$I$3:$I$114='Base de données'!$I85)*('Base de données'!$J$3:$J$114='Base de données'!$J85))))&lt;&gt;'Base de données'!$D85,"",SUMPRODUCT((-'Base de données'!$S$3:$S$114+'Base de données'!$T$3:$T$114+'Base de données'!$U$3:$U$114)*(('Base de données'!$H$3:$H$114='Base de données'!$H85)*('Base de données'!$I$3:$I$114='Base de données'!$I85)*('Base de données'!$J$3:$J$114='Base de données'!$J85))))</f>
        <v/>
      </c>
      <c r="W85" s="43">
        <f>(((P85/3000)*2880)-(M85*O85))/O85</f>
        <v>6.4504138613861416E-3</v>
      </c>
      <c r="X85" s="43">
        <f>+W85*L85</f>
        <v>6.4504138613861413</v>
      </c>
      <c r="Y85" s="43">
        <f>+((P85/3000)*120)/101</f>
        <v>4.1130891089108927E-4</v>
      </c>
      <c r="Z85" s="43">
        <f>Y85*L85</f>
        <v>0.41130891089108929</v>
      </c>
      <c r="AA85" s="43">
        <f>S85-Q85</f>
        <v>6.8617227722772309</v>
      </c>
    </row>
    <row r="86" spans="1:27" ht="24.95" customHeight="1">
      <c r="A86" s="99">
        <v>201900001</v>
      </c>
      <c r="B86" s="75" t="s">
        <v>33</v>
      </c>
      <c r="C86" s="67">
        <v>540757</v>
      </c>
      <c r="D86" s="60">
        <v>43491</v>
      </c>
      <c r="E86" s="61">
        <v>200200</v>
      </c>
      <c r="F86" s="77" t="s">
        <v>35</v>
      </c>
      <c r="G86" s="77"/>
      <c r="H86" s="75" t="s">
        <v>28</v>
      </c>
      <c r="I86" s="43" t="s">
        <v>31</v>
      </c>
      <c r="J86" s="67">
        <v>22</v>
      </c>
      <c r="K86" s="43"/>
      <c r="L86" s="82">
        <v>1000</v>
      </c>
      <c r="M86" s="88">
        <v>7.4759999999999993E-2</v>
      </c>
      <c r="N86" s="88">
        <v>39.5</v>
      </c>
      <c r="O86" s="43">
        <f>INT(2800/(N86+3))</f>
        <v>65</v>
      </c>
      <c r="P86" s="43">
        <f>((J86/2)*(J86/2)*3.14*9*3)/1000</f>
        <v>10.258380000000001</v>
      </c>
      <c r="Q86" s="75">
        <f>+M86*L86</f>
        <v>74.759999999999991</v>
      </c>
      <c r="R86" s="43">
        <f>P86/O86</f>
        <v>0.15782123076923077</v>
      </c>
      <c r="S86" s="66">
        <v>157.82123076923077</v>
      </c>
      <c r="T86" s="67"/>
      <c r="U86" s="67"/>
      <c r="V86" s="68" t="str">
        <f>IF(SUMPRODUCT(MAX(('Base de données'!$D$3:$D$114)*(('Base de données'!$H$3:$H$114='Base de données'!$H86)*('Base de données'!$I$3:$I$114='Base de données'!$I86)*('Base de données'!$J$3:$J$114='Base de données'!$J86))))&lt;&gt;'Base de données'!$D86,"",SUMPRODUCT((-'Base de données'!$S$3:$S$114+'Base de données'!$T$3:$T$114+'Base de données'!$U$3:$U$114)*(('Base de données'!$H$3:$H$114='Base de données'!$H86)*('Base de données'!$I$3:$I$114='Base de données'!$I86)*('Base de données'!$J$3:$J$114='Base de données'!$J86))))</f>
        <v/>
      </c>
      <c r="W86" s="43">
        <f>(((P86/3000)*2880)-(M86*O86))/O86</f>
        <v>7.6748381538461544E-2</v>
      </c>
      <c r="X86" s="43">
        <f>+W86*L86</f>
        <v>76.748381538461544</v>
      </c>
      <c r="Y86" s="43">
        <f>+((P86/3000)*120)/101</f>
        <v>4.0627247524752472E-3</v>
      </c>
      <c r="Z86" s="43">
        <f>Y86*L86</f>
        <v>4.0627247524752477</v>
      </c>
      <c r="AA86" s="43">
        <f>S86-Q86</f>
        <v>83.061230769230775</v>
      </c>
    </row>
    <row r="87" spans="1:27" ht="24.95" customHeight="1">
      <c r="A87" s="98">
        <v>201900004</v>
      </c>
      <c r="B87" s="75" t="s">
        <v>33</v>
      </c>
      <c r="C87" s="81">
        <v>540988</v>
      </c>
      <c r="D87" s="60">
        <v>43502</v>
      </c>
      <c r="E87" s="61">
        <v>510020</v>
      </c>
      <c r="F87" s="77" t="s">
        <v>36</v>
      </c>
      <c r="G87" s="84">
        <v>139</v>
      </c>
      <c r="H87" s="75" t="s">
        <v>28</v>
      </c>
      <c r="I87" s="75" t="s">
        <v>30</v>
      </c>
      <c r="J87" s="78">
        <v>8</v>
      </c>
      <c r="K87" s="78"/>
      <c r="L87" s="81">
        <v>18228</v>
      </c>
      <c r="M87" s="88">
        <v>1.446E-3</v>
      </c>
      <c r="N87" s="88">
        <v>6</v>
      </c>
      <c r="O87" s="43">
        <f>INT(2800/(N87+3))</f>
        <v>311</v>
      </c>
      <c r="P87" s="43">
        <f>((J87*J87)*0.866*9*3)/1000</f>
        <v>1.4964479999999998</v>
      </c>
      <c r="Q87" s="75">
        <f>+L87*M87</f>
        <v>26.357688</v>
      </c>
      <c r="R87" s="43">
        <f>P87/O87</f>
        <v>4.8117299035369768E-3</v>
      </c>
      <c r="S87" s="66">
        <v>87.708212681672009</v>
      </c>
      <c r="T87" s="67"/>
      <c r="U87" s="67"/>
      <c r="V87" s="68" t="str">
        <f>IF(SUMPRODUCT(MAX(('Base de données'!$D$3:$D$114)*(('Base de données'!$H$3:$H$114='Base de données'!$H87)*('Base de données'!$I$3:$I$114='Base de données'!$I87)*('Base de données'!$J$3:$J$114='Base de données'!$J87))))&lt;&gt;'Base de données'!$D87,"",SUMPRODUCT((-'Base de données'!$S$3:$S$114+'Base de données'!$T$3:$T$114+'Base de données'!$U$3:$U$114)*(('Base de données'!$H$3:$H$114='Base de données'!$H87)*('Base de données'!$I$3:$I$114='Base de données'!$I87)*('Base de données'!$J$3:$J$114='Base de données'!$J87))))</f>
        <v/>
      </c>
      <c r="W87" s="43">
        <f>(((P87/3000)*2880)-(M87*O87))/O87</f>
        <v>3.1732607073954979E-3</v>
      </c>
      <c r="X87" s="43">
        <f>+W87*L87</f>
        <v>57.842196174405139</v>
      </c>
      <c r="Y87" s="43">
        <f>+((P87/3000)*120)/101</f>
        <v>5.9265267326732659E-4</v>
      </c>
      <c r="Z87" s="43">
        <f>Y87*L87</f>
        <v>10.802872928316829</v>
      </c>
      <c r="AA87" s="43">
        <f>S87-Q87</f>
        <v>61.350524681672013</v>
      </c>
    </row>
    <row r="88" spans="1:27" ht="24.95" customHeight="1">
      <c r="A88" s="97"/>
      <c r="B88" s="71" t="s">
        <v>32</v>
      </c>
      <c r="C88" s="43"/>
      <c r="D88" s="60">
        <v>43516</v>
      </c>
      <c r="E88" s="61"/>
      <c r="F88" s="43"/>
      <c r="G88" s="43"/>
      <c r="H88" s="72" t="s">
        <v>28</v>
      </c>
      <c r="I88" s="71" t="s">
        <v>30</v>
      </c>
      <c r="J88" s="73">
        <v>8</v>
      </c>
      <c r="K88" s="43"/>
      <c r="L88" s="43"/>
      <c r="M88" s="43"/>
      <c r="N88" s="43"/>
      <c r="O88" s="65"/>
      <c r="P88" s="43"/>
      <c r="Q88" s="43"/>
      <c r="R88" s="43"/>
      <c r="S88" s="66">
        <v>0</v>
      </c>
      <c r="T88" s="74">
        <v>150</v>
      </c>
      <c r="U88" s="74"/>
      <c r="V88" s="68" t="str">
        <f>IF(SUMPRODUCT(MAX(('Base de données'!$D$3:$D$114)*(('Base de données'!$H$3:$H$114='Base de données'!$H88)*('Base de données'!$I$3:$I$114='Base de données'!$I88)*('Base de données'!$J$3:$J$114='Base de données'!$J88))))&lt;&gt;'Base de données'!$D88,"",SUMPRODUCT((-'Base de données'!$S$3:$S$114+'Base de données'!$T$3:$T$114+'Base de données'!$U$3:$U$114)*(('Base de données'!$H$3:$H$114='Base de données'!$H88)*('Base de données'!$I$3:$I$114='Base de données'!$I88)*('Base de données'!$J$3:$J$114='Base de données'!$J88))))</f>
        <v/>
      </c>
      <c r="W88" s="43"/>
      <c r="X88" s="43"/>
      <c r="Y88" s="43"/>
      <c r="Z88" s="43"/>
      <c r="AA88" s="43"/>
    </row>
    <row r="89" spans="1:27" ht="24.95" customHeight="1">
      <c r="A89" s="99">
        <v>201900011</v>
      </c>
      <c r="B89" s="75" t="s">
        <v>33</v>
      </c>
      <c r="C89" s="67">
        <v>541530</v>
      </c>
      <c r="D89" s="60">
        <v>43524</v>
      </c>
      <c r="E89" s="61">
        <v>200200</v>
      </c>
      <c r="F89" s="77" t="s">
        <v>35</v>
      </c>
      <c r="G89" s="77"/>
      <c r="H89" s="75" t="s">
        <v>28</v>
      </c>
      <c r="I89" s="43" t="s">
        <v>31</v>
      </c>
      <c r="J89" s="67">
        <v>22</v>
      </c>
      <c r="K89" s="43"/>
      <c r="L89" s="82">
        <v>2800</v>
      </c>
      <c r="M89" s="88">
        <v>7.4759999999999993E-2</v>
      </c>
      <c r="N89" s="88">
        <v>39.5</v>
      </c>
      <c r="O89" s="43">
        <f t="shared" ref="O89:O98" si="22">INT(2800/(N89+3))</f>
        <v>65</v>
      </c>
      <c r="P89" s="43">
        <f>((J89/2)*(J89/2)*3.14*9*3)/1000</f>
        <v>10.258380000000001</v>
      </c>
      <c r="Q89" s="75">
        <f>+M89*L89</f>
        <v>209.32799999999997</v>
      </c>
      <c r="R89" s="43">
        <f t="shared" ref="R89:R98" si="23">P89/O89</f>
        <v>0.15782123076923077</v>
      </c>
      <c r="S89" s="66">
        <v>441.89944615384616</v>
      </c>
      <c r="T89" s="67"/>
      <c r="U89" s="67"/>
      <c r="V89" s="68" t="str">
        <f>IF(SUMPRODUCT(MAX(('Base de données'!$D$3:$D$114)*(('Base de données'!$H$3:$H$114='Base de données'!$H89)*('Base de données'!$I$3:$I$114='Base de données'!$I89)*('Base de données'!$J$3:$J$114='Base de données'!$J89))))&lt;&gt;'Base de données'!$D89,"",SUMPRODUCT((-'Base de données'!$S$3:$S$114+'Base de données'!$T$3:$T$114+'Base de données'!$U$3:$U$114)*(('Base de données'!$H$3:$H$114='Base de données'!$H89)*('Base de données'!$I$3:$I$114='Base de données'!$I89)*('Base de données'!$J$3:$J$114='Base de données'!$J89))))</f>
        <v/>
      </c>
      <c r="W89" s="43">
        <f t="shared" ref="W89:W98" si="24">(((P89/3000)*2880)-(M89*O89))/O89</f>
        <v>7.6748381538461544E-2</v>
      </c>
      <c r="X89" s="43">
        <f t="shared" ref="X89:X98" si="25">+W89*L89</f>
        <v>214.89546830769231</v>
      </c>
      <c r="Y89" s="43">
        <f t="shared" ref="Y89:Y98" si="26">+((P89/3000)*120)/101</f>
        <v>4.0627247524752472E-3</v>
      </c>
      <c r="Z89" s="43">
        <f t="shared" ref="Z89:Z98" si="27">Y89*L89</f>
        <v>11.375629306930692</v>
      </c>
      <c r="AA89" s="43">
        <f t="shared" ref="AA89:AA98" si="28">S89-Q89</f>
        <v>232.57144615384618</v>
      </c>
    </row>
    <row r="90" spans="1:27" ht="24.95" customHeight="1">
      <c r="A90" s="98">
        <v>201900020</v>
      </c>
      <c r="B90" s="75" t="s">
        <v>33</v>
      </c>
      <c r="C90" s="81">
        <v>541778</v>
      </c>
      <c r="D90" s="60">
        <v>43531</v>
      </c>
      <c r="E90" s="61">
        <v>510020</v>
      </c>
      <c r="F90" s="77" t="s">
        <v>36</v>
      </c>
      <c r="G90" s="84">
        <v>139</v>
      </c>
      <c r="H90" s="75" t="s">
        <v>28</v>
      </c>
      <c r="I90" s="75" t="s">
        <v>30</v>
      </c>
      <c r="J90" s="78">
        <v>8</v>
      </c>
      <c r="K90" s="78"/>
      <c r="L90" s="81">
        <v>12760</v>
      </c>
      <c r="M90" s="80">
        <v>1.446E-3</v>
      </c>
      <c r="N90" s="43">
        <v>6</v>
      </c>
      <c r="O90" s="43">
        <f t="shared" si="22"/>
        <v>311</v>
      </c>
      <c r="P90" s="43">
        <f>((J90*J90)*0.866*9*3)/1000</f>
        <v>1.4964479999999998</v>
      </c>
      <c r="Q90" s="75">
        <f>+L90*M90</f>
        <v>18.450960000000002</v>
      </c>
      <c r="R90" s="43">
        <f t="shared" si="23"/>
        <v>4.8117299035369768E-3</v>
      </c>
      <c r="S90" s="66">
        <v>61.397673569131825</v>
      </c>
      <c r="T90" s="67"/>
      <c r="U90" s="67"/>
      <c r="V90" s="68" t="str">
        <f>IF(SUMPRODUCT(MAX(('Base de données'!$D$3:$D$114)*(('Base de données'!$H$3:$H$114='Base de données'!$H90)*('Base de données'!$I$3:$I$114='Base de données'!$I90)*('Base de données'!$J$3:$J$114='Base de données'!$J90))))&lt;&gt;'Base de données'!$D90,"",SUMPRODUCT((-'Base de données'!$S$3:$S$114+'Base de données'!$T$3:$T$114+'Base de données'!$U$3:$U$114)*(('Base de données'!$H$3:$H$114='Base de données'!$H90)*('Base de données'!$I$3:$I$114='Base de données'!$I90)*('Base de données'!$J$3:$J$114='Base de données'!$J90))))</f>
        <v/>
      </c>
      <c r="W90" s="43">
        <f t="shared" si="24"/>
        <v>3.1732607073954979E-3</v>
      </c>
      <c r="X90" s="43">
        <f t="shared" si="25"/>
        <v>40.490806626366556</v>
      </c>
      <c r="Y90" s="43">
        <f t="shared" si="26"/>
        <v>5.9265267326732659E-4</v>
      </c>
      <c r="Z90" s="43">
        <f t="shared" si="27"/>
        <v>7.5622481108910877</v>
      </c>
      <c r="AA90" s="43">
        <f t="shared" si="28"/>
        <v>42.946713569131823</v>
      </c>
    </row>
    <row r="91" spans="1:27" ht="24.95" customHeight="1">
      <c r="A91" s="99">
        <v>201900023</v>
      </c>
      <c r="B91" s="75" t="s">
        <v>33</v>
      </c>
      <c r="C91" s="67">
        <v>542331</v>
      </c>
      <c r="D91" s="60">
        <v>43554</v>
      </c>
      <c r="E91" s="61">
        <v>200200</v>
      </c>
      <c r="F91" s="77" t="s">
        <v>35</v>
      </c>
      <c r="G91" s="77"/>
      <c r="H91" s="75" t="s">
        <v>28</v>
      </c>
      <c r="I91" s="43" t="s">
        <v>31</v>
      </c>
      <c r="J91" s="67">
        <v>22</v>
      </c>
      <c r="K91" s="43"/>
      <c r="L91" s="82">
        <v>1000</v>
      </c>
      <c r="M91" s="80">
        <v>7.4759999999999993E-2</v>
      </c>
      <c r="N91" s="83">
        <v>39.5</v>
      </c>
      <c r="O91" s="43">
        <f t="shared" si="22"/>
        <v>65</v>
      </c>
      <c r="P91" s="43">
        <f>((J91/2)*(J91/2)*3.14*9*3)/1000</f>
        <v>10.258380000000001</v>
      </c>
      <c r="Q91" s="75">
        <f>+M91*L91</f>
        <v>74.759999999999991</v>
      </c>
      <c r="R91" s="43">
        <f t="shared" si="23"/>
        <v>0.15782123076923077</v>
      </c>
      <c r="S91" s="66">
        <v>157.82123076923077</v>
      </c>
      <c r="T91" s="67"/>
      <c r="U91" s="67"/>
      <c r="V91" s="68" t="str">
        <f>IF(SUMPRODUCT(MAX(('Base de données'!$D$3:$D$114)*(('Base de données'!$H$3:$H$114='Base de données'!$H91)*('Base de données'!$I$3:$I$114='Base de données'!$I91)*('Base de données'!$J$3:$J$114='Base de données'!$J91))))&lt;&gt;'Base de données'!$D91,"",SUMPRODUCT((-'Base de données'!$S$3:$S$114+'Base de données'!$T$3:$T$114+'Base de données'!$U$3:$U$114)*(('Base de données'!$H$3:$H$114='Base de données'!$H91)*('Base de données'!$I$3:$I$114='Base de données'!$I91)*('Base de données'!$J$3:$J$114='Base de données'!$J91))))</f>
        <v/>
      </c>
      <c r="W91" s="43">
        <f t="shared" si="24"/>
        <v>7.6748381538461544E-2</v>
      </c>
      <c r="X91" s="43">
        <f t="shared" si="25"/>
        <v>76.748381538461544</v>
      </c>
      <c r="Y91" s="43">
        <f t="shared" si="26"/>
        <v>4.0627247524752472E-3</v>
      </c>
      <c r="Z91" s="43">
        <f t="shared" si="27"/>
        <v>4.0627247524752477</v>
      </c>
      <c r="AA91" s="43">
        <f t="shared" si="28"/>
        <v>83.061230769230775</v>
      </c>
    </row>
    <row r="92" spans="1:27" ht="24.95" customHeight="1">
      <c r="A92" s="98">
        <v>201900026</v>
      </c>
      <c r="B92" s="75" t="s">
        <v>33</v>
      </c>
      <c r="C92" s="81">
        <v>542534</v>
      </c>
      <c r="D92" s="60">
        <v>43563</v>
      </c>
      <c r="E92" s="61">
        <v>510020</v>
      </c>
      <c r="F92" s="77" t="s">
        <v>36</v>
      </c>
      <c r="G92" s="84">
        <v>139</v>
      </c>
      <c r="H92" s="75" t="s">
        <v>28</v>
      </c>
      <c r="I92" s="75" t="s">
        <v>30</v>
      </c>
      <c r="J92" s="78">
        <v>8</v>
      </c>
      <c r="K92" s="78"/>
      <c r="L92" s="81">
        <v>2240</v>
      </c>
      <c r="M92" s="80">
        <v>1.446E-3</v>
      </c>
      <c r="N92" s="43">
        <v>6</v>
      </c>
      <c r="O92" s="43">
        <f t="shared" si="22"/>
        <v>311</v>
      </c>
      <c r="P92" s="43">
        <f>((J92*J92)*0.866*9*3)/1000</f>
        <v>1.4964479999999998</v>
      </c>
      <c r="Q92" s="75">
        <f>+L92*M92</f>
        <v>3.2390400000000001</v>
      </c>
      <c r="R92" s="43">
        <f t="shared" si="23"/>
        <v>4.8117299035369768E-3</v>
      </c>
      <c r="S92" s="66">
        <v>10.778274983922827</v>
      </c>
      <c r="T92" s="67"/>
      <c r="U92" s="67"/>
      <c r="V92" s="68" t="str">
        <f>IF(SUMPRODUCT(MAX(('Base de données'!$D$3:$D$114)*(('Base de données'!$H$3:$H$114='Base de données'!$H92)*('Base de données'!$I$3:$I$114='Base de données'!$I92)*('Base de données'!$J$3:$J$114='Base de données'!$J92))))&lt;&gt;'Base de données'!$D92,"",SUMPRODUCT((-'Base de données'!$S$3:$S$114+'Base de données'!$T$3:$T$114+'Base de données'!$U$3:$U$114)*(('Base de données'!$H$3:$H$114='Base de données'!$H92)*('Base de données'!$I$3:$I$114='Base de données'!$I92)*('Base de données'!$J$3:$J$114='Base de données'!$J92))))</f>
        <v/>
      </c>
      <c r="W92" s="43">
        <f t="shared" si="24"/>
        <v>3.1732607073954979E-3</v>
      </c>
      <c r="X92" s="43">
        <f t="shared" si="25"/>
        <v>7.1081039845659149</v>
      </c>
      <c r="Y92" s="43">
        <f t="shared" si="26"/>
        <v>5.9265267326732659E-4</v>
      </c>
      <c r="Z92" s="43">
        <f t="shared" si="27"/>
        <v>1.3275419881188115</v>
      </c>
      <c r="AA92" s="43">
        <f t="shared" si="28"/>
        <v>7.5392349839228272</v>
      </c>
    </row>
    <row r="93" spans="1:27" ht="24.95" customHeight="1">
      <c r="A93" s="99">
        <v>201900034</v>
      </c>
      <c r="B93" s="75" t="s">
        <v>33</v>
      </c>
      <c r="C93" s="67">
        <v>543037</v>
      </c>
      <c r="D93" s="60">
        <v>43581</v>
      </c>
      <c r="E93" s="61">
        <v>200200</v>
      </c>
      <c r="F93" s="77" t="s">
        <v>35</v>
      </c>
      <c r="G93" s="77"/>
      <c r="H93" s="75" t="s">
        <v>28</v>
      </c>
      <c r="I93" s="43" t="s">
        <v>31</v>
      </c>
      <c r="J93" s="67">
        <v>22</v>
      </c>
      <c r="K93" s="43"/>
      <c r="L93" s="82">
        <v>1500</v>
      </c>
      <c r="M93" s="80">
        <v>7.4759999999999993E-2</v>
      </c>
      <c r="N93" s="86">
        <v>39.5</v>
      </c>
      <c r="O93" s="43">
        <f t="shared" si="22"/>
        <v>65</v>
      </c>
      <c r="P93" s="43">
        <f>((J93/2)*(J93/2)*3.14*9*3)/1000</f>
        <v>10.258380000000001</v>
      </c>
      <c r="Q93" s="75">
        <f>+M93*L93</f>
        <v>112.13999999999999</v>
      </c>
      <c r="R93" s="43">
        <f t="shared" si="23"/>
        <v>0.15782123076923077</v>
      </c>
      <c r="S93" s="66">
        <v>236.73184615384616</v>
      </c>
      <c r="T93" s="67"/>
      <c r="U93" s="67"/>
      <c r="V93" s="68" t="str">
        <f>IF(SUMPRODUCT(MAX(('Base de données'!$D$3:$D$114)*(('Base de données'!$H$3:$H$114='Base de données'!$H93)*('Base de données'!$I$3:$I$114='Base de données'!$I93)*('Base de données'!$J$3:$J$114='Base de données'!$J93))))&lt;&gt;'Base de données'!$D93,"",SUMPRODUCT((-'Base de données'!$S$3:$S$114+'Base de données'!$T$3:$T$114+'Base de données'!$U$3:$U$114)*(('Base de données'!$H$3:$H$114='Base de données'!$H93)*('Base de données'!$I$3:$I$114='Base de données'!$I93)*('Base de données'!$J$3:$J$114='Base de données'!$J93))))</f>
        <v/>
      </c>
      <c r="W93" s="43">
        <f t="shared" si="24"/>
        <v>7.6748381538461544E-2</v>
      </c>
      <c r="X93" s="43">
        <f t="shared" si="25"/>
        <v>115.12257230769231</v>
      </c>
      <c r="Y93" s="43">
        <f t="shared" si="26"/>
        <v>4.0627247524752472E-3</v>
      </c>
      <c r="Z93" s="43">
        <f t="shared" si="27"/>
        <v>6.0940871287128706</v>
      </c>
      <c r="AA93" s="43">
        <f t="shared" si="28"/>
        <v>124.59184615384618</v>
      </c>
    </row>
    <row r="94" spans="1:27" ht="24.95" customHeight="1">
      <c r="A94" s="98">
        <v>201900036</v>
      </c>
      <c r="B94" s="75" t="s">
        <v>33</v>
      </c>
      <c r="C94" s="81">
        <v>543264</v>
      </c>
      <c r="D94" s="60">
        <v>43592</v>
      </c>
      <c r="E94" s="61">
        <v>510020</v>
      </c>
      <c r="F94" s="77" t="s">
        <v>36</v>
      </c>
      <c r="G94" s="84">
        <v>139</v>
      </c>
      <c r="H94" s="75" t="s">
        <v>28</v>
      </c>
      <c r="I94" s="75" t="s">
        <v>30</v>
      </c>
      <c r="J94" s="78">
        <v>8</v>
      </c>
      <c r="K94" s="78"/>
      <c r="L94" s="81">
        <v>5000</v>
      </c>
      <c r="M94" s="80">
        <v>1.446E-3</v>
      </c>
      <c r="N94" s="86">
        <v>6</v>
      </c>
      <c r="O94" s="43">
        <f t="shared" si="22"/>
        <v>311</v>
      </c>
      <c r="P94" s="43">
        <f>((J94*J94)*0.866*9*3)/1000</f>
        <v>1.4964479999999998</v>
      </c>
      <c r="Q94" s="75">
        <f>+L94*M94</f>
        <v>7.23</v>
      </c>
      <c r="R94" s="43">
        <f t="shared" si="23"/>
        <v>4.8117299035369768E-3</v>
      </c>
      <c r="S94" s="66">
        <v>24.058649517684884</v>
      </c>
      <c r="T94" s="67"/>
      <c r="U94" s="67"/>
      <c r="V94" s="68" t="str">
        <f>IF(SUMPRODUCT(MAX(('Base de données'!$D$3:$D$114)*(('Base de données'!$H$3:$H$114='Base de données'!$H94)*('Base de données'!$I$3:$I$114='Base de données'!$I94)*('Base de données'!$J$3:$J$114='Base de données'!$J94))))&lt;&gt;'Base de données'!$D94,"",SUMPRODUCT((-'Base de données'!$S$3:$S$114+'Base de données'!$T$3:$T$114+'Base de données'!$U$3:$U$114)*(('Base de données'!$H$3:$H$114='Base de données'!$H94)*('Base de données'!$I$3:$I$114='Base de données'!$I94)*('Base de données'!$J$3:$J$114='Base de données'!$J94))))</f>
        <v/>
      </c>
      <c r="W94" s="43">
        <f t="shared" si="24"/>
        <v>3.1732607073954979E-3</v>
      </c>
      <c r="X94" s="43">
        <f t="shared" si="25"/>
        <v>15.866303536977489</v>
      </c>
      <c r="Y94" s="43">
        <f t="shared" si="26"/>
        <v>5.9265267326732659E-4</v>
      </c>
      <c r="Z94" s="43">
        <f t="shared" si="27"/>
        <v>2.963263366336633</v>
      </c>
      <c r="AA94" s="43">
        <f t="shared" si="28"/>
        <v>16.828649517684884</v>
      </c>
    </row>
    <row r="95" spans="1:27" ht="24.95" customHeight="1">
      <c r="A95" s="98">
        <v>201900036</v>
      </c>
      <c r="B95" s="75" t="s">
        <v>33</v>
      </c>
      <c r="C95" s="81">
        <v>543264</v>
      </c>
      <c r="D95" s="60">
        <v>43592</v>
      </c>
      <c r="E95" s="61">
        <v>512800</v>
      </c>
      <c r="F95" s="77" t="s">
        <v>34</v>
      </c>
      <c r="G95" s="75"/>
      <c r="H95" s="75" t="s">
        <v>28</v>
      </c>
      <c r="I95" s="43" t="s">
        <v>31</v>
      </c>
      <c r="J95" s="78">
        <v>7</v>
      </c>
      <c r="K95" s="78"/>
      <c r="L95" s="81">
        <v>20000</v>
      </c>
      <c r="M95" s="80">
        <v>3.421E-3</v>
      </c>
      <c r="N95" s="86">
        <v>24.5</v>
      </c>
      <c r="O95" s="43">
        <f t="shared" si="22"/>
        <v>101</v>
      </c>
      <c r="P95" s="43">
        <f>((J95/2)*(J95/2)*3.14*9*3)/1000</f>
        <v>1.0385550000000003</v>
      </c>
      <c r="Q95" s="75">
        <f>+M95*L95</f>
        <v>68.42</v>
      </c>
      <c r="R95" s="43">
        <f t="shared" si="23"/>
        <v>1.0282722772277231E-2</v>
      </c>
      <c r="S95" s="66">
        <v>205.65445544554461</v>
      </c>
      <c r="T95" s="67"/>
      <c r="U95" s="67"/>
      <c r="V95" s="68" t="str">
        <f>IF(SUMPRODUCT(MAX(('Base de données'!$D$3:$D$114)*(('Base de données'!$H$3:$H$114='Base de données'!$H95)*('Base de données'!$I$3:$I$114='Base de données'!$I95)*('Base de données'!$J$3:$J$114='Base de données'!$J95))))&lt;&gt;'Base de données'!$D95,"",SUMPRODUCT((-'Base de données'!$S$3:$S$114+'Base de données'!$T$3:$T$114+'Base de données'!$U$3:$U$114)*(('Base de données'!$H$3:$H$114='Base de données'!$H95)*('Base de données'!$I$3:$I$114='Base de données'!$I95)*('Base de données'!$J$3:$J$114='Base de données'!$J95))))</f>
        <v/>
      </c>
      <c r="W95" s="43">
        <f t="shared" si="24"/>
        <v>6.4504138613861416E-3</v>
      </c>
      <c r="X95" s="43">
        <f t="shared" si="25"/>
        <v>129.00827722772283</v>
      </c>
      <c r="Y95" s="43">
        <f t="shared" si="26"/>
        <v>4.1130891089108927E-4</v>
      </c>
      <c r="Z95" s="43">
        <f t="shared" si="27"/>
        <v>8.2261782178217846</v>
      </c>
      <c r="AA95" s="43">
        <f t="shared" si="28"/>
        <v>137.2344554455446</v>
      </c>
    </row>
    <row r="96" spans="1:27" ht="24.95" customHeight="1">
      <c r="A96" s="98">
        <v>201900048</v>
      </c>
      <c r="B96" s="75" t="s">
        <v>33</v>
      </c>
      <c r="C96" s="81">
        <v>543893</v>
      </c>
      <c r="D96" s="60">
        <v>43623</v>
      </c>
      <c r="E96" s="61">
        <v>511040</v>
      </c>
      <c r="F96" s="77" t="s">
        <v>38</v>
      </c>
      <c r="G96" s="84">
        <v>138</v>
      </c>
      <c r="H96" s="75" t="s">
        <v>28</v>
      </c>
      <c r="I96" s="43" t="s">
        <v>31</v>
      </c>
      <c r="J96" s="76">
        <v>18</v>
      </c>
      <c r="K96" s="78"/>
      <c r="L96" s="81">
        <v>5000</v>
      </c>
      <c r="M96" s="80">
        <v>3.676E-3</v>
      </c>
      <c r="N96" s="43">
        <v>10.3</v>
      </c>
      <c r="O96" s="43">
        <f t="shared" si="22"/>
        <v>210</v>
      </c>
      <c r="P96" s="43">
        <f>((J96/2)*(J96/2)*3.14*9*3)/1000</f>
        <v>6.8671800000000003</v>
      </c>
      <c r="Q96" s="75">
        <f>+M96*L96</f>
        <v>18.38</v>
      </c>
      <c r="R96" s="43">
        <f t="shared" si="23"/>
        <v>3.2700857142857143E-2</v>
      </c>
      <c r="S96" s="66">
        <v>163.50428571428571</v>
      </c>
      <c r="T96" s="67"/>
      <c r="U96" s="67"/>
      <c r="V96" s="68" t="str">
        <f>IF(SUMPRODUCT(MAX(('Base de données'!$D$3:$D$114)*(('Base de données'!$H$3:$H$114='Base de données'!$H96)*('Base de données'!$I$3:$I$114='Base de données'!$I96)*('Base de données'!$J$3:$J$114='Base de données'!$J96))))&lt;&gt;'Base de données'!$D96,"",SUMPRODUCT((-'Base de données'!$S$3:$S$114+'Base de données'!$T$3:$T$114+'Base de données'!$U$3:$U$114)*(('Base de données'!$H$3:$H$114='Base de données'!$H96)*('Base de données'!$I$3:$I$114='Base de données'!$I96)*('Base de données'!$J$3:$J$114='Base de données'!$J96))))</f>
        <v/>
      </c>
      <c r="W96" s="43">
        <f t="shared" si="24"/>
        <v>2.7716822857142855E-2</v>
      </c>
      <c r="X96" s="43">
        <f t="shared" si="25"/>
        <v>138.58411428571426</v>
      </c>
      <c r="Y96" s="43">
        <f t="shared" si="26"/>
        <v>2.719675247524752E-3</v>
      </c>
      <c r="Z96" s="43">
        <f t="shared" si="27"/>
        <v>13.598376237623759</v>
      </c>
      <c r="AA96" s="43">
        <f t="shared" si="28"/>
        <v>145.12428571428572</v>
      </c>
    </row>
    <row r="97" spans="1:27" ht="24.95" customHeight="1">
      <c r="A97" s="98">
        <v>201900048</v>
      </c>
      <c r="B97" s="75" t="s">
        <v>33</v>
      </c>
      <c r="C97" s="81">
        <v>543893</v>
      </c>
      <c r="D97" s="60">
        <v>43623</v>
      </c>
      <c r="E97" s="61">
        <v>512800</v>
      </c>
      <c r="F97" s="77" t="s">
        <v>34</v>
      </c>
      <c r="G97" s="75"/>
      <c r="H97" s="75" t="s">
        <v>28</v>
      </c>
      <c r="I97" s="43" t="s">
        <v>31</v>
      </c>
      <c r="J97" s="78">
        <v>7</v>
      </c>
      <c r="K97" s="78"/>
      <c r="L97" s="81">
        <v>6454</v>
      </c>
      <c r="M97" s="80">
        <v>3.421E-3</v>
      </c>
      <c r="N97" s="43">
        <v>24.5</v>
      </c>
      <c r="O97" s="43">
        <f t="shared" si="22"/>
        <v>101</v>
      </c>
      <c r="P97" s="43">
        <f>((J97/2)*(J97/2)*3.14*9*3)/1000</f>
        <v>1.0385550000000003</v>
      </c>
      <c r="Q97" s="75">
        <f>+M97*L97</f>
        <v>22.079134</v>
      </c>
      <c r="R97" s="43">
        <f t="shared" si="23"/>
        <v>1.0282722772277231E-2</v>
      </c>
      <c r="S97" s="66">
        <v>66.364692772277252</v>
      </c>
      <c r="T97" s="67"/>
      <c r="U97" s="67"/>
      <c r="V97" s="68" t="str">
        <f>IF(SUMPRODUCT(MAX(('Base de données'!$D$3:$D$114)*(('Base de données'!$H$3:$H$114='Base de données'!$H97)*('Base de données'!$I$3:$I$114='Base de données'!$I97)*('Base de données'!$J$3:$J$114='Base de données'!$J97))))&lt;&gt;'Base de données'!$D97,"",SUMPRODUCT((-'Base de données'!$S$3:$S$114+'Base de données'!$T$3:$T$114+'Base de données'!$U$3:$U$114)*(('Base de données'!$H$3:$H$114='Base de données'!$H97)*('Base de données'!$I$3:$I$114='Base de données'!$I97)*('Base de données'!$J$3:$J$114='Base de données'!$J97))))</f>
        <v/>
      </c>
      <c r="W97" s="43">
        <f t="shared" si="24"/>
        <v>6.4504138613861416E-3</v>
      </c>
      <c r="X97" s="43">
        <f t="shared" si="25"/>
        <v>41.630971061386155</v>
      </c>
      <c r="Y97" s="43">
        <f t="shared" si="26"/>
        <v>4.1130891089108927E-4</v>
      </c>
      <c r="Z97" s="43">
        <f t="shared" si="27"/>
        <v>2.6545877108910902</v>
      </c>
      <c r="AA97" s="43">
        <f t="shared" si="28"/>
        <v>44.285558772277255</v>
      </c>
    </row>
    <row r="98" spans="1:27" ht="24.95" customHeight="1">
      <c r="A98" s="98">
        <v>201900070</v>
      </c>
      <c r="B98" s="75" t="s">
        <v>33</v>
      </c>
      <c r="C98" s="81">
        <v>545440</v>
      </c>
      <c r="D98" s="60">
        <v>43685</v>
      </c>
      <c r="E98" s="61">
        <v>510020</v>
      </c>
      <c r="F98" s="77" t="s">
        <v>36</v>
      </c>
      <c r="G98" s="84">
        <v>139</v>
      </c>
      <c r="H98" s="75" t="s">
        <v>28</v>
      </c>
      <c r="I98" s="75" t="s">
        <v>30</v>
      </c>
      <c r="J98" s="78">
        <v>8</v>
      </c>
      <c r="K98" s="78"/>
      <c r="L98" s="81">
        <v>20000</v>
      </c>
      <c r="M98" s="80">
        <v>1.446E-3</v>
      </c>
      <c r="N98" s="43">
        <v>6</v>
      </c>
      <c r="O98" s="43">
        <f t="shared" si="22"/>
        <v>311</v>
      </c>
      <c r="P98" s="43">
        <f>((J98*J98)*0.866*9*3)/1000</f>
        <v>1.4964479999999998</v>
      </c>
      <c r="Q98" s="75">
        <f>+L98*M98</f>
        <v>28.92</v>
      </c>
      <c r="R98" s="43">
        <f t="shared" si="23"/>
        <v>4.8117299035369768E-3</v>
      </c>
      <c r="S98" s="66">
        <v>96.234598070739537</v>
      </c>
      <c r="T98" s="67"/>
      <c r="U98" s="67"/>
      <c r="V98" s="68" t="str">
        <f>IF(SUMPRODUCT(MAX(('Base de données'!$D$3:$D$114)*(('Base de données'!$H$3:$H$114='Base de données'!$H98)*('Base de données'!$I$3:$I$114='Base de données'!$I98)*('Base de données'!$J$3:$J$114='Base de données'!$J98))))&lt;&gt;'Base de données'!$D98,"",SUMPRODUCT((-'Base de données'!$S$3:$S$114+'Base de données'!$T$3:$T$114+'Base de données'!$U$3:$U$114)*(('Base de données'!$H$3:$H$114='Base de données'!$H98)*('Base de données'!$I$3:$I$114='Base de données'!$I98)*('Base de données'!$J$3:$J$114='Base de données'!$J98))))</f>
        <v/>
      </c>
      <c r="W98" s="43">
        <f t="shared" si="24"/>
        <v>3.1732607073954979E-3</v>
      </c>
      <c r="X98" s="43">
        <f t="shared" si="25"/>
        <v>63.465214147909954</v>
      </c>
      <c r="Y98" s="43">
        <f t="shared" si="26"/>
        <v>5.9265267326732659E-4</v>
      </c>
      <c r="Z98" s="43">
        <f t="shared" si="27"/>
        <v>11.853053465346532</v>
      </c>
      <c r="AA98" s="43">
        <f t="shared" si="28"/>
        <v>67.314598070739535</v>
      </c>
    </row>
    <row r="99" spans="1:27" ht="24.95" customHeight="1">
      <c r="A99" s="97"/>
      <c r="B99" s="71" t="s">
        <v>32</v>
      </c>
      <c r="C99" s="43"/>
      <c r="D99" s="60">
        <v>43696</v>
      </c>
      <c r="E99" s="61"/>
      <c r="F99" s="43"/>
      <c r="G99" s="43"/>
      <c r="H99" s="72" t="s">
        <v>28</v>
      </c>
      <c r="I99" s="62" t="s">
        <v>31</v>
      </c>
      <c r="J99" s="89">
        <v>22</v>
      </c>
      <c r="K99" s="43"/>
      <c r="L99" s="70"/>
      <c r="M99" s="43"/>
      <c r="N99" s="43"/>
      <c r="O99" s="65"/>
      <c r="P99" s="43"/>
      <c r="Q99" s="43"/>
      <c r="R99" s="43"/>
      <c r="S99" s="66">
        <v>0</v>
      </c>
      <c r="T99" s="74">
        <v>3060</v>
      </c>
      <c r="U99" s="74"/>
      <c r="V99" s="68" t="str">
        <f>IF(SUMPRODUCT(MAX(('Base de données'!$D$3:$D$114)*(('Base de données'!$H$3:$H$114='Base de données'!$H99)*('Base de données'!$I$3:$I$114='Base de données'!$I99)*('Base de données'!$J$3:$J$114='Base de données'!$J99))))&lt;&gt;'Base de données'!$D99,"",SUMPRODUCT((-'Base de données'!$S$3:$S$114+'Base de données'!$T$3:$T$114+'Base de données'!$U$3:$U$114)*(('Base de données'!$H$3:$H$114='Base de données'!$H99)*('Base de données'!$I$3:$I$114='Base de données'!$I99)*('Base de données'!$J$3:$J$114='Base de données'!$J99))))</f>
        <v/>
      </c>
      <c r="W99" s="43"/>
      <c r="X99" s="43"/>
      <c r="Y99" s="43"/>
      <c r="Z99" s="43"/>
      <c r="AA99" s="43"/>
    </row>
    <row r="100" spans="1:27" ht="24.95" customHeight="1">
      <c r="A100" s="97"/>
      <c r="B100" s="71" t="s">
        <v>32</v>
      </c>
      <c r="C100" s="43"/>
      <c r="D100" s="60">
        <v>43696</v>
      </c>
      <c r="E100" s="61"/>
      <c r="F100" s="43"/>
      <c r="G100" s="43"/>
      <c r="H100" s="72" t="s">
        <v>28</v>
      </c>
      <c r="I100" s="62" t="s">
        <v>31</v>
      </c>
      <c r="J100" s="89">
        <v>18</v>
      </c>
      <c r="K100" s="43"/>
      <c r="L100" s="43"/>
      <c r="M100" s="43"/>
      <c r="N100" s="43"/>
      <c r="O100" s="65"/>
      <c r="P100" s="43"/>
      <c r="Q100" s="43"/>
      <c r="R100" s="43"/>
      <c r="S100" s="66">
        <v>0</v>
      </c>
      <c r="T100" s="74">
        <v>412</v>
      </c>
      <c r="U100" s="74"/>
      <c r="V100" s="68">
        <f>IF(SUMPRODUCT(MAX(('Base de données'!$D$3:$D$114)*(('Base de données'!$H$3:$H$114='Base de données'!$H100)*('Base de données'!$I$3:$I$114='Base de données'!$I100)*('Base de données'!$J$3:$J$114='Base de données'!$J100))))&lt;&gt;'Base de données'!$D100,"",SUMPRODUCT((-'Base de données'!$S$3:$S$114+'Base de données'!$T$3:$T$114+'Base de données'!$U$3:$U$114)*(('Base de données'!$H$3:$H$114='Base de données'!$H100)*('Base de données'!$I$3:$I$114='Base de données'!$I100)*('Base de données'!$J$3:$J$114='Base de données'!$J100))))</f>
        <v>444.3615871428571</v>
      </c>
      <c r="W100" s="43"/>
      <c r="X100" s="43"/>
      <c r="Y100" s="43"/>
      <c r="Z100" s="43"/>
      <c r="AA100" s="43"/>
    </row>
    <row r="101" spans="1:27" ht="24.95" customHeight="1">
      <c r="A101" s="97"/>
      <c r="B101" s="71" t="s">
        <v>32</v>
      </c>
      <c r="C101" s="43"/>
      <c r="D101" s="60">
        <v>43696</v>
      </c>
      <c r="E101" s="61"/>
      <c r="F101" s="43"/>
      <c r="G101" s="43"/>
      <c r="H101" s="72" t="s">
        <v>28</v>
      </c>
      <c r="I101" s="62" t="s">
        <v>31</v>
      </c>
      <c r="J101" s="89">
        <v>6</v>
      </c>
      <c r="K101" s="43"/>
      <c r="L101" s="43"/>
      <c r="M101" s="43"/>
      <c r="N101" s="43"/>
      <c r="O101" s="65"/>
      <c r="P101" s="43"/>
      <c r="Q101" s="43"/>
      <c r="R101" s="43"/>
      <c r="S101" s="66">
        <v>0</v>
      </c>
      <c r="T101" s="74">
        <v>621</v>
      </c>
      <c r="U101" s="74"/>
      <c r="V101" s="68">
        <f>IF(SUMPRODUCT(MAX(('Base de données'!$D$3:$D$114)*(('Base de données'!$H$3:$H$114='Base de données'!$H101)*('Base de données'!$I$3:$I$114='Base de données'!$I101)*('Base de données'!$J$3:$J$114='Base de données'!$J101))))&lt;&gt;'Base de données'!$D101,"",SUMPRODUCT((-'Base de données'!$S$3:$S$114+'Base de données'!$T$3:$T$114+'Base de données'!$U$3:$U$114)*(('Base de données'!$H$3:$H$114='Base de données'!$H101)*('Base de données'!$I$3:$I$114='Base de données'!$I101)*('Base de données'!$J$3:$J$114='Base de données'!$J101))))</f>
        <v>669.11400000000003</v>
      </c>
      <c r="W101" s="43"/>
      <c r="X101" s="43"/>
      <c r="Y101" s="43"/>
      <c r="Z101" s="43"/>
      <c r="AA101" s="43"/>
    </row>
    <row r="102" spans="1:27" ht="24.95" customHeight="1">
      <c r="A102" s="97"/>
      <c r="B102" s="71" t="s">
        <v>32</v>
      </c>
      <c r="C102" s="43"/>
      <c r="D102" s="60">
        <v>43696</v>
      </c>
      <c r="E102" s="61"/>
      <c r="F102" s="43"/>
      <c r="G102" s="43"/>
      <c r="H102" s="72" t="s">
        <v>28</v>
      </c>
      <c r="I102" s="62" t="s">
        <v>31</v>
      </c>
      <c r="J102" s="89">
        <v>8</v>
      </c>
      <c r="K102" s="43"/>
      <c r="L102" s="43"/>
      <c r="M102" s="43"/>
      <c r="N102" s="43"/>
      <c r="O102" s="65"/>
      <c r="P102" s="43"/>
      <c r="Q102" s="43"/>
      <c r="R102" s="43"/>
      <c r="S102" s="66">
        <v>0</v>
      </c>
      <c r="T102" s="74">
        <v>1031</v>
      </c>
      <c r="U102" s="74"/>
      <c r="V102" s="68" t="str">
        <f>IF(SUMPRODUCT(MAX(('Base de données'!$D$3:$D$114)*(('Base de données'!$H$3:$H$114='Base de données'!$H102)*('Base de données'!$I$3:$I$114='Base de données'!$I102)*('Base de données'!$J$3:$J$114='Base de données'!$J102))))&lt;&gt;'Base de données'!$D102,"",SUMPRODUCT((-'Base de données'!$S$3:$S$114+'Base de données'!$T$3:$T$114+'Base de données'!$U$3:$U$114)*(('Base de données'!$H$3:$H$114='Base de données'!$H102)*('Base de données'!$I$3:$I$114='Base de données'!$I102)*('Base de données'!$J$3:$J$114='Base de données'!$J102))))</f>
        <v/>
      </c>
      <c r="W102" s="43"/>
      <c r="X102" s="43"/>
      <c r="Y102" s="43"/>
      <c r="Z102" s="43"/>
      <c r="AA102" s="43"/>
    </row>
    <row r="103" spans="1:27" ht="24.95" customHeight="1">
      <c r="A103" s="97"/>
      <c r="B103" s="71" t="s">
        <v>32</v>
      </c>
      <c r="C103" s="43"/>
      <c r="D103" s="60">
        <v>43696</v>
      </c>
      <c r="E103" s="61"/>
      <c r="F103" s="43"/>
      <c r="G103" s="43"/>
      <c r="H103" s="72" t="s">
        <v>28</v>
      </c>
      <c r="I103" s="62" t="s">
        <v>39</v>
      </c>
      <c r="J103" s="89" t="s">
        <v>40</v>
      </c>
      <c r="K103" s="43"/>
      <c r="L103" s="43"/>
      <c r="M103" s="43"/>
      <c r="N103" s="43"/>
      <c r="O103" s="65"/>
      <c r="P103" s="43"/>
      <c r="Q103" s="43"/>
      <c r="R103" s="43"/>
      <c r="S103" s="66">
        <v>0</v>
      </c>
      <c r="T103" s="74">
        <v>709</v>
      </c>
      <c r="U103" s="74"/>
      <c r="V103" s="68">
        <f>IF(SUMPRODUCT(MAX(('Base de données'!$D$3:$D$114)*(('Base de données'!$H$3:$H$114='Base de données'!$H103)*('Base de données'!$I$3:$I$114='Base de données'!$I103)*('Base de données'!$J$3:$J$114='Base de données'!$J103))))&lt;&gt;'Base de données'!$D103,"",SUMPRODUCT((-'Base de données'!$S$3:$S$114+'Base de données'!$T$3:$T$114+'Base de données'!$U$3:$U$114)*(('Base de données'!$H$3:$H$114='Base de données'!$H103)*('Base de données'!$I$3:$I$114='Base de données'!$I103)*('Base de données'!$J$3:$J$114='Base de données'!$J103))))</f>
        <v>709</v>
      </c>
      <c r="W103" s="43"/>
      <c r="X103" s="43"/>
      <c r="Y103" s="43"/>
      <c r="Z103" s="43"/>
      <c r="AA103" s="43"/>
    </row>
    <row r="104" spans="1:27" ht="24.95" customHeight="1">
      <c r="A104" s="98">
        <v>201900075</v>
      </c>
      <c r="B104" s="75" t="s">
        <v>33</v>
      </c>
      <c r="C104" s="81">
        <v>545813</v>
      </c>
      <c r="D104" s="60">
        <v>43715</v>
      </c>
      <c r="E104" s="61">
        <v>512800</v>
      </c>
      <c r="F104" s="77" t="s">
        <v>34</v>
      </c>
      <c r="G104" s="75"/>
      <c r="H104" s="75" t="s">
        <v>28</v>
      </c>
      <c r="I104" s="43" t="s">
        <v>31</v>
      </c>
      <c r="J104" s="78">
        <v>7</v>
      </c>
      <c r="K104" s="78"/>
      <c r="L104" s="81">
        <v>3568</v>
      </c>
      <c r="M104" s="80">
        <v>3.421E-3</v>
      </c>
      <c r="N104" s="43">
        <v>24.5</v>
      </c>
      <c r="O104" s="43">
        <f>INT(2800/(N104+3))</f>
        <v>101</v>
      </c>
      <c r="P104" s="43">
        <f>((J104/2)*(J104/2)*3.14*9*3)/1000</f>
        <v>1.0385550000000003</v>
      </c>
      <c r="Q104" s="75">
        <f>+M104*L104</f>
        <v>12.206128</v>
      </c>
      <c r="R104" s="43">
        <f>P104/O104</f>
        <v>1.0282722772277231E-2</v>
      </c>
      <c r="S104" s="66">
        <v>36.688754851485157</v>
      </c>
      <c r="T104" s="67"/>
      <c r="U104" s="67"/>
      <c r="V104" s="68" t="str">
        <f>IF(SUMPRODUCT(MAX(('Base de données'!$D$3:$D$114)*(('Base de données'!$H$3:$H$114='Base de données'!$H104)*('Base de données'!$I$3:$I$114='Base de données'!$I104)*('Base de données'!$J$3:$J$114='Base de données'!$J104))))&lt;&gt;'Base de données'!$D104,"",SUMPRODUCT((-'Base de données'!$S$3:$S$114+'Base de données'!$T$3:$T$114+'Base de données'!$U$3:$U$114)*(('Base de données'!$H$3:$H$114='Base de données'!$H104)*('Base de données'!$I$3:$I$114='Base de données'!$I104)*('Base de données'!$J$3:$J$114='Base de données'!$J104))))</f>
        <v/>
      </c>
      <c r="W104" s="43">
        <f>(((P104/3000)*2880)-(M104*O104))/O104</f>
        <v>6.4504138613861416E-3</v>
      </c>
      <c r="X104" s="43">
        <f>+W104*L104</f>
        <v>23.015076657425752</v>
      </c>
      <c r="Y104" s="43">
        <f>+((P104/3000)*120)/101</f>
        <v>4.1130891089108927E-4</v>
      </c>
      <c r="Z104" s="43">
        <f>Y104*L104</f>
        <v>1.4675501940594065</v>
      </c>
      <c r="AA104" s="43">
        <f>S104-Q104</f>
        <v>24.482626851485158</v>
      </c>
    </row>
    <row r="105" spans="1:27" ht="24.95" customHeight="1">
      <c r="A105" s="98">
        <v>201900078</v>
      </c>
      <c r="B105" s="75" t="s">
        <v>33</v>
      </c>
      <c r="C105" s="81">
        <v>546151</v>
      </c>
      <c r="D105" s="60">
        <v>43734</v>
      </c>
      <c r="E105" s="61">
        <v>200200</v>
      </c>
      <c r="F105" s="77" t="s">
        <v>35</v>
      </c>
      <c r="G105" s="77"/>
      <c r="H105" s="75" t="s">
        <v>28</v>
      </c>
      <c r="I105" s="43" t="s">
        <v>31</v>
      </c>
      <c r="J105" s="67">
        <v>22</v>
      </c>
      <c r="K105" s="78"/>
      <c r="L105" s="85">
        <v>500</v>
      </c>
      <c r="M105" s="80">
        <v>7.4759999999999993E-2</v>
      </c>
      <c r="N105" s="83">
        <v>39.5</v>
      </c>
      <c r="O105" s="43">
        <f>INT(2800/(N105+3))</f>
        <v>65</v>
      </c>
      <c r="P105" s="43">
        <f>((J105/2)*(J105/2)*3.14*9*3)/1000</f>
        <v>10.258380000000001</v>
      </c>
      <c r="Q105" s="75">
        <f>+M105*L105</f>
        <v>37.379999999999995</v>
      </c>
      <c r="R105" s="43">
        <f>P105/O105</f>
        <v>0.15782123076923077</v>
      </c>
      <c r="S105" s="66">
        <v>78.910615384615383</v>
      </c>
      <c r="T105" s="67"/>
      <c r="U105" s="67"/>
      <c r="V105" s="68">
        <f>IF(SUMPRODUCT(MAX(('Base de données'!$D$3:$D$114)*(('Base de données'!$H$3:$H$114='Base de données'!$H105)*('Base de données'!$I$3:$I$114='Base de données'!$I105)*('Base de données'!$J$3:$J$114='Base de données'!$J105))))&lt;&gt;'Base de données'!$D105,"",SUMPRODUCT((-'Base de données'!$S$3:$S$114+'Base de données'!$T$3:$T$114+'Base de données'!$U$3:$U$114)*(('Base de données'!$H$3:$H$114='Base de données'!$H105)*('Base de données'!$I$3:$I$114='Base de données'!$I105)*('Base de données'!$J$3:$J$114='Base de données'!$J105))))</f>
        <v>3003.9177692307685</v>
      </c>
      <c r="W105" s="43">
        <f>(((P105/3000)*2880)-(M105*O105))/O105</f>
        <v>7.6748381538461544E-2</v>
      </c>
      <c r="X105" s="43">
        <f>+W105*L105</f>
        <v>38.374190769230772</v>
      </c>
      <c r="Y105" s="43">
        <f>+((P105/3000)*120)/101</f>
        <v>4.0627247524752472E-3</v>
      </c>
      <c r="Z105" s="43">
        <f>Y105*L105</f>
        <v>2.0313623762376238</v>
      </c>
      <c r="AA105" s="43">
        <f>S105-Q105</f>
        <v>41.530615384615388</v>
      </c>
    </row>
    <row r="106" spans="1:27" ht="24.95" customHeight="1">
      <c r="A106" s="98">
        <v>201900085</v>
      </c>
      <c r="B106" s="75" t="s">
        <v>33</v>
      </c>
      <c r="C106" s="81">
        <v>546458</v>
      </c>
      <c r="D106" s="60">
        <v>43743</v>
      </c>
      <c r="E106" s="61">
        <v>512800</v>
      </c>
      <c r="F106" s="77" t="s">
        <v>34</v>
      </c>
      <c r="G106" s="75"/>
      <c r="H106" s="75" t="s">
        <v>28</v>
      </c>
      <c r="I106" s="43" t="s">
        <v>31</v>
      </c>
      <c r="J106" s="78">
        <v>7</v>
      </c>
      <c r="K106" s="78"/>
      <c r="L106" s="81">
        <v>5686</v>
      </c>
      <c r="M106" s="80">
        <v>3.421E-3</v>
      </c>
      <c r="N106" s="43">
        <v>24.5</v>
      </c>
      <c r="O106" s="43">
        <f>INT(2800/(N106+3))</f>
        <v>101</v>
      </c>
      <c r="P106" s="43">
        <f>((J106/2)*(J106/2)*3.14*9*3)/1000</f>
        <v>1.0385550000000003</v>
      </c>
      <c r="Q106" s="75">
        <f>+M106*L106</f>
        <v>19.451806000000001</v>
      </c>
      <c r="R106" s="43">
        <f>P106/O106</f>
        <v>1.0282722772277231E-2</v>
      </c>
      <c r="S106" s="66">
        <v>58.467561683168334</v>
      </c>
      <c r="T106" s="67"/>
      <c r="U106" s="67"/>
      <c r="V106" s="68">
        <f>IF(SUMPRODUCT(MAX(('Base de données'!$D$3:$D$114)*(('Base de données'!$H$3:$H$114='Base de données'!$H106)*('Base de données'!$I$3:$I$114='Base de données'!$I106)*('Base de données'!$J$3:$J$114='Base de données'!$J106))))&lt;&gt;'Base de données'!$D106,"",SUMPRODUCT((-'Base de données'!$S$3:$S$114+'Base de données'!$T$3:$T$114+'Base de données'!$U$3:$U$114)*(('Base de données'!$H$3:$H$114='Base de données'!$H106)*('Base de données'!$I$3:$I$114='Base de données'!$I106)*('Base de données'!$J$3:$J$114='Base de données'!$J106))))</f>
        <v>-324.85147460396075</v>
      </c>
      <c r="W106" s="43">
        <f>(((P106/3000)*2880)-(M106*O106))/O106</f>
        <v>6.4504138613861416E-3</v>
      </c>
      <c r="X106" s="43">
        <f>+W106*L106</f>
        <v>36.677053215841603</v>
      </c>
      <c r="Y106" s="43">
        <f>+((P106/3000)*120)/101</f>
        <v>4.1130891089108927E-4</v>
      </c>
      <c r="Z106" s="43">
        <f>Y106*L106</f>
        <v>2.3387024673267334</v>
      </c>
      <c r="AA106" s="43">
        <f>S106-Q106</f>
        <v>39.015755683168337</v>
      </c>
    </row>
    <row r="107" spans="1:27" ht="24.95" customHeight="1">
      <c r="A107" s="97"/>
      <c r="B107" s="71" t="s">
        <v>32</v>
      </c>
      <c r="C107" s="43"/>
      <c r="D107" s="60">
        <v>43745</v>
      </c>
      <c r="E107" s="61"/>
      <c r="F107" s="43"/>
      <c r="G107" s="43"/>
      <c r="H107" s="62" t="s">
        <v>28</v>
      </c>
      <c r="I107" s="62" t="s">
        <v>31</v>
      </c>
      <c r="J107" s="89">
        <v>8</v>
      </c>
      <c r="K107" s="43"/>
      <c r="L107" s="43"/>
      <c r="M107" s="43"/>
      <c r="N107" s="43"/>
      <c r="O107" s="65"/>
      <c r="P107" s="43"/>
      <c r="Q107" s="43"/>
      <c r="R107" s="43"/>
      <c r="S107" s="66">
        <v>0</v>
      </c>
      <c r="T107" s="74">
        <v>1.32</v>
      </c>
      <c r="U107" s="74"/>
      <c r="V107" s="68" t="str">
        <f>IF(SUMPRODUCT(MAX(('Base de données'!$D$3:$D$114)*(('Base de données'!$H$3:$H$114='Base de données'!$H107)*('Base de données'!$I$3:$I$114='Base de données'!$I107)*('Base de données'!$J$3:$J$114='Base de données'!$J107))))&lt;&gt;'Base de données'!$D107,"",SUMPRODUCT((-'Base de données'!$S$3:$S$114+'Base de données'!$T$3:$T$114+'Base de données'!$U$3:$U$114)*(('Base de données'!$H$3:$H$114='Base de données'!$H107)*('Base de données'!$I$3:$I$114='Base de données'!$I107)*('Base de données'!$J$3:$J$114='Base de données'!$J107))))</f>
        <v/>
      </c>
      <c r="W107" s="43"/>
      <c r="X107" s="43"/>
      <c r="Y107" s="43"/>
      <c r="Z107" s="43"/>
      <c r="AA107" s="43"/>
    </row>
    <row r="108" spans="1:27" ht="24.95" customHeight="1">
      <c r="A108" s="97"/>
      <c r="B108" s="71" t="s">
        <v>32</v>
      </c>
      <c r="C108" s="43"/>
      <c r="D108" s="60">
        <v>43759</v>
      </c>
      <c r="E108" s="61"/>
      <c r="F108" s="43"/>
      <c r="G108" s="43"/>
      <c r="H108" s="75" t="s">
        <v>28</v>
      </c>
      <c r="I108" s="62" t="s">
        <v>30</v>
      </c>
      <c r="J108" s="89">
        <v>7</v>
      </c>
      <c r="K108" s="43"/>
      <c r="L108" s="43"/>
      <c r="M108" s="43"/>
      <c r="N108" s="43"/>
      <c r="O108" s="65"/>
      <c r="P108" s="43"/>
      <c r="Q108" s="43"/>
      <c r="R108" s="43"/>
      <c r="S108" s="66">
        <v>0</v>
      </c>
      <c r="T108" s="74">
        <v>3.3</v>
      </c>
      <c r="U108" s="74"/>
      <c r="V108" s="68" t="str">
        <f>IF(SUMPRODUCT(MAX(('Base de données'!$D$3:$D$114)*(('Base de données'!$H$3:$H$114='Base de données'!$H108)*('Base de données'!$I$3:$I$114='Base de données'!$I108)*('Base de données'!$J$3:$J$114='Base de données'!$J108))))&lt;&gt;'Base de données'!$D108,"",SUMPRODUCT((-'Base de données'!$S$3:$S$114+'Base de données'!$T$3:$T$114+'Base de données'!$U$3:$U$114)*(('Base de données'!$H$3:$H$114='Base de données'!$H108)*('Base de données'!$I$3:$I$114='Base de données'!$I108)*('Base de données'!$J$3:$J$114='Base de données'!$J108))))</f>
        <v/>
      </c>
      <c r="W108" s="43"/>
      <c r="X108" s="43"/>
      <c r="Y108" s="43"/>
      <c r="Z108" s="43"/>
      <c r="AA108" s="43"/>
    </row>
    <row r="109" spans="1:27" ht="24.95" customHeight="1">
      <c r="A109" s="98">
        <v>201900092</v>
      </c>
      <c r="B109" s="75" t="s">
        <v>33</v>
      </c>
      <c r="C109" s="81">
        <v>547141</v>
      </c>
      <c r="D109" s="60">
        <v>43776</v>
      </c>
      <c r="E109" s="61">
        <v>510020</v>
      </c>
      <c r="F109" s="77" t="s">
        <v>36</v>
      </c>
      <c r="G109" s="84">
        <v>139</v>
      </c>
      <c r="H109" s="75" t="s">
        <v>28</v>
      </c>
      <c r="I109" s="75" t="s">
        <v>30</v>
      </c>
      <c r="J109" s="78">
        <v>8</v>
      </c>
      <c r="K109" s="78"/>
      <c r="L109" s="81">
        <v>8340</v>
      </c>
      <c r="M109" s="80">
        <v>1.446E-3</v>
      </c>
      <c r="N109" s="43">
        <v>6</v>
      </c>
      <c r="O109" s="43">
        <f>INT(2800/(N109+3))</f>
        <v>311</v>
      </c>
      <c r="P109" s="43">
        <f>((J109*J109)*0.866*9*3)/1000</f>
        <v>1.4964479999999998</v>
      </c>
      <c r="Q109" s="75">
        <f>+L109*M109</f>
        <v>12.05964</v>
      </c>
      <c r="R109" s="43">
        <f>P109/O109</f>
        <v>4.8117299035369768E-3</v>
      </c>
      <c r="S109" s="66">
        <v>40.129827395498388</v>
      </c>
      <c r="T109" s="67"/>
      <c r="U109" s="67"/>
      <c r="V109" s="68" t="str">
        <f>IF(SUMPRODUCT(MAX(('Base de données'!$D$3:$D$114)*(('Base de données'!$H$3:$H$114='Base de données'!$H109)*('Base de données'!$I$3:$I$114='Base de données'!$I109)*('Base de données'!$J$3:$J$114='Base de données'!$J109))))&lt;&gt;'Base de données'!$D109,"",SUMPRODUCT((-'Base de données'!$S$3:$S$114+'Base de données'!$T$3:$T$114+'Base de données'!$U$3:$U$114)*(('Base de données'!$H$3:$H$114='Base de données'!$H109)*('Base de données'!$I$3:$I$114='Base de données'!$I109)*('Base de données'!$J$3:$J$114='Base de données'!$J109))))</f>
        <v/>
      </c>
      <c r="W109" s="43">
        <f>(((P109/3000)*2880)-(M109*O109))/O109</f>
        <v>3.1732607073954979E-3</v>
      </c>
      <c r="X109" s="43">
        <f>+W109*L109</f>
        <v>26.464994299678452</v>
      </c>
      <c r="Y109" s="43">
        <f>+((P109/3000)*120)/101</f>
        <v>5.9265267326732659E-4</v>
      </c>
      <c r="Z109" s="43">
        <f>Y109*L109</f>
        <v>4.9427232950495039</v>
      </c>
      <c r="AA109" s="43">
        <f>S109-Q109</f>
        <v>28.070187395498387</v>
      </c>
    </row>
    <row r="110" spans="1:27" ht="24.95" customHeight="1">
      <c r="A110" s="98">
        <v>201900094</v>
      </c>
      <c r="B110" s="75" t="s">
        <v>33</v>
      </c>
      <c r="C110" s="81">
        <v>547773</v>
      </c>
      <c r="D110" s="60">
        <v>43805</v>
      </c>
      <c r="E110" s="61">
        <v>510020</v>
      </c>
      <c r="F110" s="77" t="s">
        <v>36</v>
      </c>
      <c r="G110" s="84">
        <v>139</v>
      </c>
      <c r="H110" s="75" t="s">
        <v>28</v>
      </c>
      <c r="I110" s="75" t="s">
        <v>30</v>
      </c>
      <c r="J110" s="78">
        <v>8</v>
      </c>
      <c r="K110" s="78"/>
      <c r="L110" s="81">
        <v>16660</v>
      </c>
      <c r="M110" s="80">
        <v>1.446E-3</v>
      </c>
      <c r="N110" s="43">
        <v>6</v>
      </c>
      <c r="O110" s="43">
        <f>INT(2800/(N110+3))</f>
        <v>311</v>
      </c>
      <c r="P110" s="43">
        <f>((J110*J110)*0.866*9*3)/1000</f>
        <v>1.4964479999999998</v>
      </c>
      <c r="Q110" s="75">
        <f>+L110*M110</f>
        <v>24.09036</v>
      </c>
      <c r="R110" s="43">
        <f>P110/O110</f>
        <v>4.8117299035369768E-3</v>
      </c>
      <c r="S110" s="66">
        <v>80.16342019292604</v>
      </c>
      <c r="T110" s="67"/>
      <c r="U110" s="67"/>
      <c r="V110" s="68" t="str">
        <f>IF(SUMPRODUCT(MAX(('Base de données'!$D$3:$D$114)*(('Base de données'!$H$3:$H$114='Base de données'!$H110)*('Base de données'!$I$3:$I$114='Base de données'!$I110)*('Base de données'!$J$3:$J$114='Base de données'!$J110))))&lt;&gt;'Base de données'!$D110,"",SUMPRODUCT((-'Base de données'!$S$3:$S$114+'Base de données'!$T$3:$T$114+'Base de données'!$U$3:$U$114)*(('Base de données'!$H$3:$H$114='Base de données'!$H110)*('Base de données'!$I$3:$I$114='Base de données'!$I110)*('Base de données'!$J$3:$J$114='Base de données'!$J110))))</f>
        <v/>
      </c>
      <c r="W110" s="43">
        <f>(((P110/3000)*2880)-(M110*O110))/O110</f>
        <v>3.1732607073954979E-3</v>
      </c>
      <c r="X110" s="43">
        <f>+W110*L110</f>
        <v>52.866523385208993</v>
      </c>
      <c r="Y110" s="43">
        <f>+((P110/3000)*120)/101</f>
        <v>5.9265267326732659E-4</v>
      </c>
      <c r="Z110" s="43">
        <f>Y110*L110</f>
        <v>9.8735935366336616</v>
      </c>
      <c r="AA110" s="43">
        <f>S110-Q110</f>
        <v>56.073060192926036</v>
      </c>
    </row>
    <row r="111" spans="1:27" ht="24.95" customHeight="1">
      <c r="A111" s="97"/>
      <c r="B111" s="71" t="s">
        <v>32</v>
      </c>
      <c r="C111" s="43"/>
      <c r="D111" s="60">
        <v>43810</v>
      </c>
      <c r="E111" s="61"/>
      <c r="F111" s="43"/>
      <c r="G111" s="43"/>
      <c r="H111" s="62" t="s">
        <v>28</v>
      </c>
      <c r="I111" s="62" t="s">
        <v>31</v>
      </c>
      <c r="J111" s="89">
        <v>8</v>
      </c>
      <c r="K111" s="43"/>
      <c r="L111" s="43"/>
      <c r="M111" s="43"/>
      <c r="N111" s="43"/>
      <c r="O111" s="65"/>
      <c r="P111" s="43"/>
      <c r="Q111" s="43"/>
      <c r="R111" s="43"/>
      <c r="S111" s="66">
        <v>0</v>
      </c>
      <c r="T111" s="74">
        <v>6.6</v>
      </c>
      <c r="U111" s="74"/>
      <c r="V111" s="68" t="str">
        <f>IF(SUMPRODUCT(MAX(('Base de données'!$D$3:$D$114)*(('Base de données'!$H$3:$H$114='Base de données'!$H111)*('Base de données'!$I$3:$I$114='Base de données'!$I111)*('Base de données'!$J$3:$J$114='Base de données'!$J111))))&lt;&gt;'Base de données'!$D111,"",SUMPRODUCT((-'Base de données'!$S$3:$S$114+'Base de données'!$T$3:$T$114+'Base de données'!$U$3:$U$114)*(('Base de données'!$H$3:$H$114='Base de données'!$H111)*('Base de données'!$I$3:$I$114='Base de données'!$I111)*('Base de données'!$J$3:$J$114='Base de données'!$J111))))</f>
        <v/>
      </c>
      <c r="W111" s="43"/>
      <c r="X111" s="43"/>
      <c r="Y111" s="43"/>
      <c r="Z111" s="43"/>
      <c r="AA111" s="43"/>
    </row>
    <row r="112" spans="1:27" ht="24.95" customHeight="1">
      <c r="A112" s="98">
        <v>201900104</v>
      </c>
      <c r="B112" s="75" t="s">
        <v>33</v>
      </c>
      <c r="C112" s="43">
        <v>548233</v>
      </c>
      <c r="D112" s="60">
        <v>43826</v>
      </c>
      <c r="E112" s="61">
        <v>510020</v>
      </c>
      <c r="F112" s="77" t="s">
        <v>36</v>
      </c>
      <c r="G112" s="84">
        <v>139</v>
      </c>
      <c r="H112" s="75" t="s">
        <v>28</v>
      </c>
      <c r="I112" s="75" t="s">
        <v>30</v>
      </c>
      <c r="J112" s="78">
        <v>8</v>
      </c>
      <c r="K112" s="43"/>
      <c r="L112" s="43">
        <v>10000</v>
      </c>
      <c r="M112" s="80">
        <v>1.446E-3</v>
      </c>
      <c r="N112" s="43">
        <v>6</v>
      </c>
      <c r="O112" s="43">
        <f>INT(2800/(N112+3))</f>
        <v>311</v>
      </c>
      <c r="P112" s="43">
        <f>((J112*J112)*0.866*9*3)/1000</f>
        <v>1.4964479999999998</v>
      </c>
      <c r="Q112" s="75">
        <f>+L112*M112</f>
        <v>14.46</v>
      </c>
      <c r="R112" s="43">
        <f>P112/O112</f>
        <v>4.8117299035369768E-3</v>
      </c>
      <c r="S112" s="66">
        <v>48.117299035369768</v>
      </c>
      <c r="T112" s="67"/>
      <c r="U112" s="67"/>
      <c r="V112" s="68">
        <f>IF(SUMPRODUCT(MAX(('Base de données'!$D$3:$D$114)*(('Base de données'!$H$3:$H$114='Base de données'!$H112)*('Base de données'!$I$3:$I$114='Base de données'!$I112)*('Base de données'!$J$3:$J$114='Base de données'!$J112))))&lt;&gt;'Base de données'!$D112,"",SUMPRODUCT((-'Base de données'!$S$3:$S$114+'Base de données'!$T$3:$T$114+'Base de données'!$U$3:$U$114)*(('Base de données'!$H$3:$H$114='Base de données'!$H112)*('Base de données'!$I$3:$I$114='Base de données'!$I112)*('Base de données'!$J$3:$J$114='Base de données'!$J112))))</f>
        <v>-326.42802078456577</v>
      </c>
      <c r="W112" s="43">
        <f>(((P112/3000)*2880)-(M112*O112))/O112</f>
        <v>3.1732607073954979E-3</v>
      </c>
      <c r="X112" s="43">
        <f>+W112*L112</f>
        <v>31.732607073954977</v>
      </c>
      <c r="Y112" s="43">
        <f>+((P112/3000)*120)/101</f>
        <v>5.9265267326732659E-4</v>
      </c>
      <c r="Z112" s="43">
        <f>Y112*L112</f>
        <v>5.926526732673266</v>
      </c>
      <c r="AA112" s="43">
        <f>S112-Q112</f>
        <v>33.657299035369768</v>
      </c>
    </row>
    <row r="113" spans="1:27" ht="24.95" customHeight="1">
      <c r="A113" s="98">
        <v>201900104</v>
      </c>
      <c r="B113" s="75" t="s">
        <v>33</v>
      </c>
      <c r="C113" s="43">
        <v>548233</v>
      </c>
      <c r="D113" s="60">
        <v>43826</v>
      </c>
      <c r="E113" s="61" t="s">
        <v>41</v>
      </c>
      <c r="F113" s="43" t="s">
        <v>42</v>
      </c>
      <c r="G113" s="43"/>
      <c r="H113" s="75" t="s">
        <v>28</v>
      </c>
      <c r="I113" s="43" t="s">
        <v>31</v>
      </c>
      <c r="J113" s="67">
        <v>8</v>
      </c>
      <c r="K113" s="43"/>
      <c r="L113" s="43">
        <v>960</v>
      </c>
      <c r="M113" s="43">
        <v>3.421E-3</v>
      </c>
      <c r="N113" s="43">
        <v>11</v>
      </c>
      <c r="O113" s="43">
        <f>INT(2800/(N113+3))</f>
        <v>200</v>
      </c>
      <c r="P113" s="43">
        <f>((J113/2)*(J113/2)*3.14*9*3)/1000</f>
        <v>1.3564799999999999</v>
      </c>
      <c r="Q113" s="75">
        <f>+M113*L113</f>
        <v>3.28416</v>
      </c>
      <c r="R113" s="43">
        <f>P113/O113</f>
        <v>6.7823999999999992E-3</v>
      </c>
      <c r="S113" s="66">
        <v>6.5111039999999996</v>
      </c>
      <c r="T113" s="67"/>
      <c r="U113" s="67"/>
      <c r="V113" s="68">
        <f>IF(SUMPRODUCT(MAX(('Base de données'!$D$3:$D$114)*(('Base de données'!$H$3:$H$114='Base de données'!$H113)*('Base de données'!$I$3:$I$114='Base de données'!$I113)*('Base de données'!$J$3:$J$114='Base de données'!$J113))))&lt;&gt;'Base de données'!$D113,"",SUMPRODUCT((-'Base de données'!$S$3:$S$114+'Base de données'!$T$3:$T$114+'Base de données'!$U$3:$U$114)*(('Base de données'!$H$3:$H$114='Base de données'!$H113)*('Base de données'!$I$3:$I$114='Base de données'!$I113)*('Base de données'!$J$3:$J$114='Base de données'!$J113))))</f>
        <v>1032.4088959999999</v>
      </c>
      <c r="W113" s="43">
        <f>(((P113/3000)*2880)-(M113*O113))/O113</f>
        <v>3.0901039999999998E-3</v>
      </c>
      <c r="X113" s="43">
        <f>+W113*L113</f>
        <v>2.96649984</v>
      </c>
      <c r="Y113" s="43">
        <f>+((P113/3000)*120)/101</f>
        <v>5.3721980198019798E-4</v>
      </c>
      <c r="Z113" s="43">
        <f>Y113*L113</f>
        <v>0.51573100990099008</v>
      </c>
      <c r="AA113" s="43">
        <f>S113-Q113</f>
        <v>3.2269439999999996</v>
      </c>
    </row>
    <row r="114" spans="1:27" ht="24.95" customHeight="1">
      <c r="A114" s="97"/>
      <c r="B114" s="71" t="s">
        <v>32</v>
      </c>
      <c r="C114" s="43"/>
      <c r="D114" s="60">
        <v>43848</v>
      </c>
      <c r="E114" s="61"/>
      <c r="F114" s="43"/>
      <c r="G114" s="43"/>
      <c r="H114" s="75" t="s">
        <v>28</v>
      </c>
      <c r="I114" s="62" t="s">
        <v>30</v>
      </c>
      <c r="J114" s="89">
        <v>7</v>
      </c>
      <c r="K114" s="43"/>
      <c r="L114" s="43"/>
      <c r="M114" s="43"/>
      <c r="N114" s="43"/>
      <c r="O114" s="65"/>
      <c r="P114" s="43"/>
      <c r="Q114" s="43"/>
      <c r="R114" s="43"/>
      <c r="S114" s="66">
        <v>0</v>
      </c>
      <c r="T114" s="74">
        <v>2.19</v>
      </c>
      <c r="U114" s="74"/>
      <c r="V114" s="68">
        <f>IF(SUMPRODUCT(MAX(('Base de données'!$D$3:$D$114)*(('Base de données'!$H$3:$H$114='Base de données'!$H114)*('Base de données'!$I$3:$I$114='Base de données'!$I114)*('Base de données'!$J$3:$J$114='Base de données'!$J114))))&lt;&gt;'Base de données'!$D114,"",SUMPRODUCT((-'Base de données'!$S$3:$S$114+'Base de données'!$T$3:$T$114+'Base de données'!$U$3:$U$114)*(('Base de données'!$H$3:$H$114='Base de données'!$H114)*('Base de données'!$I$3:$I$114='Base de données'!$I114)*('Base de données'!$J$3:$J$114='Base de données'!$J114))))</f>
        <v>5.49</v>
      </c>
      <c r="W114" s="43"/>
      <c r="X114" s="43"/>
      <c r="Y114" s="43"/>
      <c r="Z114" s="43"/>
      <c r="AA114" s="43"/>
    </row>
    <row r="115" spans="1:27" ht="24.95" customHeight="1"/>
    <row r="116" spans="1:27" ht="24.95" customHeight="1"/>
  </sheetData>
  <autoFilter ref="S1:U1" xr:uid="{0A3563EF-6134-496F-98F3-FB3EC8DD77BA}"/>
  <phoneticPr fontId="13" type="noConversion"/>
  <conditionalFormatting sqref="V3:V114">
    <cfRule type="cellIs" dxfId="28" priority="3" operator="lessThan">
      <formula>0</formula>
    </cfRule>
  </conditionalFormatting>
  <conditionalFormatting sqref="A1:A1048576">
    <cfRule type="duplicateValues" dxfId="27" priority="1"/>
  </conditionalFormatting>
  <pageMargins left="0.70866141732283472" right="0.70866141732283472" top="0.74803149606299213" bottom="0.74803149606299213" header="0.31496062992125984" footer="0.31496062992125984"/>
  <pageSetup paperSize="9" orientation="landscape" horizontalDpi="200" verticalDpi="200"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6D7B9-E7E6-4E8E-B509-56AA688A9D6A}">
  <dimension ref="A1:P40"/>
  <sheetViews>
    <sheetView tabSelected="1" workbookViewId="0">
      <selection activeCell="G9" sqref="G9"/>
    </sheetView>
  </sheetViews>
  <sheetFormatPr defaultColWidth="11.42578125" defaultRowHeight="15"/>
  <cols>
    <col min="2" max="2" width="19" bestFit="1" customWidth="1"/>
    <col min="5" max="5" width="11.42578125" style="45"/>
    <col min="9" max="9" width="13.5703125" bestFit="1" customWidth="1"/>
    <col min="13" max="13" width="18.85546875" bestFit="1" customWidth="1"/>
    <col min="15" max="15" width="16.5703125" bestFit="1" customWidth="1"/>
    <col min="16" max="16" width="17.85546875" bestFit="1" customWidth="1"/>
  </cols>
  <sheetData>
    <row r="1" spans="1:16">
      <c r="A1" s="90"/>
      <c r="B1" s="92" t="s">
        <v>43</v>
      </c>
      <c r="D1" s="95" t="s">
        <v>44</v>
      </c>
      <c r="E1" s="94"/>
      <c r="F1" s="93">
        <f t="array" ref="F1">IFERROR(INDEX(Tableau1[[#All],[Date déclarat° export]],SMALL(IF((Tableau1[[#All],[Origine]]="achat")*(Tableau1[[#All],[matière]]=$B$1)*(Tableau1[[#All],[forme]]=$B$2)*(Tableau1[[#All],[taille]]=$B$3*1),ROW(Tableau1[[#All],[matière]])-1),COLUMNS($A:A))),"")</f>
        <v>42754</v>
      </c>
      <c r="G1" s="93">
        <f t="array" ref="G1">IFERROR(INDEX(Tableau1[[#All],[Date déclarat° export]],SMALL(IF((Tableau1[[#All],[Origine]]="achat")*(Tableau1[[#All],[matière]]=$B$1)*(Tableau1[[#All],[forme]]=$B$2)*(Tableau1[[#All],[taille]]=$B$3*1),ROW(Tableau1[[#All],[matière]])-1),COLUMNS($A:B))),"")</f>
        <v>43067</v>
      </c>
      <c r="H1" s="93">
        <f t="array" ref="H1">IFERROR(INDEX(Tableau1[[#All],[Date déclarat° export]],SMALL(IF((Tableau1[[#All],[Origine]]="achat")*(Tableau1[[#All],[matière]]=$B$1)*(Tableau1[[#All],[forme]]=$B$2)*(Tableau1[[#All],[taille]]=$B$3*1),ROW(Tableau1[[#All],[matière]])-1),COLUMNS($A:C))),"")</f>
        <v>43696</v>
      </c>
      <c r="I1" s="93" t="str">
        <f t="array" ref="I1">IFERROR(INDEX(Tableau1[[#All],[Date déclarat° export]],SMALL(IF((Tableau1[[#All],[Origine]]="achat")*(Tableau1[[#All],[matière]]=$B$1)*(Tableau1[[#All],[forme]]=$B$2)*(Tableau1[[#All],[taille]]=$B$3*1),ROW(Tableau1[[#All],[matière]])-1),COLUMNS($A:D))),"")</f>
        <v/>
      </c>
      <c r="J1" s="93" t="str">
        <f t="array" ref="J1">IFERROR(INDEX(Tableau1[[#All],[Date déclarat° export]],SMALL(IF((Tableau1[[#All],[Origine]]="achat")*(Tableau1[[#All],[matière]]=$B$1)*(Tableau1[[#All],[forme]]=$B$2)*(Tableau1[[#All],[taille]]=$B$3*1),ROW(Tableau1[[#All],[matière]])-1),COLUMNS($A:E))),"")</f>
        <v/>
      </c>
      <c r="K1" s="93" t="str">
        <f t="array" ref="K1">IFERROR(INDEX(Tableau1[[#All],[Date déclarat° export]],SMALL(IF((Tableau1[[#All],[Origine]]="achat")*(Tableau1[[#All],[matière]]=$B$1)*(Tableau1[[#All],[forme]]=$B$2)*(Tableau1[[#All],[taille]]=$B$3*1),ROW(Tableau1[[#All],[matière]])-1),COLUMNS($A:F))),"")</f>
        <v/>
      </c>
      <c r="L1" s="93" t="str">
        <f t="array" ref="L1">IFERROR(INDEX(Tableau1[[#All],[Date déclarat° export]],SMALL(IF((Tableau1[[#All],[Origine]]="achat")*(Tableau1[[#All],[matière]]=$B$1)*(Tableau1[[#All],[forme]]=$B$2)*(Tableau1[[#All],[taille]]=$B$3*1),ROW(Tableau1[[#All],[matière]])-1),COLUMNS($A:G))),"")</f>
        <v/>
      </c>
      <c r="M1" s="93" t="str">
        <f t="array" ref="M1">IFERROR(INDEX(Tableau1[[#All],[Date déclarat° export]],SMALL(IF((Tableau1[[#All],[Origine]]="achat")*(Tableau1[[#All],[matière]]=$B$1)*(Tableau1[[#All],[forme]]=$B$2)*(Tableau1[[#All],[taille]]=$B$3*1),ROW(Tableau1[[#All],[matière]])-1),COLUMNS($A:H))),"")</f>
        <v/>
      </c>
      <c r="N1" s="45" t="str">
        <f t="array" ref="N1">IFERROR(INDEX('Base de données'!L$2:L$114,SMALL(IF(('Base de données'!$B$2:$B$114="achat")*('Base de données'!$H$2:$H$114=$B$1)*('Base de données'!$I$2:$I$114=$B$2)*('Base de données'!$J$2:$J$114=$B$3*1),ROW('Base de données'!$H$2:$H$114)-1),COLUMNS($A:I))),"")</f>
        <v/>
      </c>
    </row>
    <row r="2" spans="1:16">
      <c r="A2" s="91" t="s">
        <v>5</v>
      </c>
      <c r="B2" s="92" t="s">
        <v>45</v>
      </c>
    </row>
    <row r="3" spans="1:16">
      <c r="A3" s="90"/>
      <c r="B3" s="92">
        <v>22</v>
      </c>
    </row>
    <row r="5" spans="1:16" s="9" customFormat="1" ht="45" customHeight="1">
      <c r="A5" s="34" t="s">
        <v>46</v>
      </c>
      <c r="B5" s="34" t="s">
        <v>47</v>
      </c>
      <c r="C5" s="34" t="s">
        <v>48</v>
      </c>
      <c r="D5" s="34" t="s">
        <v>49</v>
      </c>
      <c r="E5" s="34" t="s">
        <v>50</v>
      </c>
      <c r="F5" s="115" t="s">
        <v>5</v>
      </c>
      <c r="G5" s="116"/>
      <c r="H5" s="116"/>
      <c r="I5" s="39" t="s">
        <v>51</v>
      </c>
      <c r="J5" s="41" t="s">
        <v>52</v>
      </c>
      <c r="K5" s="32" t="s">
        <v>53</v>
      </c>
      <c r="L5" s="117" t="s">
        <v>54</v>
      </c>
      <c r="M5" s="118"/>
      <c r="N5" s="117" t="s">
        <v>55</v>
      </c>
      <c r="O5" s="118"/>
      <c r="P5" s="36" t="s">
        <v>56</v>
      </c>
    </row>
    <row r="6" spans="1:16" s="9" customFormat="1" ht="29.25" customHeight="1">
      <c r="A6" s="35"/>
      <c r="B6" s="35"/>
      <c r="C6" s="35"/>
      <c r="D6" s="35"/>
      <c r="E6" s="35"/>
      <c r="F6" s="10" t="s">
        <v>57</v>
      </c>
      <c r="G6" s="10" t="s">
        <v>58</v>
      </c>
      <c r="H6" s="96" t="s">
        <v>59</v>
      </c>
      <c r="I6" s="42"/>
      <c r="J6" s="38"/>
      <c r="K6" s="33"/>
      <c r="L6" s="11" t="s">
        <v>60</v>
      </c>
      <c r="M6" s="12" t="s">
        <v>23</v>
      </c>
      <c r="N6" s="13" t="s">
        <v>60</v>
      </c>
      <c r="O6" s="14" t="s">
        <v>61</v>
      </c>
      <c r="P6" s="37"/>
    </row>
    <row r="7" spans="1:16" s="19" customFormat="1">
      <c r="A7" s="15">
        <f t="array" ref="A7">IFERROR(IF(INDEX('Base de données'!$B$2:$B$114,MATCH(IFERROR(INDEX('Base de données'!D$2:D$114,SMALL(IF(('Base de données'!$B$2:$B$114&lt;&gt;"stock initial")*('Base de données'!$H$2:$H$114=$B$1)*('Base de données'!$I$2:$I$114=$B$2)*('Base de données'!$J$2:$J$114=$B$3*1),ROW('Base de données'!$H$2:$H$114)-1),ROWS($1:1))),""),'Base de données'!$D$2:$D$114,0))="achat",IFERROR(INDEX('Base de données'!D$2:D$114,SMALL(IF(('Base de données'!$B$2:$B$114&lt;&gt;"stock initial")*('Base de données'!$H$2:$H$114=$B$1)*('Base de données'!$I$2:$I$114=$B$2)*('Base de données'!$J$2:$J$114=$B$3*1),ROW('Base de données'!$H$2:$H$114)-1),ROWS($1:1))),""),""),"")</f>
        <v>42754</v>
      </c>
      <c r="B7" s="16" t="s">
        <v>62</v>
      </c>
      <c r="C7" s="119" t="s">
        <v>63</v>
      </c>
      <c r="D7" s="16">
        <v>668161</v>
      </c>
      <c r="E7" s="120">
        <v>40189</v>
      </c>
      <c r="F7" s="17" t="str">
        <f>$B$1</f>
        <v>Laiton</v>
      </c>
      <c r="G7" s="17" t="str">
        <f>$B$2</f>
        <v>rond</v>
      </c>
      <c r="H7" s="17">
        <f>$B$3</f>
        <v>22</v>
      </c>
      <c r="I7" s="40">
        <f>IF(AND($D7=0,$E7&lt;&gt;""),IFERROR(INDEX('Base de données'!T$2:T$114,SMALL(IF(('Base de données'!$B$2:$B$114&lt;&gt;"stock initial")*('Base de données'!$H$2:$H$114=$B$1)*('Base de données'!$I$2:$I$114=$B$2)*('Base de données'!$J$2:$J$114=$B$3*1),ROW('Base de données'!$H$2:$H$114)-1),ROWS($1:1))),""),IF($E7="","",I6))</f>
        <v>0</v>
      </c>
      <c r="J7" s="40">
        <f>IF(D7=0,"",IFERROR(INDEX('Base de données'!S$2:S$114,SMALL(IF(('Base de données'!$B$2:$B$114&lt;&gt;"stock initial")*('Base de données'!$H$2:$H$114=$B$1)*('Base de données'!$I$2:$I$114=$B$2)*('Base de données'!$J$2:$J$114=$B$3*1),ROW('Base de données'!$H$2:$H$114)-1),ROWS($1:1))),""))</f>
        <v>0</v>
      </c>
      <c r="K7" s="16"/>
      <c r="L7" s="18" t="str">
        <f>IFERROR(M7/J7,"")</f>
        <v/>
      </c>
      <c r="M7" s="16">
        <f t="array" ref="M7">IF($D7=0,"",IFERROR(INDEX('Base de données'!X$2:X$114,SMALL(IF(('Base de données'!$B$2:$B$114&lt;&gt;"stock initial")*('Base de données'!$H$2:$H$114=$B$1)*('Base de données'!$I$2:$I$114=$B$2)*('Base de données'!$J$2:$J$114=$B$3*1),ROW('Base de données'!$H$2:$H$114)-1),ROWS($1:1))),""))</f>
        <v>0</v>
      </c>
      <c r="N7" s="18" t="str">
        <f>IFERROR(O7/J7,"")</f>
        <v/>
      </c>
      <c r="O7" s="16">
        <f t="array" ref="O7">IF($D7=0,0,IFERROR(INDEX('Base de données'!Z$2:Z$114,SMALL(IF(('Base de données'!$B$2:$B$114&lt;&gt;"stock initial")*('Base de données'!$H$2:$H$114="laiton")*('Base de données'!$I$2:$I$114=$B$2)*('Base de données'!$J$2:$J$114=$B$3*1),ROW('Base de données'!$H$2:$H$114)-1),ROWS($1:1))),""))</f>
        <v>0</v>
      </c>
      <c r="P7" s="16" t="str">
        <f>IFERROR((O7+M7)/J7,"")</f>
        <v/>
      </c>
    </row>
    <row r="8" spans="1:16">
      <c r="A8" s="15" t="str">
        <f t="array" ref="A8">IFERROR(IF(INDEX('Base de données'!$B$2:$B$114,MATCH(IFERROR(INDEX('Base de données'!D$2:D$114,SMALL(IF(('Base de données'!$B$2:$B$114&lt;&gt;"stock initial")*('Base de données'!$H$2:$H$114=$B$1)*('Base de données'!$I$2:$I$114=$B$2)*('Base de données'!$J$2:$J$114=$B$3*1),ROW('Base de données'!$H$2:$H$114)-1),ROWS($1:2))),""),'Base de données'!$D$2:$D$114,0))="achat",IFERROR(INDEX('Base de données'!D$2:D$114,SMALL(IF(('Base de données'!$B$2:$B$114&lt;&gt;"stock initial")*('Base de données'!$H$2:$H$114=$B$1)*('Base de données'!$I$2:$I$114=$B$2)*('Base de données'!$J$2:$J$114=$B$3*1),ROW('Base de données'!$H$2:$H$114)-1),ROWS($1:2))),""),""),"")</f>
        <v/>
      </c>
      <c r="B8" s="16" t="s">
        <v>64</v>
      </c>
      <c r="C8" s="119" t="s">
        <v>63</v>
      </c>
      <c r="D8" s="16">
        <v>673913</v>
      </c>
      <c r="E8" s="120">
        <v>40492</v>
      </c>
      <c r="F8" s="17" t="str">
        <f t="shared" ref="F8:F38" si="0">IF(E8="","",$B$1)</f>
        <v>Laiton</v>
      </c>
      <c r="G8" s="17" t="str">
        <f t="shared" ref="G8:G38" si="1">IF($E8="","",$B$2)</f>
        <v>rond</v>
      </c>
      <c r="H8" s="17">
        <f t="shared" ref="H8:H38" si="2">IF($E8="","",$B$3)</f>
        <v>22</v>
      </c>
      <c r="I8" s="40">
        <f t="array" ref="I8">IF(AND($D8=0,$E8&lt;&gt;""),IFERROR(INDEX('Base de données'!T$2:T$114,SMALL(IF(('Base de données'!$B$2:$B$114&lt;&gt;"stock initial")*('Base de données'!$H$2:$H$114=$B$1)*('Base de données'!$I$2:$I$114=$B$2)*('Base de données'!$J$2:$J$114=$B$3*1),ROW('Base de données'!$H$2:$H$114)-1),ROWS($1:2))),""),IF($E8="","",I7))</f>
        <v>0</v>
      </c>
      <c r="J8" s="40" t="str">
        <f>IF(D8=0,"",IFERROR(INDEX('Base de données'!S$2:S$114,SMALL(IF(('Base de données'!$B$2:$B$114&lt;&gt;"stock initial")*('Base de données'!$H$2:$H$114=$B$1)*('Base de données'!$I$2:$I$114=$B$2)*('Base de données'!$J$2:$J$114=$B$3*1),ROW('Base de données'!$H$2:$H$114)-1),ROWS($1:2))),""))</f>
        <v/>
      </c>
      <c r="K8" s="5"/>
      <c r="L8" s="18" t="str">
        <f t="shared" ref="L8:L38" si="3">IFERROR(M8/J8,"")</f>
        <v/>
      </c>
      <c r="M8" s="16">
        <f t="array" ref="M8">IF($D8=0,"",IFERROR(INDEX('Base de données'!X$2:X$114,SMALL(IF(('Base de données'!$B$2:$B$114&lt;&gt;"stock initial")*('Base de données'!$H$2:$H$114=$B$1)*('Base de données'!$I$2:$I$114=$B$2)*('Base de données'!$J$2:$J$114=$B$3*1),ROW('Base de données'!$H$2:$H$114)-1),ROWS($1:2))),""))</f>
        <v>153.49676307692309</v>
      </c>
      <c r="N8" s="18" t="str">
        <f t="shared" ref="N8:N38" si="4">IFERROR(O8/J8,"")</f>
        <v/>
      </c>
      <c r="O8" s="16">
        <f t="array" ref="O8">IF($D8=0,0,IFERROR(INDEX('Base de données'!Z$2:Z$114,SMALL(IF(('Base de données'!$B$2:$B$114&lt;&gt;"stock initial")*('Base de données'!$H$2:$H$114="laiton")*('Base de données'!$I$2:$I$114=$B$2)*('Base de données'!$J$2:$J$114=$B$3*1),ROW('Base de données'!$H$2:$H$114)-1),ROWS($1:2))),""))</f>
        <v>8.1254495049504953</v>
      </c>
      <c r="P8" s="16" t="str">
        <f t="shared" ref="P8:P38" si="5">IFERROR((O8+M8)/J8,"")</f>
        <v/>
      </c>
    </row>
    <row r="9" spans="1:16">
      <c r="A9" s="15" t="str">
        <f t="array" ref="A9">IFERROR(IF(INDEX('Base de données'!$B$2:$B$114,MATCH(IFERROR(INDEX('Base de données'!D$2:D$114,SMALL(IF(('Base de données'!$B$2:$B$114&lt;&gt;"stock initial")*('Base de données'!$H$2:$H$114=$B$1)*('Base de données'!$I$2:$I$114=$B$2)*('Base de données'!$J$2:$J$114=$B$3*1),ROW('Base de données'!$H$2:$H$114)-1),ROWS($1:3))),""),'Base de données'!$D$2:$D$114,0))="achat",IFERROR(INDEX('Base de données'!D$2:D$114,SMALL(IF(('Base de données'!$B$2:$B$114&lt;&gt;"stock initial")*('Base de données'!$H$2:$H$114=$B$1)*('Base de données'!$I$2:$I$114=$B$2)*('Base de données'!$J$2:$J$114=$B$3*1),ROW('Base de données'!$H$2:$H$114)-1),ROWS($1:3))),""),""),"")</f>
        <v/>
      </c>
      <c r="B9" s="16" t="s">
        <v>65</v>
      </c>
      <c r="C9" s="119" t="s">
        <v>63</v>
      </c>
      <c r="D9" s="16">
        <v>676492</v>
      </c>
      <c r="E9" s="120">
        <v>40625</v>
      </c>
      <c r="F9" s="17" t="str">
        <f t="shared" si="0"/>
        <v>Laiton</v>
      </c>
      <c r="G9" s="17" t="str">
        <f t="shared" si="1"/>
        <v>rond</v>
      </c>
      <c r="H9" s="17">
        <f t="shared" si="2"/>
        <v>22</v>
      </c>
      <c r="I9" s="40">
        <f t="array" ref="I9">IF(AND($D9=0,$E9&lt;&gt;""),IFERROR(INDEX('Base de données'!T$2:T$114,SMALL(IF(('Base de données'!$B$2:$B$114&lt;&gt;"stock initial")*('Base de données'!$H$2:$H$114=$B$1)*('Base de données'!$I$2:$I$114=$B$2)*('Base de données'!$J$2:$J$114=$B$3*1),ROW('Base de données'!$H$2:$H$114)-1),ROWS($1:3))),""),IF($E9="","",I8))</f>
        <v>0</v>
      </c>
      <c r="J9" s="40" t="str">
        <f>IF(D9=0,"",IFERROR(INDEX('Base de données'!S$2:S$114,SMALL(IF(('Base de données'!$B$2:$B$114&lt;&gt;"stock initial")*('Base de données'!$H$2:$H$114=$B$1)*('Base de données'!$I$2:$I$114=$B$2)*('Base de données'!$J$2:$J$114=$B$3*1),ROW('Base de données'!$H$2:$H$114)-1),ROWS($1:3))),""))</f>
        <v/>
      </c>
      <c r="K9" s="5"/>
      <c r="L9" s="18" t="str">
        <f t="shared" si="3"/>
        <v/>
      </c>
      <c r="M9" s="16">
        <f t="array" ref="M9">IF($D9=0,"",IFERROR(INDEX('Base de données'!X$2:X$114,SMALL(IF(('Base de données'!$B$2:$B$114&lt;&gt;"stock initial")*('Base de données'!$H$2:$H$114=$B$1)*('Base de données'!$I$2:$I$114=$B$2)*('Base de données'!$J$2:$J$114=$B$3*1),ROW('Base de données'!$H$2:$H$114)-1),ROWS($1:3))),""))</f>
        <v>191.87095384615387</v>
      </c>
      <c r="N9" s="18" t="str">
        <f t="shared" si="4"/>
        <v/>
      </c>
      <c r="O9" s="16">
        <f t="array" ref="O9">IF($D9=0,0,IFERROR(INDEX('Base de données'!Z$2:Z$114,SMALL(IF(('Base de données'!$B$2:$B$114&lt;&gt;"stock initial")*('Base de données'!$H$2:$H$114="laiton")*('Base de données'!$I$2:$I$114=$B$2)*('Base de données'!$J$2:$J$114=$B$3*1),ROW('Base de données'!$H$2:$H$114)-1),ROWS($1:3))),""))</f>
        <v>10.156811881188117</v>
      </c>
      <c r="P9" s="16" t="str">
        <f t="shared" si="5"/>
        <v/>
      </c>
    </row>
    <row r="10" spans="1:16">
      <c r="A10" s="15" t="str">
        <f t="array" ref="A10">IFERROR(IF(INDEX('Base de données'!$B$2:$B$114,MATCH(IFERROR(INDEX('Base de données'!D$2:D$114,SMALL(IF(('Base de données'!$B$2:$B$114&lt;&gt;"stock initial")*('Base de données'!$H$2:$H$114=$B$1)*('Base de données'!$I$2:$I$114=$B$2)*('Base de données'!$J$2:$J$114=$B$3*1),ROW('Base de données'!$H$2:$H$114)-1),ROWS($1:4))),""),'Base de données'!$D$2:$D$114,0))="achat",IFERROR(INDEX('Base de données'!D$2:D$114,SMALL(IF(('Base de données'!$B$2:$B$114&lt;&gt;"stock initial")*('Base de données'!$H$2:$H$114=$B$1)*('Base de données'!$I$2:$I$114=$B$2)*('Base de données'!$J$2:$J$114=$B$3*1),ROW('Base de données'!$H$2:$H$114)-1),ROWS($1:4))),""),""),"")</f>
        <v/>
      </c>
      <c r="B10" s="16" t="s">
        <v>66</v>
      </c>
      <c r="C10" s="119" t="s">
        <v>63</v>
      </c>
      <c r="D10" s="16">
        <v>679098</v>
      </c>
      <c r="E10" s="120">
        <v>40764</v>
      </c>
      <c r="F10" s="17" t="str">
        <f t="shared" si="0"/>
        <v>Laiton</v>
      </c>
      <c r="G10" s="17" t="str">
        <f t="shared" si="1"/>
        <v>rond</v>
      </c>
      <c r="H10" s="17">
        <f t="shared" si="2"/>
        <v>22</v>
      </c>
      <c r="I10" s="40">
        <f t="array" ref="I10">IF(AND($D10=0,$E10&lt;&gt;""),IFERROR(INDEX('Base de données'!T$2:T$114,SMALL(IF(('Base de données'!$B$2:$B$114&lt;&gt;"stock initial")*('Base de données'!$H$2:$H$114=$B$1)*('Base de données'!$I$2:$I$114=$B$2)*('Base de données'!$J$2:$J$114=$B$3*1),ROW('Base de données'!$H$2:$H$114)-1),ROWS($1:4))),""),IF($E10="","",I9))</f>
        <v>0</v>
      </c>
      <c r="J10" s="40" t="str">
        <f>IF(D10=0,"",IFERROR(INDEX('Base de données'!S$2:S$114,SMALL(IF(('Base de données'!$B$2:$B$114&lt;&gt;"stock initial")*('Base de données'!$H$2:$H$114=$B$1)*('Base de données'!$I$2:$I$114=$B$2)*('Base de données'!$J$2:$J$114=$B$3*1),ROW('Base de données'!$H$2:$H$114)-1),ROWS($1:4))),""))</f>
        <v/>
      </c>
      <c r="K10" s="5"/>
      <c r="L10" s="18" t="str">
        <f t="shared" si="3"/>
        <v/>
      </c>
      <c r="M10" s="16">
        <f t="array" ref="M10">IF($D10=0,"",IFERROR(INDEX('Base de données'!X$2:X$114,SMALL(IF(('Base de données'!$B$2:$B$114&lt;&gt;"stock initial")*('Base de données'!$H$2:$H$114=$B$1)*('Base de données'!$I$2:$I$114=$B$2)*('Base de données'!$J$2:$J$114=$B$3*1),ROW('Base de données'!$H$2:$H$114)-1),ROWS($1:4))),""))</f>
        <v>115.12257230769231</v>
      </c>
      <c r="N10" s="18" t="str">
        <f t="shared" si="4"/>
        <v/>
      </c>
      <c r="O10" s="16">
        <f t="array" ref="O10">IF($D10=0,0,IFERROR(INDEX('Base de données'!Z$2:Z$114,SMALL(IF(('Base de données'!$B$2:$B$114&lt;&gt;"stock initial")*('Base de données'!$H$2:$H$114="laiton")*('Base de données'!$I$2:$I$114=$B$2)*('Base de données'!$J$2:$J$114=$B$3*1),ROW('Base de données'!$H$2:$H$114)-1),ROWS($1:4))),""))</f>
        <v>6.0940871287128706</v>
      </c>
      <c r="P10" s="16" t="str">
        <f t="shared" si="5"/>
        <v/>
      </c>
    </row>
    <row r="11" spans="1:16">
      <c r="A11" s="15" t="str">
        <f t="array" ref="A11">IFERROR(IF(INDEX('Base de données'!$B$2:$B$114,MATCH(IFERROR(INDEX('Base de données'!D$2:D$114,SMALL(IF(('Base de données'!$B$2:$B$114&lt;&gt;"stock initial")*('Base de données'!$H$2:$H$114=$B$1)*('Base de données'!$I$2:$I$114=$B$2)*('Base de données'!$J$2:$J$114=$B$3*1),ROW('Base de données'!$H$2:$H$114)-1),ROWS($1:5))),""),'Base de données'!$D$2:$D$114,0))="achat",IFERROR(INDEX('Base de données'!D$2:D$114,SMALL(IF(('Base de données'!$B$2:$B$114&lt;&gt;"stock initial")*('Base de données'!$H$2:$H$114=$B$1)*('Base de données'!$I$2:$I$114=$B$2)*('Base de données'!$J$2:$J$114=$B$3*1),ROW('Base de données'!$H$2:$H$114)-1),ROWS($1:5))),""),""),"")</f>
        <v/>
      </c>
      <c r="B11" s="16" t="s">
        <v>67</v>
      </c>
      <c r="C11" s="119" t="s">
        <v>63</v>
      </c>
      <c r="D11" s="16">
        <v>680290</v>
      </c>
      <c r="E11" s="120">
        <v>40849</v>
      </c>
      <c r="F11" s="17" t="str">
        <f t="shared" si="0"/>
        <v>Laiton</v>
      </c>
      <c r="G11" s="17" t="str">
        <f t="shared" si="1"/>
        <v>rond</v>
      </c>
      <c r="H11" s="17">
        <f t="shared" si="2"/>
        <v>22</v>
      </c>
      <c r="I11" s="40">
        <f t="array" ref="I11">IF(AND($D11=0,$E11&lt;&gt;""),IFERROR(INDEX('Base de données'!T$2:T$114,SMALL(IF(('Base de données'!$B$2:$B$114&lt;&gt;"stock initial")*('Base de données'!$H$2:$H$114=$B$1)*('Base de données'!$I$2:$I$114=$B$2)*('Base de données'!$J$2:$J$114=$B$3*1),ROW('Base de données'!$H$2:$H$114)-1),ROWS($1:5))),""),IF($E11="","",I10))</f>
        <v>0</v>
      </c>
      <c r="J11" s="40" t="str">
        <f>IF(D11=0,"",IFERROR(INDEX('Base de données'!S$2:S$114,SMALL(IF(('Base de données'!$B$2:$B$114&lt;&gt;"stock initial")*('Base de données'!$H$2:$H$114=$B$1)*('Base de données'!$I$2:$I$114=$B$2)*('Base de données'!$J$2:$J$114=$B$3*1),ROW('Base de données'!$H$2:$H$114)-1),ROWS($1:5))),""))</f>
        <v/>
      </c>
      <c r="K11" s="5"/>
      <c r="L11" s="18" t="str">
        <f t="shared" si="3"/>
        <v/>
      </c>
      <c r="M11" s="16">
        <f t="array" ref="M11">IF($D11=0,"",IFERROR(INDEX('Base de données'!X$2:X$114,SMALL(IF(('Base de données'!$B$2:$B$114&lt;&gt;"stock initial")*('Base de données'!$H$2:$H$114=$B$1)*('Base de données'!$I$2:$I$114=$B$2)*('Base de données'!$J$2:$J$114=$B$3*1),ROW('Base de données'!$H$2:$H$114)-1),ROWS($1:5))),""))</f>
        <v>115.12257230769231</v>
      </c>
      <c r="N11" s="18" t="str">
        <f t="shared" si="4"/>
        <v/>
      </c>
      <c r="O11" s="16">
        <f t="array" ref="O11">IF($D11=0,0,IFERROR(INDEX('Base de données'!Z$2:Z$114,SMALL(IF(('Base de données'!$B$2:$B$114&lt;&gt;"stock initial")*('Base de données'!$H$2:$H$114="laiton")*('Base de données'!$I$2:$I$114=$B$2)*('Base de données'!$J$2:$J$114=$B$3*1),ROW('Base de données'!$H$2:$H$114)-1),ROWS($1:5))),""))</f>
        <v>6.0940871287128706</v>
      </c>
      <c r="P11" s="16" t="str">
        <f t="shared" si="5"/>
        <v/>
      </c>
    </row>
    <row r="12" spans="1:16">
      <c r="A12" s="15" t="str">
        <f t="array" ref="A12">IFERROR(IF(INDEX('Base de données'!$B$2:$B$114,MATCH(IFERROR(INDEX('Base de données'!D$2:D$114,SMALL(IF(('Base de données'!$B$2:$B$114&lt;&gt;"stock initial")*('Base de données'!$H$2:$H$114=$B$1)*('Base de données'!$I$2:$I$114=$B$2)*('Base de données'!$J$2:$J$114=$B$3*1),ROW('Base de données'!$H$2:$H$114)-1),ROWS($1:6))),""),'Base de données'!$D$2:$D$114,0))="achat",IFERROR(INDEX('Base de données'!D$2:D$114,SMALL(IF(('Base de données'!$B$2:$B$114&lt;&gt;"stock initial")*('Base de données'!$H$2:$H$114=$B$1)*('Base de données'!$I$2:$I$114=$B$2)*('Base de données'!$J$2:$J$114=$B$3*1),ROW('Base de données'!$H$2:$H$114)-1),ROWS($1:6))),""),""),"")</f>
        <v/>
      </c>
      <c r="B12" s="16" t="s">
        <v>68</v>
      </c>
      <c r="C12" s="119" t="s">
        <v>63</v>
      </c>
      <c r="D12" s="16">
        <v>682165</v>
      </c>
      <c r="E12" s="120">
        <v>40953</v>
      </c>
      <c r="F12" s="17" t="str">
        <f t="shared" si="0"/>
        <v>Laiton</v>
      </c>
      <c r="G12" s="17" t="str">
        <f t="shared" si="1"/>
        <v>rond</v>
      </c>
      <c r="H12" s="17">
        <f t="shared" si="2"/>
        <v>22</v>
      </c>
      <c r="I12" s="40">
        <f t="array" ref="I12">IF(AND($D12=0,$E12&lt;&gt;""),IFERROR(INDEX('Base de données'!T$2:T$114,SMALL(IF(('Base de données'!$B$2:$B$114&lt;&gt;"stock initial")*('Base de données'!$H$2:$H$114=$B$1)*('Base de données'!$I$2:$I$114=$B$2)*('Base de données'!$J$2:$J$114=$B$3*1),ROW('Base de données'!$H$2:$H$114)-1),ROWS($1:6))),""),IF($E12="","",I11))</f>
        <v>0</v>
      </c>
      <c r="J12" s="40" t="str">
        <f>IF(D12=0,"",IFERROR(INDEX('Base de données'!S$2:S$114,SMALL(IF(('Base de données'!$B$2:$B$114&lt;&gt;"stock initial")*('Base de données'!$H$2:$H$114=$B$1)*('Base de données'!$I$2:$I$114=$B$2)*('Base de données'!$J$2:$J$114=$B$3*1),ROW('Base de données'!$H$2:$H$114)-1),ROWS($1:6))),""))</f>
        <v/>
      </c>
      <c r="K12" s="5"/>
      <c r="L12" s="18" t="str">
        <f t="shared" si="3"/>
        <v/>
      </c>
      <c r="M12" s="16">
        <f t="array" ref="M12">IF($D12=0,"",IFERROR(INDEX('Base de données'!X$2:X$114,SMALL(IF(('Base de données'!$B$2:$B$114&lt;&gt;"stock initial")*('Base de données'!$H$2:$H$114=$B$1)*('Base de données'!$I$2:$I$114=$B$2)*('Base de données'!$J$2:$J$114=$B$3*1),ROW('Base de données'!$H$2:$H$114)-1),ROWS($1:6))),""))</f>
        <v>115.12257230769231</v>
      </c>
      <c r="N12" s="18" t="str">
        <f t="shared" si="4"/>
        <v/>
      </c>
      <c r="O12" s="16">
        <f t="array" ref="O12">IF($D12=0,0,IFERROR(INDEX('Base de données'!Z$2:Z$114,SMALL(IF(('Base de données'!$B$2:$B$114&lt;&gt;"stock initial")*('Base de données'!$H$2:$H$114="laiton")*('Base de données'!$I$2:$I$114=$B$2)*('Base de données'!$J$2:$J$114=$B$3*1),ROW('Base de données'!$H$2:$H$114)-1),ROWS($1:6))),""))</f>
        <v>6.0940871287128706</v>
      </c>
      <c r="P12" s="16" t="str">
        <f t="shared" si="5"/>
        <v/>
      </c>
    </row>
    <row r="13" spans="1:16">
      <c r="A13" s="15" t="str">
        <f t="array" ref="A13">IFERROR(IF(INDEX('Base de données'!$B$2:$B$114,MATCH(IFERROR(INDEX('Base de données'!D$2:D$114,SMALL(IF(('Base de données'!$B$2:$B$114&lt;&gt;"stock initial")*('Base de données'!$H$2:$H$114=$B$1)*('Base de données'!$I$2:$I$114=$B$2)*('Base de données'!$J$2:$J$114=$B$3*1),ROW('Base de données'!$H$2:$H$114)-1),ROWS($1:7))),""),'Base de données'!$D$2:$D$114,0))="achat",IFERROR(INDEX('Base de données'!D$2:D$114,SMALL(IF(('Base de données'!$B$2:$B$114&lt;&gt;"stock initial")*('Base de données'!$H$2:$H$114=$B$1)*('Base de données'!$I$2:$I$114=$B$2)*('Base de données'!$J$2:$J$114=$B$3*1),ROW('Base de données'!$H$2:$H$114)-1),ROWS($1:7))),""),""),"")</f>
        <v/>
      </c>
      <c r="B13" s="16" t="s">
        <v>68</v>
      </c>
      <c r="C13" s="119" t="s">
        <v>63</v>
      </c>
      <c r="D13" s="16">
        <v>682165</v>
      </c>
      <c r="E13" s="120">
        <v>40953</v>
      </c>
      <c r="F13" s="17" t="str">
        <f t="shared" si="0"/>
        <v>Laiton</v>
      </c>
      <c r="G13" s="17" t="str">
        <f t="shared" si="1"/>
        <v>rond</v>
      </c>
      <c r="H13" s="17">
        <f t="shared" si="2"/>
        <v>22</v>
      </c>
      <c r="I13" s="40">
        <f t="array" ref="I13">IF(AND($D13=0,$E13&lt;&gt;""),IFERROR(INDEX('Base de données'!T$2:T$114,SMALL(IF(('Base de données'!$B$2:$B$114&lt;&gt;"stock initial")*('Base de données'!$H$2:$H$114=$B$1)*('Base de données'!$I$2:$I$114=$B$2)*('Base de données'!$J$2:$J$114=$B$3*1),ROW('Base de données'!$H$2:$H$114)-1),ROWS($1:7))),""),IF($E13="","",I12))</f>
        <v>0</v>
      </c>
      <c r="J13" s="40" t="str">
        <f>IF(D13=0,"",IFERROR(INDEX('Base de données'!S$2:S$114,SMALL(IF(('Base de données'!$B$2:$B$114&lt;&gt;"stock initial")*('Base de données'!$H$2:$H$114=$B$1)*('Base de données'!$I$2:$I$114=$B$2)*('Base de données'!$J$2:$J$114=$B$3*1),ROW('Base de données'!$H$2:$H$114)-1),ROWS($1:7))),""))</f>
        <v/>
      </c>
      <c r="K13" s="5"/>
      <c r="L13" s="18" t="str">
        <f t="shared" si="3"/>
        <v/>
      </c>
      <c r="M13" s="16">
        <f t="array" ref="M13">IF($D13=0,"",IFERROR(INDEX('Base de données'!X$2:X$114,SMALL(IF(('Base de données'!$B$2:$B$114&lt;&gt;"stock initial")*('Base de données'!$H$2:$H$114=$B$1)*('Base de données'!$I$2:$I$114=$B$2)*('Base de données'!$J$2:$J$114=$B$3*1),ROW('Base de données'!$H$2:$H$114)-1),ROWS($1:7))),""))</f>
        <v>84.423219692307697</v>
      </c>
      <c r="N13" s="18" t="str">
        <f t="shared" si="4"/>
        <v/>
      </c>
      <c r="O13" s="16">
        <f t="array" ref="O13">IF($D13=0,0,IFERROR(INDEX('Base de données'!Z$2:Z$114,SMALL(IF(('Base de données'!$B$2:$B$114&lt;&gt;"stock initial")*('Base de données'!$H$2:$H$114="laiton")*('Base de données'!$I$2:$I$114=$B$2)*('Base de données'!$J$2:$J$114=$B$3*1),ROW('Base de données'!$H$2:$H$114)-1),ROWS($1:7))),""))</f>
        <v>4.4689972277227721</v>
      </c>
      <c r="P13" s="16" t="str">
        <f t="shared" si="5"/>
        <v/>
      </c>
    </row>
    <row r="14" spans="1:16">
      <c r="A14" s="15" t="str">
        <f t="array" ref="A14">IFERROR(IF(INDEX('Base de données'!$B$2:$B$114,MATCH(IFERROR(INDEX('Base de données'!D$2:D$114,SMALL(IF(('Base de données'!$B$2:$B$114&lt;&gt;"stock initial")*('Base de données'!$H$2:$H$114=$B$1)*('Base de données'!$I$2:$I$114=$B$2)*('Base de données'!$J$2:$J$114=$B$3*1),ROW('Base de données'!$H$2:$H$114)-1),ROWS($1:8))),""),'Base de données'!$D$2:$D$114,0))="achat",IFERROR(INDEX('Base de données'!D$2:D$114,SMALL(IF(('Base de données'!$B$2:$B$114&lt;&gt;"stock initial")*('Base de données'!$H$2:$H$114=$B$1)*('Base de données'!$I$2:$I$114=$B$2)*('Base de données'!$J$2:$J$114=$B$3*1),ROW('Base de données'!$H$2:$H$114)-1),ROWS($1:8))),""),""),"")</f>
        <v/>
      </c>
      <c r="B14" s="16" t="s">
        <v>68</v>
      </c>
      <c r="C14" s="119" t="s">
        <v>63</v>
      </c>
      <c r="D14" s="16">
        <v>682165</v>
      </c>
      <c r="E14" s="120">
        <v>40953</v>
      </c>
      <c r="F14" s="17" t="str">
        <f t="shared" si="0"/>
        <v>Laiton</v>
      </c>
      <c r="G14" s="17" t="str">
        <f t="shared" si="1"/>
        <v>rond</v>
      </c>
      <c r="H14" s="17">
        <f t="shared" si="2"/>
        <v>22</v>
      </c>
      <c r="I14" s="40">
        <f t="array" ref="I14">IF(AND($D14=0,$E14&lt;&gt;""),IFERROR(INDEX('Base de données'!T$2:T$114,SMALL(IF(('Base de données'!$B$2:$B$114&lt;&gt;"stock initial")*('Base de données'!$H$2:$H$114=$B$1)*('Base de données'!$I$2:$I$114=$B$2)*('Base de données'!$J$2:$J$114=$B$3*1),ROW('Base de données'!$H$2:$H$114)-1),ROWS($1:8))),""),IF($E14="","",I13))</f>
        <v>0</v>
      </c>
      <c r="J14" s="40" t="str">
        <f>IF(D14=0,"",IFERROR(INDEX('Base de données'!S$2:S$114,SMALL(IF(('Base de données'!$B$2:$B$114&lt;&gt;"stock initial")*('Base de données'!$H$2:$H$114=$B$1)*('Base de données'!$I$2:$I$114=$B$2)*('Base de données'!$J$2:$J$114=$B$3*1),ROW('Base de données'!$H$2:$H$114)-1),ROWS($1:8))),""))</f>
        <v/>
      </c>
      <c r="K14" s="5"/>
      <c r="L14" s="18" t="str">
        <f t="shared" si="3"/>
        <v/>
      </c>
      <c r="M14" s="16">
        <f t="array" ref="M14">IF($D14=0,"",IFERROR(INDEX('Base de données'!X$2:X$114,SMALL(IF(('Base de données'!$B$2:$B$114&lt;&gt;"stock initial")*('Base de données'!$H$2:$H$114=$B$1)*('Base de données'!$I$2:$I$114=$B$2)*('Base de données'!$J$2:$J$114=$B$3*1),ROW('Base de données'!$H$2:$H$114)-1),ROWS($1:8))),""))</f>
        <v>99.772896000000003</v>
      </c>
      <c r="N14" s="18" t="str">
        <f t="shared" si="4"/>
        <v/>
      </c>
      <c r="O14" s="16">
        <f t="array" ref="O14">IF($D14=0,0,IFERROR(INDEX('Base de données'!Z$2:Z$114,SMALL(IF(('Base de données'!$B$2:$B$114&lt;&gt;"stock initial")*('Base de données'!$H$2:$H$114="laiton")*('Base de données'!$I$2:$I$114=$B$2)*('Base de données'!$J$2:$J$114=$B$3*1),ROW('Base de données'!$H$2:$H$114)-1),ROWS($1:8))),""))</f>
        <v>5.2815421782178218</v>
      </c>
      <c r="P14" s="16" t="str">
        <f t="shared" si="5"/>
        <v/>
      </c>
    </row>
    <row r="15" spans="1:16">
      <c r="A15" s="15">
        <f t="array" ref="A15">IFERROR(IF(INDEX('Base de données'!$B$2:$B$114,MATCH(IFERROR(INDEX('Base de données'!D$2:D$114,SMALL(IF(('Base de données'!$B$2:$B$114&lt;&gt;"stock initial")*('Base de données'!$H$2:$H$114=$B$1)*('Base de données'!$I$2:$I$114=$B$2)*('Base de données'!$J$2:$J$114=$B$3*1),ROW('Base de données'!$H$2:$H$114)-1),ROWS($1:9))),""),'Base de données'!$D$2:$D$114,0))="achat",IFERROR(INDEX('Base de données'!D$2:D$114,SMALL(IF(('Base de données'!$B$2:$B$114&lt;&gt;"stock initial")*('Base de données'!$H$2:$H$114=$B$1)*('Base de données'!$I$2:$I$114=$B$2)*('Base de données'!$J$2:$J$114=$B$3*1),ROW('Base de données'!$H$2:$H$114)-1),ROWS($1:9))),""),""),"")</f>
        <v>43067</v>
      </c>
      <c r="B15" s="16" t="s">
        <v>69</v>
      </c>
      <c r="C15" s="119" t="s">
        <v>63</v>
      </c>
      <c r="D15" s="16">
        <v>683038</v>
      </c>
      <c r="E15" s="120">
        <v>40998</v>
      </c>
      <c r="F15" s="17" t="str">
        <f t="shared" si="0"/>
        <v>Laiton</v>
      </c>
      <c r="G15" s="17" t="str">
        <f t="shared" si="1"/>
        <v>rond</v>
      </c>
      <c r="H15" s="17">
        <f t="shared" si="2"/>
        <v>22</v>
      </c>
      <c r="I15" s="40">
        <f t="array" ref="I15">IF(AND($D15=0,$E15&lt;&gt;""),IFERROR(INDEX('Base de données'!T$2:T$114,SMALL(IF(('Base de données'!$B$2:$B$114&lt;&gt;"stock initial")*('Base de données'!$H$2:$H$114=$B$1)*('Base de données'!$I$2:$I$114=$B$2)*('Base de données'!$J$2:$J$114=$B$3*1),ROW('Base de données'!$H$2:$H$114)-1),ROWS($1:9))),""),IF($E15="","",I14))</f>
        <v>0</v>
      </c>
      <c r="J15" s="40" t="str">
        <f>IF(D15=0,"",IFERROR(INDEX('Base de données'!S$2:S$114,SMALL(IF(('Base de données'!$B$2:$B$114&lt;&gt;"stock initial")*('Base de données'!$H$2:$H$114=$B$1)*('Base de données'!$I$2:$I$114=$B$2)*('Base de données'!$J$2:$J$114=$B$3*1),ROW('Base de données'!$H$2:$H$114)-1),ROWS($1:9))),""))</f>
        <v/>
      </c>
      <c r="K15" s="5"/>
      <c r="L15" s="18" t="str">
        <f t="shared" si="3"/>
        <v/>
      </c>
      <c r="M15" s="16">
        <f t="array" ref="M15">IF($D15=0,"",IFERROR(INDEX('Base de données'!X$2:X$114,SMALL(IF(('Base de données'!$B$2:$B$114&lt;&gt;"stock initial")*('Base de données'!$H$2:$H$114=$B$1)*('Base de données'!$I$2:$I$114=$B$2)*('Base de données'!$J$2:$J$114=$B$3*1),ROW('Base de données'!$H$2:$H$114)-1),ROWS($1:9))),""))</f>
        <v>0</v>
      </c>
      <c r="N15" s="18" t="str">
        <f t="shared" si="4"/>
        <v/>
      </c>
      <c r="O15" s="16">
        <f t="array" ref="O15">IF($D15=0,0,IFERROR(INDEX('Base de données'!Z$2:Z$114,SMALL(IF(('Base de données'!$B$2:$B$114&lt;&gt;"stock initial")*('Base de données'!$H$2:$H$114="laiton")*('Base de données'!$I$2:$I$114=$B$2)*('Base de données'!$J$2:$J$114=$B$3*1),ROW('Base de données'!$H$2:$H$114)-1),ROWS($1:9))),""))</f>
        <v>0</v>
      </c>
      <c r="P15" s="16" t="str">
        <f t="shared" si="5"/>
        <v/>
      </c>
    </row>
    <row r="16" spans="1:16">
      <c r="A16" s="15" t="str">
        <f t="array" ref="A16">IFERROR(IF(INDEX('Base de données'!$B$2:$B$114,MATCH(IFERROR(INDEX('Base de données'!D$2:D$114,SMALL(IF(('Base de données'!$B$2:$B$114&lt;&gt;"stock initial")*('Base de données'!$H$2:$H$114=$B$1)*('Base de données'!$I$2:$I$114=$B$2)*('Base de données'!$J$2:$J$114=$B$3*1),ROW('Base de données'!$H$2:$H$114)-1),ROWS($1:10))),""),'Base de données'!$D$2:$D$114,0))="achat",IFERROR(INDEX('Base de données'!D$2:D$114,SMALL(IF(('Base de données'!$B$2:$B$114&lt;&gt;"stock initial")*('Base de données'!$H$2:$H$114=$B$1)*('Base de données'!$I$2:$I$114=$B$2)*('Base de données'!$J$2:$J$114=$B$3*1),ROW('Base de données'!$H$2:$H$114)-1),ROWS($1:10))),""),""),"")</f>
        <v/>
      </c>
      <c r="B16" s="16" t="s">
        <v>70</v>
      </c>
      <c r="C16" s="119" t="s">
        <v>63</v>
      </c>
      <c r="D16" s="16">
        <v>683423</v>
      </c>
      <c r="E16" s="120">
        <v>41019</v>
      </c>
      <c r="F16" s="17" t="str">
        <f t="shared" si="0"/>
        <v>Laiton</v>
      </c>
      <c r="G16" s="17" t="str">
        <f t="shared" si="1"/>
        <v>rond</v>
      </c>
      <c r="H16" s="17">
        <f t="shared" si="2"/>
        <v>22</v>
      </c>
      <c r="I16" s="40">
        <f t="array" ref="I16">IF(AND($D16=0,$E16&lt;&gt;""),IFERROR(INDEX('Base de données'!T$2:T$114,SMALL(IF(('Base de données'!$B$2:$B$114&lt;&gt;"stock initial")*('Base de données'!$H$2:$H$114=$B$1)*('Base de données'!$I$2:$I$114=$B$2)*('Base de données'!$J$2:$J$114=$B$3*1),ROW('Base de données'!$H$2:$H$114)-1),ROWS($1:10))),""),IF($E16="","",I15))</f>
        <v>0</v>
      </c>
      <c r="J16" s="40" t="str">
        <f>IF(D16=0,"",IFERROR(INDEX('Base de données'!S$2:S$114,SMALL(IF(('Base de données'!$B$2:$B$114&lt;&gt;"stock initial")*('Base de données'!$H$2:$H$114=$B$1)*('Base de données'!$I$2:$I$114=$B$2)*('Base de données'!$J$2:$J$114=$B$3*1),ROW('Base de données'!$H$2:$H$114)-1),ROWS($1:10))),""))</f>
        <v/>
      </c>
      <c r="K16" s="5"/>
      <c r="L16" s="18" t="str">
        <f t="shared" si="3"/>
        <v/>
      </c>
      <c r="M16" s="16">
        <f t="array" ref="M16">IF($D16=0,"",IFERROR(INDEX('Base de données'!X$2:X$114,SMALL(IF(('Base de données'!$B$2:$B$114&lt;&gt;"stock initial")*('Base de données'!$H$2:$H$114=$B$1)*('Base de données'!$I$2:$I$114=$B$2)*('Base de données'!$J$2:$J$114=$B$3*1),ROW('Base de données'!$H$2:$H$114)-1),ROWS($1:10))),""))</f>
        <v>145.82192492307692</v>
      </c>
      <c r="N16" s="18" t="str">
        <f t="shared" si="4"/>
        <v/>
      </c>
      <c r="O16" s="16">
        <f t="array" ref="O16">IF($D16=0,0,IFERROR(INDEX('Base de données'!Z$2:Z$114,SMALL(IF(('Base de données'!$B$2:$B$114&lt;&gt;"stock initial")*('Base de données'!$H$2:$H$114="laiton")*('Base de données'!$I$2:$I$114=$B$2)*('Base de données'!$J$2:$J$114=$B$3*1),ROW('Base de données'!$H$2:$H$114)-1),ROWS($1:10))),""))</f>
        <v>7.71917702970297</v>
      </c>
      <c r="P16" s="16" t="str">
        <f t="shared" si="5"/>
        <v/>
      </c>
    </row>
    <row r="17" spans="1:16">
      <c r="A17" s="15" t="str">
        <f t="array" ref="A17">IFERROR(IF(INDEX('Base de données'!$B$2:$B$114,MATCH(IFERROR(INDEX('Base de données'!D$2:D$114,SMALL(IF(('Base de données'!$B$2:$B$114&lt;&gt;"stock initial")*('Base de données'!$H$2:$H$114=$B$1)*('Base de données'!$I$2:$I$114=$B$2)*('Base de données'!$J$2:$J$114=$B$3*1),ROW('Base de données'!$H$2:$H$114)-1),ROWS($1:11))),""),'Base de données'!$D$2:$D$114,0))="achat",IFERROR(INDEX('Base de données'!D$2:D$114,SMALL(IF(('Base de données'!$B$2:$B$114&lt;&gt;"stock initial")*('Base de données'!$H$2:$H$114=$B$1)*('Base de données'!$I$2:$I$114=$B$2)*('Base de données'!$J$2:$J$114=$B$3*1),ROW('Base de données'!$H$2:$H$114)-1),ROWS($1:11))),""),""),"")</f>
        <v/>
      </c>
      <c r="B17" s="16" t="s">
        <v>70</v>
      </c>
      <c r="C17" s="119" t="s">
        <v>63</v>
      </c>
      <c r="D17" s="16">
        <v>683423</v>
      </c>
      <c r="E17" s="120">
        <v>41019</v>
      </c>
      <c r="F17" s="17" t="str">
        <f t="shared" si="0"/>
        <v>Laiton</v>
      </c>
      <c r="G17" s="17" t="str">
        <f t="shared" si="1"/>
        <v>rond</v>
      </c>
      <c r="H17" s="17">
        <f t="shared" si="2"/>
        <v>22</v>
      </c>
      <c r="I17" s="40">
        <f t="array" ref="I17">IF(AND($D17=0,$E17&lt;&gt;""),IFERROR(INDEX('Base de données'!T$2:T$114,SMALL(IF(('Base de données'!$B$2:$B$114&lt;&gt;"stock initial")*('Base de données'!$H$2:$H$114=$B$1)*('Base de données'!$I$2:$I$114=$B$2)*('Base de données'!$J$2:$J$114=$B$3*1),ROW('Base de données'!$H$2:$H$114)-1),ROWS($1:11))),""),IF($E17="","",I16))</f>
        <v>0</v>
      </c>
      <c r="J17" s="40" t="str">
        <f>IF(D17=0,"",IFERROR(INDEX('Base de données'!S$2:S$114,SMALL(IF(('Base de données'!$B$2:$B$114&lt;&gt;"stock initial")*('Base de données'!$H$2:$H$114=$B$1)*('Base de données'!$I$2:$I$114=$B$2)*('Base de données'!$J$2:$J$114=$B$3*1),ROW('Base de données'!$H$2:$H$114)-1),ROWS($1:11))),""))</f>
        <v/>
      </c>
      <c r="K17" s="5"/>
      <c r="L17" s="18" t="str">
        <f t="shared" si="3"/>
        <v/>
      </c>
      <c r="M17" s="16">
        <f t="array" ref="M17">IF($D17=0,"",IFERROR(INDEX('Base de données'!X$2:X$114,SMALL(IF(('Base de données'!$B$2:$B$114&lt;&gt;"stock initial")*('Base de données'!$H$2:$H$114=$B$1)*('Base de données'!$I$2:$I$114=$B$2)*('Base de données'!$J$2:$J$114=$B$3*1),ROW('Base de données'!$H$2:$H$114)-1),ROWS($1:11))),""))</f>
        <v>42.211609846153848</v>
      </c>
      <c r="N17" s="18" t="str">
        <f t="shared" si="4"/>
        <v/>
      </c>
      <c r="O17" s="16">
        <f t="array" ref="O17">IF($D17=0,0,IFERROR(INDEX('Base de données'!Z$2:Z$114,SMALL(IF(('Base de données'!$B$2:$B$114&lt;&gt;"stock initial")*('Base de données'!$H$2:$H$114="laiton")*('Base de données'!$I$2:$I$114=$B$2)*('Base de données'!$J$2:$J$114=$B$3*1),ROW('Base de données'!$H$2:$H$114)-1),ROWS($1:11))),""))</f>
        <v>2.234498613861386</v>
      </c>
      <c r="P17" s="16" t="str">
        <f t="shared" si="5"/>
        <v/>
      </c>
    </row>
    <row r="18" spans="1:16">
      <c r="A18" s="15" t="str">
        <f t="array" ref="A18">IFERROR(IF(INDEX('Base de données'!$B$2:$B$114,MATCH(IFERROR(INDEX('Base de données'!D$2:D$114,SMALL(IF(('Base de données'!$B$2:$B$114&lt;&gt;"stock initial")*('Base de données'!$H$2:$H$114=$B$1)*('Base de données'!$I$2:$I$114=$B$2)*('Base de données'!$J$2:$J$114=$B$3*1),ROW('Base de données'!$H$2:$H$114)-1),ROWS($1:12))),""),'Base de données'!$D$2:$D$114,0))="achat",IFERROR(INDEX('Base de données'!D$2:D$114,SMALL(IF(('Base de données'!$B$2:$B$114&lt;&gt;"stock initial")*('Base de données'!$H$2:$H$114=$B$1)*('Base de données'!$I$2:$I$114=$B$2)*('Base de données'!$J$2:$J$114=$B$3*1),ROW('Base de données'!$H$2:$H$114)-1),ROWS($1:12))),""),""),"")</f>
        <v/>
      </c>
      <c r="B18" s="16" t="s">
        <v>70</v>
      </c>
      <c r="C18" s="119" t="s">
        <v>63</v>
      </c>
      <c r="D18" s="16">
        <v>683423</v>
      </c>
      <c r="E18" s="120">
        <v>41019</v>
      </c>
      <c r="F18" s="17" t="str">
        <f t="shared" si="0"/>
        <v>Laiton</v>
      </c>
      <c r="G18" s="17" t="str">
        <f t="shared" si="1"/>
        <v>rond</v>
      </c>
      <c r="H18" s="17">
        <f t="shared" si="2"/>
        <v>22</v>
      </c>
      <c r="I18" s="40">
        <f t="array" ref="I18">IF(AND($D18=0,$E18&lt;&gt;""),IFERROR(INDEX('Base de données'!T$2:T$114,SMALL(IF(('Base de données'!$B$2:$B$114&lt;&gt;"stock initial")*('Base de données'!$H$2:$H$114=$B$1)*('Base de données'!$I$2:$I$114=$B$2)*('Base de données'!$J$2:$J$114=$B$3*1),ROW('Base de données'!$H$2:$H$114)-1),ROWS($1:12))),""),IF($E18="","",I17))</f>
        <v>0</v>
      </c>
      <c r="J18" s="40" t="str">
        <f>IF(D18=0,"",IFERROR(INDEX('Base de données'!S$2:S$114,SMALL(IF(('Base de données'!$B$2:$B$114&lt;&gt;"stock initial")*('Base de données'!$H$2:$H$114=$B$1)*('Base de données'!$I$2:$I$114=$B$2)*('Base de données'!$J$2:$J$114=$B$3*1),ROW('Base de données'!$H$2:$H$114)-1),ROWS($1:12))),""))</f>
        <v/>
      </c>
      <c r="K18" s="5"/>
      <c r="L18" s="18" t="str">
        <f t="shared" si="3"/>
        <v/>
      </c>
      <c r="M18" s="16">
        <f t="array" ref="M18">IF($D18=0,"",IFERROR(INDEX('Base de données'!X$2:X$114,SMALL(IF(('Base de données'!$B$2:$B$114&lt;&gt;"stock initial")*('Base de données'!$H$2:$H$114=$B$1)*('Base de données'!$I$2:$I$114=$B$2)*('Base de données'!$J$2:$J$114=$B$3*1),ROW('Base de données'!$H$2:$H$114)-1),ROWS($1:12))),""))</f>
        <v>207.22063015384617</v>
      </c>
      <c r="N18" s="18" t="str">
        <f t="shared" si="4"/>
        <v/>
      </c>
      <c r="O18" s="16">
        <f t="array" ref="O18">IF($D18=0,0,IFERROR(INDEX('Base de données'!Z$2:Z$114,SMALL(IF(('Base de données'!$B$2:$B$114&lt;&gt;"stock initial")*('Base de données'!$H$2:$H$114="laiton")*('Base de données'!$I$2:$I$114=$B$2)*('Base de données'!$J$2:$J$114=$B$3*1),ROW('Base de données'!$H$2:$H$114)-1),ROWS($1:12))),""))</f>
        <v>10.969356831683168</v>
      </c>
      <c r="P18" s="16" t="str">
        <f t="shared" si="5"/>
        <v/>
      </c>
    </row>
    <row r="19" spans="1:16">
      <c r="A19" s="15" t="str">
        <f t="array" ref="A19">IFERROR(IF(INDEX('Base de données'!$B$2:$B$114,MATCH(IFERROR(INDEX('Base de données'!D$2:D$114,SMALL(IF(('Base de données'!$B$2:$B$114&lt;&gt;"stock initial")*('Base de données'!$H$2:$H$114=$B$1)*('Base de données'!$I$2:$I$114=$B$2)*('Base de données'!$J$2:$J$114=$B$3*1),ROW('Base de données'!$H$2:$H$114)-1),ROWS($1:13))),""),'Base de données'!$D$2:$D$114,0))="achat",IFERROR(INDEX('Base de données'!D$2:D$114,SMALL(IF(('Base de données'!$B$2:$B$114&lt;&gt;"stock initial")*('Base de données'!$H$2:$H$114=$B$1)*('Base de données'!$I$2:$I$114=$B$2)*('Base de données'!$J$2:$J$114=$B$3*1),ROW('Base de données'!$H$2:$H$114)-1),ROWS($1:13))),""),""),"")</f>
        <v/>
      </c>
      <c r="B19" s="16" t="s">
        <v>70</v>
      </c>
      <c r="C19" s="119" t="s">
        <v>63</v>
      </c>
      <c r="D19" s="16">
        <v>683423</v>
      </c>
      <c r="E19" s="120">
        <v>41019</v>
      </c>
      <c r="F19" s="17" t="str">
        <f t="shared" si="0"/>
        <v>Laiton</v>
      </c>
      <c r="G19" s="17" t="str">
        <f t="shared" si="1"/>
        <v>rond</v>
      </c>
      <c r="H19" s="17">
        <f t="shared" si="2"/>
        <v>22</v>
      </c>
      <c r="I19" s="40">
        <f t="array" ref="I19">IF(AND($D19=0,$E19&lt;&gt;""),IFERROR(INDEX('Base de données'!T$2:T$114,SMALL(IF(('Base de données'!$B$2:$B$114&lt;&gt;"stock initial")*('Base de données'!$H$2:$H$114=$B$1)*('Base de données'!$I$2:$I$114=$B$2)*('Base de données'!$J$2:$J$114=$B$3*1),ROW('Base de données'!$H$2:$H$114)-1),ROWS($1:13))),""),IF($E19="","",I18))</f>
        <v>0</v>
      </c>
      <c r="J19" s="40" t="str">
        <f>IF(D19=0,"",IFERROR(INDEX('Base de données'!S$2:S$114,SMALL(IF(('Base de données'!$B$2:$B$114&lt;&gt;"stock initial")*('Base de données'!$H$2:$H$114=$B$1)*('Base de données'!$I$2:$I$114=$B$2)*('Base de données'!$J$2:$J$114=$B$3*1),ROW('Base de données'!$H$2:$H$114)-1),ROWS($1:13))),""))</f>
        <v/>
      </c>
      <c r="K19" s="5"/>
      <c r="L19" s="18" t="str">
        <f t="shared" si="3"/>
        <v/>
      </c>
      <c r="M19" s="16">
        <f t="array" ref="M19">IF($D19=0,"",IFERROR(INDEX('Base de données'!X$2:X$114,SMALL(IF(('Base de données'!$B$2:$B$114&lt;&gt;"stock initial")*('Base de données'!$H$2:$H$114=$B$1)*('Base de données'!$I$2:$I$114=$B$2)*('Base de données'!$J$2:$J$114=$B$3*1),ROW('Base de données'!$H$2:$H$114)-1),ROWS($1:13))),""))</f>
        <v>92.09805784615385</v>
      </c>
      <c r="N19" s="18" t="str">
        <f t="shared" si="4"/>
        <v/>
      </c>
      <c r="O19" s="16">
        <f t="array" ref="O19">IF($D19=0,0,IFERROR(INDEX('Base de données'!Z$2:Z$114,SMALL(IF(('Base de données'!$B$2:$B$114&lt;&gt;"stock initial")*('Base de données'!$H$2:$H$114="laiton")*('Base de données'!$I$2:$I$114=$B$2)*('Base de données'!$J$2:$J$114=$B$3*1),ROW('Base de données'!$H$2:$H$114)-1),ROWS($1:13))),""))</f>
        <v>4.8752697029702965</v>
      </c>
      <c r="P19" s="16" t="str">
        <f t="shared" si="5"/>
        <v/>
      </c>
    </row>
    <row r="20" spans="1:16">
      <c r="A20" s="15" t="str">
        <f t="array" ref="A20">IFERROR(IF(INDEX('Base de données'!$B$2:$B$114,MATCH(IFERROR(INDEX('Base de données'!D$2:D$114,SMALL(IF(('Base de données'!$B$2:$B$114&lt;&gt;"stock initial")*('Base de données'!$H$2:$H$114=$B$1)*('Base de données'!$I$2:$I$114=$B$2)*('Base de données'!$J$2:$J$114=$B$3*1),ROW('Base de données'!$H$2:$H$114)-1),ROWS($1:14))),""),'Base de données'!$D$2:$D$114,0))="achat",IFERROR(INDEX('Base de données'!D$2:D$114,SMALL(IF(('Base de données'!$B$2:$B$114&lt;&gt;"stock initial")*('Base de données'!$H$2:$H$114=$B$1)*('Base de données'!$I$2:$I$114=$B$2)*('Base de données'!$J$2:$J$114=$B$3*1),ROW('Base de données'!$H$2:$H$114)-1),ROWS($1:14))),""),""),"")</f>
        <v/>
      </c>
      <c r="B20" s="16" t="s">
        <v>71</v>
      </c>
      <c r="C20" s="119" t="s">
        <v>63</v>
      </c>
      <c r="D20" s="16">
        <v>685427</v>
      </c>
      <c r="E20" s="120">
        <v>41145</v>
      </c>
      <c r="F20" s="17" t="str">
        <f t="shared" si="0"/>
        <v>Laiton</v>
      </c>
      <c r="G20" s="17" t="str">
        <f t="shared" si="1"/>
        <v>rond</v>
      </c>
      <c r="H20" s="17">
        <f t="shared" si="2"/>
        <v>22</v>
      </c>
      <c r="I20" s="40">
        <f t="array" ref="I20">IF(AND($D20=0,$E20&lt;&gt;""),IFERROR(INDEX('Base de données'!T$2:T$114,SMALL(IF(('Base de données'!$B$2:$B$114&lt;&gt;"stock initial")*('Base de données'!$H$2:$H$114=$B$1)*('Base de données'!$I$2:$I$114=$B$2)*('Base de données'!$J$2:$J$114=$B$3*1),ROW('Base de données'!$H$2:$H$114)-1),ROWS($1:14))),""),IF($E20="","",I19))</f>
        <v>0</v>
      </c>
      <c r="J20" s="40" t="str">
        <f>IF(D20=0,"",IFERROR(INDEX('Base de données'!S$2:S$114,SMALL(IF(('Base de données'!$B$2:$B$114&lt;&gt;"stock initial")*('Base de données'!$H$2:$H$114=$B$1)*('Base de données'!$I$2:$I$114=$B$2)*('Base de données'!$J$2:$J$114=$B$3*1),ROW('Base de données'!$H$2:$H$114)-1),ROWS($1:14))),""))</f>
        <v/>
      </c>
      <c r="K20" s="5"/>
      <c r="L20" s="18" t="str">
        <f t="shared" si="3"/>
        <v/>
      </c>
      <c r="M20" s="16">
        <f t="array" ref="M20">IF($D20=0,"",IFERROR(INDEX('Base de données'!X$2:X$114,SMALL(IF(('Base de données'!$B$2:$B$114&lt;&gt;"stock initial")*('Base de données'!$H$2:$H$114=$B$1)*('Base de données'!$I$2:$I$114=$B$2)*('Base de données'!$J$2:$J$114=$B$3*1),ROW('Base de données'!$H$2:$H$114)-1),ROWS($1:14))),""))</f>
        <v>76.748381538461544</v>
      </c>
      <c r="N20" s="18" t="str">
        <f t="shared" si="4"/>
        <v/>
      </c>
      <c r="O20" s="16">
        <f t="array" ref="O20">IF($D20=0,0,IFERROR(INDEX('Base de données'!Z$2:Z$114,SMALL(IF(('Base de données'!$B$2:$B$114&lt;&gt;"stock initial")*('Base de données'!$H$2:$H$114="laiton")*('Base de données'!$I$2:$I$114=$B$2)*('Base de données'!$J$2:$J$114=$B$3*1),ROW('Base de données'!$H$2:$H$114)-1),ROWS($1:14))),""))</f>
        <v>4.0627247524752477</v>
      </c>
      <c r="P20" s="16" t="str">
        <f t="shared" si="5"/>
        <v/>
      </c>
    </row>
    <row r="21" spans="1:16">
      <c r="A21" s="15" t="str">
        <f t="array" ref="A21">IFERROR(IF(INDEX('Base de données'!$B$2:$B$114,MATCH(IFERROR(INDEX('Base de données'!D$2:D$114,SMALL(IF(('Base de données'!$B$2:$B$114&lt;&gt;"stock initial")*('Base de données'!$H$2:$H$114=$B$1)*('Base de données'!$I$2:$I$114=$B$2)*('Base de données'!$J$2:$J$114=$B$3*1),ROW('Base de données'!$H$2:$H$114)-1),ROWS($1:15))),""),'Base de données'!$D$2:$D$114,0))="achat",IFERROR(INDEX('Base de données'!D$2:D$114,SMALL(IF(('Base de données'!$B$2:$B$114&lt;&gt;"stock initial")*('Base de données'!$H$2:$H$114=$B$1)*('Base de données'!$I$2:$I$114=$B$2)*('Base de données'!$J$2:$J$114=$B$3*1),ROW('Base de données'!$H$2:$H$114)-1),ROWS($1:15))),""),""),"")</f>
        <v/>
      </c>
      <c r="B21" s="16" t="s">
        <v>72</v>
      </c>
      <c r="C21" s="119" t="s">
        <v>63</v>
      </c>
      <c r="D21" s="16">
        <v>684890</v>
      </c>
      <c r="E21" s="120">
        <v>41104</v>
      </c>
      <c r="F21" s="17" t="str">
        <f t="shared" si="0"/>
        <v>Laiton</v>
      </c>
      <c r="G21" s="17" t="str">
        <f t="shared" si="1"/>
        <v>rond</v>
      </c>
      <c r="H21" s="17">
        <f t="shared" si="2"/>
        <v>22</v>
      </c>
      <c r="I21" s="40">
        <f t="array" ref="I21">IF(AND($D21=0,$E21&lt;&gt;""),IFERROR(INDEX('Base de données'!T$2:T$114,SMALL(IF(('Base de données'!$B$2:$B$114&lt;&gt;"stock initial")*('Base de données'!$H$2:$H$114=$B$1)*('Base de données'!$I$2:$I$114=$B$2)*('Base de données'!$J$2:$J$114=$B$3*1),ROW('Base de données'!$H$2:$H$114)-1),ROWS($1:15))),""),IF($E21="","",I20))</f>
        <v>0</v>
      </c>
      <c r="J21" s="40" t="str">
        <f>IF(D21=0,"",IFERROR(INDEX('Base de données'!S$2:S$114,SMALL(IF(('Base de données'!$B$2:$B$114&lt;&gt;"stock initial")*('Base de données'!$H$2:$H$114=$B$1)*('Base de données'!$I$2:$I$114=$B$2)*('Base de données'!$J$2:$J$114=$B$3*1),ROW('Base de données'!$H$2:$H$114)-1),ROWS($1:15))),""))</f>
        <v/>
      </c>
      <c r="K21" s="5"/>
      <c r="L21" s="18" t="str">
        <f t="shared" si="3"/>
        <v/>
      </c>
      <c r="M21" s="16">
        <f t="array" ref="M21">IF($D21=0,"",IFERROR(INDEX('Base de données'!X$2:X$114,SMALL(IF(('Base de données'!$B$2:$B$114&lt;&gt;"stock initial")*('Base de données'!$H$2:$H$114=$B$1)*('Base de données'!$I$2:$I$114=$B$2)*('Base de données'!$J$2:$J$114=$B$3*1),ROW('Base de données'!$H$2:$H$114)-1),ROWS($1:15))),""))</f>
        <v>118.95999138461539</v>
      </c>
      <c r="N21" s="18" t="str">
        <f t="shared" si="4"/>
        <v/>
      </c>
      <c r="O21" s="16">
        <f t="array" ref="O21">IF($D21=0,0,IFERROR(INDEX('Base de données'!Z$2:Z$114,SMALL(IF(('Base de données'!$B$2:$B$114&lt;&gt;"stock initial")*('Base de données'!$H$2:$H$114="laiton")*('Base de données'!$I$2:$I$114=$B$2)*('Base de données'!$J$2:$J$114=$B$3*1),ROW('Base de données'!$H$2:$H$114)-1),ROWS($1:15))),""))</f>
        <v>6.2972233663366328</v>
      </c>
      <c r="P21" s="16" t="str">
        <f t="shared" si="5"/>
        <v/>
      </c>
    </row>
    <row r="22" spans="1:16">
      <c r="A22" s="15" t="str">
        <f t="array" ref="A22">IFERROR(IF(INDEX('Base de données'!$B$2:$B$114,MATCH(IFERROR(INDEX('Base de données'!D$2:D$114,SMALL(IF(('Base de données'!$B$2:$B$114&lt;&gt;"stock initial")*('Base de données'!$H$2:$H$114=$B$1)*('Base de données'!$I$2:$I$114=$B$2)*('Base de données'!$J$2:$J$114=$B$3*1),ROW('Base de données'!$H$2:$H$114)-1),ROWS($1:16))),""),'Base de données'!$D$2:$D$114,0))="achat",IFERROR(INDEX('Base de données'!D$2:D$114,SMALL(IF(('Base de données'!$B$2:$B$114&lt;&gt;"stock initial")*('Base de données'!$H$2:$H$114=$B$1)*('Base de données'!$I$2:$I$114=$B$2)*('Base de données'!$J$2:$J$114=$B$3*1),ROW('Base de données'!$H$2:$H$114)-1),ROWS($1:16))),""),""),"")</f>
        <v/>
      </c>
      <c r="B22" s="16" t="s">
        <v>73</v>
      </c>
      <c r="C22" s="119" t="s">
        <v>63</v>
      </c>
      <c r="D22" s="16">
        <v>676969</v>
      </c>
      <c r="E22" s="120">
        <v>40651</v>
      </c>
      <c r="F22" s="17" t="str">
        <f t="shared" si="0"/>
        <v>Laiton</v>
      </c>
      <c r="G22" s="17" t="str">
        <f t="shared" si="1"/>
        <v>rond</v>
      </c>
      <c r="H22" s="17">
        <f t="shared" si="2"/>
        <v>22</v>
      </c>
      <c r="I22" s="40">
        <f t="array" ref="I22">IF(AND($D22=0,$E22&lt;&gt;""),IFERROR(INDEX('Base de données'!T$2:T$114,SMALL(IF(('Base de données'!$B$2:$B$114&lt;&gt;"stock initial")*('Base de données'!$H$2:$H$114=$B$1)*('Base de données'!$I$2:$I$114=$B$2)*('Base de données'!$J$2:$J$114=$B$3*1),ROW('Base de données'!$H$2:$H$114)-1),ROWS($1:16))),""),IF($E22="","",I21))</f>
        <v>0</v>
      </c>
      <c r="J22" s="40" t="str">
        <f>IF(D22=0,"",IFERROR(INDEX('Base de données'!S$2:S$114,SMALL(IF(('Base de données'!$B$2:$B$114&lt;&gt;"stock initial")*('Base de données'!$H$2:$H$114=$B$1)*('Base de données'!$I$2:$I$114=$B$2)*('Base de données'!$J$2:$J$114=$B$3*1),ROW('Base de données'!$H$2:$H$114)-1),ROWS($1:16))),""))</f>
        <v/>
      </c>
      <c r="K22" s="5"/>
      <c r="L22" s="18" t="str">
        <f t="shared" si="3"/>
        <v/>
      </c>
      <c r="M22" s="16">
        <f t="array" ref="M22">IF($D22=0,"",IFERROR(INDEX('Base de données'!X$2:X$114,SMALL(IF(('Base de données'!$B$2:$B$114&lt;&gt;"stock initial")*('Base de données'!$H$2:$H$114=$B$1)*('Base de données'!$I$2:$I$114=$B$2)*('Base de données'!$J$2:$J$114=$B$3*1),ROW('Base de données'!$H$2:$H$114)-1),ROWS($1:16))),""))</f>
        <v>130.47224861538461</v>
      </c>
      <c r="N22" s="18" t="str">
        <f t="shared" si="4"/>
        <v/>
      </c>
      <c r="O22" s="16">
        <f t="array" ref="O22">IF($D22=0,0,IFERROR(INDEX('Base de données'!Z$2:Z$114,SMALL(IF(('Base de données'!$B$2:$B$114&lt;&gt;"stock initial")*('Base de données'!$H$2:$H$114="laiton")*('Base de données'!$I$2:$I$114=$B$2)*('Base de données'!$J$2:$J$114=$B$3*1),ROW('Base de données'!$H$2:$H$114)-1),ROWS($1:16))),""))</f>
        <v>6.9066320792079203</v>
      </c>
      <c r="P22" s="16" t="str">
        <f t="shared" si="5"/>
        <v/>
      </c>
    </row>
    <row r="23" spans="1:16">
      <c r="A23" s="15" t="str">
        <f t="array" ref="A23">IFERROR(IF(INDEX('Base de données'!$B$2:$B$114,MATCH(IFERROR(INDEX('Base de données'!D$2:D$114,SMALL(IF(('Base de données'!$B$2:$B$114&lt;&gt;"stock initial")*('Base de données'!$H$2:$H$114=$B$1)*('Base de données'!$I$2:$I$114=$B$2)*('Base de données'!$J$2:$J$114=$B$3*1),ROW('Base de données'!$H$2:$H$114)-1),ROWS($1:17))),""),'Base de données'!$D$2:$D$114,0))="achat",IFERROR(INDEX('Base de données'!D$2:D$114,SMALL(IF(('Base de données'!$B$2:$B$114&lt;&gt;"stock initial")*('Base de données'!$H$2:$H$114=$B$1)*('Base de données'!$I$2:$I$114=$B$2)*('Base de données'!$J$2:$J$114=$B$3*1),ROW('Base de données'!$H$2:$H$114)-1),ROWS($1:17))),""),""),"")</f>
        <v/>
      </c>
      <c r="B23" s="16" t="s">
        <v>74</v>
      </c>
      <c r="C23" s="119" t="s">
        <v>63</v>
      </c>
      <c r="D23" s="16">
        <v>663948</v>
      </c>
      <c r="E23" s="120">
        <v>39959</v>
      </c>
      <c r="F23" s="17" t="str">
        <f t="shared" si="0"/>
        <v>Laiton</v>
      </c>
      <c r="G23" s="17" t="str">
        <f t="shared" si="1"/>
        <v>rond</v>
      </c>
      <c r="H23" s="17">
        <f t="shared" si="2"/>
        <v>22</v>
      </c>
      <c r="I23" s="40">
        <f t="array" ref="I23">IF(AND($D23=0,$E23&lt;&gt;""),IFERROR(INDEX('Base de données'!T$2:T$114,SMALL(IF(('Base de données'!$B$2:$B$114&lt;&gt;"stock initial")*('Base de données'!$H$2:$H$114=$B$1)*('Base de données'!$I$2:$I$114=$B$2)*('Base de données'!$J$2:$J$114=$B$3*1),ROW('Base de données'!$H$2:$H$114)-1),ROWS($1:17))),""),IF($E23="","",I22))</f>
        <v>0</v>
      </c>
      <c r="J23" s="40" t="str">
        <f>IF(D23=0,"",IFERROR(INDEX('Base de données'!S$2:S$114,SMALL(IF(('Base de données'!$B$2:$B$114&lt;&gt;"stock initial")*('Base de données'!$H$2:$H$114=$B$1)*('Base de données'!$I$2:$I$114=$B$2)*('Base de données'!$J$2:$J$114=$B$3*1),ROW('Base de données'!$H$2:$H$114)-1),ROWS($1:17))),""))</f>
        <v/>
      </c>
      <c r="K23" s="5"/>
      <c r="L23" s="18" t="str">
        <f t="shared" si="3"/>
        <v/>
      </c>
      <c r="M23" s="16">
        <f t="array" ref="M23">IF($D23=0,"",IFERROR(INDEX('Base de données'!X$2:X$114,SMALL(IF(('Base de données'!$B$2:$B$114&lt;&gt;"stock initial")*('Base de données'!$H$2:$H$114=$B$1)*('Base de données'!$I$2:$I$114=$B$2)*('Base de données'!$J$2:$J$114=$B$3*1),ROW('Base de données'!$H$2:$H$114)-1),ROWS($1:17))),""))</f>
        <v>111.28515323076924</v>
      </c>
      <c r="N23" s="18" t="str">
        <f t="shared" si="4"/>
        <v/>
      </c>
      <c r="O23" s="16">
        <f t="array" ref="O23">IF($D23=0,0,IFERROR(INDEX('Base de données'!Z$2:Z$114,SMALL(IF(('Base de données'!$B$2:$B$114&lt;&gt;"stock initial")*('Base de données'!$H$2:$H$114="laiton")*('Base de données'!$I$2:$I$114=$B$2)*('Base de données'!$J$2:$J$114=$B$3*1),ROW('Base de données'!$H$2:$H$114)-1),ROWS($1:17))),""))</f>
        <v>5.8909508910891084</v>
      </c>
      <c r="P23" s="16" t="str">
        <f t="shared" si="5"/>
        <v/>
      </c>
    </row>
    <row r="24" spans="1:16">
      <c r="A24" s="15" t="str">
        <f t="array" ref="A24">IFERROR(IF(INDEX('Base de données'!$B$2:$B$114,MATCH(IFERROR(INDEX('Base de données'!D$2:D$114,SMALL(IF(('Base de données'!$B$2:$B$114&lt;&gt;"stock initial")*('Base de données'!$H$2:$H$114=$B$1)*('Base de données'!$I$2:$I$114=$B$2)*('Base de données'!$J$2:$J$114=$B$3*1),ROW('Base de données'!$H$2:$H$114)-1),ROWS($1:18))),""),'Base de données'!$D$2:$D$114,0))="achat",IFERROR(INDEX('Base de données'!D$2:D$114,SMALL(IF(('Base de données'!$B$2:$B$114&lt;&gt;"stock initial")*('Base de données'!$H$2:$H$114=$B$1)*('Base de données'!$I$2:$I$114=$B$2)*('Base de données'!$J$2:$J$114=$B$3*1),ROW('Base de données'!$H$2:$H$114)-1),ROWS($1:18))),""),""),"")</f>
        <v/>
      </c>
      <c r="B24" s="16" t="s">
        <v>75</v>
      </c>
      <c r="C24" s="119" t="s">
        <v>63</v>
      </c>
      <c r="D24" s="16">
        <v>678584</v>
      </c>
      <c r="E24" s="120">
        <v>40733</v>
      </c>
      <c r="F24" s="17" t="str">
        <f t="shared" si="0"/>
        <v>Laiton</v>
      </c>
      <c r="G24" s="17" t="str">
        <f t="shared" si="1"/>
        <v>rond</v>
      </c>
      <c r="H24" s="17">
        <f t="shared" si="2"/>
        <v>22</v>
      </c>
      <c r="I24" s="40">
        <f t="array" ref="I24">IF(AND($D24=0,$E24&lt;&gt;""),IFERROR(INDEX('Base de données'!T$2:T$114,SMALL(IF(('Base de données'!$B$2:$B$114&lt;&gt;"stock initial")*('Base de données'!$H$2:$H$114=$B$1)*('Base de données'!$I$2:$I$114=$B$2)*('Base de données'!$J$2:$J$114=$B$3*1),ROW('Base de données'!$H$2:$H$114)-1),ROWS($1:18))),""),IF($E24="","",I23))</f>
        <v>0</v>
      </c>
      <c r="J24" s="40" t="str">
        <f>IF(D24=0,"",IFERROR(INDEX('Base de données'!S$2:S$114,SMALL(IF(('Base de données'!$B$2:$B$114&lt;&gt;"stock initial")*('Base de données'!$H$2:$H$114=$B$1)*('Base de données'!$I$2:$I$114=$B$2)*('Base de données'!$J$2:$J$114=$B$3*1),ROW('Base de données'!$H$2:$H$114)-1),ROWS($1:18))),""))</f>
        <v/>
      </c>
      <c r="K24" s="5"/>
      <c r="L24" s="18" t="str">
        <f t="shared" si="3"/>
        <v/>
      </c>
      <c r="M24" s="16">
        <f t="array" ref="M24">IF($D24=0,"",IFERROR(INDEX('Base de données'!X$2:X$114,SMALL(IF(('Base de données'!$B$2:$B$114&lt;&gt;"stock initial")*('Base de données'!$H$2:$H$114=$B$1)*('Base de données'!$I$2:$I$114=$B$2)*('Base de données'!$J$2:$J$114=$B$3*1),ROW('Base de données'!$H$2:$H$114)-1),ROWS($1:18))),""))</f>
        <v>76.748381538461544</v>
      </c>
      <c r="N24" s="18" t="str">
        <f t="shared" si="4"/>
        <v/>
      </c>
      <c r="O24" s="16">
        <f t="array" ref="O24">IF($D24=0,0,IFERROR(INDEX('Base de données'!Z$2:Z$114,SMALL(IF(('Base de données'!$B$2:$B$114&lt;&gt;"stock initial")*('Base de données'!$H$2:$H$114="laiton")*('Base de données'!$I$2:$I$114=$B$2)*('Base de données'!$J$2:$J$114=$B$3*1),ROW('Base de données'!$H$2:$H$114)-1),ROWS($1:18))),""))</f>
        <v>4.0627247524752477</v>
      </c>
      <c r="P24" s="16" t="str">
        <f t="shared" si="5"/>
        <v/>
      </c>
    </row>
    <row r="25" spans="1:16">
      <c r="A25" s="15" t="str">
        <f t="array" ref="A25">IFERROR(IF(INDEX('Base de données'!$B$2:$B$114,MATCH(IFERROR(INDEX('Base de données'!D$2:D$114,SMALL(IF(('Base de données'!$B$2:$B$114&lt;&gt;"stock initial")*('Base de données'!$H$2:$H$114=$B$1)*('Base de données'!$I$2:$I$114=$B$2)*('Base de données'!$J$2:$J$114=$B$3*1),ROW('Base de données'!$H$2:$H$114)-1),ROWS($1:19))),""),'Base de données'!$D$2:$D$114,0))="achat",IFERROR(INDEX('Base de données'!D$2:D$114,SMALL(IF(('Base de données'!$B$2:$B$114&lt;&gt;"stock initial")*('Base de données'!$H$2:$H$114=$B$1)*('Base de données'!$I$2:$I$114=$B$2)*('Base de données'!$J$2:$J$114=$B$3*1),ROW('Base de données'!$H$2:$H$114)-1),ROWS($1:19))),""),""),"")</f>
        <v/>
      </c>
      <c r="B25" s="16" t="s">
        <v>76</v>
      </c>
      <c r="C25" s="119" t="s">
        <v>63</v>
      </c>
      <c r="D25" s="16">
        <v>684891</v>
      </c>
      <c r="E25" s="120">
        <v>41104</v>
      </c>
      <c r="F25" s="17" t="str">
        <f t="shared" si="0"/>
        <v>Laiton</v>
      </c>
      <c r="G25" s="17" t="str">
        <f t="shared" si="1"/>
        <v>rond</v>
      </c>
      <c r="H25" s="17">
        <f t="shared" si="2"/>
        <v>22</v>
      </c>
      <c r="I25" s="40">
        <f t="array" ref="I25">IF(AND($D25=0,$E25&lt;&gt;""),IFERROR(INDEX('Base de données'!T$2:T$114,SMALL(IF(('Base de données'!$B$2:$B$114&lt;&gt;"stock initial")*('Base de données'!$H$2:$H$114=$B$1)*('Base de données'!$I$2:$I$114=$B$2)*('Base de données'!$J$2:$J$114=$B$3*1),ROW('Base de données'!$H$2:$H$114)-1),ROWS($1:19))),""),IF($E25="","",I24))</f>
        <v>0</v>
      </c>
      <c r="J25" s="40" t="str">
        <f>IF(D25=0,"",IFERROR(INDEX('Base de données'!S$2:S$114,SMALL(IF(('Base de données'!$B$2:$B$114&lt;&gt;"stock initial")*('Base de données'!$H$2:$H$114=$B$1)*('Base de données'!$I$2:$I$114=$B$2)*('Base de données'!$J$2:$J$114=$B$3*1),ROW('Base de données'!$H$2:$H$114)-1),ROWS($1:19))),""))</f>
        <v/>
      </c>
      <c r="K25" s="5"/>
      <c r="L25" s="18" t="str">
        <f t="shared" si="3"/>
        <v/>
      </c>
      <c r="M25" s="16">
        <f t="array" ref="M25">IF($D25=0,"",IFERROR(INDEX('Base de données'!X$2:X$114,SMALL(IF(('Base de données'!$B$2:$B$114&lt;&gt;"stock initial")*('Base de données'!$H$2:$H$114=$B$1)*('Base de données'!$I$2:$I$114=$B$2)*('Base de données'!$J$2:$J$114=$B$3*1),ROW('Base de données'!$H$2:$H$114)-1),ROWS($1:19))),""))</f>
        <v>214.89546830769231</v>
      </c>
      <c r="N25" s="18" t="str">
        <f t="shared" si="4"/>
        <v/>
      </c>
      <c r="O25" s="16">
        <f t="array" ref="O25">IF($D25=0,0,IFERROR(INDEX('Base de données'!Z$2:Z$114,SMALL(IF(('Base de données'!$B$2:$B$114&lt;&gt;"stock initial")*('Base de données'!$H$2:$H$114="laiton")*('Base de données'!$I$2:$I$114=$B$2)*('Base de données'!$J$2:$J$114=$B$3*1),ROW('Base de données'!$H$2:$H$114)-1),ROWS($1:19))),""))</f>
        <v>11.375629306930692</v>
      </c>
      <c r="P25" s="16" t="str">
        <f t="shared" si="5"/>
        <v/>
      </c>
    </row>
    <row r="26" spans="1:16">
      <c r="A26" s="15" t="str">
        <f t="array" ref="A26">IFERROR(IF(INDEX('Base de données'!$B$2:$B$114,MATCH(IFERROR(INDEX('Base de données'!D$2:D$114,SMALL(IF(('Base de données'!$B$2:$B$114&lt;&gt;"stock initial")*('Base de données'!$H$2:$H$114=$B$1)*('Base de données'!$I$2:$I$114=$B$2)*('Base de données'!$J$2:$J$114=$B$3*1),ROW('Base de données'!$H$2:$H$114)-1),ROWS($1:20))),""),'Base de données'!$D$2:$D$114,0))="achat",IFERROR(INDEX('Base de données'!D$2:D$114,SMALL(IF(('Base de données'!$B$2:$B$114&lt;&gt;"stock initial")*('Base de données'!$H$2:$H$114=$B$1)*('Base de données'!$I$2:$I$114=$B$2)*('Base de données'!$J$2:$J$114=$B$3*1),ROW('Base de données'!$H$2:$H$114)-1),ROWS($1:20))),""),""),"")</f>
        <v/>
      </c>
      <c r="B26" s="16" t="s">
        <v>77</v>
      </c>
      <c r="C26" s="119" t="s">
        <v>63</v>
      </c>
      <c r="D26" s="16">
        <v>680996</v>
      </c>
      <c r="E26" s="120">
        <v>40889</v>
      </c>
      <c r="F26" s="17" t="str">
        <f t="shared" si="0"/>
        <v>Laiton</v>
      </c>
      <c r="G26" s="17" t="str">
        <f t="shared" si="1"/>
        <v>rond</v>
      </c>
      <c r="H26" s="17">
        <f t="shared" si="2"/>
        <v>22</v>
      </c>
      <c r="I26" s="40">
        <f t="array" ref="I26">IF(AND($D26=0,$E26&lt;&gt;""),IFERROR(INDEX('Base de données'!T$2:T$114,SMALL(IF(('Base de données'!$B$2:$B$114&lt;&gt;"stock initial")*('Base de données'!$H$2:$H$114=$B$1)*('Base de données'!$I$2:$I$114=$B$2)*('Base de données'!$J$2:$J$114=$B$3*1),ROW('Base de données'!$H$2:$H$114)-1),ROWS($1:20))),""),IF($E26="","",I25))</f>
        <v>0</v>
      </c>
      <c r="J26" s="40" t="str">
        <f>IF(D26=0,"",IFERROR(INDEX('Base de données'!S$2:S$114,SMALL(IF(('Base de données'!$B$2:$B$114&lt;&gt;"stock initial")*('Base de données'!$H$2:$H$114=$B$1)*('Base de données'!$I$2:$I$114=$B$2)*('Base de données'!$J$2:$J$114=$B$3*1),ROW('Base de données'!$H$2:$H$114)-1),ROWS($1:20))),""))</f>
        <v/>
      </c>
      <c r="K26" s="5"/>
      <c r="L26" s="18" t="str">
        <f t="shared" si="3"/>
        <v/>
      </c>
      <c r="M26" s="16">
        <f t="array" ref="M26">IF($D26=0,"",IFERROR(INDEX('Base de données'!X$2:X$114,SMALL(IF(('Base de données'!$B$2:$B$114&lt;&gt;"stock initial")*('Base de données'!$H$2:$H$114=$B$1)*('Base de données'!$I$2:$I$114=$B$2)*('Base de données'!$J$2:$J$114=$B$3*1),ROW('Base de données'!$H$2:$H$114)-1),ROWS($1:20))),""))</f>
        <v>76.748381538461544</v>
      </c>
      <c r="N26" s="18" t="str">
        <f t="shared" si="4"/>
        <v/>
      </c>
      <c r="O26" s="16">
        <f t="array" ref="O26">IF($D26=0,0,IFERROR(INDEX('Base de données'!Z$2:Z$114,SMALL(IF(('Base de données'!$B$2:$B$114&lt;&gt;"stock initial")*('Base de données'!$H$2:$H$114="laiton")*('Base de données'!$I$2:$I$114=$B$2)*('Base de données'!$J$2:$J$114=$B$3*1),ROW('Base de données'!$H$2:$H$114)-1),ROWS($1:20))),""))</f>
        <v>4.0627247524752477</v>
      </c>
      <c r="P26" s="16" t="str">
        <f t="shared" si="5"/>
        <v/>
      </c>
    </row>
    <row r="27" spans="1:16">
      <c r="A27" s="15" t="str">
        <f t="array" ref="A27">IFERROR(IF(INDEX('Base de données'!$B$2:$B$114,MATCH(IFERROR(INDEX('Base de données'!D$2:D$114,SMALL(IF(('Base de données'!$B$2:$B$114&lt;&gt;"stock initial")*('Base de données'!$H$2:$H$114=$B$1)*('Base de données'!$I$2:$I$114=$B$2)*('Base de données'!$J$2:$J$114=$B$3*1),ROW('Base de données'!$H$2:$H$114)-1),ROWS($1:21))),""),'Base de données'!$D$2:$D$114,0))="achat",IFERROR(INDEX('Base de données'!D$2:D$114,SMALL(IF(('Base de données'!$B$2:$B$114&lt;&gt;"stock initial")*('Base de données'!$H$2:$H$114=$B$1)*('Base de données'!$I$2:$I$114=$B$2)*('Base de données'!$J$2:$J$114=$B$3*1),ROW('Base de données'!$H$2:$H$114)-1),ROWS($1:21))),""),""),"")</f>
        <v/>
      </c>
      <c r="B27" s="16" t="s">
        <v>71</v>
      </c>
      <c r="C27" s="119" t="s">
        <v>63</v>
      </c>
      <c r="D27" s="16">
        <v>685427</v>
      </c>
      <c r="E27" s="120">
        <v>41145</v>
      </c>
      <c r="F27" s="17" t="str">
        <f t="shared" si="0"/>
        <v>Laiton</v>
      </c>
      <c r="G27" s="17" t="str">
        <f t="shared" si="1"/>
        <v>rond</v>
      </c>
      <c r="H27" s="17">
        <f t="shared" si="2"/>
        <v>22</v>
      </c>
      <c r="I27" s="40">
        <f t="array" ref="I27">IF(AND($D27=0,$E27&lt;&gt;""),IFERROR(INDEX('Base de données'!T$2:T$114,SMALL(IF(('Base de données'!$B$2:$B$114&lt;&gt;"stock initial")*('Base de données'!$H$2:$H$114=$B$1)*('Base de données'!$I$2:$I$114=$B$2)*('Base de données'!$J$2:$J$114=$B$3*1),ROW('Base de données'!$H$2:$H$114)-1),ROWS($1:21))),""),IF($E27="","",I26))</f>
        <v>0</v>
      </c>
      <c r="J27" s="40" t="str">
        <f>IF(D27=0,"",IFERROR(INDEX('Base de données'!S$2:S$114,SMALL(IF(('Base de données'!$B$2:$B$114&lt;&gt;"stock initial")*('Base de données'!$H$2:$H$114=$B$1)*('Base de données'!$I$2:$I$114=$B$2)*('Base de données'!$J$2:$J$114=$B$3*1),ROW('Base de données'!$H$2:$H$114)-1),ROWS($1:21))),""))</f>
        <v/>
      </c>
      <c r="K27" s="40"/>
      <c r="L27" s="18" t="str">
        <f t="shared" si="3"/>
        <v/>
      </c>
      <c r="M27" s="16">
        <f t="array" ref="M27">IF($D27=0,"",IFERROR(INDEX('Base de données'!X$2:X$114,SMALL(IF(('Base de données'!$B$2:$B$114&lt;&gt;"stock initial")*('Base de données'!$H$2:$H$114=$B$1)*('Base de données'!$I$2:$I$114=$B$2)*('Base de données'!$J$2:$J$114=$B$3*1),ROW('Base de données'!$H$2:$H$114)-1),ROWS($1:21))),""))</f>
        <v>115.12257230769231</v>
      </c>
      <c r="N27" s="18" t="str">
        <f t="shared" si="4"/>
        <v/>
      </c>
      <c r="O27" s="16">
        <f t="array" ref="O27">IF($D27=0,0,IFERROR(INDEX('Base de données'!Z$2:Z$114,SMALL(IF(('Base de données'!$B$2:$B$114&lt;&gt;"stock initial")*('Base de données'!$H$2:$H$114="laiton")*('Base de données'!$I$2:$I$114=$B$2)*('Base de données'!$J$2:$J$114=$B$3*1),ROW('Base de données'!$H$2:$H$114)-1),ROWS($1:21))),""))</f>
        <v>6.0940871287128706</v>
      </c>
      <c r="P27" s="16" t="str">
        <f t="shared" si="5"/>
        <v/>
      </c>
    </row>
    <row r="28" spans="1:16">
      <c r="A28" s="15">
        <f t="array" ref="A28">IFERROR(IF(INDEX('Base de données'!$B$2:$B$114,MATCH(IFERROR(INDEX('Base de données'!D$2:D$114,SMALL(IF(('Base de données'!$B$2:$B$114&lt;&gt;"stock initial")*('Base de données'!$H$2:$H$114=$B$1)*('Base de données'!$I$2:$I$114=$B$2)*('Base de données'!$J$2:$J$114=$B$3*1),ROW('Base de données'!$H$2:$H$114)-1),ROWS($1:22))),""),'Base de données'!$D$2:$D$114,0))="achat",IFERROR(INDEX('Base de données'!D$2:D$114,SMALL(IF(('Base de données'!$B$2:$B$114&lt;&gt;"stock initial")*('Base de données'!$H$2:$H$114=$B$1)*('Base de données'!$I$2:$I$114=$B$2)*('Base de données'!$J$2:$J$114=$B$3*1),ROW('Base de données'!$H$2:$H$114)-1),ROWS($1:22))),""),""),"")</f>
        <v>43696</v>
      </c>
      <c r="B28" s="16" t="s">
        <v>78</v>
      </c>
      <c r="C28" s="119" t="s">
        <v>63</v>
      </c>
      <c r="D28" s="16">
        <v>686700</v>
      </c>
      <c r="E28" s="120">
        <v>41232</v>
      </c>
      <c r="F28" s="17" t="str">
        <f t="shared" si="0"/>
        <v>Laiton</v>
      </c>
      <c r="G28" s="17" t="str">
        <f t="shared" si="1"/>
        <v>rond</v>
      </c>
      <c r="H28" s="17">
        <f t="shared" si="2"/>
        <v>22</v>
      </c>
      <c r="I28" s="40">
        <f t="array" ref="I28">IF(AND($D28=0,$E28&lt;&gt;""),IFERROR(INDEX('Base de données'!T$2:T$114,SMALL(IF(('Base de données'!$B$2:$B$114&lt;&gt;"stock initial")*('Base de données'!$H$2:$H$114=$B$1)*('Base de données'!$I$2:$I$114=$B$2)*('Base de données'!$J$2:$J$114=$B$3*1),ROW('Base de données'!$H$2:$H$114)-1),ROWS($1:22))),""),IF($E28="","",I27))</f>
        <v>0</v>
      </c>
      <c r="J28" s="40" t="str">
        <f>IF(D28=0,"",IFERROR(INDEX('Base de données'!S$2:S$114,SMALL(IF(('Base de données'!$B$2:$B$114&lt;&gt;"stock initial")*('Base de données'!$H$2:$H$114=$B$1)*('Base de données'!$I$2:$I$114=$B$2)*('Base de données'!$J$2:$J$114=$B$3*1),ROW('Base de données'!$H$2:$H$114)-1),ROWS($1:22))),""))</f>
        <v/>
      </c>
      <c r="K28" s="40"/>
      <c r="L28" s="18" t="str">
        <f t="shared" si="3"/>
        <v/>
      </c>
      <c r="M28" s="16">
        <f t="array" ref="M28">IF($D28=0,"",IFERROR(INDEX('Base de données'!X$2:X$114,SMALL(IF(('Base de données'!$B$2:$B$114&lt;&gt;"stock initial")*('Base de données'!$H$2:$H$114=$B$1)*('Base de données'!$I$2:$I$114=$B$2)*('Base de données'!$J$2:$J$114=$B$3*1),ROW('Base de données'!$H$2:$H$114)-1),ROWS($1:22))),""))</f>
        <v>0</v>
      </c>
      <c r="N28" s="18" t="str">
        <f t="shared" si="4"/>
        <v/>
      </c>
      <c r="O28" s="16">
        <f t="array" ref="O28">IF($D28=0,0,IFERROR(INDEX('Base de données'!Z$2:Z$114,SMALL(IF(('Base de données'!$B$2:$B$114&lt;&gt;"stock initial")*('Base de données'!$H$2:$H$114="laiton")*('Base de données'!$I$2:$I$114=$B$2)*('Base de données'!$J$2:$J$114=$B$3*1),ROW('Base de données'!$H$2:$H$114)-1),ROWS($1:22))),""))</f>
        <v>0</v>
      </c>
      <c r="P28" s="16" t="str">
        <f t="shared" si="5"/>
        <v/>
      </c>
    </row>
    <row r="29" spans="1:16">
      <c r="A29" s="15" t="str">
        <f t="array" ref="A29">IFERROR(IF(INDEX('Base de données'!$B$2:$B$114,MATCH(IFERROR(INDEX('Base de données'!D$2:D$114,SMALL(IF(('Base de données'!$B$2:$B$114&lt;&gt;"stock initial")*('Base de données'!$H$2:$H$114=$B$1)*('Base de données'!$I$2:$I$114=$B$2)*('Base de données'!$J$2:$J$114=$B$3*1),ROW('Base de données'!$H$2:$H$114)-1),ROWS($1:23))),""),'Base de données'!$D$2:$D$114,0))="achat",IFERROR(INDEX('Base de données'!D$2:D$114,SMALL(IF(('Base de données'!$B$2:$B$114&lt;&gt;"stock initial")*('Base de données'!$H$2:$H$114=$B$1)*('Base de données'!$I$2:$I$114=$B$2)*('Base de données'!$J$2:$J$114=$B$3*1),ROW('Base de données'!$H$2:$H$114)-1),ROWS($1:23))),""),""),"")</f>
        <v/>
      </c>
      <c r="B29" s="16" t="s">
        <v>79</v>
      </c>
      <c r="C29" s="119" t="s">
        <v>63</v>
      </c>
      <c r="D29" s="16">
        <v>686724</v>
      </c>
      <c r="E29" s="120">
        <v>41233</v>
      </c>
      <c r="F29" s="17" t="str">
        <f t="shared" si="0"/>
        <v>Laiton</v>
      </c>
      <c r="G29" s="17" t="str">
        <f t="shared" si="1"/>
        <v>rond</v>
      </c>
      <c r="H29" s="17">
        <f t="shared" si="2"/>
        <v>22</v>
      </c>
      <c r="I29" s="40">
        <f t="array" ref="I29">IF(AND($D29=0,$E29&lt;&gt;""),IFERROR(INDEX('Base de données'!T$2:T$114,SMALL(IF(('Base de données'!$B$2:$B$114&lt;&gt;"stock initial")*('Base de données'!$H$2:$H$114=$B$1)*('Base de données'!$I$2:$I$114=$B$2)*('Base de données'!$J$2:$J$114=$B$3*1),ROW('Base de données'!$H$2:$H$114)-1),ROWS($1:23))),""),IF($E29="","",I28))</f>
        <v>0</v>
      </c>
      <c r="J29" s="40" t="str">
        <f>IF(D29=0,"",IFERROR(INDEX('Base de données'!S$2:S$114,SMALL(IF(('Base de données'!$B$2:$B$114&lt;&gt;"stock initial")*('Base de données'!$H$2:$H$114=$B$1)*('Base de données'!$I$2:$I$114=$B$2)*('Base de données'!$J$2:$J$114=$B$3*1),ROW('Base de données'!$H$2:$H$114)-1),ROWS($1:23))),""))</f>
        <v/>
      </c>
      <c r="K29" s="40"/>
      <c r="L29" s="18" t="str">
        <f t="shared" si="3"/>
        <v/>
      </c>
      <c r="M29" s="16">
        <f t="array" ref="M29">IF($D29=0,"",IFERROR(INDEX('Base de données'!X$2:X$114,SMALL(IF(('Base de données'!$B$2:$B$114&lt;&gt;"stock initial")*('Base de données'!$H$2:$H$114=$B$1)*('Base de données'!$I$2:$I$114=$B$2)*('Base de données'!$J$2:$J$114=$B$3*1),ROW('Base de données'!$H$2:$H$114)-1),ROWS($1:23))),""))</f>
        <v>38.374190769230772</v>
      </c>
      <c r="N29" s="18" t="str">
        <f t="shared" si="4"/>
        <v/>
      </c>
      <c r="O29" s="16">
        <f t="array" ref="O29">IF($D29=0,0,IFERROR(INDEX('Base de données'!Z$2:Z$114,SMALL(IF(('Base de données'!$B$2:$B$114&lt;&gt;"stock initial")*('Base de données'!$H$2:$H$114="laiton")*('Base de données'!$I$2:$I$114=$B$2)*('Base de données'!$J$2:$J$114=$B$3*1),ROW('Base de données'!$H$2:$H$114)-1),ROWS($1:23))),""))</f>
        <v>2.0313623762376238</v>
      </c>
      <c r="P29" s="16" t="str">
        <f t="shared" si="5"/>
        <v/>
      </c>
    </row>
    <row r="30" spans="1:16">
      <c r="A30" s="15" t="str">
        <f t="array" ref="A30">IFERROR(IF(INDEX('Base de données'!$B$2:$B$114,MATCH(IFERROR(INDEX('Base de données'!D$2:D$114,SMALL(IF(('Base de données'!$B$2:$B$114&lt;&gt;"stock initial")*('Base de données'!$H$2:$H$114=$B$1)*('Base de données'!$I$2:$I$114=$B$2)*('Base de données'!$J$2:$J$114=$B$3*1),ROW('Base de données'!$H$2:$H$114)-1),ROWS($1:24))),""),'Base de données'!$D$2:$D$114,0))="achat",IFERROR(INDEX('Base de données'!D$2:D$114,SMALL(IF(('Base de données'!$B$2:$B$114&lt;&gt;"stock initial")*('Base de données'!$H$2:$H$114=$B$1)*('Base de données'!$I$2:$I$114=$B$2)*('Base de données'!$J$2:$J$114=$B$3*1),ROW('Base de données'!$H$2:$H$114)-1),ROWS($1:24))),""),""),"")</f>
        <v/>
      </c>
      <c r="B30" s="53"/>
      <c r="C30" s="53"/>
      <c r="D30" s="53"/>
      <c r="E30" s="50"/>
      <c r="F30" s="17" t="str">
        <f t="shared" si="0"/>
        <v/>
      </c>
      <c r="G30" s="17" t="str">
        <f t="shared" si="1"/>
        <v/>
      </c>
      <c r="H30" s="17" t="str">
        <f t="shared" si="2"/>
        <v/>
      </c>
      <c r="I30" s="40" t="str">
        <f t="array" ref="I30">IF(AND($D30=0,$E30&lt;&gt;""),IFERROR(INDEX('Base de données'!T$2:T$114,SMALL(IF(('Base de données'!$B$2:$B$114&lt;&gt;"stock initial")*('Base de données'!$H$2:$H$114=$B$1)*('Base de données'!$I$2:$I$114=$B$2)*('Base de données'!$J$2:$J$114=$B$3*1),ROW('Base de données'!$H$2:$H$114)-1),ROWS($1:24))),""),IF($E30="","",I29))</f>
        <v/>
      </c>
      <c r="J30" s="40" t="str">
        <f>IF(D30=0,"",IFERROR(INDEX('Base de données'!S$2:S$114,SMALL(IF(('Base de données'!$B$2:$B$114&lt;&gt;"stock initial")*('Base de données'!$H$2:$H$114=$B$1)*('Base de données'!$I$2:$I$114=$B$2)*('Base de données'!$J$2:$J$114=$B$3*1),ROW('Base de données'!$H$2:$H$114)-1),ROWS($1:24))),""))</f>
        <v/>
      </c>
      <c r="K30" s="40"/>
      <c r="L30" s="18" t="str">
        <f t="shared" si="3"/>
        <v/>
      </c>
      <c r="M30" s="16" t="str">
        <f t="array" ref="M30">IF($D30=0,"",IFERROR(INDEX('Base de données'!X$2:X$114,SMALL(IF(('Base de données'!$B$2:$B$114&lt;&gt;"stock initial")*('Base de données'!$H$2:$H$114=$B$1)*('Base de données'!$I$2:$I$114=$B$2)*('Base de données'!$J$2:$J$114=$B$3*1),ROW('Base de données'!$H$2:$H$114)-1),ROWS($1:24))),""))</f>
        <v/>
      </c>
      <c r="N30" s="18" t="str">
        <f t="shared" si="4"/>
        <v/>
      </c>
      <c r="O30" s="16">
        <f t="array" ref="O30">IF($D30=0,0,IFERROR(INDEX('Base de données'!Z$2:Z$114,SMALL(IF(('Base de données'!$B$2:$B$114&lt;&gt;"stock initial")*('Base de données'!$H$2:$H$114="laiton")*('Base de données'!$I$2:$I$114=$B$2)*('Base de données'!$J$2:$J$114=$B$3*1),ROW('Base de données'!$H$2:$H$114)-1),ROWS($1:24))),""))</f>
        <v>0</v>
      </c>
      <c r="P30" s="16" t="str">
        <f t="shared" si="5"/>
        <v/>
      </c>
    </row>
    <row r="31" spans="1:16">
      <c r="A31" s="15" t="str">
        <f t="array" ref="A31">IFERROR(IF(INDEX('Base de données'!$B$2:$B$114,MATCH(IFERROR(INDEX('Base de données'!D$2:D$114,SMALL(IF(('Base de données'!$B$2:$B$114&lt;&gt;"stock initial")*('Base de données'!$H$2:$H$114=$B$1)*('Base de données'!$I$2:$I$114=$B$2)*('Base de données'!$J$2:$J$114=$B$3*1),ROW('Base de données'!$H$2:$H$114)-1),ROWS($1:25))),""),'Base de données'!$D$2:$D$114,0))="achat",IFERROR(INDEX('Base de données'!D$2:D$114,SMALL(IF(('Base de données'!$B$2:$B$114&lt;&gt;"stock initial")*('Base de données'!$H$2:$H$114=$B$1)*('Base de données'!$I$2:$I$114=$B$2)*('Base de données'!$J$2:$J$114=$B$3*1),ROW('Base de données'!$H$2:$H$114)-1),ROWS($1:25))),""),""),"")</f>
        <v/>
      </c>
      <c r="B31" s="53"/>
      <c r="C31" s="53"/>
      <c r="D31" s="53"/>
      <c r="E31" s="50"/>
      <c r="F31" s="17" t="str">
        <f t="shared" si="0"/>
        <v/>
      </c>
      <c r="G31" s="17" t="str">
        <f t="shared" si="1"/>
        <v/>
      </c>
      <c r="H31" s="17" t="str">
        <f t="shared" si="2"/>
        <v/>
      </c>
      <c r="I31" s="40" t="str">
        <f t="array" ref="I31">IF(AND($D31=0,$E31&lt;&gt;""),IFERROR(INDEX('Base de données'!T$2:T$114,SMALL(IF(('Base de données'!$B$2:$B$114&lt;&gt;"stock initial")*('Base de données'!$H$2:$H$114=$B$1)*('Base de données'!$I$2:$I$114=$B$2)*('Base de données'!$J$2:$J$114=$B$3*1),ROW('Base de données'!$H$2:$H$114)-1),ROWS($1:25))),""),IF($E31="","",I30))</f>
        <v/>
      </c>
      <c r="J31" s="40" t="str">
        <f>IF(D31=0,"",IFERROR(INDEX('Base de données'!S$2:S$114,SMALL(IF(('Base de données'!$B$2:$B$114&lt;&gt;"stock initial")*('Base de données'!$H$2:$H$114=$B$1)*('Base de données'!$I$2:$I$114=$B$2)*('Base de données'!$J$2:$J$114=$B$3*1),ROW('Base de données'!$H$2:$H$114)-1),ROWS($1:25))),""))</f>
        <v/>
      </c>
      <c r="K31" s="40"/>
      <c r="L31" s="18" t="str">
        <f t="shared" si="3"/>
        <v/>
      </c>
      <c r="M31" s="16" t="str">
        <f t="array" ref="M31">IF($D31=0,"",IFERROR(INDEX('Base de données'!X$2:X$114,SMALL(IF(('Base de données'!$B$2:$B$114&lt;&gt;"stock initial")*('Base de données'!$H$2:$H$114=$B$1)*('Base de données'!$I$2:$I$114=$B$2)*('Base de données'!$J$2:$J$114=$B$3*1),ROW('Base de données'!$H$2:$H$114)-1),ROWS($1:25))),""))</f>
        <v/>
      </c>
      <c r="N31" s="18" t="str">
        <f t="shared" si="4"/>
        <v/>
      </c>
      <c r="O31" s="16">
        <f t="array" ref="O31">IF($D31=0,0,IFERROR(INDEX('Base de données'!Z$2:Z$114,SMALL(IF(('Base de données'!$B$2:$B$114&lt;&gt;"stock initial")*('Base de données'!$H$2:$H$114="laiton")*('Base de données'!$I$2:$I$114=$B$2)*('Base de données'!$J$2:$J$114=$B$3*1),ROW('Base de données'!$H$2:$H$114)-1),ROWS($1:25))),""))</f>
        <v>0</v>
      </c>
      <c r="P31" s="16" t="str">
        <f t="shared" si="5"/>
        <v/>
      </c>
    </row>
    <row r="32" spans="1:16">
      <c r="A32" s="15" t="str">
        <f t="array" ref="A32">IFERROR(IF(INDEX('Base de données'!$B$2:$B$114,MATCH(IFERROR(INDEX('Base de données'!D$2:D$114,SMALL(IF(('Base de données'!$B$2:$B$114&lt;&gt;"stock initial")*('Base de données'!$H$2:$H$114=$B$1)*('Base de données'!$I$2:$I$114=$B$2)*('Base de données'!$J$2:$J$114=$B$3*1),ROW('Base de données'!$H$2:$H$114)-1),ROWS($1:26))),""),'Base de données'!$D$2:$D$114,0))="achat",IFERROR(INDEX('Base de données'!D$2:D$114,SMALL(IF(('Base de données'!$B$2:$B$114&lt;&gt;"stock initial")*('Base de données'!$H$2:$H$114=$B$1)*('Base de données'!$I$2:$I$114=$B$2)*('Base de données'!$J$2:$J$114=$B$3*1),ROW('Base de données'!$H$2:$H$114)-1),ROWS($1:26))),""),""),"")</f>
        <v/>
      </c>
      <c r="B32" s="53"/>
      <c r="C32" s="53"/>
      <c r="D32" s="53"/>
      <c r="E32" s="50"/>
      <c r="F32" s="17" t="str">
        <f t="shared" si="0"/>
        <v/>
      </c>
      <c r="G32" s="17" t="str">
        <f t="shared" si="1"/>
        <v/>
      </c>
      <c r="H32" s="17" t="str">
        <f t="shared" si="2"/>
        <v/>
      </c>
      <c r="I32" s="40" t="str">
        <f t="array" ref="I32">IF(AND($D32=0,$E32&lt;&gt;""),IFERROR(INDEX('Base de données'!T$2:T$114,SMALL(IF(('Base de données'!$B$2:$B$114&lt;&gt;"stock initial")*('Base de données'!$H$2:$H$114=$B$1)*('Base de données'!$I$2:$I$114=$B$2)*('Base de données'!$J$2:$J$114=$B$3*1),ROW('Base de données'!$H$2:$H$114)-1),ROWS($1:26))),""),IF($E32="","",I31))</f>
        <v/>
      </c>
      <c r="J32" s="40" t="str">
        <f>IF(D32=0,"",IFERROR(INDEX('Base de données'!S$2:S$114,SMALL(IF(('Base de données'!$B$2:$B$114&lt;&gt;"stock initial")*('Base de données'!$H$2:$H$114=$B$1)*('Base de données'!$I$2:$I$114=$B$2)*('Base de données'!$J$2:$J$114=$B$3*1),ROW('Base de données'!$H$2:$H$114)-1),ROWS($1:26))),""))</f>
        <v/>
      </c>
      <c r="K32" s="40"/>
      <c r="L32" s="18" t="str">
        <f t="shared" si="3"/>
        <v/>
      </c>
      <c r="M32" s="16" t="str">
        <f t="array" ref="M32">IF($D32=0,"",IFERROR(INDEX('Base de données'!X$2:X$114,SMALL(IF(('Base de données'!$B$2:$B$114&lt;&gt;"stock initial")*('Base de données'!$H$2:$H$114=$B$1)*('Base de données'!$I$2:$I$114=$B$2)*('Base de données'!$J$2:$J$114=$B$3*1),ROW('Base de données'!$H$2:$H$114)-1),ROWS($1:26))),""))</f>
        <v/>
      </c>
      <c r="N32" s="18" t="str">
        <f t="shared" si="4"/>
        <v/>
      </c>
      <c r="O32" s="16">
        <f t="array" ref="O32">IF($D32=0,0,IFERROR(INDEX('Base de données'!Z$2:Z$114,SMALL(IF(('Base de données'!$B$2:$B$114&lt;&gt;"stock initial")*('Base de données'!$H$2:$H$114="laiton")*('Base de données'!$I$2:$I$114=$B$2)*('Base de données'!$J$2:$J$114=$B$3*1),ROW('Base de données'!$H$2:$H$114)-1),ROWS($1:26))),""))</f>
        <v>0</v>
      </c>
      <c r="P32" s="16" t="str">
        <f t="shared" si="5"/>
        <v/>
      </c>
    </row>
    <row r="33" spans="1:16">
      <c r="A33" s="15" t="str">
        <f t="array" ref="A33">IFERROR(IF(INDEX('Base de données'!$B$2:$B$114,MATCH(IFERROR(INDEX('Base de données'!D$2:D$114,SMALL(IF(('Base de données'!$B$2:$B$114&lt;&gt;"stock initial")*('Base de données'!$H$2:$H$114=$B$1)*('Base de données'!$I$2:$I$114=$B$2)*('Base de données'!$J$2:$J$114=$B$3*1),ROW('Base de données'!$H$2:$H$114)-1),ROWS($1:27))),""),'Base de données'!$D$2:$D$114,0))="achat",IFERROR(INDEX('Base de données'!D$2:D$114,SMALL(IF(('Base de données'!$B$2:$B$114&lt;&gt;"stock initial")*('Base de données'!$H$2:$H$114=$B$1)*('Base de données'!$I$2:$I$114=$B$2)*('Base de données'!$J$2:$J$114=$B$3*1),ROW('Base de données'!$H$2:$H$114)-1),ROWS($1:27))),""),""),"")</f>
        <v/>
      </c>
      <c r="B33" s="53"/>
      <c r="C33" s="53"/>
      <c r="D33" s="53"/>
      <c r="E33" s="50"/>
      <c r="F33" s="17" t="str">
        <f t="shared" si="0"/>
        <v/>
      </c>
      <c r="G33" s="17" t="str">
        <f t="shared" si="1"/>
        <v/>
      </c>
      <c r="H33" s="17" t="str">
        <f t="shared" si="2"/>
        <v/>
      </c>
      <c r="I33" s="40" t="str">
        <f t="array" ref="I33">IF(AND($D33=0,$E33&lt;&gt;""),IFERROR(INDEX('Base de données'!T$2:T$114,SMALL(IF(('Base de données'!$B$2:$B$114&lt;&gt;"stock initial")*('Base de données'!$H$2:$H$114=$B$1)*('Base de données'!$I$2:$I$114=$B$2)*('Base de données'!$J$2:$J$114=$B$3*1),ROW('Base de données'!$H$2:$H$114)-1),ROWS($1:27))),""),IF($E33="","",I32))</f>
        <v/>
      </c>
      <c r="J33" s="40" t="str">
        <f>IF(D33=0,"",IFERROR(INDEX('Base de données'!S$2:S$114,SMALL(IF(('Base de données'!$B$2:$B$114&lt;&gt;"stock initial")*('Base de données'!$H$2:$H$114=$B$1)*('Base de données'!$I$2:$I$114=$B$2)*('Base de données'!$J$2:$J$114=$B$3*1),ROW('Base de données'!$H$2:$H$114)-1),ROWS($1:27))),""))</f>
        <v/>
      </c>
      <c r="K33" s="40"/>
      <c r="L33" s="18" t="str">
        <f t="shared" si="3"/>
        <v/>
      </c>
      <c r="M33" s="16" t="str">
        <f t="array" ref="M33">IF($D33=0,"",IFERROR(INDEX('Base de données'!X$2:X$114,SMALL(IF(('Base de données'!$B$2:$B$114&lt;&gt;"stock initial")*('Base de données'!$H$2:$H$114=$B$1)*('Base de données'!$I$2:$I$114=$B$2)*('Base de données'!$J$2:$J$114=$B$3*1),ROW('Base de données'!$H$2:$H$114)-1),ROWS($1:27))),""))</f>
        <v/>
      </c>
      <c r="N33" s="18" t="str">
        <f t="shared" si="4"/>
        <v/>
      </c>
      <c r="O33" s="16">
        <f t="array" ref="O33">IF($D33=0,0,IFERROR(INDEX('Base de données'!Z$2:Z$114,SMALL(IF(('Base de données'!$B$2:$B$114&lt;&gt;"stock initial")*('Base de données'!$H$2:$H$114="laiton")*('Base de données'!$I$2:$I$114=$B$2)*('Base de données'!$J$2:$J$114=$B$3*1),ROW('Base de données'!$H$2:$H$114)-1),ROWS($1:27))),""))</f>
        <v>0</v>
      </c>
      <c r="P33" s="16" t="str">
        <f t="shared" si="5"/>
        <v/>
      </c>
    </row>
    <row r="34" spans="1:16">
      <c r="A34" s="15" t="str">
        <f t="array" ref="A34">IFERROR(IF(INDEX('Base de données'!$B$2:$B$114,MATCH(IFERROR(INDEX('Base de données'!D$2:D$114,SMALL(IF(('Base de données'!$B$2:$B$114&lt;&gt;"stock initial")*('Base de données'!$H$2:$H$114=$B$1)*('Base de données'!$I$2:$I$114=$B$2)*('Base de données'!$J$2:$J$114=$B$3*1),ROW('Base de données'!$H$2:$H$114)-1),ROWS($1:28))),""),'Base de données'!$D$2:$D$114,0))="achat",IFERROR(INDEX('Base de données'!D$2:D$114,SMALL(IF(('Base de données'!$B$2:$B$114&lt;&gt;"stock initial")*('Base de données'!$H$2:$H$114=$B$1)*('Base de données'!$I$2:$I$114=$B$2)*('Base de données'!$J$2:$J$114=$B$3*1),ROW('Base de données'!$H$2:$H$114)-1),ROWS($1:28))),""),""),"")</f>
        <v/>
      </c>
      <c r="B34" s="53"/>
      <c r="C34" s="53"/>
      <c r="D34" s="53"/>
      <c r="E34" s="50"/>
      <c r="F34" s="17" t="str">
        <f t="shared" si="0"/>
        <v/>
      </c>
      <c r="G34" s="17" t="str">
        <f t="shared" si="1"/>
        <v/>
      </c>
      <c r="H34" s="17" t="str">
        <f t="shared" si="2"/>
        <v/>
      </c>
      <c r="I34" s="40" t="str">
        <f t="array" ref="I34">IF(AND($D34=0,$E34&lt;&gt;""),IFERROR(INDEX('Base de données'!T$2:T$114,SMALL(IF(('Base de données'!$B$2:$B$114&lt;&gt;"stock initial")*('Base de données'!$H$2:$H$114=$B$1)*('Base de données'!$I$2:$I$114=$B$2)*('Base de données'!$J$2:$J$114=$B$3*1),ROW('Base de données'!$H$2:$H$114)-1),ROWS($1:28))),""),IF($E34="","",I33))</f>
        <v/>
      </c>
      <c r="J34" s="40" t="str">
        <f>IF(D34=0,"",IFERROR(INDEX('Base de données'!S$2:S$114,SMALL(IF(('Base de données'!$B$2:$B$114&lt;&gt;"stock initial")*('Base de données'!$H$2:$H$114=$B$1)*('Base de données'!$I$2:$I$114=$B$2)*('Base de données'!$J$2:$J$114=$B$3*1),ROW('Base de données'!$H$2:$H$114)-1),ROWS($1:28))),""))</f>
        <v/>
      </c>
      <c r="K34" s="40"/>
      <c r="L34" s="18" t="str">
        <f t="shared" si="3"/>
        <v/>
      </c>
      <c r="M34" s="16" t="str">
        <f t="array" ref="M34">IF($D34=0,"",IFERROR(INDEX('Base de données'!X$2:X$114,SMALL(IF(('Base de données'!$B$2:$B$114&lt;&gt;"stock initial")*('Base de données'!$H$2:$H$114=$B$1)*('Base de données'!$I$2:$I$114=$B$2)*('Base de données'!$J$2:$J$114=$B$3*1),ROW('Base de données'!$H$2:$H$114)-1),ROWS($1:28))),""))</f>
        <v/>
      </c>
      <c r="N34" s="18" t="str">
        <f t="shared" si="4"/>
        <v/>
      </c>
      <c r="O34" s="16">
        <f t="array" ref="O34">IF($D34=0,0,IFERROR(INDEX('Base de données'!Z$2:Z$114,SMALL(IF(('Base de données'!$B$2:$B$114&lt;&gt;"stock initial")*('Base de données'!$H$2:$H$114="laiton")*('Base de données'!$I$2:$I$114=$B$2)*('Base de données'!$J$2:$J$114=$B$3*1),ROW('Base de données'!$H$2:$H$114)-1),ROWS($1:28))),""))</f>
        <v>0</v>
      </c>
      <c r="P34" s="16" t="str">
        <f t="shared" si="5"/>
        <v/>
      </c>
    </row>
    <row r="35" spans="1:16">
      <c r="A35" s="15" t="str">
        <f t="array" ref="A35">IFERROR(IF(INDEX('Base de données'!$B$2:$B$114,MATCH(IFERROR(INDEX('Base de données'!D$2:D$114,SMALL(IF(('Base de données'!$B$2:$B$114&lt;&gt;"stock initial")*('Base de données'!$H$2:$H$114=$B$1)*('Base de données'!$I$2:$I$114=$B$2)*('Base de données'!$J$2:$J$114=$B$3*1),ROW('Base de données'!$H$2:$H$114)-1),ROWS($1:29))),""),'Base de données'!$D$2:$D$114,0))="achat",IFERROR(INDEX('Base de données'!D$2:D$114,SMALL(IF(('Base de données'!$B$2:$B$114&lt;&gt;"stock initial")*('Base de données'!$H$2:$H$114=$B$1)*('Base de données'!$I$2:$I$114=$B$2)*('Base de données'!$J$2:$J$114=$B$3*1),ROW('Base de données'!$H$2:$H$114)-1),ROWS($1:29))),""),""),"")</f>
        <v/>
      </c>
      <c r="B35" s="53"/>
      <c r="C35" s="53"/>
      <c r="D35" s="53"/>
      <c r="E35" s="50"/>
      <c r="F35" s="17" t="str">
        <f t="shared" si="0"/>
        <v/>
      </c>
      <c r="G35" s="17" t="str">
        <f t="shared" si="1"/>
        <v/>
      </c>
      <c r="H35" s="17" t="str">
        <f t="shared" si="2"/>
        <v/>
      </c>
      <c r="I35" s="40" t="str">
        <f t="array" ref="I35">IF(AND($D35=0,$E35&lt;&gt;""),IFERROR(INDEX('Base de données'!T$2:T$114,SMALL(IF(('Base de données'!$B$2:$B$114&lt;&gt;"stock initial")*('Base de données'!$H$2:$H$114=$B$1)*('Base de données'!$I$2:$I$114=$B$2)*('Base de données'!$J$2:$J$114=$B$3*1),ROW('Base de données'!$H$2:$H$114)-1),ROWS($1:29))),""),IF($E35="","",I34))</f>
        <v/>
      </c>
      <c r="J35" s="40" t="str">
        <f>IF(D35=0,"",IFERROR(INDEX('Base de données'!S$2:S$114,SMALL(IF(('Base de données'!$B$2:$B$114&lt;&gt;"stock initial")*('Base de données'!$H$2:$H$114=$B$1)*('Base de données'!$I$2:$I$114=$B$2)*('Base de données'!$J$2:$J$114=$B$3*1),ROW('Base de données'!$H$2:$H$114)-1),ROWS($1:29))),""))</f>
        <v/>
      </c>
      <c r="K35" s="40"/>
      <c r="L35" s="18" t="str">
        <f t="shared" si="3"/>
        <v/>
      </c>
      <c r="M35" s="16" t="str">
        <f t="array" ref="M35">IF($D35=0,"",IFERROR(INDEX('Base de données'!X$2:X$114,SMALL(IF(('Base de données'!$B$2:$B$114&lt;&gt;"stock initial")*('Base de données'!$H$2:$H$114=$B$1)*('Base de données'!$I$2:$I$114=$B$2)*('Base de données'!$J$2:$J$114=$B$3*1),ROW('Base de données'!$H$2:$H$114)-1),ROWS($1:29))),""))</f>
        <v/>
      </c>
      <c r="N35" s="18" t="str">
        <f t="shared" si="4"/>
        <v/>
      </c>
      <c r="O35" s="16">
        <f t="array" ref="O35">IF($D35=0,0,IFERROR(INDEX('Base de données'!Z$2:Z$114,SMALL(IF(('Base de données'!$B$2:$B$114&lt;&gt;"stock initial")*('Base de données'!$H$2:$H$114="laiton")*('Base de données'!$I$2:$I$114=$B$2)*('Base de données'!$J$2:$J$114=$B$3*1),ROW('Base de données'!$H$2:$H$114)-1),ROWS($1:29))),""))</f>
        <v>0</v>
      </c>
      <c r="P35" s="16" t="str">
        <f t="shared" si="5"/>
        <v/>
      </c>
    </row>
    <row r="36" spans="1:16">
      <c r="A36" s="15" t="str">
        <f t="array" ref="A36">IFERROR(IF(INDEX('Base de données'!$B$2:$B$114,MATCH(IFERROR(INDEX('Base de données'!D$2:D$114,SMALL(IF(('Base de données'!$B$2:$B$114&lt;&gt;"stock initial")*('Base de données'!$H$2:$H$114=$B$1)*('Base de données'!$I$2:$I$114=$B$2)*('Base de données'!$J$2:$J$114=$B$3*1),ROW('Base de données'!$H$2:$H$114)-1),ROWS($1:30))),""),'Base de données'!$D$2:$D$114,0))="achat",IFERROR(INDEX('Base de données'!D$2:D$114,SMALL(IF(('Base de données'!$B$2:$B$114&lt;&gt;"stock initial")*('Base de données'!$H$2:$H$114=$B$1)*('Base de données'!$I$2:$I$114=$B$2)*('Base de données'!$J$2:$J$114=$B$3*1),ROW('Base de données'!$H$2:$H$114)-1),ROWS($1:30))),""),""),"")</f>
        <v/>
      </c>
      <c r="B36" s="53"/>
      <c r="C36" s="53"/>
      <c r="D36" s="53"/>
      <c r="E36" s="50"/>
      <c r="F36" s="17" t="str">
        <f t="shared" si="0"/>
        <v/>
      </c>
      <c r="G36" s="17" t="str">
        <f t="shared" si="1"/>
        <v/>
      </c>
      <c r="H36" s="17" t="str">
        <f t="shared" si="2"/>
        <v/>
      </c>
      <c r="I36" s="40" t="str">
        <f t="array" ref="I36">IF(AND($D36=0,$E36&lt;&gt;""),IFERROR(INDEX('Base de données'!T$2:T$114,SMALL(IF(('Base de données'!$B$2:$B$114&lt;&gt;"stock initial")*('Base de données'!$H$2:$H$114=$B$1)*('Base de données'!$I$2:$I$114=$B$2)*('Base de données'!$J$2:$J$114=$B$3*1),ROW('Base de données'!$H$2:$H$114)-1),ROWS($1:30))),""),IF($E36="","",I35))</f>
        <v/>
      </c>
      <c r="J36" s="40" t="str">
        <f>IF(D36=0,"",IFERROR(INDEX('Base de données'!S$2:S$114,SMALL(IF(('Base de données'!$B$2:$B$114&lt;&gt;"stock initial")*('Base de données'!$H$2:$H$114=$B$1)*('Base de données'!$I$2:$I$114=$B$2)*('Base de données'!$J$2:$J$114=$B$3*1),ROW('Base de données'!$H$2:$H$114)-1),ROWS($1:30))),""))</f>
        <v/>
      </c>
      <c r="K36" s="40"/>
      <c r="L36" s="18" t="str">
        <f t="shared" si="3"/>
        <v/>
      </c>
      <c r="M36" s="16" t="str">
        <f t="array" ref="M36">IF($D36=0,"",IFERROR(INDEX('Base de données'!X$2:X$114,SMALL(IF(('Base de données'!$B$2:$B$114&lt;&gt;"stock initial")*('Base de données'!$H$2:$H$114=$B$1)*('Base de données'!$I$2:$I$114=$B$2)*('Base de données'!$J$2:$J$114=$B$3*1),ROW('Base de données'!$H$2:$H$114)-1),ROWS($1:30))),""))</f>
        <v/>
      </c>
      <c r="N36" s="18" t="str">
        <f t="shared" si="4"/>
        <v/>
      </c>
      <c r="O36" s="16">
        <f t="array" ref="O36">IF($D36=0,0,IFERROR(INDEX('Base de données'!Z$2:Z$114,SMALL(IF(('Base de données'!$B$2:$B$114&lt;&gt;"stock initial")*('Base de données'!$H$2:$H$114="laiton")*('Base de données'!$I$2:$I$114=$B$2)*('Base de données'!$J$2:$J$114=$B$3*1),ROW('Base de données'!$H$2:$H$114)-1),ROWS($1:30))),""))</f>
        <v>0</v>
      </c>
      <c r="P36" s="16" t="str">
        <f t="shared" si="5"/>
        <v/>
      </c>
    </row>
    <row r="37" spans="1:16">
      <c r="A37" s="15" t="str">
        <f t="array" ref="A37">IFERROR(IF(INDEX('Base de données'!$B$2:$B$114,MATCH(IFERROR(INDEX('Base de données'!D$2:D$114,SMALL(IF(('Base de données'!$B$2:$B$114&lt;&gt;"stock initial")*('Base de données'!$H$2:$H$114=$B$1)*('Base de données'!$I$2:$I$114=$B$2)*('Base de données'!$J$2:$J$114=$B$3*1),ROW('Base de données'!$H$2:$H$114)-1),ROWS($1:31))),""),'Base de données'!$D$2:$D$114,0))="achat",IFERROR(INDEX('Base de données'!D$2:D$114,SMALL(IF(('Base de données'!$B$2:$B$114&lt;&gt;"stock initial")*('Base de données'!$H$2:$H$114=$B$1)*('Base de données'!$I$2:$I$114=$B$2)*('Base de données'!$J$2:$J$114=$B$3*1),ROW('Base de données'!$H$2:$H$114)-1),ROWS($1:31))),""),""),"")</f>
        <v/>
      </c>
      <c r="B37" s="53"/>
      <c r="C37" s="53"/>
      <c r="D37" s="53"/>
      <c r="E37" s="50"/>
      <c r="F37" s="17" t="str">
        <f t="shared" si="0"/>
        <v/>
      </c>
      <c r="G37" s="17" t="str">
        <f t="shared" si="1"/>
        <v/>
      </c>
      <c r="H37" s="17" t="str">
        <f t="shared" si="2"/>
        <v/>
      </c>
      <c r="I37" s="40" t="str">
        <f t="array" ref="I37">IF(AND($D37=0,$E37&lt;&gt;""),IFERROR(INDEX('Base de données'!T$2:T$114,SMALL(IF(('Base de données'!$B$2:$B$114&lt;&gt;"stock initial")*('Base de données'!$H$2:$H$114=$B$1)*('Base de données'!$I$2:$I$114=$B$2)*('Base de données'!$J$2:$J$114=$B$3*1),ROW('Base de données'!$H$2:$H$114)-1),ROWS($1:31))),""),IF($E37="","",I36))</f>
        <v/>
      </c>
      <c r="J37" s="40" t="str">
        <f>IF(D37=0,"",IFERROR(INDEX('Base de données'!S$2:S$114,SMALL(IF(('Base de données'!$B$2:$B$114&lt;&gt;"stock initial")*('Base de données'!$H$2:$H$114=$B$1)*('Base de données'!$I$2:$I$114=$B$2)*('Base de données'!$J$2:$J$114=$B$3*1),ROW('Base de données'!$H$2:$H$114)-1),ROWS($1:31))),""))</f>
        <v/>
      </c>
      <c r="K37" s="40"/>
      <c r="L37" s="18" t="str">
        <f t="shared" si="3"/>
        <v/>
      </c>
      <c r="M37" s="16" t="str">
        <f t="array" ref="M37">IF($D37=0,"",IFERROR(INDEX('Base de données'!X$2:X$114,SMALL(IF(('Base de données'!$B$2:$B$114&lt;&gt;"stock initial")*('Base de données'!$H$2:$H$114=$B$1)*('Base de données'!$I$2:$I$114=$B$2)*('Base de données'!$J$2:$J$114=$B$3*1),ROW('Base de données'!$H$2:$H$114)-1),ROWS($1:31))),""))</f>
        <v/>
      </c>
      <c r="N37" s="18" t="str">
        <f t="shared" si="4"/>
        <v/>
      </c>
      <c r="O37" s="16">
        <f t="array" ref="O37">IF($D37=0,0,IFERROR(INDEX('Base de données'!Z$2:Z$114,SMALL(IF(('Base de données'!$B$2:$B$114&lt;&gt;"stock initial")*('Base de données'!$H$2:$H$114="laiton")*('Base de données'!$I$2:$I$114=$B$2)*('Base de données'!$J$2:$J$114=$B$3*1),ROW('Base de données'!$H$2:$H$114)-1),ROWS($1:31))),""))</f>
        <v>0</v>
      </c>
      <c r="P37" s="16" t="str">
        <f t="shared" si="5"/>
        <v/>
      </c>
    </row>
    <row r="38" spans="1:16">
      <c r="A38" s="15" t="str">
        <f t="array" ref="A38">IFERROR(IF(INDEX('Base de données'!$B$2:$B$114,MATCH(IFERROR(INDEX('Base de données'!D$2:D$114,SMALL(IF(('Base de données'!$B$2:$B$114&lt;&gt;"stock initial")*('Base de données'!$H$2:$H$114=$B$1)*('Base de données'!$I$2:$I$114=$B$2)*('Base de données'!$J$2:$J$114=$B$3*1),ROW('Base de données'!$H$2:$H$114)-1),ROWS($1:32))),""),'Base de données'!$D$2:$D$114,0))="achat",IFERROR(INDEX('Base de données'!D$2:D$114,SMALL(IF(('Base de données'!$B$2:$B$114&lt;&gt;"stock initial")*('Base de données'!$H$2:$H$114=$B$1)*('Base de données'!$I$2:$I$114=$B$2)*('Base de données'!$J$2:$J$114=$B$3*1),ROW('Base de données'!$H$2:$H$114)-1),ROWS($1:32))),""),""),"")</f>
        <v/>
      </c>
      <c r="B38" s="53"/>
      <c r="C38" s="53"/>
      <c r="D38" s="53"/>
      <c r="E38" s="50"/>
      <c r="F38" s="17" t="str">
        <f t="shared" si="0"/>
        <v/>
      </c>
      <c r="G38" s="17" t="str">
        <f t="shared" si="1"/>
        <v/>
      </c>
      <c r="H38" s="17" t="str">
        <f t="shared" si="2"/>
        <v/>
      </c>
      <c r="I38" s="40" t="str">
        <f t="array" ref="I38">IF(AND($D38=0,$E38&lt;&gt;""),IFERROR(INDEX('Base de données'!T$2:T$114,SMALL(IF(('Base de données'!$B$2:$B$114&lt;&gt;"stock initial")*('Base de données'!$H$2:$H$114=$B$1)*('Base de données'!$I$2:$I$114=$B$2)*('Base de données'!$J$2:$J$114=$B$3*1),ROW('Base de données'!$H$2:$H$114)-1),ROWS($1:32))),""),IF($E38="","",I37))</f>
        <v/>
      </c>
      <c r="J38" s="40" t="str">
        <f>IF(D38=0,"",IFERROR(INDEX('Base de données'!S$2:S$114,SMALL(IF(('Base de données'!$B$2:$B$114&lt;&gt;"stock initial")*('Base de données'!$H$2:$H$114=$B$1)*('Base de données'!$I$2:$I$114=$B$2)*('Base de données'!$J$2:$J$114=$B$3*1),ROW('Base de données'!$H$2:$H$114)-1),ROWS($1:32))),""))</f>
        <v/>
      </c>
      <c r="K38" s="40"/>
      <c r="L38" s="18" t="str">
        <f t="shared" si="3"/>
        <v/>
      </c>
      <c r="M38" s="16" t="str">
        <f t="array" ref="M38">IF($D38=0,"",IFERROR(INDEX('Base de données'!X$2:X$114,SMALL(IF(('Base de données'!$B$2:$B$114&lt;&gt;"stock initial")*('Base de données'!$H$2:$H$114=$B$1)*('Base de données'!$I$2:$I$114=$B$2)*('Base de données'!$J$2:$J$114=$B$3*1),ROW('Base de données'!$H$2:$H$114)-1),ROWS($1:32))),""))</f>
        <v/>
      </c>
      <c r="N38" s="18" t="str">
        <f t="shared" si="4"/>
        <v/>
      </c>
      <c r="O38" s="16">
        <f t="array" ref="O38">IF($D38=0,0,IFERROR(INDEX('Base de données'!Z$2:Z$114,SMALL(IF(('Base de données'!$B$2:$B$114&lt;&gt;"stock initial")*('Base de données'!$H$2:$H$114="laiton")*('Base de données'!$I$2:$I$114=$B$2)*('Base de données'!$J$2:$J$114=$B$3*1),ROW('Base de données'!$H$2:$H$114)-1),ROWS($1:32))),""))</f>
        <v>0</v>
      </c>
      <c r="P38" s="16" t="str">
        <f t="shared" si="5"/>
        <v/>
      </c>
    </row>
    <row r="39" spans="1:16">
      <c r="A39" s="51"/>
      <c r="B39" s="52"/>
    </row>
    <row r="40" spans="1:16">
      <c r="A40" s="51"/>
    </row>
  </sheetData>
  <mergeCells count="3">
    <mergeCell ref="F5:H5"/>
    <mergeCell ref="L5:M5"/>
    <mergeCell ref="N5:O5"/>
  </mergeCells>
  <dataValidations count="3">
    <dataValidation type="list" allowBlank="1" showInputMessage="1" showErrorMessage="1" sqref="B2" xr:uid="{AB2742D0-A7BB-42F9-AEF1-12DEB9E8A7DE}">
      <formula1>formes</formula1>
    </dataValidation>
    <dataValidation type="list" allowBlank="1" showInputMessage="1" showErrorMessage="1" sqref="B3" xr:uid="{DE7D0FC9-811C-43AB-897D-96B3B63391F4}">
      <formula1>Dia</formula1>
    </dataValidation>
    <dataValidation type="list" allowBlank="1" showInputMessage="1" showErrorMessage="1" sqref="B1" xr:uid="{7A5A8606-D14F-4532-906A-D31E7B2436AF}">
      <formula1>matière</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13536-6EE2-4F15-AA2C-B26C1E0271BE}">
  <dimension ref="A1:R97"/>
  <sheetViews>
    <sheetView topLeftCell="A3" zoomScaleNormal="100" workbookViewId="0">
      <selection activeCell="H27" sqref="H27"/>
    </sheetView>
  </sheetViews>
  <sheetFormatPr defaultColWidth="11.42578125" defaultRowHeight="15"/>
  <cols>
    <col min="3" max="3" width="11.42578125" style="45"/>
    <col min="5" max="5" width="34.5703125" bestFit="1" customWidth="1"/>
  </cols>
  <sheetData>
    <row r="1" spans="1:18" ht="15.75" thickBot="1">
      <c r="F1" t="s">
        <v>5</v>
      </c>
      <c r="G1" s="47" t="s">
        <v>43</v>
      </c>
      <c r="H1" s="44" t="s">
        <v>45</v>
      </c>
      <c r="I1" s="48">
        <v>22</v>
      </c>
    </row>
    <row r="2" spans="1:18" ht="39" thickTop="1">
      <c r="A2" s="20" t="s">
        <v>0</v>
      </c>
      <c r="B2" s="21" t="s">
        <v>2</v>
      </c>
      <c r="C2" s="49" t="s">
        <v>3</v>
      </c>
      <c r="D2" s="22" t="s">
        <v>4</v>
      </c>
      <c r="E2" s="22" t="s">
        <v>5</v>
      </c>
      <c r="F2" s="23" t="s">
        <v>6</v>
      </c>
      <c r="G2" s="31" t="s">
        <v>57</v>
      </c>
      <c r="H2" s="31" t="s">
        <v>58</v>
      </c>
      <c r="I2" s="31" t="s">
        <v>59</v>
      </c>
      <c r="J2" s="24" t="s">
        <v>11</v>
      </c>
      <c r="K2" s="25" t="s">
        <v>12</v>
      </c>
      <c r="L2" s="26" t="s">
        <v>24</v>
      </c>
      <c r="M2" s="27" t="s">
        <v>17</v>
      </c>
      <c r="N2" s="28" t="s">
        <v>80</v>
      </c>
      <c r="O2" s="46" t="s">
        <v>22</v>
      </c>
      <c r="P2" s="29" t="s">
        <v>81</v>
      </c>
      <c r="Q2" s="29" t="s">
        <v>25</v>
      </c>
      <c r="R2" s="30" t="s">
        <v>82</v>
      </c>
    </row>
    <row r="3" spans="1:18">
      <c r="A3">
        <f t="array" ref="A3">IFERROR(INDEX(Tableau1[[#All],[Facture N°]],SMALL(IF((Tableau1[[#All],[Origine]]="vente")*(Tableau1[[#All],[matière]]=$G$1)*(Tableau1[[#All],[forme]]=$H$1)*(Tableau1[[#All],[taille]]=$I$1*1),ROW(Tableau1[[#All],[matière]])-1),ROWS($1:1))),"")</f>
        <v>201700021</v>
      </c>
      <c r="B3">
        <f t="array" ref="B3">IFERROR(INDEX(Tableau1[[#All],[N° déclarat° export]],SMALL(IF((Tableau1[[#All],[Origine]]="vente")*(Tableau1[[#All],[matière]]=$G$1)*(Tableau1[[#All],[forme]]=$H$1)*(Tableau1[[#All],[taille]]=$I$1*1),ROW(Tableau1[[#All],[matière]])-1),ROWS($1:1))),"")</f>
        <v>546763</v>
      </c>
      <c r="C3" s="45">
        <f t="array" ref="C3">IFERROR(INDEX(Tableau1[[#All],[Date déclarat° export]],SMALL(IF((Tableau1[[#All],[Origine]]="vente")*(Tableau1[[#All],[matière]]=$G$1)*(Tableau1[[#All],[forme]]=$H$1)*(Tableau1[[#All],[taille]]=$I$1*1),ROW(Tableau1[[#All],[matière]])-1),ROWS($1:1))),"")</f>
        <v>42818</v>
      </c>
      <c r="D3">
        <f t="array" ref="D3">IFERROR(INDEX(Tableau1[[#All],[Réf article]],SMALL(IF((Tableau1[[#All],[Origine]]="vente")*(Tableau1[[#All],[matière]]=$G$1)*(Tableau1[[#All],[forme]]=$H$1)*(Tableau1[[#All],[taille]]=$I$1*1),ROW(Tableau1[[#All],[matière]])-1),ROWS($1:1))),"")</f>
        <v>200200</v>
      </c>
      <c r="E3" t="str">
        <f t="array" ref="E3">IFERROR(INDEX(Tableau1[[#All],[Désignation]],SMALL(IF((Tableau1[[#All],[Origine]]="vente")*(Tableau1[[#All],[matière]]=$G$1)*(Tableau1[[#All],[forme]]=$H$1)*(Tableau1[[#All],[taille]]=$I$1*1),ROW(Tableau1[[#All],[matière]])-1),ROWS($1:1))),"")</f>
        <v>EMBOUT DE TIGE</v>
      </c>
      <c r="F3">
        <f t="array" ref="F3">IFERROR(INDEX(Tableau1[[#All],[N° fiche]],SMALL(IF((Tableau1[[#All],[Origine]]="vente")*(Tableau1[[#All],[matière]]=$G$1)*(Tableau1[[#All],[forme]]=$H$1)*(Tableau1[[#All],[taille]]=$I$1*1),ROW(Tableau1[[#All],[matière]])-1),ROWS($1:1))),"")</f>
        <v>146</v>
      </c>
      <c r="G3" s="58" t="str">
        <f t="array" ref="G3">IFERROR(INDEX('Base de données'!H$2:H$114,SMALL(IF((('Base de données'!$B$2:$B$114="vente"))*('Base de données'!$H$2:$H$114=$G$1)*('Base de données'!$I$2:$I$114=$H$1)*('Base de données'!$J$2:$J$114=$I$1*1),ROW('Base de données'!$H$2:$H$114)-1),ROWS($1:1))),"")</f>
        <v>LAITON</v>
      </c>
      <c r="H3" s="58" t="str">
        <f t="array" ref="H3">IFERROR(INDEX('Base de données'!I$2:I$114,SMALL(IF((('Base de données'!$B$2:$B$114="vente"))*('Base de données'!$H$2:$H$114=$G$1)*('Base de données'!$I$2:$I$114=$H$1)*('Base de données'!$J$2:$J$114=$I$1*1),ROW('Base de données'!$H$2:$H$114)-1),ROWS($1:1))),"")</f>
        <v>ROND</v>
      </c>
      <c r="I3" s="58">
        <f t="array" ref="I3">IFERROR(INDEX('Base de données'!J$2:J$114,SMALL(IF((('Base de données'!$B$2:$B$114="vente"))*('Base de données'!$H$2:$H$114=$G$1)*('Base de données'!$I$2:$I$114=$H$1)*('Base de données'!$J$2:$J$114=$I$1*1),ROW('Base de données'!$H$2:$H$114)-1),ROWS($1:1))),"")</f>
        <v>22</v>
      </c>
      <c r="J3">
        <f t="array" ref="J3">IFERROR(INDEX(Tableau1[[#All],[Qté livrée]],SMALL(IF((Tableau1[[#All],[Origine]]="vente")*(Tableau1[[#All],[matière]]=$G$1)*(Tableau1[[#All],[forme]]=$H$1)*(Tableau1[[#All],[taille]]=$I$1*1),ROW(Tableau1[[#All],[matière]])-1),ROWS($1:1))),"")</f>
        <v>2000</v>
      </c>
      <c r="K3">
        <f t="array" ref="K3:K22">IFERROR(INDEX(Tableau1[[#All],[Poids net/ pièce]],SMALL(IF((Tableau1[[#All],[Origine]]="vente")*(Tableau1[[#All],[matière]]=$G$1)*(Tableau1[[#All],[forme]]=$H$1)*(Tableau1[[#All],[taille]]=$I$1*1),ROW(Tableau1[[#All],[matière]])-1),ROWS($1:1))),"")</f>
        <v>7.4759999999999993E-2</v>
      </c>
      <c r="L3">
        <f t="array" ref="L3:L22">IFERROR(INDEX(Tableau1[[#All],[Participat° dans la FB]],SMALL(IF((Tableau1[[#All],[Origine]]="vente")*(Tableau1[[#All],[matière]]=$G$1)*(Tableau1[[#All],[forme]]=$H$1)*(Tableau1[[#All],[taille]]=$I$1*1),ROW(Tableau1[[#All],[matière]])-1),ROWS($1:1))),"")</f>
        <v>4.0627247524752472E-3</v>
      </c>
      <c r="M3">
        <f t="array" ref="M3:M22">IFERROR(INDEX(Tableau1[[#All],[Poids brut/pièce]],SMALL(IF((Tableau1[[#All],[Origine]]="vente")*(Tableau1[[#All],[matière]]=$G$1)*(Tableau1[[#All],[forme]]=$H$1)*(Tableau1[[#All],[taille]]=$I$1*1),ROW(Tableau1[[#All],[matière]])-1),ROWS($1:1))),"")</f>
        <v>0.15782123076923077</v>
      </c>
      <c r="N3">
        <f>IFERROR(M3*J3,"")</f>
        <v>315.64246153846153</v>
      </c>
      <c r="O3">
        <f t="array" ref="O3:O22">IFERROR(INDEX(Tableau1[[#All],[Poids copeaux/
pièce]],SMALL(IF((Tableau1[[#All],[Origine]]="vente")*(Tableau1[[#All],[matière]]=$G$1)*(Tableau1[[#All],[forme]]=$H$1)*(Tableau1[[#All],[taille]]=$I$1*1),ROW(Tableau1[[#All],[matière]])-1),ROWS($1:1))),"")</f>
        <v>7.6748381538461544E-2</v>
      </c>
      <c r="P3">
        <f>IFERROR(O3*J3,"")</f>
        <v>153.49676307692309</v>
      </c>
      <c r="Q3">
        <f>IFERROR(L3*J3,"")</f>
        <v>8.1254495049504953</v>
      </c>
      <c r="R3">
        <f>IFERROR((O3+L3)/M3,"")</f>
        <v>0.51204204844340839</v>
      </c>
    </row>
    <row r="4" spans="1:18">
      <c r="A4">
        <f t="array" ref="A4">IFERROR(INDEX(Tableau1[[#All],[Facture N°]],SMALL(IF((Tableau1[[#All],[Origine]]="vente")*(Tableau1[[#All],[matière]]=$G$1)*(Tableau1[[#All],[forme]]=$H$1)*(Tableau1[[#All],[taille]]=$I$1*1),ROW(Tableau1[[#All],[matière]])-1),ROWS($1:2))),"")</f>
        <v>201700034</v>
      </c>
      <c r="B4">
        <f t="array" ref="B4">IFERROR(INDEX(Tableau1[[#All],[N° déclarat° export]],SMALL(IF((Tableau1[[#All],[Origine]]="vente")*(Tableau1[[#All],[matière]]=$G$1)*(Tableau1[[#All],[forme]]=$H$1)*(Tableau1[[#All],[taille]]=$I$1*1),ROW(Tableau1[[#All],[matière]])-1),ROWS($1:2))),"")</f>
        <v>547321</v>
      </c>
      <c r="C4" s="45">
        <f t="array" ref="C4">IFERROR(INDEX(Tableau1[[#All],[Date déclarat° export]],SMALL(IF((Tableau1[[#All],[Origine]]="vente")*(Tableau1[[#All],[matière]]=$G$1)*(Tableau1[[#All],[forme]]=$H$1)*(Tableau1[[#All],[taille]]=$I$1*1),ROW(Tableau1[[#All],[matière]])-1),ROWS($1:2))),"")</f>
        <v>42839</v>
      </c>
      <c r="D4">
        <f t="array" ref="D4">IFERROR(INDEX(Tableau1[[#All],[Réf article]],SMALL(IF((Tableau1[[#All],[Origine]]="vente")*(Tableau1[[#All],[matière]]=$G$1)*(Tableau1[[#All],[forme]]=$H$1)*(Tableau1[[#All],[taille]]=$I$1*1),ROW(Tableau1[[#All],[matière]])-1),ROWS($1:2))),"")</f>
        <v>200200</v>
      </c>
      <c r="E4" t="str">
        <f t="array" ref="E4">IFERROR(INDEX(Tableau1[[#All],[Désignation]],SMALL(IF((Tableau1[[#All],[Origine]]="vente")*(Tableau1[[#All],[matière]]=$G$1)*(Tableau1[[#All],[forme]]=$H$1)*(Tableau1[[#All],[taille]]=$I$1*1),ROW(Tableau1[[#All],[matière]])-1),ROWS($1:2))),"")</f>
        <v>EMBOUT DE TIGE</v>
      </c>
      <c r="F4">
        <f>IF($E3="","",F3)</f>
        <v>146</v>
      </c>
      <c r="G4" t="str">
        <f>IF($E3="","",G3)</f>
        <v>LAITON</v>
      </c>
      <c r="H4" t="str">
        <f>IF($E3="","",H3)</f>
        <v>ROND</v>
      </c>
      <c r="I4">
        <f t="array" ref="I4">IFERROR(INDEX('Base de données'!J$2:J$114,SMALL(IF((('Base de données'!$B$2:$B$114="vente"))*('Base de données'!$H$2:$H$114=$G$1)*('Base de données'!$I$2:$I$114=$H$1)*('Base de données'!$J$2:$J$114=$I$1*1),ROW('Base de données'!$H$2:$H$114)-1),ROWS($1:2))),"")</f>
        <v>22</v>
      </c>
      <c r="J4">
        <f t="array" ref="J4">IFERROR(INDEX(Tableau1[[#All],[Qté livrée]],SMALL(IF((Tableau1[[#All],[Origine]]="vente")*(Tableau1[[#All],[matière]]=$G$1)*(Tableau1[[#All],[forme]]=$H$1)*(Tableau1[[#All],[taille]]=$I$1*1),ROW(Tableau1[[#All],[matière]])-1),ROWS($1:2))),"")</f>
        <v>2500</v>
      </c>
      <c r="K4">
        <v>7.4759999999999993E-2</v>
      </c>
      <c r="L4">
        <v>4.0627247524752472E-3</v>
      </c>
      <c r="M4">
        <v>0.15782123076923077</v>
      </c>
      <c r="N4">
        <f t="shared" ref="N4:N22" si="0">IFERROR(M4*J4,"")</f>
        <v>394.5530769230769</v>
      </c>
      <c r="O4">
        <v>7.6748381538461544E-2</v>
      </c>
      <c r="P4">
        <f t="shared" ref="P4:P22" si="1">IFERROR(O4*J4,"")</f>
        <v>191.87095384615387</v>
      </c>
      <c r="Q4">
        <f t="shared" ref="Q4:Q22" si="2">IFERROR(L4*J4,"")</f>
        <v>10.156811881188117</v>
      </c>
      <c r="R4">
        <f t="shared" ref="R4:R22" si="3">IFERROR((O4+L4)/M4,"")</f>
        <v>0.51204204844340839</v>
      </c>
    </row>
    <row r="5" spans="1:18">
      <c r="A5">
        <f t="array" ref="A5">IFERROR(INDEX(Tableau1[[#All],[Facture N°]],SMALL(IF((Tableau1[[#All],[Origine]]="vente")*(Tableau1[[#All],[matière]]=$G$1)*(Tableau1[[#All],[forme]]=$H$1)*(Tableau1[[#All],[taille]]=$I$1*1),ROW(Tableau1[[#All],[matière]])-1),ROWS($1:3))),"")</f>
        <v>201700038</v>
      </c>
      <c r="B5">
        <f t="array" ref="B5">IFERROR(INDEX(Tableau1[[#All],[N° déclarat° export]],SMALL(IF((Tableau1[[#All],[Origine]]="vente")*(Tableau1[[#All],[matière]]=$G$1)*(Tableau1[[#All],[forme]]=$H$1)*(Tableau1[[#All],[taille]]=$I$1*1),ROW(Tableau1[[#All],[matière]])-1),ROWS($1:3))),"")</f>
        <v>547903</v>
      </c>
      <c r="C5" s="45">
        <f t="array" ref="C5">IFERROR(INDEX(Tableau1[[#All],[Date déclarat° export]],SMALL(IF((Tableau1[[#All],[Origine]]="vente")*(Tableau1[[#All],[matière]]=$G$1)*(Tableau1[[#All],[forme]]=$H$1)*(Tableau1[[#All],[taille]]=$I$1*1),ROW(Tableau1[[#All],[matière]])-1),ROWS($1:3))),"")</f>
        <v>42866</v>
      </c>
      <c r="D5">
        <f t="array" ref="D5">IFERROR(INDEX(Tableau1[[#All],[Réf article]],SMALL(IF((Tableau1[[#All],[Origine]]="vente")*(Tableau1[[#All],[matière]]=$G$1)*(Tableau1[[#All],[forme]]=$H$1)*(Tableau1[[#All],[taille]]=$I$1*1),ROW(Tableau1[[#All],[matière]])-1),ROWS($1:3))),"")</f>
        <v>200200</v>
      </c>
      <c r="E5" t="str">
        <f t="array" ref="E5">IFERROR(INDEX(Tableau1[[#All],[Désignation]],SMALL(IF((Tableau1[[#All],[Origine]]="vente")*(Tableau1[[#All],[matière]]=$G$1)*(Tableau1[[#All],[forme]]=$H$1)*(Tableau1[[#All],[taille]]=$I$1*1),ROW(Tableau1[[#All],[matière]])-1),ROWS($1:3))),"")</f>
        <v>EMBOUT DE TIGE</v>
      </c>
      <c r="F5">
        <f t="shared" ref="F5:F50" si="4">IF($E4="","",F4)</f>
        <v>146</v>
      </c>
      <c r="G5" t="str">
        <f t="shared" ref="G5:G50" si="5">IF($E4="","",G4)</f>
        <v>LAITON</v>
      </c>
      <c r="H5" t="str">
        <f t="shared" ref="H5:H50" si="6">IF($E4="","",H4)</f>
        <v>ROND</v>
      </c>
      <c r="I5">
        <f t="array" ref="I5">IFERROR(INDEX('Base de données'!J$2:J$114,SMALL(IF((('Base de données'!$B$2:$B$114="vente"))*('Base de données'!$H$2:$H$114=$G$1)*('Base de données'!$I$2:$I$114=$H$1)*('Base de données'!$J$2:$J$114=$I$1*1),ROW('Base de données'!$H$2:$H$114)-1),ROWS($1:3))),"")</f>
        <v>22</v>
      </c>
      <c r="J5">
        <f t="array" ref="J5">IFERROR(INDEX(Tableau1[[#All],[Qté livrée]],SMALL(IF((Tableau1[[#All],[Origine]]="vente")*(Tableau1[[#All],[matière]]=$G$1)*(Tableau1[[#All],[forme]]=$H$1)*(Tableau1[[#All],[taille]]=$I$1*1),ROW(Tableau1[[#All],[matière]])-1),ROWS($1:3))),"")</f>
        <v>1500</v>
      </c>
      <c r="K5">
        <v>7.4759999999999993E-2</v>
      </c>
      <c r="L5">
        <v>4.0627247524752472E-3</v>
      </c>
      <c r="M5">
        <v>0.15782123076923077</v>
      </c>
      <c r="N5">
        <f t="shared" si="0"/>
        <v>236.73184615384616</v>
      </c>
      <c r="O5">
        <v>7.6748381538461544E-2</v>
      </c>
      <c r="P5">
        <f t="shared" si="1"/>
        <v>115.12257230769231</v>
      </c>
      <c r="Q5">
        <f t="shared" si="2"/>
        <v>6.0940871287128706</v>
      </c>
      <c r="R5">
        <f t="shared" si="3"/>
        <v>0.51204204844340839</v>
      </c>
    </row>
    <row r="6" spans="1:18">
      <c r="A6">
        <f t="array" ref="A6">IFERROR(INDEX(Tableau1[[#All],[Facture N°]],SMALL(IF((Tableau1[[#All],[Origine]]="vente")*(Tableau1[[#All],[matière]]=$G$1)*(Tableau1[[#All],[forme]]=$H$1)*(Tableau1[[#All],[taille]]=$I$1*1),ROW(Tableau1[[#All],[matière]])-1),ROWS($1:4))),"")</f>
        <v>201700061</v>
      </c>
      <c r="B6">
        <f t="array" ref="B6">IFERROR(INDEX(Tableau1[[#All],[N° déclarat° export]],SMALL(IF((Tableau1[[#All],[Origine]]="vente")*(Tableau1[[#All],[matière]]=$G$1)*(Tableau1[[#All],[forme]]=$H$1)*(Tableau1[[#All],[taille]]=$I$1*1),ROW(Tableau1[[#All],[matière]])-1),ROWS($1:4))),"")</f>
        <v>549084</v>
      </c>
      <c r="C6" s="45">
        <f t="array" ref="C6">IFERROR(INDEX(Tableau1[[#All],[Date déclarat° export]],SMALL(IF((Tableau1[[#All],[Origine]]="vente")*(Tableau1[[#All],[matière]]=$G$1)*(Tableau1[[#All],[forme]]=$H$1)*(Tableau1[[#All],[taille]]=$I$1*1),ROW(Tableau1[[#All],[matière]])-1),ROWS($1:4))),"")</f>
        <v>42923</v>
      </c>
      <c r="D6">
        <f t="array" ref="D6">IFERROR(INDEX(Tableau1[[#All],[Réf article]],SMALL(IF((Tableau1[[#All],[Origine]]="vente")*(Tableau1[[#All],[matière]]=$G$1)*(Tableau1[[#All],[forme]]=$H$1)*(Tableau1[[#All],[taille]]=$I$1*1),ROW(Tableau1[[#All],[matière]])-1),ROWS($1:4))),"")</f>
        <v>200200</v>
      </c>
      <c r="E6" t="str">
        <f t="array" ref="E6">IFERROR(INDEX(Tableau1[[#All],[Désignation]],SMALL(IF((Tableau1[[#All],[Origine]]="vente")*(Tableau1[[#All],[matière]]=$G$1)*(Tableau1[[#All],[forme]]=$H$1)*(Tableau1[[#All],[taille]]=$I$1*1),ROW(Tableau1[[#All],[matière]])-1),ROWS($1:4))),"")</f>
        <v>EMBOUT DE TIGE</v>
      </c>
      <c r="F6">
        <f t="shared" si="4"/>
        <v>146</v>
      </c>
      <c r="G6" t="str">
        <f t="shared" si="5"/>
        <v>LAITON</v>
      </c>
      <c r="H6" t="str">
        <f t="shared" si="6"/>
        <v>ROND</v>
      </c>
      <c r="I6">
        <f t="array" ref="I6">IFERROR(INDEX('Base de données'!J$2:J$114,SMALL(IF((('Base de données'!$B$2:$B$114="vente"))*('Base de données'!$H$2:$H$114=$G$1)*('Base de données'!$I$2:$I$114=$H$1)*('Base de données'!$J$2:$J$114=$I$1*1),ROW('Base de données'!$H$2:$H$114)-1),ROWS($1:4))),"")</f>
        <v>22</v>
      </c>
      <c r="J6">
        <f t="array" ref="J6">IFERROR(INDEX(Tableau1[[#All],[Qté livrée]],SMALL(IF((Tableau1[[#All],[Origine]]="vente")*(Tableau1[[#All],[matière]]=$G$1)*(Tableau1[[#All],[forme]]=$H$1)*(Tableau1[[#All],[taille]]=$I$1*1),ROW(Tableau1[[#All],[matière]])-1),ROWS($1:4))),"")</f>
        <v>1500</v>
      </c>
      <c r="K6">
        <v>7.4759999999999993E-2</v>
      </c>
      <c r="L6">
        <v>4.0627247524752472E-3</v>
      </c>
      <c r="M6">
        <v>0.15782123076923077</v>
      </c>
      <c r="N6">
        <f t="shared" si="0"/>
        <v>236.73184615384616</v>
      </c>
      <c r="O6">
        <v>7.6748381538461544E-2</v>
      </c>
      <c r="P6">
        <f t="shared" si="1"/>
        <v>115.12257230769231</v>
      </c>
      <c r="Q6">
        <f t="shared" si="2"/>
        <v>6.0940871287128706</v>
      </c>
      <c r="R6">
        <f t="shared" si="3"/>
        <v>0.51204204844340839</v>
      </c>
    </row>
    <row r="7" spans="1:18">
      <c r="A7">
        <f t="array" ref="A7">IFERROR(INDEX(Tableau1[[#All],[Facture N°]],SMALL(IF((Tableau1[[#All],[Origine]]="vente")*(Tableau1[[#All],[matière]]=$G$1)*(Tableau1[[#All],[forme]]=$H$1)*(Tableau1[[#All],[taille]]=$I$1*1),ROW(Tableau1[[#All],[matière]])-1),ROWS($1:5))),"")</f>
        <v>201700076</v>
      </c>
      <c r="B7">
        <f t="array" ref="B7">IFERROR(INDEX(Tableau1[[#All],[N° déclarat° export]],SMALL(IF((Tableau1[[#All],[Origine]]="vente")*(Tableau1[[#All],[matière]]=$G$1)*(Tableau1[[#All],[forme]]=$H$1)*(Tableau1[[#All],[taille]]=$I$1*1),ROW(Tableau1[[#All],[matière]])-1),ROWS($1:5))),"")</f>
        <v>530052</v>
      </c>
      <c r="C7" s="45">
        <f t="array" ref="C7">IFERROR(INDEX(Tableau1[[#All],[Date déclarat° export]],SMALL(IF((Tableau1[[#All],[Origine]]="vente")*(Tableau1[[#All],[matière]]=$G$1)*(Tableau1[[#All],[forme]]=$H$1)*(Tableau1[[#All],[taille]]=$I$1*1),ROW(Tableau1[[#All],[matière]])-1),ROWS($1:5))),"")</f>
        <v>42984</v>
      </c>
      <c r="D7">
        <f t="array" ref="D7">IFERROR(INDEX(Tableau1[[#All],[Réf article]],SMALL(IF((Tableau1[[#All],[Origine]]="vente")*(Tableau1[[#All],[matière]]=$G$1)*(Tableau1[[#All],[forme]]=$H$1)*(Tableau1[[#All],[taille]]=$I$1*1),ROW(Tableau1[[#All],[matière]])-1),ROWS($1:5))),"")</f>
        <v>200200</v>
      </c>
      <c r="E7" t="str">
        <f t="array" ref="E7">IFERROR(INDEX(Tableau1[[#All],[Désignation]],SMALL(IF((Tableau1[[#All],[Origine]]="vente")*(Tableau1[[#All],[matière]]=$G$1)*(Tableau1[[#All],[forme]]=$H$1)*(Tableau1[[#All],[taille]]=$I$1*1),ROW(Tableau1[[#All],[matière]])-1),ROWS($1:5))),"")</f>
        <v>EMBOUT DE TIGE</v>
      </c>
      <c r="F7">
        <f t="shared" si="4"/>
        <v>146</v>
      </c>
      <c r="G7" t="str">
        <f t="shared" si="5"/>
        <v>LAITON</v>
      </c>
      <c r="H7" t="str">
        <f t="shared" si="6"/>
        <v>ROND</v>
      </c>
      <c r="I7">
        <f t="array" ref="I7">IFERROR(INDEX('Base de données'!J$2:J$114,SMALL(IF((('Base de données'!$B$2:$B$114="vente"))*('Base de données'!$H$2:$H$114=$G$1)*('Base de données'!$I$2:$I$114=$H$1)*('Base de données'!$J$2:$J$114=$I$1*1),ROW('Base de données'!$H$2:$H$114)-1),ROWS($1:5))),"")</f>
        <v>22</v>
      </c>
      <c r="J7">
        <f t="array" ref="J7">IFERROR(INDEX(Tableau1[[#All],[Qté livrée]],SMALL(IF((Tableau1[[#All],[Origine]]="vente")*(Tableau1[[#All],[matière]]=$G$1)*(Tableau1[[#All],[forme]]=$H$1)*(Tableau1[[#All],[taille]]=$I$1*1),ROW(Tableau1[[#All],[matière]])-1),ROWS($1:5))),"")</f>
        <v>1500</v>
      </c>
      <c r="K7">
        <v>7.4759999999999993E-2</v>
      </c>
      <c r="L7">
        <v>4.0627247524752472E-3</v>
      </c>
      <c r="M7">
        <v>0.15782123076923077</v>
      </c>
      <c r="N7">
        <f t="shared" si="0"/>
        <v>236.73184615384616</v>
      </c>
      <c r="O7">
        <v>7.6748381538461544E-2</v>
      </c>
      <c r="P7">
        <f t="shared" si="1"/>
        <v>115.12257230769231</v>
      </c>
      <c r="Q7">
        <f t="shared" si="2"/>
        <v>6.0940871287128706</v>
      </c>
      <c r="R7">
        <f t="shared" si="3"/>
        <v>0.51204204844340839</v>
      </c>
    </row>
    <row r="8" spans="1:18">
      <c r="A8">
        <f t="array" ref="A8">IFERROR(INDEX(Tableau1[[#All],[Facture N°]],SMALL(IF((Tableau1[[#All],[Origine]]="vente")*(Tableau1[[#All],[matière]]=$G$1)*(Tableau1[[#All],[forme]]=$H$1)*(Tableau1[[#All],[taille]]=$I$1*1),ROW(Tableau1[[#All],[matière]])-1),ROWS($1:6))),"")</f>
        <v>201700081</v>
      </c>
      <c r="B8">
        <f t="array" ref="B8">IFERROR(INDEX(Tableau1[[#All],[N° déclarat° export]],SMALL(IF((Tableau1[[#All],[Origine]]="vente")*(Tableau1[[#All],[matière]]=$G$1)*(Tableau1[[#All],[forme]]=$H$1)*(Tableau1[[#All],[taille]]=$I$1*1),ROW(Tableau1[[#All],[matière]])-1),ROWS($1:6))),"")</f>
        <v>530407</v>
      </c>
      <c r="C8" s="45">
        <f t="array" ref="C8">IFERROR(INDEX(Tableau1[[#All],[Date déclarat° export]],SMALL(IF((Tableau1[[#All],[Origine]]="vente")*(Tableau1[[#All],[matière]]=$G$1)*(Tableau1[[#All],[forme]]=$H$1)*(Tableau1[[#All],[taille]]=$I$1*1),ROW(Tableau1[[#All],[matière]])-1),ROWS($1:6))),"")</f>
        <v>43003</v>
      </c>
      <c r="D8">
        <f t="array" ref="D8">IFERROR(INDEX(Tableau1[[#All],[Réf article]],SMALL(IF((Tableau1[[#All],[Origine]]="vente")*(Tableau1[[#All],[matière]]=$G$1)*(Tableau1[[#All],[forme]]=$H$1)*(Tableau1[[#All],[taille]]=$I$1*1),ROW(Tableau1[[#All],[matière]])-1),ROWS($1:6))),"")</f>
        <v>200200</v>
      </c>
      <c r="E8" t="str">
        <f t="array" ref="E8">IFERROR(INDEX(Tableau1[[#All],[Désignation]],SMALL(IF((Tableau1[[#All],[Origine]]="vente")*(Tableau1[[#All],[matière]]=$G$1)*(Tableau1[[#All],[forme]]=$H$1)*(Tableau1[[#All],[taille]]=$I$1*1),ROW(Tableau1[[#All],[matière]])-1),ROWS($1:6))),"")</f>
        <v>EMBOUT DE TIGE</v>
      </c>
      <c r="F8">
        <f t="shared" si="4"/>
        <v>146</v>
      </c>
      <c r="G8" t="str">
        <f t="shared" si="5"/>
        <v>LAITON</v>
      </c>
      <c r="H8" t="str">
        <f t="shared" si="6"/>
        <v>ROND</v>
      </c>
      <c r="I8">
        <f t="array" ref="I8">IFERROR(INDEX('Base de données'!J$2:J$114,SMALL(IF((('Base de données'!$B$2:$B$114="vente"))*('Base de données'!$H$2:$H$114=$G$1)*('Base de données'!$I$2:$I$114=$H$1)*('Base de données'!$J$2:$J$114=$I$1*1),ROW('Base de données'!$H$2:$H$114)-1),ROWS($1:6))),"")</f>
        <v>22</v>
      </c>
      <c r="J8">
        <f t="array" ref="J8">IFERROR(INDEX(Tableau1[[#All],[Qté livrée]],SMALL(IF((Tableau1[[#All],[Origine]]="vente")*(Tableau1[[#All],[matière]]=$G$1)*(Tableau1[[#All],[forme]]=$H$1)*(Tableau1[[#All],[taille]]=$I$1*1),ROW(Tableau1[[#All],[matière]])-1),ROWS($1:6))),"")</f>
        <v>1100</v>
      </c>
      <c r="K8">
        <v>7.4759999999999993E-2</v>
      </c>
      <c r="L8">
        <v>4.0627247524752472E-3</v>
      </c>
      <c r="M8">
        <v>0.15782123076923077</v>
      </c>
      <c r="N8">
        <f t="shared" si="0"/>
        <v>173.60335384615385</v>
      </c>
      <c r="O8">
        <v>7.6748381538461544E-2</v>
      </c>
      <c r="P8">
        <f t="shared" si="1"/>
        <v>84.423219692307697</v>
      </c>
      <c r="Q8">
        <f t="shared" si="2"/>
        <v>4.4689972277227721</v>
      </c>
      <c r="R8">
        <f t="shared" si="3"/>
        <v>0.51204204844340839</v>
      </c>
    </row>
    <row r="9" spans="1:18">
      <c r="A9">
        <f t="array" ref="A9">IFERROR(INDEX(Tableau1[[#All],[Facture N°]],SMALL(IF((Tableau1[[#All],[Origine]]="vente")*(Tableau1[[#All],[matière]]=$G$1)*(Tableau1[[#All],[forme]]=$H$1)*(Tableau1[[#All],[taille]]=$I$1*1),ROW(Tableau1[[#All],[matière]])-1),ROWS($1:7))),"")</f>
        <v>201700095</v>
      </c>
      <c r="B9">
        <f t="array" ref="B9">IFERROR(INDEX(Tableau1[[#All],[N° déclarat° export]],SMALL(IF((Tableau1[[#All],[Origine]]="vente")*(Tableau1[[#All],[matière]]=$G$1)*(Tableau1[[#All],[forme]]=$H$1)*(Tableau1[[#All],[taille]]=$I$1*1),ROW(Tableau1[[#All],[matière]])-1),ROWS($1:7))),"")</f>
        <v>531288</v>
      </c>
      <c r="C9" s="45">
        <f t="array" ref="C9">IFERROR(INDEX(Tableau1[[#All],[Date déclarat° export]],SMALL(IF((Tableau1[[#All],[Origine]]="vente")*(Tableau1[[#All],[matière]]=$G$1)*(Tableau1[[#All],[forme]]=$H$1)*(Tableau1[[#All],[taille]]=$I$1*1),ROW(Tableau1[[#All],[matière]])-1),ROWS($1:7))),"")</f>
        <v>43043</v>
      </c>
      <c r="D9">
        <f t="array" ref="D9">IFERROR(INDEX(Tableau1[[#All],[Réf article]],SMALL(IF((Tableau1[[#All],[Origine]]="vente")*(Tableau1[[#All],[matière]]=$G$1)*(Tableau1[[#All],[forme]]=$H$1)*(Tableau1[[#All],[taille]]=$I$1*1),ROW(Tableau1[[#All],[matière]])-1),ROWS($1:7))),"")</f>
        <v>200200</v>
      </c>
      <c r="E9" t="str">
        <f t="array" ref="E9">IFERROR(INDEX(Tableau1[[#All],[Désignation]],SMALL(IF((Tableau1[[#All],[Origine]]="vente")*(Tableau1[[#All],[matière]]=$G$1)*(Tableau1[[#All],[forme]]=$H$1)*(Tableau1[[#All],[taille]]=$I$1*1),ROW(Tableau1[[#All],[matière]])-1),ROWS($1:7))),"")</f>
        <v>EMBOUT DE TIGE</v>
      </c>
      <c r="F9">
        <f t="shared" si="4"/>
        <v>146</v>
      </c>
      <c r="G9" t="str">
        <f t="shared" si="5"/>
        <v>LAITON</v>
      </c>
      <c r="H9" t="str">
        <f t="shared" si="6"/>
        <v>ROND</v>
      </c>
      <c r="I9">
        <f t="array" ref="I9">IFERROR(INDEX('Base de données'!J$2:J$114,SMALL(IF((('Base de données'!$B$2:$B$114="vente"))*('Base de données'!$H$2:$H$114=$G$1)*('Base de données'!$I$2:$I$114=$H$1)*('Base de données'!$J$2:$J$114=$I$1*1),ROW('Base de données'!$H$2:$H$114)-1),ROWS($1:7))),"")</f>
        <v>22</v>
      </c>
      <c r="J9">
        <f t="array" ref="J9">IFERROR(INDEX(Tableau1[[#All],[Qté livrée]],SMALL(IF((Tableau1[[#All],[Origine]]="vente")*(Tableau1[[#All],[matière]]=$G$1)*(Tableau1[[#All],[forme]]=$H$1)*(Tableau1[[#All],[taille]]=$I$1*1),ROW(Tableau1[[#All],[matière]])-1),ROWS($1:7))),"")</f>
        <v>1300</v>
      </c>
      <c r="K9">
        <v>7.4759999999999993E-2</v>
      </c>
      <c r="L9">
        <v>4.0627247524752472E-3</v>
      </c>
      <c r="M9">
        <v>0.15782123076923077</v>
      </c>
      <c r="N9">
        <f t="shared" si="0"/>
        <v>205.16759999999999</v>
      </c>
      <c r="O9">
        <v>7.6748381538461544E-2</v>
      </c>
      <c r="P9">
        <f t="shared" si="1"/>
        <v>99.772896000000003</v>
      </c>
      <c r="Q9">
        <f t="shared" si="2"/>
        <v>5.2815421782178218</v>
      </c>
      <c r="R9">
        <f t="shared" si="3"/>
        <v>0.51204204844340839</v>
      </c>
    </row>
    <row r="10" spans="1:18">
      <c r="A10">
        <f t="array" ref="A10">IFERROR(INDEX(Tableau1[[#All],[Facture N°]],SMALL(IF((Tableau1[[#All],[Origine]]="vente")*(Tableau1[[#All],[matière]]=$G$1)*(Tableau1[[#All],[forme]]=$H$1)*(Tableau1[[#All],[taille]]=$I$1*1),ROW(Tableau1[[#All],[matière]])-1),ROWS($1:8))),"")</f>
        <v>201800002</v>
      </c>
      <c r="B10">
        <f t="array" ref="B10">IFERROR(INDEX(Tableau1[[#All],[N° déclarat° export]],SMALL(IF((Tableau1[[#All],[Origine]]="vente")*(Tableau1[[#All],[matière]]=$G$1)*(Tableau1[[#All],[forme]]=$H$1)*(Tableau1[[#All],[taille]]=$I$1*1),ROW(Tableau1[[#All],[matière]])-1),ROWS($1:8))),"")</f>
        <v>532778</v>
      </c>
      <c r="C10" s="45">
        <f t="array" ref="C10">IFERROR(INDEX(Tableau1[[#All],[Date déclarat° export]],SMALL(IF((Tableau1[[#All],[Origine]]="vente")*(Tableau1[[#All],[matière]]=$G$1)*(Tableau1[[#All],[forme]]=$H$1)*(Tableau1[[#All],[taille]]=$I$1*1),ROW(Tableau1[[#All],[matière]])-1),ROWS($1:8))),"")</f>
        <v>43113</v>
      </c>
      <c r="D10">
        <f t="array" ref="D10">IFERROR(INDEX(Tableau1[[#All],[Réf article]],SMALL(IF((Tableau1[[#All],[Origine]]="vente")*(Tableau1[[#All],[matière]]=$G$1)*(Tableau1[[#All],[forme]]=$H$1)*(Tableau1[[#All],[taille]]=$I$1*1),ROW(Tableau1[[#All],[matière]])-1),ROWS($1:8))),"")</f>
        <v>200200</v>
      </c>
      <c r="E10" t="str">
        <f t="array" ref="E10">IFERROR(INDEX(Tableau1[[#All],[Désignation]],SMALL(IF((Tableau1[[#All],[Origine]]="vente")*(Tableau1[[#All],[matière]]=$G$1)*(Tableau1[[#All],[forme]]=$H$1)*(Tableau1[[#All],[taille]]=$I$1*1),ROW(Tableau1[[#All],[matière]])-1),ROWS($1:8))),"")</f>
        <v>EMBOUT DE TIGE</v>
      </c>
      <c r="F10">
        <f t="shared" si="4"/>
        <v>146</v>
      </c>
      <c r="G10" t="str">
        <f t="shared" si="5"/>
        <v>LAITON</v>
      </c>
      <c r="H10" t="str">
        <f t="shared" si="6"/>
        <v>ROND</v>
      </c>
      <c r="I10">
        <f t="array" ref="I10">IFERROR(INDEX('Base de données'!J$2:J$114,SMALL(IF((('Base de données'!$B$2:$B$114="vente"))*('Base de données'!$H$2:$H$114=$G$1)*('Base de données'!$I$2:$I$114=$H$1)*('Base de données'!$J$2:$J$114=$I$1*1),ROW('Base de données'!$H$2:$H$114)-1),ROWS($1:8))),"")</f>
        <v>22</v>
      </c>
      <c r="J10">
        <f t="array" ref="J10">IFERROR(INDEX(Tableau1[[#All],[Qté livrée]],SMALL(IF((Tableau1[[#All],[Origine]]="vente")*(Tableau1[[#All],[matière]]=$G$1)*(Tableau1[[#All],[forme]]=$H$1)*(Tableau1[[#All],[taille]]=$I$1*1),ROW(Tableau1[[#All],[matière]])-1),ROWS($1:8))),"")</f>
        <v>1900</v>
      </c>
      <c r="K10">
        <v>7.4759999999999993E-2</v>
      </c>
      <c r="L10">
        <v>4.0627247524752472E-3</v>
      </c>
      <c r="M10">
        <v>0.15782123076923077</v>
      </c>
      <c r="N10">
        <f t="shared" si="0"/>
        <v>299.86033846153845</v>
      </c>
      <c r="O10">
        <v>7.6748381538461544E-2</v>
      </c>
      <c r="P10">
        <f t="shared" si="1"/>
        <v>145.82192492307692</v>
      </c>
      <c r="Q10">
        <f t="shared" si="2"/>
        <v>7.71917702970297</v>
      </c>
      <c r="R10">
        <f t="shared" si="3"/>
        <v>0.51204204844340839</v>
      </c>
    </row>
    <row r="11" spans="1:18">
      <c r="A11">
        <f t="array" ref="A11">IFERROR(INDEX(Tableau1[[#All],[Facture N°]],SMALL(IF((Tableau1[[#All],[Origine]]="vente")*(Tableau1[[#All],[matière]]=$G$1)*(Tableau1[[#All],[forme]]=$H$1)*(Tableau1[[#All],[taille]]=$I$1*1),ROW(Tableau1[[#All],[matière]])-1),ROWS($1:9))),"")</f>
        <v>201800011</v>
      </c>
      <c r="B11">
        <f t="array" ref="B11">IFERROR(INDEX(Tableau1[[#All],[N° déclarat° export]],SMALL(IF((Tableau1[[#All],[Origine]]="vente")*(Tableau1[[#All],[matière]]=$G$1)*(Tableau1[[#All],[forme]]=$H$1)*(Tableau1[[#All],[taille]]=$I$1*1),ROW(Tableau1[[#All],[matière]])-1),ROWS($1:9))),"")</f>
        <v>533503</v>
      </c>
      <c r="C11" s="45">
        <f t="array" ref="C11">IFERROR(INDEX(Tableau1[[#All],[Date déclarat° export]],SMALL(IF((Tableau1[[#All],[Origine]]="vente")*(Tableau1[[#All],[matière]]=$G$1)*(Tableau1[[#All],[forme]]=$H$1)*(Tableau1[[#All],[taille]]=$I$1*1),ROW(Tableau1[[#All],[matière]])-1),ROWS($1:9))),"")</f>
        <v>43148</v>
      </c>
      <c r="D11">
        <f t="array" ref="D11">IFERROR(INDEX(Tableau1[[#All],[Réf article]],SMALL(IF((Tableau1[[#All],[Origine]]="vente")*(Tableau1[[#All],[matière]]=$G$1)*(Tableau1[[#All],[forme]]=$H$1)*(Tableau1[[#All],[taille]]=$I$1*1),ROW(Tableau1[[#All],[matière]])-1),ROWS($1:9))),"")</f>
        <v>200200</v>
      </c>
      <c r="E11" t="str">
        <f t="array" ref="E11">IFERROR(INDEX(Tableau1[[#All],[Désignation]],SMALL(IF((Tableau1[[#All],[Origine]]="vente")*(Tableau1[[#All],[matière]]=$G$1)*(Tableau1[[#All],[forme]]=$H$1)*(Tableau1[[#All],[taille]]=$I$1*1),ROW(Tableau1[[#All],[matière]])-1),ROWS($1:9))),"")</f>
        <v>EMBOUT DE TIGE</v>
      </c>
      <c r="F11">
        <f t="shared" si="4"/>
        <v>146</v>
      </c>
      <c r="G11" t="str">
        <f t="shared" si="5"/>
        <v>LAITON</v>
      </c>
      <c r="H11" t="str">
        <f t="shared" si="6"/>
        <v>ROND</v>
      </c>
      <c r="I11">
        <f t="array" ref="I11">IFERROR(INDEX('Base de données'!J$2:J$114,SMALL(IF((('Base de données'!$B$2:$B$114="vente"))*('Base de données'!$H$2:$H$114=$G$1)*('Base de données'!$I$2:$I$114=$H$1)*('Base de données'!$J$2:$J$114=$I$1*1),ROW('Base de données'!$H$2:$H$114)-1),ROWS($1:9))),"")</f>
        <v>22</v>
      </c>
      <c r="J11">
        <f t="array" ref="J11">IFERROR(INDEX(Tableau1[[#All],[Qté livrée]],SMALL(IF((Tableau1[[#All],[Origine]]="vente")*(Tableau1[[#All],[matière]]=$G$1)*(Tableau1[[#All],[forme]]=$H$1)*(Tableau1[[#All],[taille]]=$I$1*1),ROW(Tableau1[[#All],[matière]])-1),ROWS($1:9))),"")</f>
        <v>550</v>
      </c>
      <c r="K11">
        <v>7.4759999999999993E-2</v>
      </c>
      <c r="L11">
        <v>4.0627247524752472E-3</v>
      </c>
      <c r="M11">
        <v>0.15782123076923077</v>
      </c>
      <c r="N11">
        <f t="shared" si="0"/>
        <v>86.801676923076926</v>
      </c>
      <c r="O11">
        <v>7.6748381538461544E-2</v>
      </c>
      <c r="P11">
        <f t="shared" si="1"/>
        <v>42.211609846153848</v>
      </c>
      <c r="Q11">
        <f t="shared" si="2"/>
        <v>2.234498613861386</v>
      </c>
      <c r="R11">
        <f t="shared" si="3"/>
        <v>0.51204204844340839</v>
      </c>
    </row>
    <row r="12" spans="1:18">
      <c r="A12">
        <f t="array" ref="A12">IFERROR(INDEX(Tableau1[[#All],[Facture N°]],SMALL(IF((Tableau1[[#All],[Origine]]="vente")*(Tableau1[[#All],[matière]]=$G$1)*(Tableau1[[#All],[forme]]=$H$1)*(Tableau1[[#All],[taille]]=$I$1*1),ROW(Tableau1[[#All],[matière]])-1),ROWS($1:10))),"")</f>
        <v>201800023</v>
      </c>
      <c r="B12">
        <f t="array" ref="B12">IFERROR(INDEX(Tableau1[[#All],[N° déclarat° export]],SMALL(IF((Tableau1[[#All],[Origine]]="vente")*(Tableau1[[#All],[matière]]=$G$1)*(Tableau1[[#All],[forme]]=$H$1)*(Tableau1[[#All],[taille]]=$I$1*1),ROW(Tableau1[[#All],[matière]])-1),ROWS($1:10))),"")</f>
        <v>534593</v>
      </c>
      <c r="C12" s="45">
        <f t="array" ref="C12">IFERROR(INDEX(Tableau1[[#All],[Date déclarat° export]],SMALL(IF((Tableau1[[#All],[Origine]]="vente")*(Tableau1[[#All],[matière]]=$G$1)*(Tableau1[[#All],[forme]]=$H$1)*(Tableau1[[#All],[taille]]=$I$1*1),ROW(Tableau1[[#All],[matière]])-1),ROWS($1:10))),"")</f>
        <v>43194</v>
      </c>
      <c r="D12">
        <f t="array" ref="D12">IFERROR(INDEX(Tableau1[[#All],[Réf article]],SMALL(IF((Tableau1[[#All],[Origine]]="vente")*(Tableau1[[#All],[matière]]=$G$1)*(Tableau1[[#All],[forme]]=$H$1)*(Tableau1[[#All],[taille]]=$I$1*1),ROW(Tableau1[[#All],[matière]])-1),ROWS($1:10))),"")</f>
        <v>200200</v>
      </c>
      <c r="E12" t="str">
        <f t="array" ref="E12">IFERROR(INDEX(Tableau1[[#All],[Désignation]],SMALL(IF((Tableau1[[#All],[Origine]]="vente")*(Tableau1[[#All],[matière]]=$G$1)*(Tableau1[[#All],[forme]]=$H$1)*(Tableau1[[#All],[taille]]=$I$1*1),ROW(Tableau1[[#All],[matière]])-1),ROWS($1:10))),"")</f>
        <v>EMBOUT DE TIGE</v>
      </c>
      <c r="F12">
        <f t="shared" si="4"/>
        <v>146</v>
      </c>
      <c r="G12" t="str">
        <f t="shared" si="5"/>
        <v>LAITON</v>
      </c>
      <c r="H12" t="str">
        <f t="shared" si="6"/>
        <v>ROND</v>
      </c>
      <c r="I12">
        <f t="array" ref="I12">IFERROR(INDEX('Base de données'!J$2:J$114,SMALL(IF((('Base de données'!$B$2:$B$114="vente"))*('Base de données'!$H$2:$H$114=$G$1)*('Base de données'!$I$2:$I$114=$H$1)*('Base de données'!$J$2:$J$114=$I$1*1),ROW('Base de données'!$H$2:$H$114)-1),ROWS($1:10))),"")</f>
        <v>22</v>
      </c>
      <c r="J12">
        <f t="array" ref="J12">IFERROR(INDEX(Tableau1[[#All],[Qté livrée]],SMALL(IF((Tableau1[[#All],[Origine]]="vente")*(Tableau1[[#All],[matière]]=$G$1)*(Tableau1[[#All],[forme]]=$H$1)*(Tableau1[[#All],[taille]]=$I$1*1),ROW(Tableau1[[#All],[matière]])-1),ROWS($1:10))),"")</f>
        <v>2700</v>
      </c>
      <c r="K12">
        <v>7.4759999999999993E-2</v>
      </c>
      <c r="L12">
        <v>4.0627247524752472E-3</v>
      </c>
      <c r="M12">
        <v>0.15782123076923077</v>
      </c>
      <c r="N12">
        <f t="shared" si="0"/>
        <v>426.11732307692307</v>
      </c>
      <c r="O12">
        <v>7.6748381538461544E-2</v>
      </c>
      <c r="P12">
        <f t="shared" si="1"/>
        <v>207.22063015384617</v>
      </c>
      <c r="Q12">
        <f t="shared" si="2"/>
        <v>10.969356831683168</v>
      </c>
      <c r="R12">
        <f t="shared" si="3"/>
        <v>0.51204204844340839</v>
      </c>
    </row>
    <row r="13" spans="1:18">
      <c r="A13">
        <f t="array" ref="A13">IFERROR(INDEX(Tableau1[[#All],[Facture N°]],SMALL(IF((Tableau1[[#All],[Origine]]="vente")*(Tableau1[[#All],[matière]]=$G$1)*(Tableau1[[#All],[forme]]=$H$1)*(Tableau1[[#All],[taille]]=$I$1*1),ROW(Tableau1[[#All],[matière]])-1),ROWS($1:11))),"")</f>
        <v>201800033</v>
      </c>
      <c r="B13">
        <f t="array" ref="B13">IFERROR(INDEX(Tableau1[[#All],[N° déclarat° export]],SMALL(IF((Tableau1[[#All],[Origine]]="vente")*(Tableau1[[#All],[matière]]=$G$1)*(Tableau1[[#All],[forme]]=$H$1)*(Tableau1[[#All],[taille]]=$I$1*1),ROW(Tableau1[[#All],[matière]])-1),ROWS($1:11))),"")</f>
        <v>535277</v>
      </c>
      <c r="C13" s="45">
        <f t="array" ref="C13">IFERROR(INDEX(Tableau1[[#All],[Date déclarat° export]],SMALL(IF((Tableau1[[#All],[Origine]]="vente")*(Tableau1[[#All],[matière]]=$G$1)*(Tableau1[[#All],[forme]]=$H$1)*(Tableau1[[#All],[taille]]=$I$1*1),ROW(Tableau1[[#All],[matière]])-1),ROWS($1:11))),"")</f>
        <v>43217</v>
      </c>
      <c r="D13">
        <f t="array" ref="D13">IFERROR(INDEX(Tableau1[[#All],[Réf article]],SMALL(IF((Tableau1[[#All],[Origine]]="vente")*(Tableau1[[#All],[matière]]=$G$1)*(Tableau1[[#All],[forme]]=$H$1)*(Tableau1[[#All],[taille]]=$I$1*1),ROW(Tableau1[[#All],[matière]])-1),ROWS($1:11))),"")</f>
        <v>200200</v>
      </c>
      <c r="E13" t="str">
        <f t="array" ref="E13">IFERROR(INDEX(Tableau1[[#All],[Désignation]],SMALL(IF((Tableau1[[#All],[Origine]]="vente")*(Tableau1[[#All],[matière]]=$G$1)*(Tableau1[[#All],[forme]]=$H$1)*(Tableau1[[#All],[taille]]=$I$1*1),ROW(Tableau1[[#All],[matière]])-1),ROWS($1:11))),"")</f>
        <v>EMBOUT DE TIGE</v>
      </c>
      <c r="F13">
        <f t="shared" si="4"/>
        <v>146</v>
      </c>
      <c r="G13" t="str">
        <f t="shared" si="5"/>
        <v>LAITON</v>
      </c>
      <c r="H13" t="str">
        <f t="shared" si="6"/>
        <v>ROND</v>
      </c>
      <c r="I13">
        <f t="array" ref="I13">IFERROR(INDEX('Base de données'!J$2:J$114,SMALL(IF((('Base de données'!$B$2:$B$114="vente"))*('Base de données'!$H$2:$H$114=$G$1)*('Base de données'!$I$2:$I$114=$H$1)*('Base de données'!$J$2:$J$114=$I$1*1),ROW('Base de données'!$H$2:$H$114)-1),ROWS($1:11))),"")</f>
        <v>22</v>
      </c>
      <c r="J13">
        <f t="array" ref="J13">IFERROR(INDEX(Tableau1[[#All],[Qté livrée]],SMALL(IF((Tableau1[[#All],[Origine]]="vente")*(Tableau1[[#All],[matière]]=$G$1)*(Tableau1[[#All],[forme]]=$H$1)*(Tableau1[[#All],[taille]]=$I$1*1),ROW(Tableau1[[#All],[matière]])-1),ROWS($1:11))),"")</f>
        <v>1200</v>
      </c>
      <c r="K13">
        <v>7.4759999999999993E-2</v>
      </c>
      <c r="L13">
        <v>4.0627247524752472E-3</v>
      </c>
      <c r="M13">
        <v>0.15782123076923077</v>
      </c>
      <c r="N13">
        <f t="shared" si="0"/>
        <v>189.38547692307694</v>
      </c>
      <c r="O13">
        <v>7.6748381538461544E-2</v>
      </c>
      <c r="P13">
        <f t="shared" si="1"/>
        <v>92.09805784615385</v>
      </c>
      <c r="Q13">
        <f t="shared" si="2"/>
        <v>4.8752697029702965</v>
      </c>
      <c r="R13">
        <f t="shared" si="3"/>
        <v>0.51204204844340839</v>
      </c>
    </row>
    <row r="14" spans="1:18">
      <c r="A14">
        <f t="array" ref="A14">IFERROR(INDEX(Tableau1[[#All],[Facture N°]],SMALL(IF((Tableau1[[#All],[Origine]]="vente")*(Tableau1[[#All],[matière]]=$G$1)*(Tableau1[[#All],[forme]]=$H$1)*(Tableau1[[#All],[taille]]=$I$1*1),ROW(Tableau1[[#All],[matière]])-1),ROWS($1:12))),"")</f>
        <v>201800048</v>
      </c>
      <c r="B14">
        <f t="array" ref="B14">IFERROR(INDEX(Tableau1[[#All],[N° déclarat° export]],SMALL(IF((Tableau1[[#All],[Origine]]="vente")*(Tableau1[[#All],[matière]]=$G$1)*(Tableau1[[#All],[forme]]=$H$1)*(Tableau1[[#All],[taille]]=$I$1*1),ROW(Tableau1[[#All],[matière]])-1),ROWS($1:12))),"")</f>
        <v>536321</v>
      </c>
      <c r="C14" s="45">
        <f t="array" ref="C14">IFERROR(INDEX(Tableau1[[#All],[Date déclarat° export]],SMALL(IF((Tableau1[[#All],[Origine]]="vente")*(Tableau1[[#All],[matière]]=$G$1)*(Tableau1[[#All],[forme]]=$H$1)*(Tableau1[[#All],[taille]]=$I$1*1),ROW(Tableau1[[#All],[matière]])-1),ROWS($1:12))),"")</f>
        <v>43263</v>
      </c>
      <c r="D14">
        <f t="array" ref="D14">IFERROR(INDEX(Tableau1[[#All],[Réf article]],SMALL(IF((Tableau1[[#All],[Origine]]="vente")*(Tableau1[[#All],[matière]]=$G$1)*(Tableau1[[#All],[forme]]=$H$1)*(Tableau1[[#All],[taille]]=$I$1*1),ROW(Tableau1[[#All],[matière]])-1),ROWS($1:12))),"")</f>
        <v>200200</v>
      </c>
      <c r="E14" t="str">
        <f t="array" ref="E14">IFERROR(INDEX(Tableau1[[#All],[Désignation]],SMALL(IF((Tableau1[[#All],[Origine]]="vente")*(Tableau1[[#All],[matière]]=$G$1)*(Tableau1[[#All],[forme]]=$H$1)*(Tableau1[[#All],[taille]]=$I$1*1),ROW(Tableau1[[#All],[matière]])-1),ROWS($1:12))),"")</f>
        <v>EMBOUT DE TIGE</v>
      </c>
      <c r="F14">
        <f t="shared" si="4"/>
        <v>146</v>
      </c>
      <c r="G14" t="str">
        <f t="shared" si="5"/>
        <v>LAITON</v>
      </c>
      <c r="H14" t="str">
        <f t="shared" si="6"/>
        <v>ROND</v>
      </c>
      <c r="I14">
        <f t="array" ref="I14">IFERROR(INDEX('Base de données'!J$2:J$114,SMALL(IF((('Base de données'!$B$2:$B$114="vente"))*('Base de données'!$H$2:$H$114=$G$1)*('Base de données'!$I$2:$I$114=$H$1)*('Base de données'!$J$2:$J$114=$I$1*1),ROW('Base de données'!$H$2:$H$114)-1),ROWS($1:12))),"")</f>
        <v>22</v>
      </c>
      <c r="J14">
        <f t="array" ref="J14">IFERROR(INDEX(Tableau1[[#All],[Qté livrée]],SMALL(IF((Tableau1[[#All],[Origine]]="vente")*(Tableau1[[#All],[matière]]=$G$1)*(Tableau1[[#All],[forme]]=$H$1)*(Tableau1[[#All],[taille]]=$I$1*1),ROW(Tableau1[[#All],[matière]])-1),ROWS($1:12))),"")</f>
        <v>1000</v>
      </c>
      <c r="K14">
        <v>7.4759999999999993E-2</v>
      </c>
      <c r="L14">
        <v>4.0627247524752472E-3</v>
      </c>
      <c r="M14">
        <v>0.15782123076923077</v>
      </c>
      <c r="N14">
        <f t="shared" si="0"/>
        <v>157.82123076923077</v>
      </c>
      <c r="O14">
        <v>7.6748381538461544E-2</v>
      </c>
      <c r="P14">
        <f t="shared" si="1"/>
        <v>76.748381538461544</v>
      </c>
      <c r="Q14">
        <f t="shared" si="2"/>
        <v>4.0627247524752477</v>
      </c>
      <c r="R14">
        <f t="shared" si="3"/>
        <v>0.51204204844340839</v>
      </c>
    </row>
    <row r="15" spans="1:18">
      <c r="A15">
        <f t="array" ref="A15">IFERROR(INDEX(Tableau1[[#All],[Facture N°]],SMALL(IF((Tableau1[[#All],[Origine]]="vente")*(Tableau1[[#All],[matière]]=$G$1)*(Tableau1[[#All],[forme]]=$H$1)*(Tableau1[[#All],[taille]]=$I$1*1),ROW(Tableau1[[#All],[matière]])-1),ROWS($1:13))),"")</f>
        <v>201800056</v>
      </c>
      <c r="B15">
        <f t="array" ref="B15">IFERROR(INDEX(Tableau1[[#All],[N° déclarat° export]],SMALL(IF((Tableau1[[#All],[Origine]]="vente")*(Tableau1[[#All],[matière]]=$G$1)*(Tableau1[[#All],[forme]]=$H$1)*(Tableau1[[#All],[taille]]=$I$1*1),ROW(Tableau1[[#All],[matière]])-1),ROWS($1:13))),"")</f>
        <v>537031</v>
      </c>
      <c r="C15" s="45">
        <f t="array" ref="C15">IFERROR(INDEX(Tableau1[[#All],[Date déclarat° export]],SMALL(IF((Tableau1[[#All],[Origine]]="vente")*(Tableau1[[#All],[matière]]=$G$1)*(Tableau1[[#All],[forme]]=$H$1)*(Tableau1[[#All],[taille]]=$I$1*1),ROW(Tableau1[[#All],[matière]])-1),ROWS($1:13))),"")</f>
        <v>43297</v>
      </c>
      <c r="D15">
        <f t="array" ref="D15">IFERROR(INDEX(Tableau1[[#All],[Réf article]],SMALL(IF((Tableau1[[#All],[Origine]]="vente")*(Tableau1[[#All],[matière]]=$G$1)*(Tableau1[[#All],[forme]]=$H$1)*(Tableau1[[#All],[taille]]=$I$1*1),ROW(Tableau1[[#All],[matière]])-1),ROWS($1:13))),"")</f>
        <v>200200</v>
      </c>
      <c r="E15" t="str">
        <f t="array" ref="E15">IFERROR(INDEX(Tableau1[[#All],[Désignation]],SMALL(IF((Tableau1[[#All],[Origine]]="vente")*(Tableau1[[#All],[matière]]=$G$1)*(Tableau1[[#All],[forme]]=$H$1)*(Tableau1[[#All],[taille]]=$I$1*1),ROW(Tableau1[[#All],[matière]])-1),ROWS($1:13))),"")</f>
        <v>EMBOUT DE TIGE</v>
      </c>
      <c r="F15">
        <f t="shared" si="4"/>
        <v>146</v>
      </c>
      <c r="G15" t="str">
        <f t="shared" si="5"/>
        <v>LAITON</v>
      </c>
      <c r="H15" t="str">
        <f t="shared" si="6"/>
        <v>ROND</v>
      </c>
      <c r="I15">
        <f t="array" ref="I15">IFERROR(INDEX('Base de données'!J$2:J$114,SMALL(IF((('Base de données'!$B$2:$B$114="vente"))*('Base de données'!$H$2:$H$114=$G$1)*('Base de données'!$I$2:$I$114=$H$1)*('Base de données'!$J$2:$J$114=$I$1*1),ROW('Base de données'!$H$2:$H$114)-1),ROWS($1:13))),"")</f>
        <v>22</v>
      </c>
      <c r="J15">
        <f t="array" ref="J15">IFERROR(INDEX(Tableau1[[#All],[Qté livrée]],SMALL(IF((Tableau1[[#All],[Origine]]="vente")*(Tableau1[[#All],[matière]]=$G$1)*(Tableau1[[#All],[forme]]=$H$1)*(Tableau1[[#All],[taille]]=$I$1*1),ROW(Tableau1[[#All],[matière]])-1),ROWS($1:13))),"")</f>
        <v>1550</v>
      </c>
      <c r="K15">
        <v>7.4759999999999993E-2</v>
      </c>
      <c r="L15">
        <v>4.0627247524752472E-3</v>
      </c>
      <c r="M15">
        <v>0.15782123076923077</v>
      </c>
      <c r="N15">
        <f t="shared" si="0"/>
        <v>244.62290769230771</v>
      </c>
      <c r="O15">
        <v>7.6748381538461544E-2</v>
      </c>
      <c r="P15">
        <f t="shared" si="1"/>
        <v>118.95999138461539</v>
      </c>
      <c r="Q15">
        <f t="shared" si="2"/>
        <v>6.2972233663366328</v>
      </c>
      <c r="R15">
        <f t="shared" si="3"/>
        <v>0.51204204844340839</v>
      </c>
    </row>
    <row r="16" spans="1:18">
      <c r="A16">
        <f t="array" ref="A16">IFERROR(INDEX(Tableau1[[#All],[Facture N°]],SMALL(IF((Tableau1[[#All],[Origine]]="vente")*(Tableau1[[#All],[matière]]=$G$1)*(Tableau1[[#All],[forme]]=$H$1)*(Tableau1[[#All],[taille]]=$I$1*1),ROW(Tableau1[[#All],[matière]])-1),ROWS($1:14))),"")</f>
        <v>201800081</v>
      </c>
      <c r="B16">
        <f t="array" ref="B16">IFERROR(INDEX(Tableau1[[#All],[N° déclarat° export]],SMALL(IF((Tableau1[[#All],[Origine]]="vente")*(Tableau1[[#All],[matière]]=$G$1)*(Tableau1[[#All],[forme]]=$H$1)*(Tableau1[[#All],[taille]]=$I$1*1),ROW(Tableau1[[#All],[matière]])-1),ROWS($1:14))),"")</f>
        <v>539116</v>
      </c>
      <c r="C16" s="45">
        <f t="array" ref="C16">IFERROR(INDEX(Tableau1[[#All],[Date déclarat° export]],SMALL(IF((Tableau1[[#All],[Origine]]="vente")*(Tableau1[[#All],[matière]]=$G$1)*(Tableau1[[#All],[forme]]=$H$1)*(Tableau1[[#All],[taille]]=$I$1*1),ROW(Tableau1[[#All],[matière]])-1),ROWS($1:14))),"")</f>
        <v>43412</v>
      </c>
      <c r="D16">
        <f t="array" ref="D16">IFERROR(INDEX(Tableau1[[#All],[Réf article]],SMALL(IF((Tableau1[[#All],[Origine]]="vente")*(Tableau1[[#All],[matière]]=$G$1)*(Tableau1[[#All],[forme]]=$H$1)*(Tableau1[[#All],[taille]]=$I$1*1),ROW(Tableau1[[#All],[matière]])-1),ROWS($1:14))),"")</f>
        <v>200200</v>
      </c>
      <c r="E16" t="str">
        <f t="array" ref="E16">IFERROR(INDEX(Tableau1[[#All],[Désignation]],SMALL(IF((Tableau1[[#All],[Origine]]="vente")*(Tableau1[[#All],[matière]]=$G$1)*(Tableau1[[#All],[forme]]=$H$1)*(Tableau1[[#All],[taille]]=$I$1*1),ROW(Tableau1[[#All],[matière]])-1),ROWS($1:14))),"")</f>
        <v>EMBOUT DE TIGE</v>
      </c>
      <c r="F16">
        <f t="shared" si="4"/>
        <v>146</v>
      </c>
      <c r="G16" t="str">
        <f t="shared" si="5"/>
        <v>LAITON</v>
      </c>
      <c r="H16" t="str">
        <f t="shared" si="6"/>
        <v>ROND</v>
      </c>
      <c r="I16">
        <f t="array" ref="I16">IFERROR(INDEX('Base de données'!J$2:J$114,SMALL(IF((('Base de données'!$B$2:$B$114="vente"))*('Base de données'!$H$2:$H$114=$G$1)*('Base de données'!$I$2:$I$114=$H$1)*('Base de données'!$J$2:$J$114=$I$1*1),ROW('Base de données'!$H$2:$H$114)-1),ROWS($1:14))),"")</f>
        <v>22</v>
      </c>
      <c r="J16">
        <f t="array" ref="J16">IFERROR(INDEX(Tableau1[[#All],[Qté livrée]],SMALL(IF((Tableau1[[#All],[Origine]]="vente")*(Tableau1[[#All],[matière]]=$G$1)*(Tableau1[[#All],[forme]]=$H$1)*(Tableau1[[#All],[taille]]=$I$1*1),ROW(Tableau1[[#All],[matière]])-1),ROWS($1:14))),"")</f>
        <v>1700</v>
      </c>
      <c r="K16">
        <v>7.4759999999999993E-2</v>
      </c>
      <c r="L16">
        <v>4.0627247524752472E-3</v>
      </c>
      <c r="M16">
        <v>0.15782123076923077</v>
      </c>
      <c r="N16">
        <f t="shared" si="0"/>
        <v>268.29609230769233</v>
      </c>
      <c r="O16">
        <v>7.6748381538461544E-2</v>
      </c>
      <c r="P16">
        <f t="shared" si="1"/>
        <v>130.47224861538461</v>
      </c>
      <c r="Q16">
        <f t="shared" si="2"/>
        <v>6.9066320792079203</v>
      </c>
      <c r="R16">
        <f t="shared" si="3"/>
        <v>0.51204204844340839</v>
      </c>
    </row>
    <row r="17" spans="1:18">
      <c r="A17">
        <f t="array" ref="A17">IFERROR(INDEX(Tableau1[[#All],[Facture N°]],SMALL(IF((Tableau1[[#All],[Origine]]="vente")*(Tableau1[[#All],[matière]]=$G$1)*(Tableau1[[#All],[forme]]=$H$1)*(Tableau1[[#All],[taille]]=$I$1*1),ROW(Tableau1[[#All],[matière]])-1),ROWS($1:15))),"")</f>
        <v>201800087</v>
      </c>
      <c r="B17">
        <f t="array" ref="B17">IFERROR(INDEX(Tableau1[[#All],[N° déclarat° export]],SMALL(IF((Tableau1[[#All],[Origine]]="vente")*(Tableau1[[#All],[matière]]=$G$1)*(Tableau1[[#All],[forme]]=$H$1)*(Tableau1[[#All],[taille]]=$I$1*1),ROW(Tableau1[[#All],[matière]])-1),ROWS($1:15))),"")</f>
        <v>539596</v>
      </c>
      <c r="C17" s="45">
        <f t="array" ref="C17">IFERROR(INDEX(Tableau1[[#All],[Date déclarat° export]],SMALL(IF((Tableau1[[#All],[Origine]]="vente")*(Tableau1[[#All],[matière]]=$G$1)*(Tableau1[[#All],[forme]]=$H$1)*(Tableau1[[#All],[taille]]=$I$1*1),ROW(Tableau1[[#All],[matière]])-1),ROWS($1:15))),"")</f>
        <v>43435</v>
      </c>
      <c r="D17">
        <f t="array" ref="D17">IFERROR(INDEX(Tableau1[[#All],[Réf article]],SMALL(IF((Tableau1[[#All],[Origine]]="vente")*(Tableau1[[#All],[matière]]=$G$1)*(Tableau1[[#All],[forme]]=$H$1)*(Tableau1[[#All],[taille]]=$I$1*1),ROW(Tableau1[[#All],[matière]])-1),ROWS($1:15))),"")</f>
        <v>200200</v>
      </c>
      <c r="E17" t="str">
        <f t="array" ref="E17">IFERROR(INDEX(Tableau1[[#All],[Désignation]],SMALL(IF((Tableau1[[#All],[Origine]]="vente")*(Tableau1[[#All],[matière]]=$G$1)*(Tableau1[[#All],[forme]]=$H$1)*(Tableau1[[#All],[taille]]=$I$1*1),ROW(Tableau1[[#All],[matière]])-1),ROWS($1:15))),"")</f>
        <v>EMBOUT DE TIGE</v>
      </c>
      <c r="F17">
        <f t="shared" si="4"/>
        <v>146</v>
      </c>
      <c r="G17" t="str">
        <f t="shared" si="5"/>
        <v>LAITON</v>
      </c>
      <c r="H17" t="str">
        <f t="shared" si="6"/>
        <v>ROND</v>
      </c>
      <c r="I17">
        <f t="array" ref="I17">IFERROR(INDEX('Base de données'!J$2:J$114,SMALL(IF((('Base de données'!$B$2:$B$114="vente"))*('Base de données'!$H$2:$H$114=$G$1)*('Base de données'!$I$2:$I$114=$H$1)*('Base de données'!$J$2:$J$114=$I$1*1),ROW('Base de données'!$H$2:$H$114)-1),ROWS($1:15))),"")</f>
        <v>22</v>
      </c>
      <c r="J17">
        <f t="array" ref="J17">IFERROR(INDEX(Tableau1[[#All],[Qté livrée]],SMALL(IF((Tableau1[[#All],[Origine]]="vente")*(Tableau1[[#All],[matière]]=$G$1)*(Tableau1[[#All],[forme]]=$H$1)*(Tableau1[[#All],[taille]]=$I$1*1),ROW(Tableau1[[#All],[matière]])-1),ROWS($1:15))),"")</f>
        <v>1450</v>
      </c>
      <c r="K17">
        <v>7.4759999999999993E-2</v>
      </c>
      <c r="L17">
        <v>4.0627247524752472E-3</v>
      </c>
      <c r="M17">
        <v>0.15782123076923077</v>
      </c>
      <c r="N17">
        <f t="shared" si="0"/>
        <v>228.84078461538462</v>
      </c>
      <c r="O17">
        <v>7.6748381538461544E-2</v>
      </c>
      <c r="P17">
        <f t="shared" si="1"/>
        <v>111.28515323076924</v>
      </c>
      <c r="Q17">
        <f t="shared" si="2"/>
        <v>5.8909508910891084</v>
      </c>
      <c r="R17">
        <f t="shared" si="3"/>
        <v>0.51204204844340839</v>
      </c>
    </row>
    <row r="18" spans="1:18">
      <c r="A18">
        <f t="array" ref="A18">IFERROR(INDEX(Tableau1[[#All],[Facture N°]],SMALL(IF((Tableau1[[#All],[Origine]]="vente")*(Tableau1[[#All],[matière]]=$G$1)*(Tableau1[[#All],[forme]]=$H$1)*(Tableau1[[#All],[taille]]=$I$1*1),ROW(Tableau1[[#All],[matière]])-1),ROWS($1:16))),"")</f>
        <v>201900001</v>
      </c>
      <c r="B18">
        <f t="array" ref="B18">IFERROR(INDEX(Tableau1[[#All],[N° déclarat° export]],SMALL(IF((Tableau1[[#All],[Origine]]="vente")*(Tableau1[[#All],[matière]]=$G$1)*(Tableau1[[#All],[forme]]=$H$1)*(Tableau1[[#All],[taille]]=$I$1*1),ROW(Tableau1[[#All],[matière]])-1),ROWS($1:16))),"")</f>
        <v>540757</v>
      </c>
      <c r="C18" s="45">
        <f t="array" ref="C18">IFERROR(INDEX(Tableau1[[#All],[Date déclarat° export]],SMALL(IF((Tableau1[[#All],[Origine]]="vente")*(Tableau1[[#All],[matière]]=$G$1)*(Tableau1[[#All],[forme]]=$H$1)*(Tableau1[[#All],[taille]]=$I$1*1),ROW(Tableau1[[#All],[matière]])-1),ROWS($1:16))),"")</f>
        <v>43491</v>
      </c>
      <c r="D18">
        <f t="array" ref="D18">IFERROR(INDEX(Tableau1[[#All],[Réf article]],SMALL(IF((Tableau1[[#All],[Origine]]="vente")*(Tableau1[[#All],[matière]]=$G$1)*(Tableau1[[#All],[forme]]=$H$1)*(Tableau1[[#All],[taille]]=$I$1*1),ROW(Tableau1[[#All],[matière]])-1),ROWS($1:16))),"")</f>
        <v>200200</v>
      </c>
      <c r="E18" t="str">
        <f t="array" ref="E18">IFERROR(INDEX(Tableau1[[#All],[Désignation]],SMALL(IF((Tableau1[[#All],[Origine]]="vente")*(Tableau1[[#All],[matière]]=$G$1)*(Tableau1[[#All],[forme]]=$H$1)*(Tableau1[[#All],[taille]]=$I$1*1),ROW(Tableau1[[#All],[matière]])-1),ROWS($1:16))),"")</f>
        <v>EMBOUT DE TIGE</v>
      </c>
      <c r="F18">
        <f t="shared" si="4"/>
        <v>146</v>
      </c>
      <c r="G18" t="str">
        <f t="shared" si="5"/>
        <v>LAITON</v>
      </c>
      <c r="H18" t="str">
        <f t="shared" si="6"/>
        <v>ROND</v>
      </c>
      <c r="I18">
        <f t="array" ref="I18">IFERROR(INDEX('Base de données'!J$2:J$114,SMALL(IF((('Base de données'!$B$2:$B$114="vente"))*('Base de données'!$H$2:$H$114=$G$1)*('Base de données'!$I$2:$I$114=$H$1)*('Base de données'!$J$2:$J$114=$I$1*1),ROW('Base de données'!$H$2:$H$114)-1),ROWS($1:16))),"")</f>
        <v>22</v>
      </c>
      <c r="J18">
        <f t="array" ref="J18">IFERROR(INDEX(Tableau1[[#All],[Qté livrée]],SMALL(IF((Tableau1[[#All],[Origine]]="vente")*(Tableau1[[#All],[matière]]=$G$1)*(Tableau1[[#All],[forme]]=$H$1)*(Tableau1[[#All],[taille]]=$I$1*1),ROW(Tableau1[[#All],[matière]])-1),ROWS($1:16))),"")</f>
        <v>1000</v>
      </c>
      <c r="K18">
        <v>7.4759999999999993E-2</v>
      </c>
      <c r="L18">
        <v>4.0627247524752472E-3</v>
      </c>
      <c r="M18">
        <v>0.15782123076923077</v>
      </c>
      <c r="N18">
        <f t="shared" si="0"/>
        <v>157.82123076923077</v>
      </c>
      <c r="O18">
        <v>7.6748381538461544E-2</v>
      </c>
      <c r="P18">
        <f t="shared" si="1"/>
        <v>76.748381538461544</v>
      </c>
      <c r="Q18">
        <f t="shared" si="2"/>
        <v>4.0627247524752477</v>
      </c>
      <c r="R18">
        <f t="shared" si="3"/>
        <v>0.51204204844340839</v>
      </c>
    </row>
    <row r="19" spans="1:18">
      <c r="A19">
        <f t="array" ref="A19">IFERROR(INDEX(Tableau1[[#All],[Facture N°]],SMALL(IF((Tableau1[[#All],[Origine]]="vente")*(Tableau1[[#All],[matière]]=$G$1)*(Tableau1[[#All],[forme]]=$H$1)*(Tableau1[[#All],[taille]]=$I$1*1),ROW(Tableau1[[#All],[matière]])-1),ROWS($1:17))),"")</f>
        <v>201900011</v>
      </c>
      <c r="B19">
        <f t="array" ref="B19">IFERROR(INDEX(Tableau1[[#All],[N° déclarat° export]],SMALL(IF((Tableau1[[#All],[Origine]]="vente")*(Tableau1[[#All],[matière]]=$G$1)*(Tableau1[[#All],[forme]]=$H$1)*(Tableau1[[#All],[taille]]=$I$1*1),ROW(Tableau1[[#All],[matière]])-1),ROWS($1:17))),"")</f>
        <v>541530</v>
      </c>
      <c r="C19" s="45">
        <f t="array" ref="C19">IFERROR(INDEX(Tableau1[[#All],[Date déclarat° export]],SMALL(IF((Tableau1[[#All],[Origine]]="vente")*(Tableau1[[#All],[matière]]=$G$1)*(Tableau1[[#All],[forme]]=$H$1)*(Tableau1[[#All],[taille]]=$I$1*1),ROW(Tableau1[[#All],[matière]])-1),ROWS($1:17))),"")</f>
        <v>43524</v>
      </c>
      <c r="D19">
        <f t="array" ref="D19">IFERROR(INDEX(Tableau1[[#All],[Réf article]],SMALL(IF((Tableau1[[#All],[Origine]]="vente")*(Tableau1[[#All],[matière]]=$G$1)*(Tableau1[[#All],[forme]]=$H$1)*(Tableau1[[#All],[taille]]=$I$1*1),ROW(Tableau1[[#All],[matière]])-1),ROWS($1:17))),"")</f>
        <v>200200</v>
      </c>
      <c r="E19" t="str">
        <f t="array" ref="E19">IFERROR(INDEX(Tableau1[[#All],[Désignation]],SMALL(IF((Tableau1[[#All],[Origine]]="vente")*(Tableau1[[#All],[matière]]=$G$1)*(Tableau1[[#All],[forme]]=$H$1)*(Tableau1[[#All],[taille]]=$I$1*1),ROW(Tableau1[[#All],[matière]])-1),ROWS($1:17))),"")</f>
        <v>EMBOUT DE TIGE</v>
      </c>
      <c r="F19">
        <f t="shared" si="4"/>
        <v>146</v>
      </c>
      <c r="G19" t="str">
        <f t="shared" si="5"/>
        <v>LAITON</v>
      </c>
      <c r="H19" t="str">
        <f t="shared" si="6"/>
        <v>ROND</v>
      </c>
      <c r="I19">
        <f>IFERROR(VLOOKUP($A19,'Base de données'!$A$3:$AA$114,MATCH('vente '!I$2,'Base de données'!$2:$2,0),0),"")</f>
        <v>22</v>
      </c>
      <c r="J19">
        <f t="array" ref="J19">IFERROR(INDEX(Tableau1[[#All],[Qté livrée]],SMALL(IF((Tableau1[[#All],[Origine]]="vente")*(Tableau1[[#All],[matière]]=$G$1)*(Tableau1[[#All],[forme]]=$H$1)*(Tableau1[[#All],[taille]]=$I$1*1),ROW(Tableau1[[#All],[matière]])-1),ROWS($1:17))),"")</f>
        <v>2800</v>
      </c>
      <c r="K19">
        <v>7.4759999999999993E-2</v>
      </c>
      <c r="L19">
        <v>4.0627247524752472E-3</v>
      </c>
      <c r="M19">
        <v>0.15782123076923077</v>
      </c>
      <c r="N19">
        <f t="shared" si="0"/>
        <v>441.89944615384616</v>
      </c>
      <c r="O19">
        <v>7.6748381538461544E-2</v>
      </c>
      <c r="P19">
        <f t="shared" si="1"/>
        <v>214.89546830769231</v>
      </c>
      <c r="Q19">
        <f t="shared" si="2"/>
        <v>11.375629306930692</v>
      </c>
      <c r="R19">
        <f t="shared" si="3"/>
        <v>0.51204204844340839</v>
      </c>
    </row>
    <row r="20" spans="1:18">
      <c r="A20">
        <f t="array" ref="A20">IFERROR(INDEX(Tableau1[[#All],[Facture N°]],SMALL(IF((Tableau1[[#All],[Origine]]="vente")*(Tableau1[[#All],[matière]]=$G$1)*(Tableau1[[#All],[forme]]=$H$1)*(Tableau1[[#All],[taille]]=$I$1*1),ROW(Tableau1[[#All],[matière]])-1),ROWS($1:18))),"")</f>
        <v>201900023</v>
      </c>
      <c r="B20">
        <f t="array" ref="B20">IFERROR(INDEX(Tableau1[[#All],[N° déclarat° export]],SMALL(IF((Tableau1[[#All],[Origine]]="vente")*(Tableau1[[#All],[matière]]=$G$1)*(Tableau1[[#All],[forme]]=$H$1)*(Tableau1[[#All],[taille]]=$I$1*1),ROW(Tableau1[[#All],[matière]])-1),ROWS($1:18))),"")</f>
        <v>542331</v>
      </c>
      <c r="C20" s="45">
        <f t="array" ref="C20">IFERROR(INDEX(Tableau1[[#All],[Date déclarat° export]],SMALL(IF((Tableau1[[#All],[Origine]]="vente")*(Tableau1[[#All],[matière]]=$G$1)*(Tableau1[[#All],[forme]]=$H$1)*(Tableau1[[#All],[taille]]=$I$1*1),ROW(Tableau1[[#All],[matière]])-1),ROWS($1:18))),"")</f>
        <v>43554</v>
      </c>
      <c r="D20">
        <f t="array" ref="D20">IFERROR(INDEX(Tableau1[[#All],[Réf article]],SMALL(IF((Tableau1[[#All],[Origine]]="vente")*(Tableau1[[#All],[matière]]=$G$1)*(Tableau1[[#All],[forme]]=$H$1)*(Tableau1[[#All],[taille]]=$I$1*1),ROW(Tableau1[[#All],[matière]])-1),ROWS($1:18))),"")</f>
        <v>200200</v>
      </c>
      <c r="E20" t="str">
        <f t="array" ref="E20">IFERROR(INDEX(Tableau1[[#All],[Désignation]],SMALL(IF((Tableau1[[#All],[Origine]]="vente")*(Tableau1[[#All],[matière]]=$G$1)*(Tableau1[[#All],[forme]]=$H$1)*(Tableau1[[#All],[taille]]=$I$1*1),ROW(Tableau1[[#All],[matière]])-1),ROWS($1:18))),"")</f>
        <v>EMBOUT DE TIGE</v>
      </c>
      <c r="F20">
        <f t="shared" si="4"/>
        <v>146</v>
      </c>
      <c r="G20" t="str">
        <f t="shared" si="5"/>
        <v>LAITON</v>
      </c>
      <c r="H20" t="str">
        <f t="shared" si="6"/>
        <v>ROND</v>
      </c>
      <c r="I20">
        <f>IFERROR(VLOOKUP($A20,'Base de données'!$A$3:$AA$114,MATCH('vente '!I$2,'Base de données'!$2:$2,0),0),"")</f>
        <v>22</v>
      </c>
      <c r="J20">
        <f t="array" ref="J20">IFERROR(INDEX(Tableau1[[#All],[Qté livrée]],SMALL(IF((Tableau1[[#All],[Origine]]="vente")*(Tableau1[[#All],[matière]]=$G$1)*(Tableau1[[#All],[forme]]=$H$1)*(Tableau1[[#All],[taille]]=$I$1*1),ROW(Tableau1[[#All],[matière]])-1),ROWS($1:18))),"")</f>
        <v>1000</v>
      </c>
      <c r="K20">
        <v>7.4759999999999993E-2</v>
      </c>
      <c r="L20">
        <v>4.0627247524752472E-3</v>
      </c>
      <c r="M20">
        <v>0.15782123076923077</v>
      </c>
      <c r="N20">
        <f t="shared" si="0"/>
        <v>157.82123076923077</v>
      </c>
      <c r="O20">
        <v>7.6748381538461544E-2</v>
      </c>
      <c r="P20">
        <f t="shared" si="1"/>
        <v>76.748381538461544</v>
      </c>
      <c r="Q20">
        <f t="shared" si="2"/>
        <v>4.0627247524752477</v>
      </c>
      <c r="R20">
        <f t="shared" si="3"/>
        <v>0.51204204844340839</v>
      </c>
    </row>
    <row r="21" spans="1:18">
      <c r="A21">
        <f t="array" ref="A21">IFERROR(INDEX(Tableau1[[#All],[Facture N°]],SMALL(IF((Tableau1[[#All],[Origine]]="vente")*(Tableau1[[#All],[matière]]=$G$1)*(Tableau1[[#All],[forme]]=$H$1)*(Tableau1[[#All],[taille]]=$I$1*1),ROW(Tableau1[[#All],[matière]])-1),ROWS($1:19))),"")</f>
        <v>201900034</v>
      </c>
      <c r="B21">
        <f t="array" ref="B21">IFERROR(INDEX(Tableau1[[#All],[N° déclarat° export]],SMALL(IF((Tableau1[[#All],[Origine]]="vente")*(Tableau1[[#All],[matière]]=$G$1)*(Tableau1[[#All],[forme]]=$H$1)*(Tableau1[[#All],[taille]]=$I$1*1),ROW(Tableau1[[#All],[matière]])-1),ROWS($1:19))),"")</f>
        <v>543037</v>
      </c>
      <c r="C21" s="45">
        <f t="array" ref="C21">IFERROR(INDEX(Tableau1[[#All],[Date déclarat° export]],SMALL(IF((Tableau1[[#All],[Origine]]="vente")*(Tableau1[[#All],[matière]]=$G$1)*(Tableau1[[#All],[forme]]=$H$1)*(Tableau1[[#All],[taille]]=$I$1*1),ROW(Tableau1[[#All],[matière]])-1),ROWS($1:19))),"")</f>
        <v>43581</v>
      </c>
      <c r="D21">
        <f t="array" ref="D21">IFERROR(INDEX(Tableau1[[#All],[Réf article]],SMALL(IF((Tableau1[[#All],[Origine]]="vente")*(Tableau1[[#All],[matière]]=$G$1)*(Tableau1[[#All],[forme]]=$H$1)*(Tableau1[[#All],[taille]]=$I$1*1),ROW(Tableau1[[#All],[matière]])-1),ROWS($1:19))),"")</f>
        <v>200200</v>
      </c>
      <c r="E21" t="str">
        <f t="array" ref="E21">IFERROR(INDEX(Tableau1[[#All],[Désignation]],SMALL(IF((Tableau1[[#All],[Origine]]="vente")*(Tableau1[[#All],[matière]]=$G$1)*(Tableau1[[#All],[forme]]=$H$1)*(Tableau1[[#All],[taille]]=$I$1*1),ROW(Tableau1[[#All],[matière]])-1),ROWS($1:19))),"")</f>
        <v>EMBOUT DE TIGE</v>
      </c>
      <c r="F21">
        <f t="shared" si="4"/>
        <v>146</v>
      </c>
      <c r="G21" t="str">
        <f t="shared" si="5"/>
        <v>LAITON</v>
      </c>
      <c r="H21" t="str">
        <f t="shared" si="6"/>
        <v>ROND</v>
      </c>
      <c r="I21">
        <f>IFERROR(VLOOKUP($A21,'Base de données'!$A$3:$AA$114,MATCH('vente '!I$2,'Base de données'!$2:$2,0),0),"")</f>
        <v>22</v>
      </c>
      <c r="J21">
        <f t="array" ref="J21">IFERROR(INDEX(Tableau1[[#All],[Qté livrée]],SMALL(IF((Tableau1[[#All],[Origine]]="vente")*(Tableau1[[#All],[matière]]=$G$1)*(Tableau1[[#All],[forme]]=$H$1)*(Tableau1[[#All],[taille]]=$I$1*1),ROW(Tableau1[[#All],[matière]])-1),ROWS($1:19))),"")</f>
        <v>1500</v>
      </c>
      <c r="K21">
        <v>7.4759999999999993E-2</v>
      </c>
      <c r="L21">
        <v>4.0627247524752472E-3</v>
      </c>
      <c r="M21">
        <v>0.15782123076923077</v>
      </c>
      <c r="N21">
        <f t="shared" si="0"/>
        <v>236.73184615384616</v>
      </c>
      <c r="O21">
        <v>7.6748381538461544E-2</v>
      </c>
      <c r="P21">
        <f t="shared" si="1"/>
        <v>115.12257230769231</v>
      </c>
      <c r="Q21">
        <f t="shared" si="2"/>
        <v>6.0940871287128706</v>
      </c>
      <c r="R21">
        <f t="shared" si="3"/>
        <v>0.51204204844340839</v>
      </c>
    </row>
    <row r="22" spans="1:18">
      <c r="A22">
        <f t="array" ref="A22">IFERROR(INDEX(Tableau1[[#All],[Facture N°]],SMALL(IF((Tableau1[[#All],[Origine]]="vente")*(Tableau1[[#All],[matière]]=$G$1)*(Tableau1[[#All],[forme]]=$H$1)*(Tableau1[[#All],[taille]]=$I$1*1),ROW(Tableau1[[#All],[matière]])-1),ROWS($1:20))),"")</f>
        <v>201900078</v>
      </c>
      <c r="B22">
        <f t="array" ref="B22">IFERROR(INDEX(Tableau1[[#All],[N° déclarat° export]],SMALL(IF((Tableau1[[#All],[Origine]]="vente")*(Tableau1[[#All],[matière]]=$G$1)*(Tableau1[[#All],[forme]]=$H$1)*(Tableau1[[#All],[taille]]=$I$1*1),ROW(Tableau1[[#All],[matière]])-1),ROWS($1:20))),"")</f>
        <v>546151</v>
      </c>
      <c r="C22" s="45">
        <f t="array" ref="C22">IFERROR(INDEX(Tableau1[[#All],[Date déclarat° export]],SMALL(IF((Tableau1[[#All],[Origine]]="vente")*(Tableau1[[#All],[matière]]=$G$1)*(Tableau1[[#All],[forme]]=$H$1)*(Tableau1[[#All],[taille]]=$I$1*1),ROW(Tableau1[[#All],[matière]])-1),ROWS($1:20))),"")</f>
        <v>43734</v>
      </c>
      <c r="D22">
        <f t="array" ref="D22">IFERROR(INDEX(Tableau1[[#All],[Réf article]],SMALL(IF((Tableau1[[#All],[Origine]]="vente")*(Tableau1[[#All],[matière]]=$G$1)*(Tableau1[[#All],[forme]]=$H$1)*(Tableau1[[#All],[taille]]=$I$1*1),ROW(Tableau1[[#All],[matière]])-1),ROWS($1:20))),"")</f>
        <v>200200</v>
      </c>
      <c r="E22" t="str">
        <f t="array" ref="E22">IFERROR(INDEX(Tableau1[[#All],[Désignation]],SMALL(IF((Tableau1[[#All],[Origine]]="vente")*(Tableau1[[#All],[matière]]=$G$1)*(Tableau1[[#All],[forme]]=$H$1)*(Tableau1[[#All],[taille]]=$I$1*1),ROW(Tableau1[[#All],[matière]])-1),ROWS($1:20))),"")</f>
        <v>EMBOUT DE TIGE</v>
      </c>
      <c r="F22">
        <f t="shared" si="4"/>
        <v>146</v>
      </c>
      <c r="G22" t="str">
        <f t="shared" si="5"/>
        <v>LAITON</v>
      </c>
      <c r="H22" t="str">
        <f t="shared" si="6"/>
        <v>ROND</v>
      </c>
      <c r="I22">
        <f>IFERROR(VLOOKUP($A22,'Base de données'!$A$3:$AA$114,MATCH('vente '!I$2,'Base de données'!$2:$2,0),0),"")</f>
        <v>22</v>
      </c>
      <c r="J22">
        <f t="array" ref="J22">IFERROR(INDEX(Tableau1[[#All],[Qté livrée]],SMALL(IF((Tableau1[[#All],[Origine]]="vente")*(Tableau1[[#All],[matière]]=$G$1)*(Tableau1[[#All],[forme]]=$H$1)*(Tableau1[[#All],[taille]]=$I$1*1),ROW(Tableau1[[#All],[matière]])-1),ROWS($1:20))),"")</f>
        <v>500</v>
      </c>
      <c r="K22">
        <v>7.4759999999999993E-2</v>
      </c>
      <c r="L22">
        <v>4.0627247524752472E-3</v>
      </c>
      <c r="M22">
        <v>0.15782123076923077</v>
      </c>
      <c r="N22">
        <f t="shared" si="0"/>
        <v>78.910615384615383</v>
      </c>
      <c r="O22">
        <v>7.6748381538461544E-2</v>
      </c>
      <c r="P22">
        <f t="shared" si="1"/>
        <v>38.374190769230772</v>
      </c>
      <c r="Q22">
        <f t="shared" si="2"/>
        <v>2.0313623762376238</v>
      </c>
      <c r="R22">
        <f t="shared" si="3"/>
        <v>0.51204204844340839</v>
      </c>
    </row>
    <row r="23" spans="1:18">
      <c r="A23" t="str">
        <f t="array" ref="A23">IFERROR(INDEX(Tableau1[[#All],[Facture N°]],SMALL(IF((Tableau1[[#All],[Origine]]="vente")*(Tableau1[[#All],[matière]]=$G$1)*(Tableau1[[#All],[forme]]=$H$1)*(Tableau1[[#All],[taille]]=$I$1*1),ROW(Tableau1[[#All],[matière]])-1),ROWS($1:21))),"")</f>
        <v/>
      </c>
      <c r="B23" t="str">
        <f t="array" ref="B23">IFERROR(INDEX(Tableau1[[#All],[N° déclarat° export]],SMALL(IF((Tableau1[[#All],[Origine]]="vente")*(Tableau1[[#All],[matière]]=$G$1)*(Tableau1[[#All],[forme]]=$H$1)*(Tableau1[[#All],[taille]]=$I$1*1),ROW(Tableau1[[#All],[matière]])-1),ROWS($1:21))),"")</f>
        <v/>
      </c>
      <c r="C23" s="45" t="str">
        <f t="array" ref="C23">IFERROR(INDEX(Tableau1[[#All],[Date déclarat° export]],SMALL(IF((Tableau1[[#All],[Origine]]="vente")*(Tableau1[[#All],[matière]]=$G$1)*(Tableau1[[#All],[forme]]=$H$1)*(Tableau1[[#All],[taille]]=$I$1*1),ROW(Tableau1[[#All],[matière]])-1),ROWS($1:21))),"")</f>
        <v/>
      </c>
      <c r="D23" t="str">
        <f t="array" ref="D23">IFERROR(INDEX(Tableau1[[#All],[Réf article]],SMALL(IF((Tableau1[[#All],[Origine]]="vente")*(Tableau1[[#All],[matière]]=$G$1)*(Tableau1[[#All],[forme]]=$H$1)*(Tableau1[[#All],[taille]]=$I$1*1),ROW(Tableau1[[#All],[matière]])-1),ROWS($1:21))),"")</f>
        <v/>
      </c>
      <c r="E23" t="str">
        <f t="array" ref="E23">IFERROR(INDEX(Tableau1[[#All],[Désignation]],SMALL(IF((Tableau1[[#All],[Origine]]="vente")*(Tableau1[[#All],[matière]]=$G$1)*(Tableau1[[#All],[forme]]=$H$1)*(Tableau1[[#All],[taille]]=$I$1*1),ROW(Tableau1[[#All],[matière]])-1),ROWS($1:21))),"")</f>
        <v/>
      </c>
      <c r="F23">
        <f t="shared" si="4"/>
        <v>146</v>
      </c>
      <c r="G23" t="str">
        <f t="shared" si="5"/>
        <v>LAITON</v>
      </c>
      <c r="H23" t="str">
        <f t="shared" si="6"/>
        <v>ROND</v>
      </c>
      <c r="I23" t="str">
        <f>IFERROR(VLOOKUP($A23,'Base de données'!$A$3:$AA$114,MATCH('vente '!I$2,'Base de données'!$2:$2,0),0),"")</f>
        <v/>
      </c>
      <c r="J23" t="str">
        <f t="array" ref="J23">IFERROR(INDEX(Tableau1[[#All],[Qté livrée]],SMALL(IF((Tableau1[[#All],[Origine]]="vente")*(Tableau1[[#All],[matière]]=$G$1)*(Tableau1[[#All],[forme]]=$H$1)*(Tableau1[[#All],[taille]]=$I$1*1),ROW(Tableau1[[#All],[matière]])-1),ROWS($1:21))),"")</f>
        <v/>
      </c>
      <c r="K23" t="str">
        <f t="array" ref="K23">IFERROR(INDEX(Tableau1[[#All],[Poids net/ pièce]],SMALL(IF((Tableau1[[#All],[Origine]]="vente")*(Tableau1[[#All],[matière]]=$G$1)*(Tableau1[[#All],[forme]]=$H$1)*(Tableau1[[#All],[taille]]=$I$1*1),ROW(Tableau1[[#All],[matière]])-1),ROWS($1:21))),"")</f>
        <v/>
      </c>
      <c r="L23" t="str">
        <f t="array" ref="L23">IFERROR(INDEX(Tableau1[[#All],[Participat° dans la FB]],SMALL(IF((Tableau1[[#All],[Origine]]="vente")*(Tableau1[[#All],[matière]]=$G$1)*(Tableau1[[#All],[forme]]=$H$1)*(Tableau1[[#All],[taille]]=$I$1*1),ROW(Tableau1[[#All],[matière]])-1),ROWS($1:21))),"")</f>
        <v/>
      </c>
      <c r="M23" t="str">
        <f t="array" ref="M23">IFERROR(INDEX(Tableau1[[#All],[Poids brut/pièce]],SMALL(IF((Tableau1[[#All],[Origine]]="vente")*(Tableau1[[#All],[matière]]=$G$1)*(Tableau1[[#All],[forme]]=$H$1)*(Tableau1[[#All],[taille]]=$I$1*1),ROW(Tableau1[[#All],[matière]])-1),ROWS($1:21))),"")</f>
        <v/>
      </c>
      <c r="N23" t="str">
        <f t="shared" ref="N23:N50" si="7">IFERROR(M23*J23,"")</f>
        <v/>
      </c>
      <c r="O23" t="str">
        <f t="array" ref="O23">IFERROR(INDEX(Tableau1[[#All],[Poids copeaux/
pièce]],SMALL(IF((Tableau1[[#All],[Origine]]="vente")*(Tableau1[[#All],[matière]]=$G$1)*(Tableau1[[#All],[forme]]=$H$1)*(Tableau1[[#All],[taille]]=$I$1*1),ROW(Tableau1[[#All],[matière]])-1),ROWS($1:21))),"")</f>
        <v/>
      </c>
      <c r="P23" t="str">
        <f t="shared" ref="P23:P50" si="8">IFERROR(O23*J23,"")</f>
        <v/>
      </c>
      <c r="Q23" t="str">
        <f t="shared" ref="Q23:Q50" si="9">IFERROR(L23*J23,"")</f>
        <v/>
      </c>
      <c r="R23" t="str">
        <f t="shared" ref="R23:R50" si="10">IFERROR((O23+L23)/M23,"")</f>
        <v/>
      </c>
    </row>
    <row r="24" spans="1:18">
      <c r="A24" t="str">
        <f t="array" ref="A24">IFERROR(INDEX(Tableau1[[#All],[Facture N°]],SMALL(IF((Tableau1[[#All],[Origine]]="vente")*(Tableau1[[#All],[matière]]=$G$1)*(Tableau1[[#All],[forme]]=$H$1)*(Tableau1[[#All],[taille]]=$I$1*1),ROW(Tableau1[[#All],[matière]])-1),ROWS($1:22))),"")</f>
        <v/>
      </c>
      <c r="B24" t="str">
        <f t="array" ref="B24">IFERROR(INDEX(Tableau1[[#All],[N° déclarat° export]],SMALL(IF((Tableau1[[#All],[Origine]]="vente")*(Tableau1[[#All],[matière]]=$G$1)*(Tableau1[[#All],[forme]]=$H$1)*(Tableau1[[#All],[taille]]=$I$1*1),ROW(Tableau1[[#All],[matière]])-1),ROWS($1:22))),"")</f>
        <v/>
      </c>
      <c r="C24" s="45" t="str">
        <f t="array" ref="C24">IFERROR(INDEX(Tableau1[[#All],[Date déclarat° export]],SMALL(IF((Tableau1[[#All],[Origine]]="vente")*(Tableau1[[#All],[matière]]=$G$1)*(Tableau1[[#All],[forme]]=$H$1)*(Tableau1[[#All],[taille]]=$I$1*1),ROW(Tableau1[[#All],[matière]])-1),ROWS($1:22))),"")</f>
        <v/>
      </c>
      <c r="D24" t="str">
        <f t="array" ref="D24">IFERROR(INDEX(Tableau1[[#All],[Réf article]],SMALL(IF((Tableau1[[#All],[Origine]]="vente")*(Tableau1[[#All],[matière]]=$G$1)*(Tableau1[[#All],[forme]]=$H$1)*(Tableau1[[#All],[taille]]=$I$1*1),ROW(Tableau1[[#All],[matière]])-1),ROWS($1:22))),"")</f>
        <v/>
      </c>
      <c r="E24" t="str">
        <f t="array" ref="E24">IFERROR(INDEX(Tableau1[[#All],[Désignation]],SMALL(IF((Tableau1[[#All],[Origine]]="vente")*(Tableau1[[#All],[matière]]=$G$1)*(Tableau1[[#All],[forme]]=$H$1)*(Tableau1[[#All],[taille]]=$I$1*1),ROW(Tableau1[[#All],[matière]])-1),ROWS($1:22))),"")</f>
        <v/>
      </c>
      <c r="F24" t="str">
        <f t="shared" si="4"/>
        <v/>
      </c>
      <c r="G24" t="str">
        <f t="shared" si="5"/>
        <v/>
      </c>
      <c r="H24" t="str">
        <f t="shared" si="6"/>
        <v/>
      </c>
      <c r="I24" t="str">
        <f>IFERROR(VLOOKUP($A24,'Base de données'!$A$3:$AA$114,MATCH('vente '!I$2,'Base de données'!$2:$2,0),0),"")</f>
        <v/>
      </c>
      <c r="J24" t="str">
        <f t="array" ref="J24">IFERROR(INDEX(Tableau1[[#All],[Qté livrée]],SMALL(IF((Tableau1[[#All],[Origine]]="vente")*(Tableau1[[#All],[matière]]=$G$1)*(Tableau1[[#All],[forme]]=$H$1)*(Tableau1[[#All],[taille]]=$I$1*1),ROW(Tableau1[[#All],[matière]])-1),ROWS($1:22))),"")</f>
        <v/>
      </c>
      <c r="K24" t="str">
        <f t="array" ref="K24">IFERROR(INDEX(Tableau1[[#All],[Poids net/ pièce]],SMALL(IF((Tableau1[[#All],[Origine]]="vente")*(Tableau1[[#All],[matière]]=$G$1)*(Tableau1[[#All],[forme]]=$H$1)*(Tableau1[[#All],[taille]]=$I$1*1),ROW(Tableau1[[#All],[matière]])-1),ROWS($1:22))),"")</f>
        <v/>
      </c>
      <c r="L24" t="str">
        <f t="array" ref="L24">IFERROR(INDEX(Tableau1[[#All],[Participat° dans la FB]],SMALL(IF((Tableau1[[#All],[Origine]]="vente")*(Tableau1[[#All],[matière]]=$G$1)*(Tableau1[[#All],[forme]]=$H$1)*(Tableau1[[#All],[taille]]=$I$1*1),ROW(Tableau1[[#All],[matière]])-1),ROWS($1:22))),"")</f>
        <v/>
      </c>
      <c r="M24" t="str">
        <f t="array" ref="M24">IFERROR(INDEX(Tableau1[[#All],[Poids brut/pièce]],SMALL(IF((Tableau1[[#All],[Origine]]="vente")*(Tableau1[[#All],[matière]]=$G$1)*(Tableau1[[#All],[forme]]=$H$1)*(Tableau1[[#All],[taille]]=$I$1*1),ROW(Tableau1[[#All],[matière]])-1),ROWS($1:22))),"")</f>
        <v/>
      </c>
      <c r="N24" t="str">
        <f t="shared" si="7"/>
        <v/>
      </c>
      <c r="O24" t="str">
        <f t="array" ref="O24">IFERROR(INDEX(Tableau1[[#All],[Poids copeaux/
pièce]],SMALL(IF((Tableau1[[#All],[Origine]]="vente")*(Tableau1[[#All],[matière]]=$G$1)*(Tableau1[[#All],[forme]]=$H$1)*(Tableau1[[#All],[taille]]=$I$1*1),ROW(Tableau1[[#All],[matière]])-1),ROWS($1:22))),"")</f>
        <v/>
      </c>
      <c r="P24" t="str">
        <f t="shared" si="8"/>
        <v/>
      </c>
      <c r="Q24" t="str">
        <f t="shared" si="9"/>
        <v/>
      </c>
      <c r="R24" t="str">
        <f t="shared" si="10"/>
        <v/>
      </c>
    </row>
    <row r="25" spans="1:18">
      <c r="A25" t="str">
        <f t="array" ref="A25">IFERROR(INDEX(Tableau1[[#All],[Facture N°]],SMALL(IF((Tableau1[[#All],[Origine]]="vente")*(Tableau1[[#All],[matière]]=$G$1)*(Tableau1[[#All],[forme]]=$H$1)*(Tableau1[[#All],[taille]]=$I$1*1),ROW(Tableau1[[#All],[matière]])-1),ROWS($1:23))),"")</f>
        <v/>
      </c>
      <c r="B25" t="str">
        <f t="array" ref="B25">IFERROR(INDEX(Tableau1[[#All],[N° déclarat° export]],SMALL(IF((Tableau1[[#All],[Origine]]="vente")*(Tableau1[[#All],[matière]]=$G$1)*(Tableau1[[#All],[forme]]=$H$1)*(Tableau1[[#All],[taille]]=$I$1*1),ROW(Tableau1[[#All],[matière]])-1),ROWS($1:23))),"")</f>
        <v/>
      </c>
      <c r="C25" s="45" t="str">
        <f t="array" ref="C25">IFERROR(INDEX(Tableau1[[#All],[Date déclarat° export]],SMALL(IF((Tableau1[[#All],[Origine]]="vente")*(Tableau1[[#All],[matière]]=$G$1)*(Tableau1[[#All],[forme]]=$H$1)*(Tableau1[[#All],[taille]]=$I$1*1),ROW(Tableau1[[#All],[matière]])-1),ROWS($1:23))),"")</f>
        <v/>
      </c>
      <c r="D25" t="str">
        <f t="array" ref="D25">IFERROR(INDEX(Tableau1[[#All],[Réf article]],SMALL(IF((Tableau1[[#All],[Origine]]="vente")*(Tableau1[[#All],[matière]]=$G$1)*(Tableau1[[#All],[forme]]=$H$1)*(Tableau1[[#All],[taille]]=$I$1*1),ROW(Tableau1[[#All],[matière]])-1),ROWS($1:23))),"")</f>
        <v/>
      </c>
      <c r="E25" t="str">
        <f t="array" ref="E25">IFERROR(INDEX(Tableau1[[#All],[Désignation]],SMALL(IF((Tableau1[[#All],[Origine]]="vente")*(Tableau1[[#All],[matière]]=$G$1)*(Tableau1[[#All],[forme]]=$H$1)*(Tableau1[[#All],[taille]]=$I$1*1),ROW(Tableau1[[#All],[matière]])-1),ROWS($1:23))),"")</f>
        <v/>
      </c>
      <c r="F25" t="str">
        <f t="shared" si="4"/>
        <v/>
      </c>
      <c r="G25" t="str">
        <f t="shared" si="5"/>
        <v/>
      </c>
      <c r="H25" t="str">
        <f t="shared" si="6"/>
        <v/>
      </c>
      <c r="I25" t="str">
        <f>IFERROR(VLOOKUP($A25,'Base de données'!$A$3:$AA$114,MATCH('vente '!I$2,'Base de données'!$2:$2,0),0),"")</f>
        <v/>
      </c>
      <c r="J25" t="str">
        <f t="array" ref="J25">IFERROR(INDEX(Tableau1[[#All],[Qté livrée]],SMALL(IF((Tableau1[[#All],[Origine]]="vente")*(Tableau1[[#All],[matière]]=$G$1)*(Tableau1[[#All],[forme]]=$H$1)*(Tableau1[[#All],[taille]]=$I$1*1),ROW(Tableau1[[#All],[matière]])-1),ROWS($1:23))),"")</f>
        <v/>
      </c>
      <c r="K25" t="str">
        <f t="array" ref="K25">IFERROR(INDEX(Tableau1[[#All],[Poids net/ pièce]],SMALL(IF((Tableau1[[#All],[Origine]]="vente")*(Tableau1[[#All],[matière]]=$G$1)*(Tableau1[[#All],[forme]]=$H$1)*(Tableau1[[#All],[taille]]=$I$1*1),ROW(Tableau1[[#All],[matière]])-1),ROWS($1:23))),"")</f>
        <v/>
      </c>
      <c r="L25" t="str">
        <f t="array" ref="L25">IFERROR(INDEX(Tableau1[[#All],[Participat° dans la FB]],SMALL(IF((Tableau1[[#All],[Origine]]="vente")*(Tableau1[[#All],[matière]]=$G$1)*(Tableau1[[#All],[forme]]=$H$1)*(Tableau1[[#All],[taille]]=$I$1*1),ROW(Tableau1[[#All],[matière]])-1),ROWS($1:23))),"")</f>
        <v/>
      </c>
      <c r="M25" t="str">
        <f t="array" ref="M25">IFERROR(INDEX(Tableau1[[#All],[Poids brut/pièce]],SMALL(IF((Tableau1[[#All],[Origine]]="vente")*(Tableau1[[#All],[matière]]=$G$1)*(Tableau1[[#All],[forme]]=$H$1)*(Tableau1[[#All],[taille]]=$I$1*1),ROW(Tableau1[[#All],[matière]])-1),ROWS($1:23))),"")</f>
        <v/>
      </c>
      <c r="N25" t="str">
        <f t="shared" si="7"/>
        <v/>
      </c>
      <c r="O25" t="str">
        <f t="array" ref="O25">IFERROR(INDEX(Tableau1[[#All],[Poids copeaux/
pièce]],SMALL(IF((Tableau1[[#All],[Origine]]="vente")*(Tableau1[[#All],[matière]]=$G$1)*(Tableau1[[#All],[forme]]=$H$1)*(Tableau1[[#All],[taille]]=$I$1*1),ROW(Tableau1[[#All],[matière]])-1),ROWS($1:23))),"")</f>
        <v/>
      </c>
      <c r="P25" t="str">
        <f t="shared" si="8"/>
        <v/>
      </c>
      <c r="Q25" t="str">
        <f t="shared" si="9"/>
        <v/>
      </c>
      <c r="R25" t="str">
        <f t="shared" si="10"/>
        <v/>
      </c>
    </row>
    <row r="26" spans="1:18">
      <c r="A26" t="str">
        <f t="array" ref="A26">IFERROR(INDEX(Tableau1[[#All],[Facture N°]],SMALL(IF((Tableau1[[#All],[Origine]]="vente")*(Tableau1[[#All],[matière]]=$G$1)*(Tableau1[[#All],[forme]]=$H$1)*(Tableau1[[#All],[taille]]=$I$1*1),ROW(Tableau1[[#All],[matière]])-1),ROWS($1:24))),"")</f>
        <v/>
      </c>
      <c r="B26" t="str">
        <f t="array" ref="B26">IFERROR(INDEX(Tableau1[[#All],[N° déclarat° export]],SMALL(IF((Tableau1[[#All],[Origine]]="vente")*(Tableau1[[#All],[matière]]=$G$1)*(Tableau1[[#All],[forme]]=$H$1)*(Tableau1[[#All],[taille]]=$I$1*1),ROW(Tableau1[[#All],[matière]])-1),ROWS($1:24))),"")</f>
        <v/>
      </c>
      <c r="C26" s="45" t="str">
        <f t="array" ref="C26">IFERROR(INDEX(Tableau1[[#All],[Date déclarat° export]],SMALL(IF((Tableau1[[#All],[Origine]]="vente")*(Tableau1[[#All],[matière]]=$G$1)*(Tableau1[[#All],[forme]]=$H$1)*(Tableau1[[#All],[taille]]=$I$1*1),ROW(Tableau1[[#All],[matière]])-1),ROWS($1:24))),"")</f>
        <v/>
      </c>
      <c r="D26" t="str">
        <f t="array" ref="D26">IFERROR(INDEX(Tableau1[[#All],[Réf article]],SMALL(IF((Tableau1[[#All],[Origine]]="vente")*(Tableau1[[#All],[matière]]=$G$1)*(Tableau1[[#All],[forme]]=$H$1)*(Tableau1[[#All],[taille]]=$I$1*1),ROW(Tableau1[[#All],[matière]])-1),ROWS($1:24))),"")</f>
        <v/>
      </c>
      <c r="E26" t="str">
        <f t="array" ref="E26">IFERROR(INDEX(Tableau1[[#All],[Désignation]],SMALL(IF((Tableau1[[#All],[Origine]]="vente")*(Tableau1[[#All],[matière]]=$G$1)*(Tableau1[[#All],[forme]]=$H$1)*(Tableau1[[#All],[taille]]=$I$1*1),ROW(Tableau1[[#All],[matière]])-1),ROWS($1:24))),"")</f>
        <v/>
      </c>
      <c r="F26" t="str">
        <f t="shared" si="4"/>
        <v/>
      </c>
      <c r="G26" t="str">
        <f t="shared" si="5"/>
        <v/>
      </c>
      <c r="H26" t="str">
        <f t="shared" si="6"/>
        <v/>
      </c>
      <c r="I26" t="str">
        <f>IFERROR(VLOOKUP($A26,'Base de données'!$A$3:$AA$114,MATCH('vente '!I$2,'Base de données'!$2:$2,0),0),"")</f>
        <v/>
      </c>
      <c r="J26" t="str">
        <f t="array" ref="J26">IFERROR(INDEX(Tableau1[[#All],[Qté livrée]],SMALL(IF((Tableau1[[#All],[Origine]]="vente")*(Tableau1[[#All],[matière]]=$G$1)*(Tableau1[[#All],[forme]]=$H$1)*(Tableau1[[#All],[taille]]=$I$1*1),ROW(Tableau1[[#All],[matière]])-1),ROWS($1:24))),"")</f>
        <v/>
      </c>
      <c r="K26" t="str">
        <f t="array" ref="K26">IFERROR(INDEX(Tableau1[[#All],[Poids net/ pièce]],SMALL(IF((Tableau1[[#All],[Origine]]="vente")*(Tableau1[[#All],[matière]]=$G$1)*(Tableau1[[#All],[forme]]=$H$1)*(Tableau1[[#All],[taille]]=$I$1*1),ROW(Tableau1[[#All],[matière]])-1),ROWS($1:24))),"")</f>
        <v/>
      </c>
      <c r="L26" t="str">
        <f t="array" ref="L26">IFERROR(INDEX(Tableau1[[#All],[Participat° dans la FB]],SMALL(IF((Tableau1[[#All],[Origine]]="vente")*(Tableau1[[#All],[matière]]=$G$1)*(Tableau1[[#All],[forme]]=$H$1)*(Tableau1[[#All],[taille]]=$I$1*1),ROW(Tableau1[[#All],[matière]])-1),ROWS($1:24))),"")</f>
        <v/>
      </c>
      <c r="M26" t="str">
        <f t="array" ref="M26">IFERROR(INDEX(Tableau1[[#All],[Poids brut/pièce]],SMALL(IF((Tableau1[[#All],[Origine]]="vente")*(Tableau1[[#All],[matière]]=$G$1)*(Tableau1[[#All],[forme]]=$H$1)*(Tableau1[[#All],[taille]]=$I$1*1),ROW(Tableau1[[#All],[matière]])-1),ROWS($1:24))),"")</f>
        <v/>
      </c>
      <c r="N26" t="str">
        <f t="shared" si="7"/>
        <v/>
      </c>
      <c r="O26" t="str">
        <f t="array" ref="O26">IFERROR(INDEX(Tableau1[[#All],[Poids copeaux/
pièce]],SMALL(IF((Tableau1[[#All],[Origine]]="vente")*(Tableau1[[#All],[matière]]=$G$1)*(Tableau1[[#All],[forme]]=$H$1)*(Tableau1[[#All],[taille]]=$I$1*1),ROW(Tableau1[[#All],[matière]])-1),ROWS($1:24))),"")</f>
        <v/>
      </c>
      <c r="P26" t="str">
        <f t="shared" si="8"/>
        <v/>
      </c>
      <c r="Q26" t="str">
        <f t="shared" si="9"/>
        <v/>
      </c>
      <c r="R26" t="str">
        <f t="shared" si="10"/>
        <v/>
      </c>
    </row>
    <row r="27" spans="1:18">
      <c r="A27" t="str">
        <f t="array" ref="A27">IFERROR(INDEX(Tableau1[[#All],[Facture N°]],SMALL(IF((Tableau1[[#All],[Origine]]="vente")*(Tableau1[[#All],[matière]]=$G$1)*(Tableau1[[#All],[forme]]=$H$1)*(Tableau1[[#All],[taille]]=$I$1*1),ROW(Tableau1[[#All],[matière]])-1),ROWS($1:25))),"")</f>
        <v/>
      </c>
      <c r="B27" t="str">
        <f t="array" ref="B27">IFERROR(INDEX(Tableau1[[#All],[N° déclarat° export]],SMALL(IF((Tableau1[[#All],[Origine]]="vente")*(Tableau1[[#All],[matière]]=$G$1)*(Tableau1[[#All],[forme]]=$H$1)*(Tableau1[[#All],[taille]]=$I$1*1),ROW(Tableau1[[#All],[matière]])-1),ROWS($1:25))),"")</f>
        <v/>
      </c>
      <c r="C27" s="45" t="str">
        <f t="array" ref="C27">IFERROR(INDEX(Tableau1[[#All],[Date déclarat° export]],SMALL(IF((Tableau1[[#All],[Origine]]="vente")*(Tableau1[[#All],[matière]]=$G$1)*(Tableau1[[#All],[forme]]=$H$1)*(Tableau1[[#All],[taille]]=$I$1*1),ROW(Tableau1[[#All],[matière]])-1),ROWS($1:25))),"")</f>
        <v/>
      </c>
      <c r="D27" t="str">
        <f t="array" ref="D27">IFERROR(INDEX(Tableau1[[#All],[Réf article]],SMALL(IF((Tableau1[[#All],[Origine]]="vente")*(Tableau1[[#All],[matière]]=$G$1)*(Tableau1[[#All],[forme]]=$H$1)*(Tableau1[[#All],[taille]]=$I$1*1),ROW(Tableau1[[#All],[matière]])-1),ROWS($1:25))),"")</f>
        <v/>
      </c>
      <c r="E27" t="str">
        <f t="array" ref="E27">IFERROR(INDEX(Tableau1[[#All],[Désignation]],SMALL(IF((Tableau1[[#All],[Origine]]="vente")*(Tableau1[[#All],[matière]]=$G$1)*(Tableau1[[#All],[forme]]=$H$1)*(Tableau1[[#All],[taille]]=$I$1*1),ROW(Tableau1[[#All],[matière]])-1),ROWS($1:25))),"")</f>
        <v/>
      </c>
      <c r="F27" t="str">
        <f t="shared" si="4"/>
        <v/>
      </c>
      <c r="G27" t="str">
        <f t="shared" si="5"/>
        <v/>
      </c>
      <c r="H27" t="str">
        <f t="shared" si="6"/>
        <v/>
      </c>
      <c r="I27" t="str">
        <f>IFERROR(VLOOKUP($A27,'Base de données'!$A$3:$AA$114,MATCH('vente '!I$2,'Base de données'!$2:$2,0),0),"")</f>
        <v/>
      </c>
      <c r="J27" t="str">
        <f t="array" ref="J27">IFERROR(INDEX(Tableau1[[#All],[Qté livrée]],SMALL(IF((Tableau1[[#All],[Origine]]="vente")*(Tableau1[[#All],[matière]]=$G$1)*(Tableau1[[#All],[forme]]=$H$1)*(Tableau1[[#All],[taille]]=$I$1*1),ROW(Tableau1[[#All],[matière]])-1),ROWS($1:25))),"")</f>
        <v/>
      </c>
      <c r="K27" t="str">
        <f t="array" ref="K27">IFERROR(INDEX(Tableau1[[#All],[Poids net/ pièce]],SMALL(IF((Tableau1[[#All],[Origine]]="vente")*(Tableau1[[#All],[matière]]=$G$1)*(Tableau1[[#All],[forme]]=$H$1)*(Tableau1[[#All],[taille]]=$I$1*1),ROW(Tableau1[[#All],[matière]])-1),ROWS($1:25))),"")</f>
        <v/>
      </c>
      <c r="L27" t="str">
        <f t="array" ref="L27">IFERROR(INDEX(Tableau1[[#All],[Participat° dans la FB]],SMALL(IF((Tableau1[[#All],[Origine]]="vente")*(Tableau1[[#All],[matière]]=$G$1)*(Tableau1[[#All],[forme]]=$H$1)*(Tableau1[[#All],[taille]]=$I$1*1),ROW(Tableau1[[#All],[matière]])-1),ROWS($1:25))),"")</f>
        <v/>
      </c>
      <c r="M27" t="str">
        <f t="array" ref="M27">IFERROR(INDEX(Tableau1[[#All],[Poids brut/pièce]],SMALL(IF((Tableau1[[#All],[Origine]]="vente")*(Tableau1[[#All],[matière]]=$G$1)*(Tableau1[[#All],[forme]]=$H$1)*(Tableau1[[#All],[taille]]=$I$1*1),ROW(Tableau1[[#All],[matière]])-1),ROWS($1:25))),"")</f>
        <v/>
      </c>
      <c r="N27" t="str">
        <f t="shared" si="7"/>
        <v/>
      </c>
      <c r="O27" t="str">
        <f t="array" ref="O27">IFERROR(INDEX(Tableau1[[#All],[Poids copeaux/
pièce]],SMALL(IF((Tableau1[[#All],[Origine]]="vente")*(Tableau1[[#All],[matière]]=$G$1)*(Tableau1[[#All],[forme]]=$H$1)*(Tableau1[[#All],[taille]]=$I$1*1),ROW(Tableau1[[#All],[matière]])-1),ROWS($1:25))),"")</f>
        <v/>
      </c>
      <c r="P27" t="str">
        <f t="shared" si="8"/>
        <v/>
      </c>
      <c r="Q27" t="str">
        <f t="shared" si="9"/>
        <v/>
      </c>
      <c r="R27" t="str">
        <f t="shared" si="10"/>
        <v/>
      </c>
    </row>
    <row r="28" spans="1:18">
      <c r="A28" t="str">
        <f t="array" ref="A28">IFERROR(INDEX(Tableau1[[#All],[Facture N°]],SMALL(IF((Tableau1[[#All],[Origine]]="vente")*(Tableau1[[#All],[matière]]=$G$1)*(Tableau1[[#All],[forme]]=$H$1)*(Tableau1[[#All],[taille]]=$I$1*1),ROW(Tableau1[[#All],[matière]])-1),ROWS($1:26))),"")</f>
        <v/>
      </c>
      <c r="B28" t="str">
        <f t="array" ref="B28">IFERROR(INDEX(Tableau1[[#All],[N° déclarat° export]],SMALL(IF((Tableau1[[#All],[Origine]]="vente")*(Tableau1[[#All],[matière]]=$G$1)*(Tableau1[[#All],[forme]]=$H$1)*(Tableau1[[#All],[taille]]=$I$1*1),ROW(Tableau1[[#All],[matière]])-1),ROWS($1:26))),"")</f>
        <v/>
      </c>
      <c r="C28" s="45" t="str">
        <f t="array" ref="C28">IFERROR(INDEX(Tableau1[[#All],[Date déclarat° export]],SMALL(IF((Tableau1[[#All],[Origine]]="vente")*(Tableau1[[#All],[matière]]=$G$1)*(Tableau1[[#All],[forme]]=$H$1)*(Tableau1[[#All],[taille]]=$I$1*1),ROW(Tableau1[[#All],[matière]])-1),ROWS($1:26))),"")</f>
        <v/>
      </c>
      <c r="D28" t="str">
        <f t="array" ref="D28">IFERROR(INDEX(Tableau1[[#All],[Réf article]],SMALL(IF((Tableau1[[#All],[Origine]]="vente")*(Tableau1[[#All],[matière]]=$G$1)*(Tableau1[[#All],[forme]]=$H$1)*(Tableau1[[#All],[taille]]=$I$1*1),ROW(Tableau1[[#All],[matière]])-1),ROWS($1:26))),"")</f>
        <v/>
      </c>
      <c r="E28" t="str">
        <f t="array" ref="E28">IFERROR(INDEX(Tableau1[[#All],[Désignation]],SMALL(IF((Tableau1[[#All],[Origine]]="vente")*(Tableau1[[#All],[matière]]=$G$1)*(Tableau1[[#All],[forme]]=$H$1)*(Tableau1[[#All],[taille]]=$I$1*1),ROW(Tableau1[[#All],[matière]])-1),ROWS($1:26))),"")</f>
        <v/>
      </c>
      <c r="F28" t="str">
        <f t="shared" si="4"/>
        <v/>
      </c>
      <c r="G28" t="str">
        <f t="shared" si="5"/>
        <v/>
      </c>
      <c r="H28" t="str">
        <f t="shared" si="6"/>
        <v/>
      </c>
      <c r="I28" t="str">
        <f>IFERROR(VLOOKUP($A28,'Base de données'!$A$3:$AA$114,MATCH('vente '!I$2,'Base de données'!$2:$2,0),0),"")</f>
        <v/>
      </c>
      <c r="J28" t="str">
        <f t="array" ref="J28">IFERROR(INDEX(Tableau1[[#All],[Qté livrée]],SMALL(IF((Tableau1[[#All],[Origine]]="vente")*(Tableau1[[#All],[matière]]=$G$1)*(Tableau1[[#All],[forme]]=$H$1)*(Tableau1[[#All],[taille]]=$I$1*1),ROW(Tableau1[[#All],[matière]])-1),ROWS($1:26))),"")</f>
        <v/>
      </c>
      <c r="K28" t="str">
        <f t="array" ref="K28">IFERROR(INDEX(Tableau1[[#All],[Poids net/ pièce]],SMALL(IF((Tableau1[[#All],[Origine]]="vente")*(Tableau1[[#All],[matière]]=$G$1)*(Tableau1[[#All],[forme]]=$H$1)*(Tableau1[[#All],[taille]]=$I$1*1),ROW(Tableau1[[#All],[matière]])-1),ROWS($1:26))),"")</f>
        <v/>
      </c>
      <c r="L28" t="str">
        <f t="array" ref="L28">IFERROR(INDEX(Tableau1[[#All],[Participat° dans la FB]],SMALL(IF((Tableau1[[#All],[Origine]]="vente")*(Tableau1[[#All],[matière]]=$G$1)*(Tableau1[[#All],[forme]]=$H$1)*(Tableau1[[#All],[taille]]=$I$1*1),ROW(Tableau1[[#All],[matière]])-1),ROWS($1:26))),"")</f>
        <v/>
      </c>
      <c r="M28" t="str">
        <f t="array" ref="M28">IFERROR(INDEX(Tableau1[[#All],[Poids brut/pièce]],SMALL(IF((Tableau1[[#All],[Origine]]="vente")*(Tableau1[[#All],[matière]]=$G$1)*(Tableau1[[#All],[forme]]=$H$1)*(Tableau1[[#All],[taille]]=$I$1*1),ROW(Tableau1[[#All],[matière]])-1),ROWS($1:26))),"")</f>
        <v/>
      </c>
      <c r="N28" t="str">
        <f t="shared" si="7"/>
        <v/>
      </c>
      <c r="O28" t="str">
        <f t="array" ref="O28">IFERROR(INDEX(Tableau1[[#All],[Poids copeaux/
pièce]],SMALL(IF((Tableau1[[#All],[Origine]]="vente")*(Tableau1[[#All],[matière]]=$G$1)*(Tableau1[[#All],[forme]]=$H$1)*(Tableau1[[#All],[taille]]=$I$1*1),ROW(Tableau1[[#All],[matière]])-1),ROWS($1:26))),"")</f>
        <v/>
      </c>
      <c r="P28" t="str">
        <f t="shared" si="8"/>
        <v/>
      </c>
      <c r="Q28" t="str">
        <f t="shared" si="9"/>
        <v/>
      </c>
      <c r="R28" t="str">
        <f t="shared" si="10"/>
        <v/>
      </c>
    </row>
    <row r="29" spans="1:18">
      <c r="A29" t="str">
        <f t="array" ref="A29">IFERROR(INDEX(Tableau1[[#All],[Facture N°]],SMALL(IF((Tableau1[[#All],[Origine]]="vente")*(Tableau1[[#All],[matière]]=$G$1)*(Tableau1[[#All],[forme]]=$H$1)*(Tableau1[[#All],[taille]]=$I$1*1),ROW(Tableau1[[#All],[matière]])-1),ROWS($1:27))),"")</f>
        <v/>
      </c>
      <c r="B29" t="str">
        <f t="array" ref="B29">IFERROR(INDEX(Tableau1[[#All],[N° déclarat° export]],SMALL(IF((Tableau1[[#All],[Origine]]="vente")*(Tableau1[[#All],[matière]]=$G$1)*(Tableau1[[#All],[forme]]=$H$1)*(Tableau1[[#All],[taille]]=$I$1*1),ROW(Tableau1[[#All],[matière]])-1),ROWS($1:27))),"")</f>
        <v/>
      </c>
      <c r="C29" s="45" t="str">
        <f t="array" ref="C29">IFERROR(INDEX(Tableau1[[#All],[Date déclarat° export]],SMALL(IF((Tableau1[[#All],[Origine]]="vente")*(Tableau1[[#All],[matière]]=$G$1)*(Tableau1[[#All],[forme]]=$H$1)*(Tableau1[[#All],[taille]]=$I$1*1),ROW(Tableau1[[#All],[matière]])-1),ROWS($1:27))),"")</f>
        <v/>
      </c>
      <c r="D29" t="str">
        <f t="array" ref="D29">IFERROR(INDEX(Tableau1[[#All],[Réf article]],SMALL(IF((Tableau1[[#All],[Origine]]="vente")*(Tableau1[[#All],[matière]]=$G$1)*(Tableau1[[#All],[forme]]=$H$1)*(Tableau1[[#All],[taille]]=$I$1*1),ROW(Tableau1[[#All],[matière]])-1),ROWS($1:27))),"")</f>
        <v/>
      </c>
      <c r="E29" t="str">
        <f t="array" ref="E29">IFERROR(INDEX(Tableau1[[#All],[Désignation]],SMALL(IF((Tableau1[[#All],[Origine]]="vente")*(Tableau1[[#All],[matière]]=$G$1)*(Tableau1[[#All],[forme]]=$H$1)*(Tableau1[[#All],[taille]]=$I$1*1),ROW(Tableau1[[#All],[matière]])-1),ROWS($1:27))),"")</f>
        <v/>
      </c>
      <c r="F29" t="str">
        <f t="shared" si="4"/>
        <v/>
      </c>
      <c r="G29" t="str">
        <f t="shared" si="5"/>
        <v/>
      </c>
      <c r="H29" t="str">
        <f t="shared" si="6"/>
        <v/>
      </c>
      <c r="I29" t="str">
        <f>IFERROR(VLOOKUP($A29,'Base de données'!$A$3:$AA$114,MATCH('vente '!I$2,'Base de données'!$2:$2,0),0),"")</f>
        <v/>
      </c>
      <c r="J29" t="str">
        <f t="array" ref="J29">IFERROR(INDEX(Tableau1[[#All],[Qté livrée]],SMALL(IF((Tableau1[[#All],[Origine]]="vente")*(Tableau1[[#All],[matière]]=$G$1)*(Tableau1[[#All],[forme]]=$H$1)*(Tableau1[[#All],[taille]]=$I$1*1),ROW(Tableau1[[#All],[matière]])-1),ROWS($1:27))),"")</f>
        <v/>
      </c>
      <c r="K29" t="str">
        <f t="array" ref="K29">IFERROR(INDEX(Tableau1[[#All],[Poids net/ pièce]],SMALL(IF((Tableau1[[#All],[Origine]]="vente")*(Tableau1[[#All],[matière]]=$G$1)*(Tableau1[[#All],[forme]]=$H$1)*(Tableau1[[#All],[taille]]=$I$1*1),ROW(Tableau1[[#All],[matière]])-1),ROWS($1:27))),"")</f>
        <v/>
      </c>
      <c r="L29" t="str">
        <f t="array" ref="L29">IFERROR(INDEX(Tableau1[[#All],[Participat° dans la FB]],SMALL(IF((Tableau1[[#All],[Origine]]="vente")*(Tableau1[[#All],[matière]]=$G$1)*(Tableau1[[#All],[forme]]=$H$1)*(Tableau1[[#All],[taille]]=$I$1*1),ROW(Tableau1[[#All],[matière]])-1),ROWS($1:27))),"")</f>
        <v/>
      </c>
      <c r="M29" t="str">
        <f t="array" ref="M29">IFERROR(INDEX(Tableau1[[#All],[Poids brut/pièce]],SMALL(IF((Tableau1[[#All],[Origine]]="vente")*(Tableau1[[#All],[matière]]=$G$1)*(Tableau1[[#All],[forme]]=$H$1)*(Tableau1[[#All],[taille]]=$I$1*1),ROW(Tableau1[[#All],[matière]])-1),ROWS($1:27))),"")</f>
        <v/>
      </c>
      <c r="N29" t="str">
        <f t="shared" si="7"/>
        <v/>
      </c>
      <c r="O29" t="str">
        <f t="array" ref="O29">IFERROR(INDEX(Tableau1[[#All],[Poids copeaux/
pièce]],SMALL(IF((Tableau1[[#All],[Origine]]="vente")*(Tableau1[[#All],[matière]]=$G$1)*(Tableau1[[#All],[forme]]=$H$1)*(Tableau1[[#All],[taille]]=$I$1*1),ROW(Tableau1[[#All],[matière]])-1),ROWS($1:27))),"")</f>
        <v/>
      </c>
      <c r="P29" t="str">
        <f t="shared" si="8"/>
        <v/>
      </c>
      <c r="Q29" t="str">
        <f t="shared" si="9"/>
        <v/>
      </c>
      <c r="R29" t="str">
        <f t="shared" si="10"/>
        <v/>
      </c>
    </row>
    <row r="30" spans="1:18">
      <c r="A30" t="str">
        <f t="array" ref="A30">IFERROR(INDEX(Tableau1[[#All],[Facture N°]],SMALL(IF((Tableau1[[#All],[Origine]]="vente")*(Tableau1[[#All],[matière]]=$G$1)*(Tableau1[[#All],[forme]]=$H$1)*(Tableau1[[#All],[taille]]=$I$1*1),ROW(Tableau1[[#All],[matière]])-1),ROWS($1:28))),"")</f>
        <v/>
      </c>
      <c r="B30" t="str">
        <f t="array" ref="B30">IFERROR(INDEX(Tableau1[[#All],[N° déclarat° export]],SMALL(IF((Tableau1[[#All],[Origine]]="vente")*(Tableau1[[#All],[matière]]=$G$1)*(Tableau1[[#All],[forme]]=$H$1)*(Tableau1[[#All],[taille]]=$I$1*1),ROW(Tableau1[[#All],[matière]])-1),ROWS($1:28))),"")</f>
        <v/>
      </c>
      <c r="C30" s="45" t="str">
        <f t="array" ref="C30">IFERROR(INDEX(Tableau1[[#All],[Date déclarat° export]],SMALL(IF((Tableau1[[#All],[Origine]]="vente")*(Tableau1[[#All],[matière]]=$G$1)*(Tableau1[[#All],[forme]]=$H$1)*(Tableau1[[#All],[taille]]=$I$1*1),ROW(Tableau1[[#All],[matière]])-1),ROWS($1:28))),"")</f>
        <v/>
      </c>
      <c r="D30" t="str">
        <f t="array" ref="D30">IFERROR(INDEX(Tableau1[[#All],[Réf article]],SMALL(IF((Tableau1[[#All],[Origine]]="vente")*(Tableau1[[#All],[matière]]=$G$1)*(Tableau1[[#All],[forme]]=$H$1)*(Tableau1[[#All],[taille]]=$I$1*1),ROW(Tableau1[[#All],[matière]])-1),ROWS($1:28))),"")</f>
        <v/>
      </c>
      <c r="E30" t="str">
        <f t="array" ref="E30">IFERROR(INDEX(Tableau1[[#All],[Désignation]],SMALL(IF((Tableau1[[#All],[Origine]]="vente")*(Tableau1[[#All],[matière]]=$G$1)*(Tableau1[[#All],[forme]]=$H$1)*(Tableau1[[#All],[taille]]=$I$1*1),ROW(Tableau1[[#All],[matière]])-1),ROWS($1:28))),"")</f>
        <v/>
      </c>
      <c r="F30" t="str">
        <f t="shared" si="4"/>
        <v/>
      </c>
      <c r="G30" t="str">
        <f t="shared" si="5"/>
        <v/>
      </c>
      <c r="H30" t="str">
        <f t="shared" si="6"/>
        <v/>
      </c>
      <c r="I30" t="str">
        <f>IFERROR(VLOOKUP($A30,'Base de données'!$A$3:$AA$114,MATCH('vente '!I$2,'Base de données'!$2:$2,0),0),"")</f>
        <v/>
      </c>
      <c r="J30" t="str">
        <f t="array" ref="J30">IFERROR(INDEX(Tableau1[[#All],[Qté livrée]],SMALL(IF((Tableau1[[#All],[Origine]]="vente")*(Tableau1[[#All],[matière]]=$G$1)*(Tableau1[[#All],[forme]]=$H$1)*(Tableau1[[#All],[taille]]=$I$1*1),ROW(Tableau1[[#All],[matière]])-1),ROWS($1:28))),"")</f>
        <v/>
      </c>
      <c r="K30" t="str">
        <f t="array" ref="K30">IFERROR(INDEX(Tableau1[[#All],[Poids net/ pièce]],SMALL(IF((Tableau1[[#All],[Origine]]="vente")*(Tableau1[[#All],[matière]]=$G$1)*(Tableau1[[#All],[forme]]=$H$1)*(Tableau1[[#All],[taille]]=$I$1*1),ROW(Tableau1[[#All],[matière]])-1),ROWS($1:28))),"")</f>
        <v/>
      </c>
      <c r="L30" t="str">
        <f t="array" ref="L30">IFERROR(INDEX(Tableau1[[#All],[Participat° dans la FB]],SMALL(IF((Tableau1[[#All],[Origine]]="vente")*(Tableau1[[#All],[matière]]=$G$1)*(Tableau1[[#All],[forme]]=$H$1)*(Tableau1[[#All],[taille]]=$I$1*1),ROW(Tableau1[[#All],[matière]])-1),ROWS($1:28))),"")</f>
        <v/>
      </c>
      <c r="M30" t="str">
        <f t="array" ref="M30">IFERROR(INDEX(Tableau1[[#All],[Poids brut/pièce]],SMALL(IF((Tableau1[[#All],[Origine]]="vente")*(Tableau1[[#All],[matière]]=$G$1)*(Tableau1[[#All],[forme]]=$H$1)*(Tableau1[[#All],[taille]]=$I$1*1),ROW(Tableau1[[#All],[matière]])-1),ROWS($1:28))),"")</f>
        <v/>
      </c>
      <c r="N30" t="str">
        <f t="shared" si="7"/>
        <v/>
      </c>
      <c r="O30" t="str">
        <f t="array" ref="O30">IFERROR(INDEX(Tableau1[[#All],[Poids copeaux/
pièce]],SMALL(IF((Tableau1[[#All],[Origine]]="vente")*(Tableau1[[#All],[matière]]=$G$1)*(Tableau1[[#All],[forme]]=$H$1)*(Tableau1[[#All],[taille]]=$I$1*1),ROW(Tableau1[[#All],[matière]])-1),ROWS($1:28))),"")</f>
        <v/>
      </c>
      <c r="P30" t="str">
        <f t="shared" si="8"/>
        <v/>
      </c>
      <c r="Q30" t="str">
        <f t="shared" si="9"/>
        <v/>
      </c>
      <c r="R30" t="str">
        <f t="shared" si="10"/>
        <v/>
      </c>
    </row>
    <row r="31" spans="1:18">
      <c r="A31" t="str">
        <f t="array" ref="A31">IFERROR(INDEX(Tableau1[[#All],[Facture N°]],SMALL(IF((Tableau1[[#All],[Origine]]="vente")*(Tableau1[[#All],[matière]]=$G$1)*(Tableau1[[#All],[forme]]=$H$1)*(Tableau1[[#All],[taille]]=$I$1*1),ROW(Tableau1[[#All],[matière]])-1),ROWS($1:29))),"")</f>
        <v/>
      </c>
      <c r="B31" t="str">
        <f t="array" ref="B31">IFERROR(INDEX(Tableau1[[#All],[N° déclarat° export]],SMALL(IF((Tableau1[[#All],[Origine]]="vente")*(Tableau1[[#All],[matière]]=$G$1)*(Tableau1[[#All],[forme]]=$H$1)*(Tableau1[[#All],[taille]]=$I$1*1),ROW(Tableau1[[#All],[matière]])-1),ROWS($1:29))),"")</f>
        <v/>
      </c>
      <c r="C31" s="45" t="str">
        <f t="array" ref="C31">IFERROR(INDEX(Tableau1[[#All],[Date déclarat° export]],SMALL(IF((Tableau1[[#All],[Origine]]="vente")*(Tableau1[[#All],[matière]]=$G$1)*(Tableau1[[#All],[forme]]=$H$1)*(Tableau1[[#All],[taille]]=$I$1*1),ROW(Tableau1[[#All],[matière]])-1),ROWS($1:29))),"")</f>
        <v/>
      </c>
      <c r="D31" t="str">
        <f t="array" ref="D31">IFERROR(INDEX(Tableau1[[#All],[Réf article]],SMALL(IF((Tableau1[[#All],[Origine]]="vente")*(Tableau1[[#All],[matière]]=$G$1)*(Tableau1[[#All],[forme]]=$H$1)*(Tableau1[[#All],[taille]]=$I$1*1),ROW(Tableau1[[#All],[matière]])-1),ROWS($1:29))),"")</f>
        <v/>
      </c>
      <c r="E31" t="str">
        <f t="array" ref="E31">IFERROR(INDEX(Tableau1[[#All],[Désignation]],SMALL(IF((Tableau1[[#All],[Origine]]="vente")*(Tableau1[[#All],[matière]]=$G$1)*(Tableau1[[#All],[forme]]=$H$1)*(Tableau1[[#All],[taille]]=$I$1*1),ROW(Tableau1[[#All],[matière]])-1),ROWS($1:29))),"")</f>
        <v/>
      </c>
      <c r="F31" t="str">
        <f t="shared" si="4"/>
        <v/>
      </c>
      <c r="G31" t="str">
        <f t="shared" si="5"/>
        <v/>
      </c>
      <c r="H31" t="str">
        <f t="shared" si="6"/>
        <v/>
      </c>
      <c r="I31" t="str">
        <f>IFERROR(VLOOKUP($A31,'Base de données'!$A$3:$AA$114,MATCH('vente '!I$2,'Base de données'!$2:$2,0),0),"")</f>
        <v/>
      </c>
      <c r="J31" t="str">
        <f t="array" ref="J31">IFERROR(INDEX(Tableau1[[#All],[Qté livrée]],SMALL(IF((Tableau1[[#All],[Origine]]="vente")*(Tableau1[[#All],[matière]]=$G$1)*(Tableau1[[#All],[forme]]=$H$1)*(Tableau1[[#All],[taille]]=$I$1*1),ROW(Tableau1[[#All],[matière]])-1),ROWS($1:29))),"")</f>
        <v/>
      </c>
      <c r="K31" t="str">
        <f t="array" ref="K31">IFERROR(INDEX(Tableau1[[#All],[Poids net/ pièce]],SMALL(IF((Tableau1[[#All],[Origine]]="vente")*(Tableau1[[#All],[matière]]=$G$1)*(Tableau1[[#All],[forme]]=$H$1)*(Tableau1[[#All],[taille]]=$I$1*1),ROW(Tableau1[[#All],[matière]])-1),ROWS($1:29))),"")</f>
        <v/>
      </c>
      <c r="L31" t="str">
        <f t="array" ref="L31">IFERROR(INDEX(Tableau1[[#All],[Participat° dans la FB]],SMALL(IF((Tableau1[[#All],[Origine]]="vente")*(Tableau1[[#All],[matière]]=$G$1)*(Tableau1[[#All],[forme]]=$H$1)*(Tableau1[[#All],[taille]]=$I$1*1),ROW(Tableau1[[#All],[matière]])-1),ROWS($1:29))),"")</f>
        <v/>
      </c>
      <c r="M31" t="str">
        <f t="array" ref="M31">IFERROR(INDEX(Tableau1[[#All],[Poids brut/pièce]],SMALL(IF((Tableau1[[#All],[Origine]]="vente")*(Tableau1[[#All],[matière]]=$G$1)*(Tableau1[[#All],[forme]]=$H$1)*(Tableau1[[#All],[taille]]=$I$1*1),ROW(Tableau1[[#All],[matière]])-1),ROWS($1:29))),"")</f>
        <v/>
      </c>
      <c r="N31" t="str">
        <f t="shared" si="7"/>
        <v/>
      </c>
      <c r="O31" t="str">
        <f t="array" ref="O31">IFERROR(INDEX(Tableau1[[#All],[Poids copeaux/
pièce]],SMALL(IF((Tableau1[[#All],[Origine]]="vente")*(Tableau1[[#All],[matière]]=$G$1)*(Tableau1[[#All],[forme]]=$H$1)*(Tableau1[[#All],[taille]]=$I$1*1),ROW(Tableau1[[#All],[matière]])-1),ROWS($1:29))),"")</f>
        <v/>
      </c>
      <c r="P31" t="str">
        <f t="shared" si="8"/>
        <v/>
      </c>
      <c r="Q31" t="str">
        <f t="shared" si="9"/>
        <v/>
      </c>
      <c r="R31" t="str">
        <f t="shared" si="10"/>
        <v/>
      </c>
    </row>
    <row r="32" spans="1:18">
      <c r="A32" t="str">
        <f t="array" ref="A32">IFERROR(INDEX(Tableau1[[#All],[Facture N°]],SMALL(IF((Tableau1[[#All],[Origine]]="vente")*(Tableau1[[#All],[matière]]=$G$1)*(Tableau1[[#All],[forme]]=$H$1)*(Tableau1[[#All],[taille]]=$I$1*1),ROW(Tableau1[[#All],[matière]])-1),ROWS($1:30))),"")</f>
        <v/>
      </c>
      <c r="B32" t="str">
        <f t="array" ref="B32">IFERROR(INDEX(Tableau1[[#All],[N° déclarat° export]],SMALL(IF((Tableau1[[#All],[Origine]]="vente")*(Tableau1[[#All],[matière]]=$G$1)*(Tableau1[[#All],[forme]]=$H$1)*(Tableau1[[#All],[taille]]=$I$1*1),ROW(Tableau1[[#All],[matière]])-1),ROWS($1:30))),"")</f>
        <v/>
      </c>
      <c r="C32" s="45" t="str">
        <f t="array" ref="C32">IFERROR(INDEX(Tableau1[[#All],[Date déclarat° export]],SMALL(IF((Tableau1[[#All],[Origine]]="vente")*(Tableau1[[#All],[matière]]=$G$1)*(Tableau1[[#All],[forme]]=$H$1)*(Tableau1[[#All],[taille]]=$I$1*1),ROW(Tableau1[[#All],[matière]])-1),ROWS($1:30))),"")</f>
        <v/>
      </c>
      <c r="D32" t="str">
        <f t="array" ref="D32">IFERROR(INDEX(Tableau1[[#All],[Réf article]],SMALL(IF((Tableau1[[#All],[Origine]]="vente")*(Tableau1[[#All],[matière]]=$G$1)*(Tableau1[[#All],[forme]]=$H$1)*(Tableau1[[#All],[taille]]=$I$1*1),ROW(Tableau1[[#All],[matière]])-1),ROWS($1:30))),"")</f>
        <v/>
      </c>
      <c r="E32" t="str">
        <f t="array" ref="E32">IFERROR(INDEX(Tableau1[[#All],[Désignation]],SMALL(IF((Tableau1[[#All],[Origine]]="vente")*(Tableau1[[#All],[matière]]=$G$1)*(Tableau1[[#All],[forme]]=$H$1)*(Tableau1[[#All],[taille]]=$I$1*1),ROW(Tableau1[[#All],[matière]])-1),ROWS($1:30))),"")</f>
        <v/>
      </c>
      <c r="F32" t="str">
        <f t="shared" si="4"/>
        <v/>
      </c>
      <c r="G32" t="str">
        <f t="shared" si="5"/>
        <v/>
      </c>
      <c r="H32" t="str">
        <f t="shared" si="6"/>
        <v/>
      </c>
      <c r="I32" t="str">
        <f>IFERROR(VLOOKUP($A32,'Base de données'!$A$3:$AA$114,MATCH('vente '!I$2,'Base de données'!$2:$2,0),0),"")</f>
        <v/>
      </c>
      <c r="J32" t="str">
        <f t="array" ref="J32">IFERROR(INDEX(Tableau1[[#All],[Qté livrée]],SMALL(IF((Tableau1[[#All],[Origine]]="vente")*(Tableau1[[#All],[matière]]=$G$1)*(Tableau1[[#All],[forme]]=$H$1)*(Tableau1[[#All],[taille]]=$I$1*1),ROW(Tableau1[[#All],[matière]])-1),ROWS($1:30))),"")</f>
        <v/>
      </c>
      <c r="K32" t="str">
        <f t="array" ref="K32">IFERROR(INDEX(Tableau1[[#All],[Poids net/ pièce]],SMALL(IF((Tableau1[[#All],[Origine]]="vente")*(Tableau1[[#All],[matière]]=$G$1)*(Tableau1[[#All],[forme]]=$H$1)*(Tableau1[[#All],[taille]]=$I$1*1),ROW(Tableau1[[#All],[matière]])-1),ROWS($1:30))),"")</f>
        <v/>
      </c>
      <c r="L32" t="str">
        <f t="array" ref="L32">IFERROR(INDEX(Tableau1[[#All],[Participat° dans la FB]],SMALL(IF((Tableau1[[#All],[Origine]]="vente")*(Tableau1[[#All],[matière]]=$G$1)*(Tableau1[[#All],[forme]]=$H$1)*(Tableau1[[#All],[taille]]=$I$1*1),ROW(Tableau1[[#All],[matière]])-1),ROWS($1:30))),"")</f>
        <v/>
      </c>
      <c r="M32" t="str">
        <f t="array" ref="M32">IFERROR(INDEX(Tableau1[[#All],[Poids brut/pièce]],SMALL(IF((Tableau1[[#All],[Origine]]="vente")*(Tableau1[[#All],[matière]]=$G$1)*(Tableau1[[#All],[forme]]=$H$1)*(Tableau1[[#All],[taille]]=$I$1*1),ROW(Tableau1[[#All],[matière]])-1),ROWS($1:30))),"")</f>
        <v/>
      </c>
      <c r="N32" t="str">
        <f t="shared" si="7"/>
        <v/>
      </c>
      <c r="O32" t="str">
        <f t="array" ref="O32">IFERROR(INDEX(Tableau1[[#All],[Poids copeaux/
pièce]],SMALL(IF((Tableau1[[#All],[Origine]]="vente")*(Tableau1[[#All],[matière]]=$G$1)*(Tableau1[[#All],[forme]]=$H$1)*(Tableau1[[#All],[taille]]=$I$1*1),ROW(Tableau1[[#All],[matière]])-1),ROWS($1:30))),"")</f>
        <v/>
      </c>
      <c r="P32" t="str">
        <f t="shared" si="8"/>
        <v/>
      </c>
      <c r="Q32" t="str">
        <f t="shared" si="9"/>
        <v/>
      </c>
      <c r="R32" t="str">
        <f t="shared" si="10"/>
        <v/>
      </c>
    </row>
    <row r="33" spans="1:18">
      <c r="A33" t="str">
        <f t="array" ref="A33">IFERROR(INDEX(Tableau1[[#All],[Facture N°]],SMALL(IF((Tableau1[[#All],[Origine]]="vente")*(Tableau1[[#All],[matière]]=$G$1)*(Tableau1[[#All],[forme]]=$H$1)*(Tableau1[[#All],[taille]]=$I$1*1),ROW(Tableau1[[#All],[matière]])-1),ROWS($1:31))),"")</f>
        <v/>
      </c>
      <c r="B33" t="str">
        <f t="array" ref="B33">IFERROR(INDEX(Tableau1[[#All],[N° déclarat° export]],SMALL(IF((Tableau1[[#All],[Origine]]="vente")*(Tableau1[[#All],[matière]]=$G$1)*(Tableau1[[#All],[forme]]=$H$1)*(Tableau1[[#All],[taille]]=$I$1*1),ROW(Tableau1[[#All],[matière]])-1),ROWS($1:31))),"")</f>
        <v/>
      </c>
      <c r="C33" s="45" t="str">
        <f t="array" ref="C33">IFERROR(INDEX(Tableau1[[#All],[Date déclarat° export]],SMALL(IF((Tableau1[[#All],[Origine]]="vente")*(Tableau1[[#All],[matière]]=$G$1)*(Tableau1[[#All],[forme]]=$H$1)*(Tableau1[[#All],[taille]]=$I$1*1),ROW(Tableau1[[#All],[matière]])-1),ROWS($1:31))),"")</f>
        <v/>
      </c>
      <c r="D33" t="str">
        <f t="array" ref="D33">IFERROR(INDEX(Tableau1[[#All],[Réf article]],SMALL(IF((Tableau1[[#All],[Origine]]="vente")*(Tableau1[[#All],[matière]]=$G$1)*(Tableau1[[#All],[forme]]=$H$1)*(Tableau1[[#All],[taille]]=$I$1*1),ROW(Tableau1[[#All],[matière]])-1),ROWS($1:31))),"")</f>
        <v/>
      </c>
      <c r="E33" t="str">
        <f t="array" ref="E33">IFERROR(INDEX(Tableau1[[#All],[Désignation]],SMALL(IF((Tableau1[[#All],[Origine]]="vente")*(Tableau1[[#All],[matière]]=$G$1)*(Tableau1[[#All],[forme]]=$H$1)*(Tableau1[[#All],[taille]]=$I$1*1),ROW(Tableau1[[#All],[matière]])-1),ROWS($1:31))),"")</f>
        <v/>
      </c>
      <c r="F33" t="str">
        <f t="shared" si="4"/>
        <v/>
      </c>
      <c r="G33" t="str">
        <f t="shared" si="5"/>
        <v/>
      </c>
      <c r="H33" t="str">
        <f t="shared" si="6"/>
        <v/>
      </c>
      <c r="I33" t="str">
        <f>IFERROR(VLOOKUP($A33,'Base de données'!$A$3:$AA$114,MATCH('vente '!I$2,'Base de données'!$2:$2,0),0),"")</f>
        <v/>
      </c>
      <c r="J33" t="str">
        <f t="array" ref="J33">IFERROR(INDEX(Tableau1[[#All],[Qté livrée]],SMALL(IF((Tableau1[[#All],[Origine]]="vente")*(Tableau1[[#All],[matière]]=$G$1)*(Tableau1[[#All],[forme]]=$H$1)*(Tableau1[[#All],[taille]]=$I$1*1),ROW(Tableau1[[#All],[matière]])-1),ROWS($1:31))),"")</f>
        <v/>
      </c>
      <c r="K33" t="str">
        <f t="array" ref="K33">IFERROR(INDEX(Tableau1[[#All],[Poids net/ pièce]],SMALL(IF((Tableau1[[#All],[Origine]]="vente")*(Tableau1[[#All],[matière]]=$G$1)*(Tableau1[[#All],[forme]]=$H$1)*(Tableau1[[#All],[taille]]=$I$1*1),ROW(Tableau1[[#All],[matière]])-1),ROWS($1:31))),"")</f>
        <v/>
      </c>
      <c r="L33" t="str">
        <f t="array" ref="L33">IFERROR(INDEX(Tableau1[[#All],[Participat° dans la FB]],SMALL(IF((Tableau1[[#All],[Origine]]="vente")*(Tableau1[[#All],[matière]]=$G$1)*(Tableau1[[#All],[forme]]=$H$1)*(Tableau1[[#All],[taille]]=$I$1*1),ROW(Tableau1[[#All],[matière]])-1),ROWS($1:31))),"")</f>
        <v/>
      </c>
      <c r="M33" t="str">
        <f t="array" ref="M33">IFERROR(INDEX(Tableau1[[#All],[Poids brut/pièce]],SMALL(IF((Tableau1[[#All],[Origine]]="vente")*(Tableau1[[#All],[matière]]=$G$1)*(Tableau1[[#All],[forme]]=$H$1)*(Tableau1[[#All],[taille]]=$I$1*1),ROW(Tableau1[[#All],[matière]])-1),ROWS($1:31))),"")</f>
        <v/>
      </c>
      <c r="N33" t="str">
        <f t="shared" si="7"/>
        <v/>
      </c>
      <c r="O33" t="str">
        <f t="array" ref="O33">IFERROR(INDEX(Tableau1[[#All],[Poids copeaux/
pièce]],SMALL(IF((Tableau1[[#All],[Origine]]="vente")*(Tableau1[[#All],[matière]]=$G$1)*(Tableau1[[#All],[forme]]=$H$1)*(Tableau1[[#All],[taille]]=$I$1*1),ROW(Tableau1[[#All],[matière]])-1),ROWS($1:31))),"")</f>
        <v/>
      </c>
      <c r="P33" t="str">
        <f t="shared" si="8"/>
        <v/>
      </c>
      <c r="Q33" t="str">
        <f t="shared" si="9"/>
        <v/>
      </c>
      <c r="R33" t="str">
        <f t="shared" si="10"/>
        <v/>
      </c>
    </row>
    <row r="34" spans="1:18">
      <c r="A34" t="str">
        <f t="array" ref="A34">IFERROR(INDEX(Tableau1[[#All],[Facture N°]],SMALL(IF((Tableau1[[#All],[Origine]]="vente")*(Tableau1[[#All],[matière]]=$G$1)*(Tableau1[[#All],[forme]]=$H$1)*(Tableau1[[#All],[taille]]=$I$1*1),ROW(Tableau1[[#All],[matière]])-1),ROWS($1:32))),"")</f>
        <v/>
      </c>
      <c r="B34" t="str">
        <f t="array" ref="B34">IFERROR(INDEX(Tableau1[[#All],[N° déclarat° export]],SMALL(IF((Tableau1[[#All],[Origine]]="vente")*(Tableau1[[#All],[matière]]=$G$1)*(Tableau1[[#All],[forme]]=$H$1)*(Tableau1[[#All],[taille]]=$I$1*1),ROW(Tableau1[[#All],[matière]])-1),ROWS($1:32))),"")</f>
        <v/>
      </c>
      <c r="C34" s="45" t="str">
        <f t="array" ref="C34">IFERROR(INDEX(Tableau1[[#All],[Date déclarat° export]],SMALL(IF((Tableau1[[#All],[Origine]]="vente")*(Tableau1[[#All],[matière]]=$G$1)*(Tableau1[[#All],[forme]]=$H$1)*(Tableau1[[#All],[taille]]=$I$1*1),ROW(Tableau1[[#All],[matière]])-1),ROWS($1:32))),"")</f>
        <v/>
      </c>
      <c r="D34" t="str">
        <f t="array" ref="D34">IFERROR(INDEX(Tableau1[[#All],[Réf article]],SMALL(IF((Tableau1[[#All],[Origine]]="vente")*(Tableau1[[#All],[matière]]=$G$1)*(Tableau1[[#All],[forme]]=$H$1)*(Tableau1[[#All],[taille]]=$I$1*1),ROW(Tableau1[[#All],[matière]])-1),ROWS($1:32))),"")</f>
        <v/>
      </c>
      <c r="E34" t="str">
        <f t="array" ref="E34">IFERROR(INDEX(Tableau1[[#All],[Désignation]],SMALL(IF((Tableau1[[#All],[Origine]]="vente")*(Tableau1[[#All],[matière]]=$G$1)*(Tableau1[[#All],[forme]]=$H$1)*(Tableau1[[#All],[taille]]=$I$1*1),ROW(Tableau1[[#All],[matière]])-1),ROWS($1:32))),"")</f>
        <v/>
      </c>
      <c r="F34" t="str">
        <f t="shared" si="4"/>
        <v/>
      </c>
      <c r="G34" t="str">
        <f t="shared" si="5"/>
        <v/>
      </c>
      <c r="H34" t="str">
        <f t="shared" si="6"/>
        <v/>
      </c>
      <c r="I34" t="str">
        <f>IFERROR(VLOOKUP($A34,'Base de données'!$A$3:$AA$114,MATCH('vente '!I$2,'Base de données'!$2:$2,0),0),"")</f>
        <v/>
      </c>
      <c r="J34" t="str">
        <f t="array" ref="J34">IFERROR(INDEX(Tableau1[[#All],[Qté livrée]],SMALL(IF((Tableau1[[#All],[Origine]]="vente")*(Tableau1[[#All],[matière]]=$G$1)*(Tableau1[[#All],[forme]]=$H$1)*(Tableau1[[#All],[taille]]=$I$1*1),ROW(Tableau1[[#All],[matière]])-1),ROWS($1:32))),"")</f>
        <v/>
      </c>
      <c r="K34" t="str">
        <f t="array" ref="K34">IFERROR(INDEX(Tableau1[[#All],[Poids net/ pièce]],SMALL(IF((Tableau1[[#All],[Origine]]="vente")*(Tableau1[[#All],[matière]]=$G$1)*(Tableau1[[#All],[forme]]=$H$1)*(Tableau1[[#All],[taille]]=$I$1*1),ROW(Tableau1[[#All],[matière]])-1),ROWS($1:32))),"")</f>
        <v/>
      </c>
      <c r="L34" t="str">
        <f t="array" ref="L34">IFERROR(INDEX(Tableau1[[#All],[Participat° dans la FB]],SMALL(IF((Tableau1[[#All],[Origine]]="vente")*(Tableau1[[#All],[matière]]=$G$1)*(Tableau1[[#All],[forme]]=$H$1)*(Tableau1[[#All],[taille]]=$I$1*1),ROW(Tableau1[[#All],[matière]])-1),ROWS($1:32))),"")</f>
        <v/>
      </c>
      <c r="M34" t="str">
        <f t="array" ref="M34">IFERROR(INDEX(Tableau1[[#All],[Poids brut/pièce]],SMALL(IF((Tableau1[[#All],[Origine]]="vente")*(Tableau1[[#All],[matière]]=$G$1)*(Tableau1[[#All],[forme]]=$H$1)*(Tableau1[[#All],[taille]]=$I$1*1),ROW(Tableau1[[#All],[matière]])-1),ROWS($1:32))),"")</f>
        <v/>
      </c>
      <c r="N34" t="str">
        <f t="shared" si="7"/>
        <v/>
      </c>
      <c r="O34" t="str">
        <f t="array" ref="O34">IFERROR(INDEX(Tableau1[[#All],[Poids copeaux/
pièce]],SMALL(IF((Tableau1[[#All],[Origine]]="vente")*(Tableau1[[#All],[matière]]=$G$1)*(Tableau1[[#All],[forme]]=$H$1)*(Tableau1[[#All],[taille]]=$I$1*1),ROW(Tableau1[[#All],[matière]])-1),ROWS($1:32))),"")</f>
        <v/>
      </c>
      <c r="P34" t="str">
        <f t="shared" si="8"/>
        <v/>
      </c>
      <c r="Q34" t="str">
        <f t="shared" si="9"/>
        <v/>
      </c>
      <c r="R34" t="str">
        <f t="shared" si="10"/>
        <v/>
      </c>
    </row>
    <row r="35" spans="1:18">
      <c r="A35" t="str">
        <f t="array" ref="A35">IFERROR(INDEX(Tableau1[[#All],[Facture N°]],SMALL(IF((Tableau1[[#All],[Origine]]="vente")*(Tableau1[[#All],[matière]]=$G$1)*(Tableau1[[#All],[forme]]=$H$1)*(Tableau1[[#All],[taille]]=$I$1*1),ROW(Tableau1[[#All],[matière]])-1),ROWS($1:33))),"")</f>
        <v/>
      </c>
      <c r="B35" t="str">
        <f t="array" ref="B35">IFERROR(INDEX(Tableau1[[#All],[N° déclarat° export]],SMALL(IF((Tableau1[[#All],[Origine]]="vente")*(Tableau1[[#All],[matière]]=$G$1)*(Tableau1[[#All],[forme]]=$H$1)*(Tableau1[[#All],[taille]]=$I$1*1),ROW(Tableau1[[#All],[matière]])-1),ROWS($1:33))),"")</f>
        <v/>
      </c>
      <c r="C35" s="45" t="str">
        <f t="array" ref="C35">IFERROR(INDEX(Tableau1[[#All],[Date déclarat° export]],SMALL(IF((Tableau1[[#All],[Origine]]="vente")*(Tableau1[[#All],[matière]]=$G$1)*(Tableau1[[#All],[forme]]=$H$1)*(Tableau1[[#All],[taille]]=$I$1*1),ROW(Tableau1[[#All],[matière]])-1),ROWS($1:33))),"")</f>
        <v/>
      </c>
      <c r="D35" t="str">
        <f t="array" ref="D35">IFERROR(INDEX(Tableau1[[#All],[Réf article]],SMALL(IF((Tableau1[[#All],[Origine]]="vente")*(Tableau1[[#All],[matière]]=$G$1)*(Tableau1[[#All],[forme]]=$H$1)*(Tableau1[[#All],[taille]]=$I$1*1),ROW(Tableau1[[#All],[matière]])-1),ROWS($1:33))),"")</f>
        <v/>
      </c>
      <c r="E35" t="str">
        <f t="array" ref="E35">IFERROR(INDEX(Tableau1[[#All],[Désignation]],SMALL(IF((Tableau1[[#All],[Origine]]="vente")*(Tableau1[[#All],[matière]]=$G$1)*(Tableau1[[#All],[forme]]=$H$1)*(Tableau1[[#All],[taille]]=$I$1*1),ROW(Tableau1[[#All],[matière]])-1),ROWS($1:33))),"")</f>
        <v/>
      </c>
      <c r="F35" t="str">
        <f t="shared" si="4"/>
        <v/>
      </c>
      <c r="G35" t="str">
        <f t="shared" si="5"/>
        <v/>
      </c>
      <c r="H35" t="str">
        <f t="shared" si="6"/>
        <v/>
      </c>
      <c r="I35" t="str">
        <f>IFERROR(VLOOKUP($A35,'Base de données'!$A$3:$AA$114,MATCH('vente '!I$2,'Base de données'!$2:$2,0),0),"")</f>
        <v/>
      </c>
      <c r="J35" t="str">
        <f t="array" ref="J35">IFERROR(INDEX(Tableau1[[#All],[Qté livrée]],SMALL(IF((Tableau1[[#All],[Origine]]="vente")*(Tableau1[[#All],[matière]]=$G$1)*(Tableau1[[#All],[forme]]=$H$1)*(Tableau1[[#All],[taille]]=$I$1*1),ROW(Tableau1[[#All],[matière]])-1),ROWS($1:33))),"")</f>
        <v/>
      </c>
      <c r="K35" t="str">
        <f t="array" ref="K35">IFERROR(INDEX(Tableau1[[#All],[Poids net/ pièce]],SMALL(IF((Tableau1[[#All],[Origine]]="vente")*(Tableau1[[#All],[matière]]=$G$1)*(Tableau1[[#All],[forme]]=$H$1)*(Tableau1[[#All],[taille]]=$I$1*1),ROW(Tableau1[[#All],[matière]])-1),ROWS($1:33))),"")</f>
        <v/>
      </c>
      <c r="L35" t="str">
        <f t="array" ref="L35">IFERROR(INDEX(Tableau1[[#All],[Participat° dans la FB]],SMALL(IF((Tableau1[[#All],[Origine]]="vente")*(Tableau1[[#All],[matière]]=$G$1)*(Tableau1[[#All],[forme]]=$H$1)*(Tableau1[[#All],[taille]]=$I$1*1),ROW(Tableau1[[#All],[matière]])-1),ROWS($1:33))),"")</f>
        <v/>
      </c>
      <c r="M35" t="str">
        <f t="array" ref="M35">IFERROR(INDEX(Tableau1[[#All],[Poids brut/pièce]],SMALL(IF((Tableau1[[#All],[Origine]]="vente")*(Tableau1[[#All],[matière]]=$G$1)*(Tableau1[[#All],[forme]]=$H$1)*(Tableau1[[#All],[taille]]=$I$1*1),ROW(Tableau1[[#All],[matière]])-1),ROWS($1:33))),"")</f>
        <v/>
      </c>
      <c r="N35" t="str">
        <f t="shared" si="7"/>
        <v/>
      </c>
      <c r="O35" t="str">
        <f t="array" ref="O35">IFERROR(INDEX(Tableau1[[#All],[Poids copeaux/
pièce]],SMALL(IF((Tableau1[[#All],[Origine]]="vente")*(Tableau1[[#All],[matière]]=$G$1)*(Tableau1[[#All],[forme]]=$H$1)*(Tableau1[[#All],[taille]]=$I$1*1),ROW(Tableau1[[#All],[matière]])-1),ROWS($1:33))),"")</f>
        <v/>
      </c>
      <c r="P35" t="str">
        <f t="shared" si="8"/>
        <v/>
      </c>
      <c r="Q35" t="str">
        <f t="shared" si="9"/>
        <v/>
      </c>
      <c r="R35" t="str">
        <f t="shared" si="10"/>
        <v/>
      </c>
    </row>
    <row r="36" spans="1:18">
      <c r="A36" t="str">
        <f t="array" ref="A36">IFERROR(INDEX(Tableau1[[#All],[Facture N°]],SMALL(IF((Tableau1[[#All],[Origine]]="vente")*(Tableau1[[#All],[matière]]=$G$1)*(Tableau1[[#All],[forme]]=$H$1)*(Tableau1[[#All],[taille]]=$I$1*1),ROW(Tableau1[[#All],[matière]])-1),ROWS($1:34))),"")</f>
        <v/>
      </c>
      <c r="B36" t="str">
        <f t="array" ref="B36">IFERROR(INDEX(Tableau1[[#All],[N° déclarat° export]],SMALL(IF((Tableau1[[#All],[Origine]]="vente")*(Tableau1[[#All],[matière]]=$G$1)*(Tableau1[[#All],[forme]]=$H$1)*(Tableau1[[#All],[taille]]=$I$1*1),ROW(Tableau1[[#All],[matière]])-1),ROWS($1:34))),"")</f>
        <v/>
      </c>
      <c r="C36" s="45" t="str">
        <f t="array" ref="C36">IFERROR(INDEX(Tableau1[[#All],[Date déclarat° export]],SMALL(IF((Tableau1[[#All],[Origine]]="vente")*(Tableau1[[#All],[matière]]=$G$1)*(Tableau1[[#All],[forme]]=$H$1)*(Tableau1[[#All],[taille]]=$I$1*1),ROW(Tableau1[[#All],[matière]])-1),ROWS($1:34))),"")</f>
        <v/>
      </c>
      <c r="D36" t="str">
        <f t="array" ref="D36">IFERROR(INDEX(Tableau1[[#All],[Réf article]],SMALL(IF((Tableau1[[#All],[Origine]]="vente")*(Tableau1[[#All],[matière]]=$G$1)*(Tableau1[[#All],[forme]]=$H$1)*(Tableau1[[#All],[taille]]=$I$1*1),ROW(Tableau1[[#All],[matière]])-1),ROWS($1:34))),"")</f>
        <v/>
      </c>
      <c r="E36" t="str">
        <f t="array" ref="E36">IFERROR(INDEX(Tableau1[[#All],[Désignation]],SMALL(IF((Tableau1[[#All],[Origine]]="vente")*(Tableau1[[#All],[matière]]=$G$1)*(Tableau1[[#All],[forme]]=$H$1)*(Tableau1[[#All],[taille]]=$I$1*1),ROW(Tableau1[[#All],[matière]])-1),ROWS($1:34))),"")</f>
        <v/>
      </c>
      <c r="F36" t="str">
        <f t="shared" si="4"/>
        <v/>
      </c>
      <c r="G36" t="str">
        <f t="shared" si="5"/>
        <v/>
      </c>
      <c r="H36" t="str">
        <f t="shared" si="6"/>
        <v/>
      </c>
      <c r="I36" t="str">
        <f>IFERROR(VLOOKUP($A36,'Base de données'!$A$3:$AA$114,MATCH('vente '!I$2,'Base de données'!$2:$2,0),0),"")</f>
        <v/>
      </c>
      <c r="J36" t="str">
        <f t="array" ref="J36">IFERROR(INDEX(Tableau1[[#All],[Qté livrée]],SMALL(IF((Tableau1[[#All],[Origine]]="vente")*(Tableau1[[#All],[matière]]=$G$1)*(Tableau1[[#All],[forme]]=$H$1)*(Tableau1[[#All],[taille]]=$I$1*1),ROW(Tableau1[[#All],[matière]])-1),ROWS($1:34))),"")</f>
        <v/>
      </c>
      <c r="K36" t="str">
        <f t="array" ref="K36">IFERROR(INDEX(Tableau1[[#All],[Poids net/ pièce]],SMALL(IF((Tableau1[[#All],[Origine]]="vente")*(Tableau1[[#All],[matière]]=$G$1)*(Tableau1[[#All],[forme]]=$H$1)*(Tableau1[[#All],[taille]]=$I$1*1),ROW(Tableau1[[#All],[matière]])-1),ROWS($1:34))),"")</f>
        <v/>
      </c>
      <c r="L36" t="str">
        <f t="array" ref="L36">IFERROR(INDEX(Tableau1[[#All],[Participat° dans la FB]],SMALL(IF((Tableau1[[#All],[Origine]]="vente")*(Tableau1[[#All],[matière]]=$G$1)*(Tableau1[[#All],[forme]]=$H$1)*(Tableau1[[#All],[taille]]=$I$1*1),ROW(Tableau1[[#All],[matière]])-1),ROWS($1:34))),"")</f>
        <v/>
      </c>
      <c r="M36" t="str">
        <f t="array" ref="M36">IFERROR(INDEX(Tableau1[[#All],[Poids brut/pièce]],SMALL(IF((Tableau1[[#All],[Origine]]="vente")*(Tableau1[[#All],[matière]]=$G$1)*(Tableau1[[#All],[forme]]=$H$1)*(Tableau1[[#All],[taille]]=$I$1*1),ROW(Tableau1[[#All],[matière]])-1),ROWS($1:34))),"")</f>
        <v/>
      </c>
      <c r="N36" t="str">
        <f t="shared" si="7"/>
        <v/>
      </c>
      <c r="O36" t="str">
        <f t="array" ref="O36">IFERROR(INDEX(Tableau1[[#All],[Poids copeaux/
pièce]],SMALL(IF((Tableau1[[#All],[Origine]]="vente")*(Tableau1[[#All],[matière]]=$G$1)*(Tableau1[[#All],[forme]]=$H$1)*(Tableau1[[#All],[taille]]=$I$1*1),ROW(Tableau1[[#All],[matière]])-1),ROWS($1:34))),"")</f>
        <v/>
      </c>
      <c r="P36" t="str">
        <f t="shared" si="8"/>
        <v/>
      </c>
      <c r="Q36" t="str">
        <f t="shared" si="9"/>
        <v/>
      </c>
      <c r="R36" t="str">
        <f t="shared" si="10"/>
        <v/>
      </c>
    </row>
    <row r="37" spans="1:18">
      <c r="A37" t="str">
        <f t="array" ref="A37">IFERROR(INDEX(Tableau1[[#All],[Facture N°]],SMALL(IF((Tableau1[[#All],[Origine]]="vente")*(Tableau1[[#All],[matière]]=$G$1)*(Tableau1[[#All],[forme]]=$H$1)*(Tableau1[[#All],[taille]]=$I$1*1),ROW(Tableau1[[#All],[matière]])-1),ROWS($1:35))),"")</f>
        <v/>
      </c>
      <c r="B37" t="str">
        <f t="array" ref="B37">IFERROR(INDEX(Tableau1[[#All],[N° déclarat° export]],SMALL(IF((Tableau1[[#All],[Origine]]="vente")*(Tableau1[[#All],[matière]]=$G$1)*(Tableau1[[#All],[forme]]=$H$1)*(Tableau1[[#All],[taille]]=$I$1*1),ROW(Tableau1[[#All],[matière]])-1),ROWS($1:35))),"")</f>
        <v/>
      </c>
      <c r="C37" s="45" t="str">
        <f t="array" ref="C37">IFERROR(INDEX(Tableau1[[#All],[Date déclarat° export]],SMALL(IF((Tableau1[[#All],[Origine]]="vente")*(Tableau1[[#All],[matière]]=$G$1)*(Tableau1[[#All],[forme]]=$H$1)*(Tableau1[[#All],[taille]]=$I$1*1),ROW(Tableau1[[#All],[matière]])-1),ROWS($1:35))),"")</f>
        <v/>
      </c>
      <c r="D37" t="str">
        <f t="array" ref="D37">IFERROR(INDEX(Tableau1[[#All],[Réf article]],SMALL(IF((Tableau1[[#All],[Origine]]="vente")*(Tableau1[[#All],[matière]]=$G$1)*(Tableau1[[#All],[forme]]=$H$1)*(Tableau1[[#All],[taille]]=$I$1*1),ROW(Tableau1[[#All],[matière]])-1),ROWS($1:35))),"")</f>
        <v/>
      </c>
      <c r="E37" t="str">
        <f t="array" ref="E37">IFERROR(INDEX(Tableau1[[#All],[Désignation]],SMALL(IF((Tableau1[[#All],[Origine]]="vente")*(Tableau1[[#All],[matière]]=$G$1)*(Tableau1[[#All],[forme]]=$H$1)*(Tableau1[[#All],[taille]]=$I$1*1),ROW(Tableau1[[#All],[matière]])-1),ROWS($1:35))),"")</f>
        <v/>
      </c>
      <c r="F37" t="str">
        <f t="shared" si="4"/>
        <v/>
      </c>
      <c r="G37" t="str">
        <f t="shared" si="5"/>
        <v/>
      </c>
      <c r="H37" t="str">
        <f t="shared" si="6"/>
        <v/>
      </c>
      <c r="I37" t="str">
        <f>IFERROR(VLOOKUP($A37,'Base de données'!$A$3:$AA$114,MATCH('vente '!I$2,'Base de données'!$2:$2,0),0),"")</f>
        <v/>
      </c>
      <c r="J37" t="str">
        <f t="array" ref="J37">IFERROR(INDEX(Tableau1[[#All],[Qté livrée]],SMALL(IF((Tableau1[[#All],[Origine]]="vente")*(Tableau1[[#All],[matière]]=$G$1)*(Tableau1[[#All],[forme]]=$H$1)*(Tableau1[[#All],[taille]]=$I$1*1),ROW(Tableau1[[#All],[matière]])-1),ROWS($1:35))),"")</f>
        <v/>
      </c>
      <c r="K37" t="str">
        <f t="array" ref="K37">IFERROR(INDEX(Tableau1[[#All],[Poids net/ pièce]],SMALL(IF((Tableau1[[#All],[Origine]]="vente")*(Tableau1[[#All],[matière]]=$G$1)*(Tableau1[[#All],[forme]]=$H$1)*(Tableau1[[#All],[taille]]=$I$1*1),ROW(Tableau1[[#All],[matière]])-1),ROWS($1:35))),"")</f>
        <v/>
      </c>
      <c r="L37" t="str">
        <f t="array" ref="L37">IFERROR(INDEX(Tableau1[[#All],[Participat° dans la FB]],SMALL(IF((Tableau1[[#All],[Origine]]="vente")*(Tableau1[[#All],[matière]]=$G$1)*(Tableau1[[#All],[forme]]=$H$1)*(Tableau1[[#All],[taille]]=$I$1*1),ROW(Tableau1[[#All],[matière]])-1),ROWS($1:35))),"")</f>
        <v/>
      </c>
      <c r="M37" t="str">
        <f t="array" ref="M37">IFERROR(INDEX(Tableau1[[#All],[Poids brut/pièce]],SMALL(IF((Tableau1[[#All],[Origine]]="vente")*(Tableau1[[#All],[matière]]=$G$1)*(Tableau1[[#All],[forme]]=$H$1)*(Tableau1[[#All],[taille]]=$I$1*1),ROW(Tableau1[[#All],[matière]])-1),ROWS($1:35))),"")</f>
        <v/>
      </c>
      <c r="N37" t="str">
        <f t="shared" si="7"/>
        <v/>
      </c>
      <c r="O37" t="str">
        <f t="array" ref="O37">IFERROR(INDEX(Tableau1[[#All],[Poids copeaux/
pièce]],SMALL(IF((Tableau1[[#All],[Origine]]="vente")*(Tableau1[[#All],[matière]]=$G$1)*(Tableau1[[#All],[forme]]=$H$1)*(Tableau1[[#All],[taille]]=$I$1*1),ROW(Tableau1[[#All],[matière]])-1),ROWS($1:35))),"")</f>
        <v/>
      </c>
      <c r="P37" t="str">
        <f t="shared" si="8"/>
        <v/>
      </c>
      <c r="Q37" t="str">
        <f t="shared" si="9"/>
        <v/>
      </c>
      <c r="R37" t="str">
        <f t="shared" si="10"/>
        <v/>
      </c>
    </row>
    <row r="38" spans="1:18">
      <c r="A38" t="str">
        <f t="array" ref="A38">IFERROR(INDEX(Tableau1[[#All],[Facture N°]],SMALL(IF((Tableau1[[#All],[Origine]]="vente")*(Tableau1[[#All],[matière]]=$G$1)*(Tableau1[[#All],[forme]]=$H$1)*(Tableau1[[#All],[taille]]=$I$1*1),ROW(Tableau1[[#All],[matière]])-1),ROWS($1:36))),"")</f>
        <v/>
      </c>
      <c r="B38" t="str">
        <f t="array" ref="B38">IFERROR(INDEX(Tableau1[[#All],[N° déclarat° export]],SMALL(IF((Tableau1[[#All],[Origine]]="vente")*(Tableau1[[#All],[matière]]=$G$1)*(Tableau1[[#All],[forme]]=$H$1)*(Tableau1[[#All],[taille]]=$I$1*1),ROW(Tableau1[[#All],[matière]])-1),ROWS($1:36))),"")</f>
        <v/>
      </c>
      <c r="C38" s="45" t="str">
        <f t="array" ref="C38">IFERROR(INDEX(Tableau1[[#All],[Date déclarat° export]],SMALL(IF((Tableau1[[#All],[Origine]]="vente")*(Tableau1[[#All],[matière]]=$G$1)*(Tableau1[[#All],[forme]]=$H$1)*(Tableau1[[#All],[taille]]=$I$1*1),ROW(Tableau1[[#All],[matière]])-1),ROWS($1:36))),"")</f>
        <v/>
      </c>
      <c r="D38" t="str">
        <f t="array" ref="D38">IFERROR(INDEX(Tableau1[[#All],[Réf article]],SMALL(IF((Tableau1[[#All],[Origine]]="vente")*(Tableau1[[#All],[matière]]=$G$1)*(Tableau1[[#All],[forme]]=$H$1)*(Tableau1[[#All],[taille]]=$I$1*1),ROW(Tableau1[[#All],[matière]])-1),ROWS($1:36))),"")</f>
        <v/>
      </c>
      <c r="E38" t="str">
        <f t="array" ref="E38">IFERROR(INDEX(Tableau1[[#All],[Désignation]],SMALL(IF((Tableau1[[#All],[Origine]]="vente")*(Tableau1[[#All],[matière]]=$G$1)*(Tableau1[[#All],[forme]]=$H$1)*(Tableau1[[#All],[taille]]=$I$1*1),ROW(Tableau1[[#All],[matière]])-1),ROWS($1:36))),"")</f>
        <v/>
      </c>
      <c r="F38" t="str">
        <f t="shared" si="4"/>
        <v/>
      </c>
      <c r="G38" t="str">
        <f t="shared" si="5"/>
        <v/>
      </c>
      <c r="H38" t="str">
        <f t="shared" si="6"/>
        <v/>
      </c>
      <c r="I38" t="str">
        <f>IFERROR(VLOOKUP($A38,'Base de données'!$A$3:$AA$114,MATCH('vente '!I$2,'Base de données'!$2:$2,0),0),"")</f>
        <v/>
      </c>
      <c r="J38" t="str">
        <f t="array" ref="J38">IFERROR(INDEX(Tableau1[[#All],[Qté livrée]],SMALL(IF((Tableau1[[#All],[Origine]]="vente")*(Tableau1[[#All],[matière]]=$G$1)*(Tableau1[[#All],[forme]]=$H$1)*(Tableau1[[#All],[taille]]=$I$1*1),ROW(Tableau1[[#All],[matière]])-1),ROWS($1:36))),"")</f>
        <v/>
      </c>
      <c r="K38" t="str">
        <f t="array" ref="K38">IFERROR(INDEX(Tableau1[[#All],[Poids net/ pièce]],SMALL(IF((Tableau1[[#All],[Origine]]="vente")*(Tableau1[[#All],[matière]]=$G$1)*(Tableau1[[#All],[forme]]=$H$1)*(Tableau1[[#All],[taille]]=$I$1*1),ROW(Tableau1[[#All],[matière]])-1),ROWS($1:36))),"")</f>
        <v/>
      </c>
      <c r="L38" t="str">
        <f t="array" ref="L38">IFERROR(INDEX(Tableau1[[#All],[Participat° dans la FB]],SMALL(IF((Tableau1[[#All],[Origine]]="vente")*(Tableau1[[#All],[matière]]=$G$1)*(Tableau1[[#All],[forme]]=$H$1)*(Tableau1[[#All],[taille]]=$I$1*1),ROW(Tableau1[[#All],[matière]])-1),ROWS($1:36))),"")</f>
        <v/>
      </c>
      <c r="M38" t="str">
        <f t="array" ref="M38">IFERROR(INDEX(Tableau1[[#All],[Poids brut/pièce]],SMALL(IF((Tableau1[[#All],[Origine]]="vente")*(Tableau1[[#All],[matière]]=$G$1)*(Tableau1[[#All],[forme]]=$H$1)*(Tableau1[[#All],[taille]]=$I$1*1),ROW(Tableau1[[#All],[matière]])-1),ROWS($1:36))),"")</f>
        <v/>
      </c>
      <c r="N38" t="str">
        <f t="shared" si="7"/>
        <v/>
      </c>
      <c r="O38" t="str">
        <f t="array" ref="O38">IFERROR(INDEX(Tableau1[[#All],[Poids copeaux/
pièce]],SMALL(IF((Tableau1[[#All],[Origine]]="vente")*(Tableau1[[#All],[matière]]=$G$1)*(Tableau1[[#All],[forme]]=$H$1)*(Tableau1[[#All],[taille]]=$I$1*1),ROW(Tableau1[[#All],[matière]])-1),ROWS($1:36))),"")</f>
        <v/>
      </c>
      <c r="P38" t="str">
        <f t="shared" si="8"/>
        <v/>
      </c>
      <c r="Q38" t="str">
        <f t="shared" si="9"/>
        <v/>
      </c>
      <c r="R38" t="str">
        <f t="shared" si="10"/>
        <v/>
      </c>
    </row>
    <row r="39" spans="1:18">
      <c r="A39" t="str">
        <f t="array" ref="A39">IFERROR(INDEX(Tableau1[[#All],[Facture N°]],SMALL(IF((Tableau1[[#All],[Origine]]="vente")*(Tableau1[[#All],[matière]]=$G$1)*(Tableau1[[#All],[forme]]=$H$1)*(Tableau1[[#All],[taille]]=$I$1*1),ROW(Tableau1[[#All],[matière]])-1),ROWS($1:37))),"")</f>
        <v/>
      </c>
      <c r="B39" t="str">
        <f t="array" ref="B39">IFERROR(INDEX(Tableau1[[#All],[N° déclarat° export]],SMALL(IF((Tableau1[[#All],[Origine]]="vente")*(Tableau1[[#All],[matière]]=$G$1)*(Tableau1[[#All],[forme]]=$H$1)*(Tableau1[[#All],[taille]]=$I$1*1),ROW(Tableau1[[#All],[matière]])-1),ROWS($1:37))),"")</f>
        <v/>
      </c>
      <c r="C39" s="45" t="str">
        <f t="array" ref="C39">IFERROR(INDEX(Tableau1[[#All],[Date déclarat° export]],SMALL(IF((Tableau1[[#All],[Origine]]="vente")*(Tableau1[[#All],[matière]]=$G$1)*(Tableau1[[#All],[forme]]=$H$1)*(Tableau1[[#All],[taille]]=$I$1*1),ROW(Tableau1[[#All],[matière]])-1),ROWS($1:37))),"")</f>
        <v/>
      </c>
      <c r="D39" t="str">
        <f t="array" ref="D39">IFERROR(INDEX(Tableau1[[#All],[Réf article]],SMALL(IF((Tableau1[[#All],[Origine]]="vente")*(Tableau1[[#All],[matière]]=$G$1)*(Tableau1[[#All],[forme]]=$H$1)*(Tableau1[[#All],[taille]]=$I$1*1),ROW(Tableau1[[#All],[matière]])-1),ROWS($1:37))),"")</f>
        <v/>
      </c>
      <c r="E39" t="str">
        <f t="array" ref="E39">IFERROR(INDEX(Tableau1[[#All],[Désignation]],SMALL(IF((Tableau1[[#All],[Origine]]="vente")*(Tableau1[[#All],[matière]]=$G$1)*(Tableau1[[#All],[forme]]=$H$1)*(Tableau1[[#All],[taille]]=$I$1*1),ROW(Tableau1[[#All],[matière]])-1),ROWS($1:37))),"")</f>
        <v/>
      </c>
      <c r="F39" t="str">
        <f t="shared" si="4"/>
        <v/>
      </c>
      <c r="G39" t="str">
        <f t="shared" si="5"/>
        <v/>
      </c>
      <c r="H39" t="str">
        <f t="shared" si="6"/>
        <v/>
      </c>
      <c r="I39" t="str">
        <f>IFERROR(VLOOKUP($A39,'Base de données'!$A$3:$AA$114,MATCH('vente '!I$2,'Base de données'!$2:$2,0),0),"")</f>
        <v/>
      </c>
      <c r="J39" t="str">
        <f t="array" ref="J39">IFERROR(INDEX(Tableau1[[#All],[Qté livrée]],SMALL(IF((Tableau1[[#All],[Origine]]="vente")*(Tableau1[[#All],[matière]]=$G$1)*(Tableau1[[#All],[forme]]=$H$1)*(Tableau1[[#All],[taille]]=$I$1*1),ROW(Tableau1[[#All],[matière]])-1),ROWS($1:37))),"")</f>
        <v/>
      </c>
      <c r="K39" t="str">
        <f t="array" ref="K39">IFERROR(INDEX(Tableau1[[#All],[Poids net/ pièce]],SMALL(IF((Tableau1[[#All],[Origine]]="vente")*(Tableau1[[#All],[matière]]=$G$1)*(Tableau1[[#All],[forme]]=$H$1)*(Tableau1[[#All],[taille]]=$I$1*1),ROW(Tableau1[[#All],[matière]])-1),ROWS($1:37))),"")</f>
        <v/>
      </c>
      <c r="L39" t="str">
        <f t="array" ref="L39">IFERROR(INDEX(Tableau1[[#All],[Participat° dans la FB]],SMALL(IF((Tableau1[[#All],[Origine]]="vente")*(Tableau1[[#All],[matière]]=$G$1)*(Tableau1[[#All],[forme]]=$H$1)*(Tableau1[[#All],[taille]]=$I$1*1),ROW(Tableau1[[#All],[matière]])-1),ROWS($1:37))),"")</f>
        <v/>
      </c>
      <c r="M39" t="str">
        <f t="array" ref="M39">IFERROR(INDEX(Tableau1[[#All],[Poids brut/pièce]],SMALL(IF((Tableau1[[#All],[Origine]]="vente")*(Tableau1[[#All],[matière]]=$G$1)*(Tableau1[[#All],[forme]]=$H$1)*(Tableau1[[#All],[taille]]=$I$1*1),ROW(Tableau1[[#All],[matière]])-1),ROWS($1:37))),"")</f>
        <v/>
      </c>
      <c r="N39" t="str">
        <f t="shared" si="7"/>
        <v/>
      </c>
      <c r="O39" t="str">
        <f t="array" ref="O39">IFERROR(INDEX(Tableau1[[#All],[Poids copeaux/
pièce]],SMALL(IF((Tableau1[[#All],[Origine]]="vente")*(Tableau1[[#All],[matière]]=$G$1)*(Tableau1[[#All],[forme]]=$H$1)*(Tableau1[[#All],[taille]]=$I$1*1),ROW(Tableau1[[#All],[matière]])-1),ROWS($1:37))),"")</f>
        <v/>
      </c>
      <c r="P39" t="str">
        <f t="shared" si="8"/>
        <v/>
      </c>
      <c r="Q39" t="str">
        <f t="shared" si="9"/>
        <v/>
      </c>
      <c r="R39" t="str">
        <f t="shared" si="10"/>
        <v/>
      </c>
    </row>
    <row r="40" spans="1:18">
      <c r="A40" t="str">
        <f t="array" ref="A40">IFERROR(INDEX(Tableau1[[#All],[Facture N°]],SMALL(IF((Tableau1[[#All],[Origine]]="vente")*(Tableau1[[#All],[matière]]=$G$1)*(Tableau1[[#All],[forme]]=$H$1)*(Tableau1[[#All],[taille]]=$I$1*1),ROW(Tableau1[[#All],[matière]])-1),ROWS($1:38))),"")</f>
        <v/>
      </c>
      <c r="B40" t="str">
        <f t="array" ref="B40">IFERROR(INDEX(Tableau1[[#All],[N° déclarat° export]],SMALL(IF((Tableau1[[#All],[Origine]]="vente")*(Tableau1[[#All],[matière]]=$G$1)*(Tableau1[[#All],[forme]]=$H$1)*(Tableau1[[#All],[taille]]=$I$1*1),ROW(Tableau1[[#All],[matière]])-1),ROWS($1:38))),"")</f>
        <v/>
      </c>
      <c r="C40" s="45" t="str">
        <f t="array" ref="C40">IFERROR(INDEX(Tableau1[[#All],[Date déclarat° export]],SMALL(IF((Tableau1[[#All],[Origine]]="vente")*(Tableau1[[#All],[matière]]=$G$1)*(Tableau1[[#All],[forme]]=$H$1)*(Tableau1[[#All],[taille]]=$I$1*1),ROW(Tableau1[[#All],[matière]])-1),ROWS($1:38))),"")</f>
        <v/>
      </c>
      <c r="D40" t="str">
        <f t="array" ref="D40">IFERROR(INDEX(Tableau1[[#All],[Réf article]],SMALL(IF((Tableau1[[#All],[Origine]]="vente")*(Tableau1[[#All],[matière]]=$G$1)*(Tableau1[[#All],[forme]]=$H$1)*(Tableau1[[#All],[taille]]=$I$1*1),ROW(Tableau1[[#All],[matière]])-1),ROWS($1:38))),"")</f>
        <v/>
      </c>
      <c r="E40" t="str">
        <f t="array" ref="E40">IFERROR(INDEX(Tableau1[[#All],[Désignation]],SMALL(IF((Tableau1[[#All],[Origine]]="vente")*(Tableau1[[#All],[matière]]=$G$1)*(Tableau1[[#All],[forme]]=$H$1)*(Tableau1[[#All],[taille]]=$I$1*1),ROW(Tableau1[[#All],[matière]])-1),ROWS($1:38))),"")</f>
        <v/>
      </c>
      <c r="F40" t="str">
        <f t="shared" si="4"/>
        <v/>
      </c>
      <c r="G40" t="str">
        <f t="shared" si="5"/>
        <v/>
      </c>
      <c r="H40" t="str">
        <f t="shared" si="6"/>
        <v/>
      </c>
      <c r="I40" t="str">
        <f>IFERROR(VLOOKUP($A40,'Base de données'!$A$3:$AA$114,MATCH('vente '!I$2,'Base de données'!$2:$2,0),0),"")</f>
        <v/>
      </c>
      <c r="J40" t="str">
        <f t="array" ref="J40">IFERROR(INDEX(Tableau1[[#All],[Qté livrée]],SMALL(IF((Tableau1[[#All],[Origine]]="vente")*(Tableau1[[#All],[matière]]=$G$1)*(Tableau1[[#All],[forme]]=$H$1)*(Tableau1[[#All],[taille]]=$I$1*1),ROW(Tableau1[[#All],[matière]])-1),ROWS($1:38))),"")</f>
        <v/>
      </c>
      <c r="K40" t="str">
        <f t="array" ref="K40">IFERROR(INDEX(Tableau1[[#All],[Poids net/ pièce]],SMALL(IF((Tableau1[[#All],[Origine]]="vente")*(Tableau1[[#All],[matière]]=$G$1)*(Tableau1[[#All],[forme]]=$H$1)*(Tableau1[[#All],[taille]]=$I$1*1),ROW(Tableau1[[#All],[matière]])-1),ROWS($1:38))),"")</f>
        <v/>
      </c>
      <c r="L40" t="str">
        <f t="array" ref="L40">IFERROR(INDEX(Tableau1[[#All],[Participat° dans la FB]],SMALL(IF((Tableau1[[#All],[Origine]]="vente")*(Tableau1[[#All],[matière]]=$G$1)*(Tableau1[[#All],[forme]]=$H$1)*(Tableau1[[#All],[taille]]=$I$1*1),ROW(Tableau1[[#All],[matière]])-1),ROWS($1:38))),"")</f>
        <v/>
      </c>
      <c r="M40" t="str">
        <f t="array" ref="M40">IFERROR(INDEX(Tableau1[[#All],[Poids brut/pièce]],SMALL(IF((Tableau1[[#All],[Origine]]="vente")*(Tableau1[[#All],[matière]]=$G$1)*(Tableau1[[#All],[forme]]=$H$1)*(Tableau1[[#All],[taille]]=$I$1*1),ROW(Tableau1[[#All],[matière]])-1),ROWS($1:38))),"")</f>
        <v/>
      </c>
      <c r="N40" t="str">
        <f t="shared" si="7"/>
        <v/>
      </c>
      <c r="O40" t="str">
        <f t="array" ref="O40">IFERROR(INDEX(Tableau1[[#All],[Poids copeaux/
pièce]],SMALL(IF((Tableau1[[#All],[Origine]]="vente")*(Tableau1[[#All],[matière]]=$G$1)*(Tableau1[[#All],[forme]]=$H$1)*(Tableau1[[#All],[taille]]=$I$1*1),ROW(Tableau1[[#All],[matière]])-1),ROWS($1:38))),"")</f>
        <v/>
      </c>
      <c r="P40" t="str">
        <f t="shared" si="8"/>
        <v/>
      </c>
      <c r="Q40" t="str">
        <f t="shared" si="9"/>
        <v/>
      </c>
      <c r="R40" t="str">
        <f t="shared" si="10"/>
        <v/>
      </c>
    </row>
    <row r="41" spans="1:18">
      <c r="A41" t="str">
        <f t="array" ref="A41">IFERROR(INDEX(Tableau1[[#All],[Facture N°]],SMALL(IF((Tableau1[[#All],[Origine]]="vente")*(Tableau1[[#All],[matière]]=$G$1)*(Tableau1[[#All],[forme]]=$H$1)*(Tableau1[[#All],[taille]]=$I$1*1),ROW(Tableau1[[#All],[matière]])-1),ROWS($1:39))),"")</f>
        <v/>
      </c>
      <c r="B41" t="str">
        <f t="array" ref="B41">IFERROR(INDEX(Tableau1[[#All],[N° déclarat° export]],SMALL(IF((Tableau1[[#All],[Origine]]="vente")*(Tableau1[[#All],[matière]]=$G$1)*(Tableau1[[#All],[forme]]=$H$1)*(Tableau1[[#All],[taille]]=$I$1*1),ROW(Tableau1[[#All],[matière]])-1),ROWS($1:39))),"")</f>
        <v/>
      </c>
      <c r="C41" s="45" t="str">
        <f t="array" ref="C41">IFERROR(INDEX(Tableau1[[#All],[Date déclarat° export]],SMALL(IF((Tableau1[[#All],[Origine]]="vente")*(Tableau1[[#All],[matière]]=$G$1)*(Tableau1[[#All],[forme]]=$H$1)*(Tableau1[[#All],[taille]]=$I$1*1),ROW(Tableau1[[#All],[matière]])-1),ROWS($1:39))),"")</f>
        <v/>
      </c>
      <c r="D41" t="str">
        <f t="array" ref="D41">IFERROR(INDEX(Tableau1[[#All],[Réf article]],SMALL(IF((Tableau1[[#All],[Origine]]="vente")*(Tableau1[[#All],[matière]]=$G$1)*(Tableau1[[#All],[forme]]=$H$1)*(Tableau1[[#All],[taille]]=$I$1*1),ROW(Tableau1[[#All],[matière]])-1),ROWS($1:39))),"")</f>
        <v/>
      </c>
      <c r="E41" t="str">
        <f t="array" ref="E41">IFERROR(INDEX(Tableau1[[#All],[Désignation]],SMALL(IF((Tableau1[[#All],[Origine]]="vente")*(Tableau1[[#All],[matière]]=$G$1)*(Tableau1[[#All],[forme]]=$H$1)*(Tableau1[[#All],[taille]]=$I$1*1),ROW(Tableau1[[#All],[matière]])-1),ROWS($1:39))),"")</f>
        <v/>
      </c>
      <c r="F41" t="str">
        <f t="shared" si="4"/>
        <v/>
      </c>
      <c r="G41" t="str">
        <f t="shared" si="5"/>
        <v/>
      </c>
      <c r="H41" t="str">
        <f t="shared" si="6"/>
        <v/>
      </c>
      <c r="I41" t="str">
        <f>IFERROR(VLOOKUP($A41,'Base de données'!$A$3:$AA$114,MATCH('vente '!I$2,'Base de données'!$2:$2,0),0),"")</f>
        <v/>
      </c>
      <c r="J41" t="str">
        <f t="array" ref="J41">IFERROR(INDEX(Tableau1[[#All],[Qté livrée]],SMALL(IF((Tableau1[[#All],[Origine]]="vente")*(Tableau1[[#All],[matière]]=$G$1)*(Tableau1[[#All],[forme]]=$H$1)*(Tableau1[[#All],[taille]]=$I$1*1),ROW(Tableau1[[#All],[matière]])-1),ROWS($1:39))),"")</f>
        <v/>
      </c>
      <c r="K41" t="str">
        <f t="array" ref="K41">IFERROR(INDEX(Tableau1[[#All],[Poids net/ pièce]],SMALL(IF((Tableau1[[#All],[Origine]]="vente")*(Tableau1[[#All],[matière]]=$G$1)*(Tableau1[[#All],[forme]]=$H$1)*(Tableau1[[#All],[taille]]=$I$1*1),ROW(Tableau1[[#All],[matière]])-1),ROWS($1:39))),"")</f>
        <v/>
      </c>
      <c r="L41" t="str">
        <f t="array" ref="L41">IFERROR(INDEX(Tableau1[[#All],[Participat° dans la FB]],SMALL(IF((Tableau1[[#All],[Origine]]="vente")*(Tableau1[[#All],[matière]]=$G$1)*(Tableau1[[#All],[forme]]=$H$1)*(Tableau1[[#All],[taille]]=$I$1*1),ROW(Tableau1[[#All],[matière]])-1),ROWS($1:39))),"")</f>
        <v/>
      </c>
      <c r="M41" t="str">
        <f t="array" ref="M41">IFERROR(INDEX(Tableau1[[#All],[Poids brut/pièce]],SMALL(IF((Tableau1[[#All],[Origine]]="vente")*(Tableau1[[#All],[matière]]=$G$1)*(Tableau1[[#All],[forme]]=$H$1)*(Tableau1[[#All],[taille]]=$I$1*1),ROW(Tableau1[[#All],[matière]])-1),ROWS($1:39))),"")</f>
        <v/>
      </c>
      <c r="N41" t="str">
        <f t="shared" si="7"/>
        <v/>
      </c>
      <c r="O41" t="str">
        <f t="array" ref="O41">IFERROR(INDEX(Tableau1[[#All],[Poids copeaux/
pièce]],SMALL(IF((Tableau1[[#All],[Origine]]="vente")*(Tableau1[[#All],[matière]]=$G$1)*(Tableau1[[#All],[forme]]=$H$1)*(Tableau1[[#All],[taille]]=$I$1*1),ROW(Tableau1[[#All],[matière]])-1),ROWS($1:39))),"")</f>
        <v/>
      </c>
      <c r="P41" t="str">
        <f t="shared" si="8"/>
        <v/>
      </c>
      <c r="Q41" t="str">
        <f t="shared" si="9"/>
        <v/>
      </c>
      <c r="R41" t="str">
        <f t="shared" si="10"/>
        <v/>
      </c>
    </row>
    <row r="42" spans="1:18">
      <c r="A42" t="str">
        <f t="array" ref="A42">IFERROR(INDEX(Tableau1[[#All],[Facture N°]],SMALL(IF((Tableau1[[#All],[Origine]]="vente")*(Tableau1[[#All],[matière]]=$G$1)*(Tableau1[[#All],[forme]]=$H$1)*(Tableau1[[#All],[taille]]=$I$1*1),ROW(Tableau1[[#All],[matière]])-1),ROWS($1:40))),"")</f>
        <v/>
      </c>
      <c r="B42" t="str">
        <f t="array" ref="B42">IFERROR(INDEX(Tableau1[[#All],[N° déclarat° export]],SMALL(IF((Tableau1[[#All],[Origine]]="vente")*(Tableau1[[#All],[matière]]=$G$1)*(Tableau1[[#All],[forme]]=$H$1)*(Tableau1[[#All],[taille]]=$I$1*1),ROW(Tableau1[[#All],[matière]])-1),ROWS($1:40))),"")</f>
        <v/>
      </c>
      <c r="C42" s="45" t="str">
        <f t="array" ref="C42">IFERROR(INDEX(Tableau1[[#All],[Date déclarat° export]],SMALL(IF((Tableau1[[#All],[Origine]]="vente")*(Tableau1[[#All],[matière]]=$G$1)*(Tableau1[[#All],[forme]]=$H$1)*(Tableau1[[#All],[taille]]=$I$1*1),ROW(Tableau1[[#All],[matière]])-1),ROWS($1:40))),"")</f>
        <v/>
      </c>
      <c r="D42" t="str">
        <f t="array" ref="D42">IFERROR(INDEX(Tableau1[[#All],[Réf article]],SMALL(IF((Tableau1[[#All],[Origine]]="vente")*(Tableau1[[#All],[matière]]=$G$1)*(Tableau1[[#All],[forme]]=$H$1)*(Tableau1[[#All],[taille]]=$I$1*1),ROW(Tableau1[[#All],[matière]])-1),ROWS($1:40))),"")</f>
        <v/>
      </c>
      <c r="E42" t="str">
        <f t="array" ref="E42">IFERROR(INDEX(Tableau1[[#All],[Désignation]],SMALL(IF((Tableau1[[#All],[Origine]]="vente")*(Tableau1[[#All],[matière]]=$G$1)*(Tableau1[[#All],[forme]]=$H$1)*(Tableau1[[#All],[taille]]=$I$1*1),ROW(Tableau1[[#All],[matière]])-1),ROWS($1:40))),"")</f>
        <v/>
      </c>
      <c r="F42" t="str">
        <f t="shared" si="4"/>
        <v/>
      </c>
      <c r="G42" t="str">
        <f t="shared" si="5"/>
        <v/>
      </c>
      <c r="H42" t="str">
        <f t="shared" si="6"/>
        <v/>
      </c>
      <c r="I42" t="str">
        <f>IFERROR(VLOOKUP($A42,'Base de données'!$A$3:$AA$114,MATCH('vente '!I$2,'Base de données'!$2:$2,0),0),"")</f>
        <v/>
      </c>
      <c r="J42" t="str">
        <f t="array" ref="J42">IFERROR(INDEX(Tableau1[[#All],[Qté livrée]],SMALL(IF((Tableau1[[#All],[Origine]]="vente")*(Tableau1[[#All],[matière]]=$G$1)*(Tableau1[[#All],[forme]]=$H$1)*(Tableau1[[#All],[taille]]=$I$1*1),ROW(Tableau1[[#All],[matière]])-1),ROWS($1:40))),"")</f>
        <v/>
      </c>
      <c r="K42" t="str">
        <f t="array" ref="K42">IFERROR(INDEX(Tableau1[[#All],[Poids net/ pièce]],SMALL(IF((Tableau1[[#All],[Origine]]="vente")*(Tableau1[[#All],[matière]]=$G$1)*(Tableau1[[#All],[forme]]=$H$1)*(Tableau1[[#All],[taille]]=$I$1*1),ROW(Tableau1[[#All],[matière]])-1),ROWS($1:40))),"")</f>
        <v/>
      </c>
      <c r="L42" t="str">
        <f t="array" ref="L42">IFERROR(INDEX(Tableau1[[#All],[Participat° dans la FB]],SMALL(IF((Tableau1[[#All],[Origine]]="vente")*(Tableau1[[#All],[matière]]=$G$1)*(Tableau1[[#All],[forme]]=$H$1)*(Tableau1[[#All],[taille]]=$I$1*1),ROW(Tableau1[[#All],[matière]])-1),ROWS($1:40))),"")</f>
        <v/>
      </c>
      <c r="M42" t="str">
        <f t="array" ref="M42">IFERROR(INDEX(Tableau1[[#All],[Poids brut/pièce]],SMALL(IF((Tableau1[[#All],[Origine]]="vente")*(Tableau1[[#All],[matière]]=$G$1)*(Tableau1[[#All],[forme]]=$H$1)*(Tableau1[[#All],[taille]]=$I$1*1),ROW(Tableau1[[#All],[matière]])-1),ROWS($1:40))),"")</f>
        <v/>
      </c>
      <c r="N42" t="str">
        <f t="shared" si="7"/>
        <v/>
      </c>
      <c r="O42" t="str">
        <f t="array" ref="O42">IFERROR(INDEX(Tableau1[[#All],[Poids copeaux/
pièce]],SMALL(IF((Tableau1[[#All],[Origine]]="vente")*(Tableau1[[#All],[matière]]=$G$1)*(Tableau1[[#All],[forme]]=$H$1)*(Tableau1[[#All],[taille]]=$I$1*1),ROW(Tableau1[[#All],[matière]])-1),ROWS($1:40))),"")</f>
        <v/>
      </c>
      <c r="P42" t="str">
        <f t="shared" si="8"/>
        <v/>
      </c>
      <c r="Q42" t="str">
        <f t="shared" si="9"/>
        <v/>
      </c>
      <c r="R42" t="str">
        <f t="shared" si="10"/>
        <v/>
      </c>
    </row>
    <row r="43" spans="1:18">
      <c r="A43" t="str">
        <f t="array" ref="A43">IFERROR(INDEX(Tableau1[[#All],[Facture N°]],SMALL(IF((Tableau1[[#All],[Origine]]="vente")*(Tableau1[[#All],[matière]]=$G$1)*(Tableau1[[#All],[forme]]=$H$1)*(Tableau1[[#All],[taille]]=$I$1*1),ROW(Tableau1[[#All],[matière]])-1),ROWS($1:41))),"")</f>
        <v/>
      </c>
      <c r="B43" t="str">
        <f t="array" ref="B43">IFERROR(INDEX(Tableau1[[#All],[N° déclarat° export]],SMALL(IF((Tableau1[[#All],[Origine]]="vente")*(Tableau1[[#All],[matière]]=$G$1)*(Tableau1[[#All],[forme]]=$H$1)*(Tableau1[[#All],[taille]]=$I$1*1),ROW(Tableau1[[#All],[matière]])-1),ROWS($1:41))),"")</f>
        <v/>
      </c>
      <c r="C43" s="45" t="str">
        <f t="array" ref="C43">IFERROR(INDEX(Tableau1[[#All],[Date déclarat° export]],SMALL(IF((Tableau1[[#All],[Origine]]="vente")*(Tableau1[[#All],[matière]]=$G$1)*(Tableau1[[#All],[forme]]=$H$1)*(Tableau1[[#All],[taille]]=$I$1*1),ROW(Tableau1[[#All],[matière]])-1),ROWS($1:41))),"")</f>
        <v/>
      </c>
      <c r="D43" t="str">
        <f t="array" ref="D43">IFERROR(INDEX(Tableau1[[#All],[Réf article]],SMALL(IF((Tableau1[[#All],[Origine]]="vente")*(Tableau1[[#All],[matière]]=$G$1)*(Tableau1[[#All],[forme]]=$H$1)*(Tableau1[[#All],[taille]]=$I$1*1),ROW(Tableau1[[#All],[matière]])-1),ROWS($1:41))),"")</f>
        <v/>
      </c>
      <c r="E43" t="str">
        <f t="array" ref="E43">IFERROR(INDEX(Tableau1[[#All],[Désignation]],SMALL(IF((Tableau1[[#All],[Origine]]="vente")*(Tableau1[[#All],[matière]]=$G$1)*(Tableau1[[#All],[forme]]=$H$1)*(Tableau1[[#All],[taille]]=$I$1*1),ROW(Tableau1[[#All],[matière]])-1),ROWS($1:41))),"")</f>
        <v/>
      </c>
      <c r="F43" t="str">
        <f t="shared" si="4"/>
        <v/>
      </c>
      <c r="G43" t="str">
        <f t="shared" si="5"/>
        <v/>
      </c>
      <c r="H43" t="str">
        <f t="shared" si="6"/>
        <v/>
      </c>
      <c r="I43" t="str">
        <f>IFERROR(VLOOKUP($A43,'Base de données'!$A$3:$AA$114,MATCH('vente '!I$2,'Base de données'!$2:$2,0),0),"")</f>
        <v/>
      </c>
      <c r="J43" t="str">
        <f t="array" ref="J43">IFERROR(INDEX(Tableau1[[#All],[Qté livrée]],SMALL(IF((Tableau1[[#All],[Origine]]="vente")*(Tableau1[[#All],[matière]]=$G$1)*(Tableau1[[#All],[forme]]=$H$1)*(Tableau1[[#All],[taille]]=$I$1*1),ROW(Tableau1[[#All],[matière]])-1),ROWS($1:41))),"")</f>
        <v/>
      </c>
      <c r="K43" t="str">
        <f t="array" ref="K43">IFERROR(INDEX(Tableau1[[#All],[Poids net/ pièce]],SMALL(IF((Tableau1[[#All],[Origine]]="vente")*(Tableau1[[#All],[matière]]=$G$1)*(Tableau1[[#All],[forme]]=$H$1)*(Tableau1[[#All],[taille]]=$I$1*1),ROW(Tableau1[[#All],[matière]])-1),ROWS($1:41))),"")</f>
        <v/>
      </c>
      <c r="L43" t="str">
        <f t="array" ref="L43">IFERROR(INDEX(Tableau1[[#All],[Participat° dans la FB]],SMALL(IF((Tableau1[[#All],[Origine]]="vente")*(Tableau1[[#All],[matière]]=$G$1)*(Tableau1[[#All],[forme]]=$H$1)*(Tableau1[[#All],[taille]]=$I$1*1),ROW(Tableau1[[#All],[matière]])-1),ROWS($1:41))),"")</f>
        <v/>
      </c>
      <c r="M43" t="str">
        <f t="array" ref="M43">IFERROR(INDEX(Tableau1[[#All],[Poids brut/pièce]],SMALL(IF((Tableau1[[#All],[Origine]]="vente")*(Tableau1[[#All],[matière]]=$G$1)*(Tableau1[[#All],[forme]]=$H$1)*(Tableau1[[#All],[taille]]=$I$1*1),ROW(Tableau1[[#All],[matière]])-1),ROWS($1:41))),"")</f>
        <v/>
      </c>
      <c r="N43" t="str">
        <f t="shared" si="7"/>
        <v/>
      </c>
      <c r="O43" t="str">
        <f t="array" ref="O43">IFERROR(INDEX(Tableau1[[#All],[Poids copeaux/
pièce]],SMALL(IF((Tableau1[[#All],[Origine]]="vente")*(Tableau1[[#All],[matière]]=$G$1)*(Tableau1[[#All],[forme]]=$H$1)*(Tableau1[[#All],[taille]]=$I$1*1),ROW(Tableau1[[#All],[matière]])-1),ROWS($1:41))),"")</f>
        <v/>
      </c>
      <c r="P43" t="str">
        <f t="shared" si="8"/>
        <v/>
      </c>
      <c r="Q43" t="str">
        <f t="shared" si="9"/>
        <v/>
      </c>
      <c r="R43" t="str">
        <f t="shared" si="10"/>
        <v/>
      </c>
    </row>
    <row r="44" spans="1:18">
      <c r="A44" t="str">
        <f t="array" ref="A44">IFERROR(INDEX(Tableau1[[#All],[Facture N°]],SMALL(IF((Tableau1[[#All],[Origine]]="vente")*(Tableau1[[#All],[matière]]=$G$1)*(Tableau1[[#All],[forme]]=$H$1)*(Tableau1[[#All],[taille]]=$I$1*1),ROW(Tableau1[[#All],[matière]])-1),ROWS($1:42))),"")</f>
        <v/>
      </c>
      <c r="B44" t="str">
        <f t="array" ref="B44">IFERROR(INDEX(Tableau1[[#All],[N° déclarat° export]],SMALL(IF((Tableau1[[#All],[Origine]]="vente")*(Tableau1[[#All],[matière]]=$G$1)*(Tableau1[[#All],[forme]]=$H$1)*(Tableau1[[#All],[taille]]=$I$1*1),ROW(Tableau1[[#All],[matière]])-1),ROWS($1:42))),"")</f>
        <v/>
      </c>
      <c r="C44" s="45" t="str">
        <f t="array" ref="C44">IFERROR(INDEX(Tableau1[[#All],[Date déclarat° export]],SMALL(IF((Tableau1[[#All],[Origine]]="vente")*(Tableau1[[#All],[matière]]=$G$1)*(Tableau1[[#All],[forme]]=$H$1)*(Tableau1[[#All],[taille]]=$I$1*1),ROW(Tableau1[[#All],[matière]])-1),ROWS($1:42))),"")</f>
        <v/>
      </c>
      <c r="D44" t="str">
        <f t="array" ref="D44">IFERROR(INDEX(Tableau1[[#All],[Réf article]],SMALL(IF((Tableau1[[#All],[Origine]]="vente")*(Tableau1[[#All],[matière]]=$G$1)*(Tableau1[[#All],[forme]]=$H$1)*(Tableau1[[#All],[taille]]=$I$1*1),ROW(Tableau1[[#All],[matière]])-1),ROWS($1:42))),"")</f>
        <v/>
      </c>
      <c r="E44" t="str">
        <f t="array" ref="E44">IFERROR(INDEX(Tableau1[[#All],[Désignation]],SMALL(IF((Tableau1[[#All],[Origine]]="vente")*(Tableau1[[#All],[matière]]=$G$1)*(Tableau1[[#All],[forme]]=$H$1)*(Tableau1[[#All],[taille]]=$I$1*1),ROW(Tableau1[[#All],[matière]])-1),ROWS($1:42))),"")</f>
        <v/>
      </c>
      <c r="F44" t="str">
        <f t="shared" si="4"/>
        <v/>
      </c>
      <c r="G44" t="str">
        <f t="shared" si="5"/>
        <v/>
      </c>
      <c r="H44" t="str">
        <f t="shared" si="6"/>
        <v/>
      </c>
      <c r="I44" t="str">
        <f>IFERROR(VLOOKUP($A44,'Base de données'!$A$3:$AA$114,MATCH('vente '!I$2,'Base de données'!$2:$2,0),0),"")</f>
        <v/>
      </c>
      <c r="J44" t="str">
        <f t="array" ref="J44">IFERROR(INDEX(Tableau1[[#All],[Qté livrée]],SMALL(IF((Tableau1[[#All],[Origine]]="vente")*(Tableau1[[#All],[matière]]=$G$1)*(Tableau1[[#All],[forme]]=$H$1)*(Tableau1[[#All],[taille]]=$I$1*1),ROW(Tableau1[[#All],[matière]])-1),ROWS($1:42))),"")</f>
        <v/>
      </c>
      <c r="K44" t="str">
        <f t="array" ref="K44">IFERROR(INDEX(Tableau1[[#All],[Poids net/ pièce]],SMALL(IF((Tableau1[[#All],[Origine]]="vente")*(Tableau1[[#All],[matière]]=$G$1)*(Tableau1[[#All],[forme]]=$H$1)*(Tableau1[[#All],[taille]]=$I$1*1),ROW(Tableau1[[#All],[matière]])-1),ROWS($1:42))),"")</f>
        <v/>
      </c>
      <c r="L44" t="str">
        <f t="array" ref="L44">IFERROR(INDEX(Tableau1[[#All],[Participat° dans la FB]],SMALL(IF((Tableau1[[#All],[Origine]]="vente")*(Tableau1[[#All],[matière]]=$G$1)*(Tableau1[[#All],[forme]]=$H$1)*(Tableau1[[#All],[taille]]=$I$1*1),ROW(Tableau1[[#All],[matière]])-1),ROWS($1:42))),"")</f>
        <v/>
      </c>
      <c r="M44" t="str">
        <f t="array" ref="M44">IFERROR(INDEX(Tableau1[[#All],[Poids brut/pièce]],SMALL(IF((Tableau1[[#All],[Origine]]="vente")*(Tableau1[[#All],[matière]]=$G$1)*(Tableau1[[#All],[forme]]=$H$1)*(Tableau1[[#All],[taille]]=$I$1*1),ROW(Tableau1[[#All],[matière]])-1),ROWS($1:42))),"")</f>
        <v/>
      </c>
      <c r="N44" t="str">
        <f t="shared" si="7"/>
        <v/>
      </c>
      <c r="O44" t="str">
        <f t="array" ref="O44">IFERROR(INDEX(Tableau1[[#All],[Poids copeaux/
pièce]],SMALL(IF((Tableau1[[#All],[Origine]]="vente")*(Tableau1[[#All],[matière]]=$G$1)*(Tableau1[[#All],[forme]]=$H$1)*(Tableau1[[#All],[taille]]=$I$1*1),ROW(Tableau1[[#All],[matière]])-1),ROWS($1:42))),"")</f>
        <v/>
      </c>
      <c r="P44" t="str">
        <f t="shared" si="8"/>
        <v/>
      </c>
      <c r="Q44" t="str">
        <f t="shared" si="9"/>
        <v/>
      </c>
      <c r="R44" t="str">
        <f t="shared" si="10"/>
        <v/>
      </c>
    </row>
    <row r="45" spans="1:18">
      <c r="A45" t="str">
        <f t="array" ref="A45">IFERROR(INDEX(Tableau1[[#All],[Facture N°]],SMALL(IF((Tableau1[[#All],[Origine]]="vente")*(Tableau1[[#All],[matière]]=$G$1)*(Tableau1[[#All],[forme]]=$H$1)*(Tableau1[[#All],[taille]]=$I$1*1),ROW(Tableau1[[#All],[matière]])-1),ROWS($1:43))),"")</f>
        <v/>
      </c>
      <c r="B45" t="str">
        <f t="array" ref="B45">IFERROR(INDEX(Tableau1[[#All],[N° déclarat° export]],SMALL(IF((Tableau1[[#All],[Origine]]="vente")*(Tableau1[[#All],[matière]]=$G$1)*(Tableau1[[#All],[forme]]=$H$1)*(Tableau1[[#All],[taille]]=$I$1*1),ROW(Tableau1[[#All],[matière]])-1),ROWS($1:43))),"")</f>
        <v/>
      </c>
      <c r="C45" s="45" t="str">
        <f t="array" ref="C45">IFERROR(INDEX(Tableau1[[#All],[Date déclarat° export]],SMALL(IF((Tableau1[[#All],[Origine]]="vente")*(Tableau1[[#All],[matière]]=$G$1)*(Tableau1[[#All],[forme]]=$H$1)*(Tableau1[[#All],[taille]]=$I$1*1),ROW(Tableau1[[#All],[matière]])-1),ROWS($1:43))),"")</f>
        <v/>
      </c>
      <c r="D45" t="str">
        <f t="array" ref="D45">IFERROR(INDEX(Tableau1[[#All],[Réf article]],SMALL(IF((Tableau1[[#All],[Origine]]="vente")*(Tableau1[[#All],[matière]]=$G$1)*(Tableau1[[#All],[forme]]=$H$1)*(Tableau1[[#All],[taille]]=$I$1*1),ROW(Tableau1[[#All],[matière]])-1),ROWS($1:43))),"")</f>
        <v/>
      </c>
      <c r="E45" t="str">
        <f t="array" ref="E45">IFERROR(INDEX(Tableau1[[#All],[Désignation]],SMALL(IF((Tableau1[[#All],[Origine]]="vente")*(Tableau1[[#All],[matière]]=$G$1)*(Tableau1[[#All],[forme]]=$H$1)*(Tableau1[[#All],[taille]]=$I$1*1),ROW(Tableau1[[#All],[matière]])-1),ROWS($1:43))),"")</f>
        <v/>
      </c>
      <c r="F45" t="str">
        <f t="shared" si="4"/>
        <v/>
      </c>
      <c r="G45" t="str">
        <f t="shared" si="5"/>
        <v/>
      </c>
      <c r="H45" t="str">
        <f t="shared" si="6"/>
        <v/>
      </c>
      <c r="I45" t="str">
        <f>IFERROR(VLOOKUP($A45,'Base de données'!$A$3:$AA$114,MATCH('vente '!I$2,'Base de données'!$2:$2,0),0),"")</f>
        <v/>
      </c>
      <c r="J45" t="str">
        <f t="array" ref="J45">IFERROR(INDEX(Tableau1[[#All],[Qté livrée]],SMALL(IF((Tableau1[[#All],[Origine]]="vente")*(Tableau1[[#All],[matière]]=$G$1)*(Tableau1[[#All],[forme]]=$H$1)*(Tableau1[[#All],[taille]]=$I$1*1),ROW(Tableau1[[#All],[matière]])-1),ROWS($1:43))),"")</f>
        <v/>
      </c>
      <c r="K45" t="str">
        <f t="array" ref="K45">IFERROR(INDEX(Tableau1[[#All],[Poids net/ pièce]],SMALL(IF((Tableau1[[#All],[Origine]]="vente")*(Tableau1[[#All],[matière]]=$G$1)*(Tableau1[[#All],[forme]]=$H$1)*(Tableau1[[#All],[taille]]=$I$1*1),ROW(Tableau1[[#All],[matière]])-1),ROWS($1:43))),"")</f>
        <v/>
      </c>
      <c r="L45" t="str">
        <f t="array" ref="L45">IFERROR(INDEX(Tableau1[[#All],[Participat° dans la FB]],SMALL(IF((Tableau1[[#All],[Origine]]="vente")*(Tableau1[[#All],[matière]]=$G$1)*(Tableau1[[#All],[forme]]=$H$1)*(Tableau1[[#All],[taille]]=$I$1*1),ROW(Tableau1[[#All],[matière]])-1),ROWS($1:43))),"")</f>
        <v/>
      </c>
      <c r="M45" t="str">
        <f t="array" ref="M45">IFERROR(INDEX(Tableau1[[#All],[Poids brut/pièce]],SMALL(IF((Tableau1[[#All],[Origine]]="vente")*(Tableau1[[#All],[matière]]=$G$1)*(Tableau1[[#All],[forme]]=$H$1)*(Tableau1[[#All],[taille]]=$I$1*1),ROW(Tableau1[[#All],[matière]])-1),ROWS($1:43))),"")</f>
        <v/>
      </c>
      <c r="N45" t="str">
        <f t="shared" si="7"/>
        <v/>
      </c>
      <c r="O45" t="str">
        <f t="array" ref="O45">IFERROR(INDEX(Tableau1[[#All],[Poids copeaux/
pièce]],SMALL(IF((Tableau1[[#All],[Origine]]="vente")*(Tableau1[[#All],[matière]]=$G$1)*(Tableau1[[#All],[forme]]=$H$1)*(Tableau1[[#All],[taille]]=$I$1*1),ROW(Tableau1[[#All],[matière]])-1),ROWS($1:43))),"")</f>
        <v/>
      </c>
      <c r="P45" t="str">
        <f t="shared" si="8"/>
        <v/>
      </c>
      <c r="Q45" t="str">
        <f t="shared" si="9"/>
        <v/>
      </c>
      <c r="R45" t="str">
        <f t="shared" si="10"/>
        <v/>
      </c>
    </row>
    <row r="46" spans="1:18">
      <c r="A46" t="str">
        <f t="array" ref="A46">IFERROR(INDEX(Tableau1[[#All],[Facture N°]],SMALL(IF((Tableau1[[#All],[Origine]]="vente")*(Tableau1[[#All],[matière]]=$G$1)*(Tableau1[[#All],[forme]]=$H$1)*(Tableau1[[#All],[taille]]=$I$1*1),ROW(Tableau1[[#All],[matière]])-1),ROWS($1:44))),"")</f>
        <v/>
      </c>
      <c r="B46" t="str">
        <f t="array" ref="B46">IFERROR(INDEX(Tableau1[[#All],[N° déclarat° export]],SMALL(IF((Tableau1[[#All],[Origine]]="vente")*(Tableau1[[#All],[matière]]=$G$1)*(Tableau1[[#All],[forme]]=$H$1)*(Tableau1[[#All],[taille]]=$I$1*1),ROW(Tableau1[[#All],[matière]])-1),ROWS($1:44))),"")</f>
        <v/>
      </c>
      <c r="C46" s="45" t="str">
        <f t="array" ref="C46">IFERROR(INDEX(Tableau1[[#All],[Date déclarat° export]],SMALL(IF((Tableau1[[#All],[Origine]]="vente")*(Tableau1[[#All],[matière]]=$G$1)*(Tableau1[[#All],[forme]]=$H$1)*(Tableau1[[#All],[taille]]=$I$1*1),ROW(Tableau1[[#All],[matière]])-1),ROWS($1:44))),"")</f>
        <v/>
      </c>
      <c r="D46" t="str">
        <f t="array" ref="D46">IFERROR(INDEX(Tableau1[[#All],[Réf article]],SMALL(IF((Tableau1[[#All],[Origine]]="vente")*(Tableau1[[#All],[matière]]=$G$1)*(Tableau1[[#All],[forme]]=$H$1)*(Tableau1[[#All],[taille]]=$I$1*1),ROW(Tableau1[[#All],[matière]])-1),ROWS($1:44))),"")</f>
        <v/>
      </c>
      <c r="E46" t="str">
        <f t="array" ref="E46">IFERROR(INDEX(Tableau1[[#All],[Désignation]],SMALL(IF((Tableau1[[#All],[Origine]]="vente")*(Tableau1[[#All],[matière]]=$G$1)*(Tableau1[[#All],[forme]]=$H$1)*(Tableau1[[#All],[taille]]=$I$1*1),ROW(Tableau1[[#All],[matière]])-1),ROWS($1:44))),"")</f>
        <v/>
      </c>
      <c r="F46" t="str">
        <f t="shared" si="4"/>
        <v/>
      </c>
      <c r="G46" t="str">
        <f t="shared" si="5"/>
        <v/>
      </c>
      <c r="H46" t="str">
        <f t="shared" si="6"/>
        <v/>
      </c>
      <c r="I46" t="str">
        <f>IFERROR(VLOOKUP($A46,'Base de données'!$A$3:$AA$114,MATCH('vente '!I$2,'Base de données'!$2:$2,0),0),"")</f>
        <v/>
      </c>
      <c r="J46" t="str">
        <f t="array" ref="J46">IFERROR(INDEX(Tableau1[[#All],[Qté livrée]],SMALL(IF((Tableau1[[#All],[Origine]]="vente")*(Tableau1[[#All],[matière]]=$G$1)*(Tableau1[[#All],[forme]]=$H$1)*(Tableau1[[#All],[taille]]=$I$1*1),ROW(Tableau1[[#All],[matière]])-1),ROWS($1:44))),"")</f>
        <v/>
      </c>
      <c r="K46" t="str">
        <f t="array" ref="K46">IFERROR(INDEX(Tableau1[[#All],[Poids net/ pièce]],SMALL(IF((Tableau1[[#All],[Origine]]="vente")*(Tableau1[[#All],[matière]]=$G$1)*(Tableau1[[#All],[forme]]=$H$1)*(Tableau1[[#All],[taille]]=$I$1*1),ROW(Tableau1[[#All],[matière]])-1),ROWS($1:44))),"")</f>
        <v/>
      </c>
      <c r="L46" t="str">
        <f t="array" ref="L46">IFERROR(INDEX(Tableau1[[#All],[Participat° dans la FB]],SMALL(IF((Tableau1[[#All],[Origine]]="vente")*(Tableau1[[#All],[matière]]=$G$1)*(Tableau1[[#All],[forme]]=$H$1)*(Tableau1[[#All],[taille]]=$I$1*1),ROW(Tableau1[[#All],[matière]])-1),ROWS($1:44))),"")</f>
        <v/>
      </c>
      <c r="M46" t="str">
        <f t="array" ref="M46">IFERROR(INDEX(Tableau1[[#All],[Poids brut/pièce]],SMALL(IF((Tableau1[[#All],[Origine]]="vente")*(Tableau1[[#All],[matière]]=$G$1)*(Tableau1[[#All],[forme]]=$H$1)*(Tableau1[[#All],[taille]]=$I$1*1),ROW(Tableau1[[#All],[matière]])-1),ROWS($1:44))),"")</f>
        <v/>
      </c>
      <c r="N46" t="str">
        <f t="shared" si="7"/>
        <v/>
      </c>
      <c r="O46" t="str">
        <f t="array" ref="O46">IFERROR(INDEX(Tableau1[[#All],[Poids copeaux/
pièce]],SMALL(IF((Tableau1[[#All],[Origine]]="vente")*(Tableau1[[#All],[matière]]=$G$1)*(Tableau1[[#All],[forme]]=$H$1)*(Tableau1[[#All],[taille]]=$I$1*1),ROW(Tableau1[[#All],[matière]])-1),ROWS($1:44))),"")</f>
        <v/>
      </c>
      <c r="P46" t="str">
        <f t="shared" si="8"/>
        <v/>
      </c>
      <c r="Q46" t="str">
        <f t="shared" si="9"/>
        <v/>
      </c>
      <c r="R46" t="str">
        <f t="shared" si="10"/>
        <v/>
      </c>
    </row>
    <row r="47" spans="1:18">
      <c r="A47" t="str">
        <f t="array" ref="A47">IFERROR(INDEX(Tableau1[[#All],[Facture N°]],SMALL(IF((Tableau1[[#All],[Origine]]="vente")*(Tableau1[[#All],[matière]]=$G$1)*(Tableau1[[#All],[forme]]=$H$1)*(Tableau1[[#All],[taille]]=$I$1*1),ROW(Tableau1[[#All],[matière]])-1),ROWS($1:45))),"")</f>
        <v/>
      </c>
      <c r="B47" t="str">
        <f t="array" ref="B47">IFERROR(INDEX(Tableau1[[#All],[N° déclarat° export]],SMALL(IF((Tableau1[[#All],[Origine]]="vente")*(Tableau1[[#All],[matière]]=$G$1)*(Tableau1[[#All],[forme]]=$H$1)*(Tableau1[[#All],[taille]]=$I$1*1),ROW(Tableau1[[#All],[matière]])-1),ROWS($1:45))),"")</f>
        <v/>
      </c>
      <c r="C47" s="45" t="str">
        <f t="array" ref="C47">IFERROR(INDEX(Tableau1[[#All],[Date déclarat° export]],SMALL(IF((Tableau1[[#All],[Origine]]="vente")*(Tableau1[[#All],[matière]]=$G$1)*(Tableau1[[#All],[forme]]=$H$1)*(Tableau1[[#All],[taille]]=$I$1*1),ROW(Tableau1[[#All],[matière]])-1),ROWS($1:45))),"")</f>
        <v/>
      </c>
      <c r="D47" t="str">
        <f t="array" ref="D47">IFERROR(INDEX(Tableau1[[#All],[Réf article]],SMALL(IF((Tableau1[[#All],[Origine]]="vente")*(Tableau1[[#All],[matière]]=$G$1)*(Tableau1[[#All],[forme]]=$H$1)*(Tableau1[[#All],[taille]]=$I$1*1),ROW(Tableau1[[#All],[matière]])-1),ROWS($1:45))),"")</f>
        <v/>
      </c>
      <c r="E47" t="str">
        <f t="array" ref="E47">IFERROR(INDEX(Tableau1[[#All],[Désignation]],SMALL(IF((Tableau1[[#All],[Origine]]="vente")*(Tableau1[[#All],[matière]]=$G$1)*(Tableau1[[#All],[forme]]=$H$1)*(Tableau1[[#All],[taille]]=$I$1*1),ROW(Tableau1[[#All],[matière]])-1),ROWS($1:45))),"")</f>
        <v/>
      </c>
      <c r="F47" t="str">
        <f t="shared" si="4"/>
        <v/>
      </c>
      <c r="G47" t="str">
        <f t="shared" si="5"/>
        <v/>
      </c>
      <c r="H47" t="str">
        <f t="shared" si="6"/>
        <v/>
      </c>
      <c r="I47" t="str">
        <f>IFERROR(VLOOKUP($A47,'Base de données'!$A$3:$AA$114,MATCH('vente '!I$2,'Base de données'!$2:$2,0),0),"")</f>
        <v/>
      </c>
      <c r="J47" t="str">
        <f t="array" ref="J47">IFERROR(INDEX(Tableau1[[#All],[Qté livrée]],SMALL(IF((Tableau1[[#All],[Origine]]="vente")*(Tableau1[[#All],[matière]]=$G$1)*(Tableau1[[#All],[forme]]=$H$1)*(Tableau1[[#All],[taille]]=$I$1*1),ROW(Tableau1[[#All],[matière]])-1),ROWS($1:45))),"")</f>
        <v/>
      </c>
      <c r="K47" t="str">
        <f t="array" ref="K47">IFERROR(INDEX(Tableau1[[#All],[Poids net/ pièce]],SMALL(IF((Tableau1[[#All],[Origine]]="vente")*(Tableau1[[#All],[matière]]=$G$1)*(Tableau1[[#All],[forme]]=$H$1)*(Tableau1[[#All],[taille]]=$I$1*1),ROW(Tableau1[[#All],[matière]])-1),ROWS($1:45))),"")</f>
        <v/>
      </c>
      <c r="L47" t="str">
        <f t="array" ref="L47">IFERROR(INDEX(Tableau1[[#All],[Participat° dans la FB]],SMALL(IF((Tableau1[[#All],[Origine]]="vente")*(Tableau1[[#All],[matière]]=$G$1)*(Tableau1[[#All],[forme]]=$H$1)*(Tableau1[[#All],[taille]]=$I$1*1),ROW(Tableau1[[#All],[matière]])-1),ROWS($1:45))),"")</f>
        <v/>
      </c>
      <c r="M47" t="str">
        <f t="array" ref="M47">IFERROR(INDEX(Tableau1[[#All],[Poids brut/pièce]],SMALL(IF((Tableau1[[#All],[Origine]]="vente")*(Tableau1[[#All],[matière]]=$G$1)*(Tableau1[[#All],[forme]]=$H$1)*(Tableau1[[#All],[taille]]=$I$1*1),ROW(Tableau1[[#All],[matière]])-1),ROWS($1:45))),"")</f>
        <v/>
      </c>
      <c r="N47" t="str">
        <f t="shared" si="7"/>
        <v/>
      </c>
      <c r="O47" t="str">
        <f t="array" ref="O47">IFERROR(INDEX(Tableau1[[#All],[Poids copeaux/
pièce]],SMALL(IF((Tableau1[[#All],[Origine]]="vente")*(Tableau1[[#All],[matière]]=$G$1)*(Tableau1[[#All],[forme]]=$H$1)*(Tableau1[[#All],[taille]]=$I$1*1),ROW(Tableau1[[#All],[matière]])-1),ROWS($1:45))),"")</f>
        <v/>
      </c>
      <c r="P47" t="str">
        <f t="shared" si="8"/>
        <v/>
      </c>
      <c r="Q47" t="str">
        <f t="shared" si="9"/>
        <v/>
      </c>
      <c r="R47" t="str">
        <f t="shared" si="10"/>
        <v/>
      </c>
    </row>
    <row r="48" spans="1:18">
      <c r="A48" t="str">
        <f t="array" ref="A48">IFERROR(INDEX(Tableau1[[#All],[Facture N°]],SMALL(IF((Tableau1[[#All],[Origine]]="vente")*(Tableau1[[#All],[matière]]=$G$1)*(Tableau1[[#All],[forme]]=$H$1)*(Tableau1[[#All],[taille]]=$I$1*1),ROW(Tableau1[[#All],[matière]])-1),ROWS($1:46))),"")</f>
        <v/>
      </c>
      <c r="B48" t="str">
        <f t="array" ref="B48">IFERROR(INDEX(Tableau1[[#All],[N° déclarat° export]],SMALL(IF((Tableau1[[#All],[Origine]]="vente")*(Tableau1[[#All],[matière]]=$G$1)*(Tableau1[[#All],[forme]]=$H$1)*(Tableau1[[#All],[taille]]=$I$1*1),ROW(Tableau1[[#All],[matière]])-1),ROWS($1:46))),"")</f>
        <v/>
      </c>
      <c r="C48" s="45" t="str">
        <f t="array" ref="C48">IFERROR(INDEX(Tableau1[[#All],[Date déclarat° export]],SMALL(IF((Tableau1[[#All],[Origine]]="vente")*(Tableau1[[#All],[matière]]=$G$1)*(Tableau1[[#All],[forme]]=$H$1)*(Tableau1[[#All],[taille]]=$I$1*1),ROW(Tableau1[[#All],[matière]])-1),ROWS($1:46))),"")</f>
        <v/>
      </c>
      <c r="D48" t="str">
        <f t="array" ref="D48">IFERROR(INDEX(Tableau1[[#All],[Réf article]],SMALL(IF((Tableau1[[#All],[Origine]]="vente")*(Tableau1[[#All],[matière]]=$G$1)*(Tableau1[[#All],[forme]]=$H$1)*(Tableau1[[#All],[taille]]=$I$1*1),ROW(Tableau1[[#All],[matière]])-1),ROWS($1:46))),"")</f>
        <v/>
      </c>
      <c r="E48" t="str">
        <f t="array" ref="E48">IFERROR(INDEX(Tableau1[[#All],[Désignation]],SMALL(IF((Tableau1[[#All],[Origine]]="vente")*(Tableau1[[#All],[matière]]=$G$1)*(Tableau1[[#All],[forme]]=$H$1)*(Tableau1[[#All],[taille]]=$I$1*1),ROW(Tableau1[[#All],[matière]])-1),ROWS($1:46))),"")</f>
        <v/>
      </c>
      <c r="F48" t="str">
        <f t="shared" si="4"/>
        <v/>
      </c>
      <c r="G48" t="str">
        <f t="shared" si="5"/>
        <v/>
      </c>
      <c r="H48" t="str">
        <f t="shared" si="6"/>
        <v/>
      </c>
      <c r="I48" t="str">
        <f>IFERROR(VLOOKUP($A48,'Base de données'!$A$3:$AA$114,MATCH('vente '!I$2,'Base de données'!$2:$2,0),0),"")</f>
        <v/>
      </c>
      <c r="J48" t="str">
        <f t="array" ref="J48">IFERROR(INDEX(Tableau1[[#All],[Qté livrée]],SMALL(IF((Tableau1[[#All],[Origine]]="vente")*(Tableau1[[#All],[matière]]=$G$1)*(Tableau1[[#All],[forme]]=$H$1)*(Tableau1[[#All],[taille]]=$I$1*1),ROW(Tableau1[[#All],[matière]])-1),ROWS($1:46))),"")</f>
        <v/>
      </c>
      <c r="K48" t="str">
        <f t="array" ref="K48">IFERROR(INDEX(Tableau1[[#All],[Poids net/ pièce]],SMALL(IF((Tableau1[[#All],[Origine]]="vente")*(Tableau1[[#All],[matière]]=$G$1)*(Tableau1[[#All],[forme]]=$H$1)*(Tableau1[[#All],[taille]]=$I$1*1),ROW(Tableau1[[#All],[matière]])-1),ROWS($1:46))),"")</f>
        <v/>
      </c>
      <c r="L48" t="str">
        <f t="array" ref="L48">IFERROR(INDEX(Tableau1[[#All],[Participat° dans la FB]],SMALL(IF((Tableau1[[#All],[Origine]]="vente")*(Tableau1[[#All],[matière]]=$G$1)*(Tableau1[[#All],[forme]]=$H$1)*(Tableau1[[#All],[taille]]=$I$1*1),ROW(Tableau1[[#All],[matière]])-1),ROWS($1:46))),"")</f>
        <v/>
      </c>
      <c r="M48" t="str">
        <f t="array" ref="M48">IFERROR(INDEX(Tableau1[[#All],[Poids brut/pièce]],SMALL(IF((Tableau1[[#All],[Origine]]="vente")*(Tableau1[[#All],[matière]]=$G$1)*(Tableau1[[#All],[forme]]=$H$1)*(Tableau1[[#All],[taille]]=$I$1*1),ROW(Tableau1[[#All],[matière]])-1),ROWS($1:46))),"")</f>
        <v/>
      </c>
      <c r="N48" t="str">
        <f t="shared" si="7"/>
        <v/>
      </c>
      <c r="O48" t="str">
        <f t="array" ref="O48">IFERROR(INDEX(Tableau1[[#All],[Poids copeaux/
pièce]],SMALL(IF((Tableau1[[#All],[Origine]]="vente")*(Tableau1[[#All],[matière]]=$G$1)*(Tableau1[[#All],[forme]]=$H$1)*(Tableau1[[#All],[taille]]=$I$1*1),ROW(Tableau1[[#All],[matière]])-1),ROWS($1:46))),"")</f>
        <v/>
      </c>
      <c r="P48" t="str">
        <f t="shared" si="8"/>
        <v/>
      </c>
      <c r="Q48" t="str">
        <f t="shared" si="9"/>
        <v/>
      </c>
      <c r="R48" t="str">
        <f t="shared" si="10"/>
        <v/>
      </c>
    </row>
    <row r="49" spans="1:18">
      <c r="A49" t="str">
        <f t="array" ref="A49">IFERROR(INDEX(Tableau1[[#All],[Facture N°]],SMALL(IF((Tableau1[[#All],[Origine]]="vente")*(Tableau1[[#All],[matière]]=$G$1)*(Tableau1[[#All],[forme]]=$H$1)*(Tableau1[[#All],[taille]]=$I$1*1),ROW(Tableau1[[#All],[matière]])-1),ROWS($1:47))),"")</f>
        <v/>
      </c>
      <c r="B49" t="str">
        <f t="array" ref="B49">IFERROR(INDEX(Tableau1[[#All],[N° déclarat° export]],SMALL(IF((Tableau1[[#All],[Origine]]="vente")*(Tableau1[[#All],[matière]]=$G$1)*(Tableau1[[#All],[forme]]=$H$1)*(Tableau1[[#All],[taille]]=$I$1*1),ROW(Tableau1[[#All],[matière]])-1),ROWS($1:47))),"")</f>
        <v/>
      </c>
      <c r="C49" s="45" t="str">
        <f t="array" ref="C49">IFERROR(INDEX(Tableau1[[#All],[Date déclarat° export]],SMALL(IF((Tableau1[[#All],[Origine]]="vente")*(Tableau1[[#All],[matière]]=$G$1)*(Tableau1[[#All],[forme]]=$H$1)*(Tableau1[[#All],[taille]]=$I$1*1),ROW(Tableau1[[#All],[matière]])-1),ROWS($1:47))),"")</f>
        <v/>
      </c>
      <c r="D49" t="str">
        <f t="array" ref="D49">IFERROR(INDEX(Tableau1[[#All],[Réf article]],SMALL(IF((Tableau1[[#All],[Origine]]="vente")*(Tableau1[[#All],[matière]]=$G$1)*(Tableau1[[#All],[forme]]=$H$1)*(Tableau1[[#All],[taille]]=$I$1*1),ROW(Tableau1[[#All],[matière]])-1),ROWS($1:47))),"")</f>
        <v/>
      </c>
      <c r="E49" t="str">
        <f t="array" ref="E49">IFERROR(INDEX(Tableau1[[#All],[Désignation]],SMALL(IF((Tableau1[[#All],[Origine]]="vente")*(Tableau1[[#All],[matière]]=$G$1)*(Tableau1[[#All],[forme]]=$H$1)*(Tableau1[[#All],[taille]]=$I$1*1),ROW(Tableau1[[#All],[matière]])-1),ROWS($1:47))),"")</f>
        <v/>
      </c>
      <c r="F49" t="str">
        <f t="shared" si="4"/>
        <v/>
      </c>
      <c r="G49" t="str">
        <f t="shared" si="5"/>
        <v/>
      </c>
      <c r="H49" t="str">
        <f t="shared" si="6"/>
        <v/>
      </c>
      <c r="I49" t="str">
        <f>IFERROR(VLOOKUP($A49,'Base de données'!$A$3:$AA$114,MATCH('vente '!I$2,'Base de données'!$2:$2,0),0),"")</f>
        <v/>
      </c>
      <c r="J49" t="str">
        <f t="array" ref="J49">IFERROR(INDEX(Tableau1[[#All],[Qté livrée]],SMALL(IF((Tableau1[[#All],[Origine]]="vente")*(Tableau1[[#All],[matière]]=$G$1)*(Tableau1[[#All],[forme]]=$H$1)*(Tableau1[[#All],[taille]]=$I$1*1),ROW(Tableau1[[#All],[matière]])-1),ROWS($1:47))),"")</f>
        <v/>
      </c>
      <c r="K49" t="str">
        <f t="array" ref="K49">IFERROR(INDEX(Tableau1[[#All],[Poids net/ pièce]],SMALL(IF((Tableau1[[#All],[Origine]]="vente")*(Tableau1[[#All],[matière]]=$G$1)*(Tableau1[[#All],[forme]]=$H$1)*(Tableau1[[#All],[taille]]=$I$1*1),ROW(Tableau1[[#All],[matière]])-1),ROWS($1:47))),"")</f>
        <v/>
      </c>
      <c r="L49" t="str">
        <f t="array" ref="L49">IFERROR(INDEX(Tableau1[[#All],[Participat° dans la FB]],SMALL(IF((Tableau1[[#All],[Origine]]="vente")*(Tableau1[[#All],[matière]]=$G$1)*(Tableau1[[#All],[forme]]=$H$1)*(Tableau1[[#All],[taille]]=$I$1*1),ROW(Tableau1[[#All],[matière]])-1),ROWS($1:47))),"")</f>
        <v/>
      </c>
      <c r="M49" t="str">
        <f t="array" ref="M49">IFERROR(INDEX(Tableau1[[#All],[Poids brut/pièce]],SMALL(IF((Tableau1[[#All],[Origine]]="vente")*(Tableau1[[#All],[matière]]=$G$1)*(Tableau1[[#All],[forme]]=$H$1)*(Tableau1[[#All],[taille]]=$I$1*1),ROW(Tableau1[[#All],[matière]])-1),ROWS($1:47))),"")</f>
        <v/>
      </c>
      <c r="N49" t="str">
        <f t="shared" si="7"/>
        <v/>
      </c>
      <c r="O49" t="str">
        <f t="array" ref="O49">IFERROR(INDEX(Tableau1[[#All],[Poids copeaux/
pièce]],SMALL(IF((Tableau1[[#All],[Origine]]="vente")*(Tableau1[[#All],[matière]]=$G$1)*(Tableau1[[#All],[forme]]=$H$1)*(Tableau1[[#All],[taille]]=$I$1*1),ROW(Tableau1[[#All],[matière]])-1),ROWS($1:47))),"")</f>
        <v/>
      </c>
      <c r="P49" t="str">
        <f t="shared" si="8"/>
        <v/>
      </c>
      <c r="Q49" t="str">
        <f t="shared" si="9"/>
        <v/>
      </c>
      <c r="R49" t="str">
        <f t="shared" si="10"/>
        <v/>
      </c>
    </row>
    <row r="50" spans="1:18">
      <c r="A50" t="str">
        <f t="array" ref="A50">IFERROR(INDEX(Tableau1[[#All],[Facture N°]],SMALL(IF((Tableau1[[#All],[Origine]]="vente")*(Tableau1[[#All],[matière]]=$G$1)*(Tableau1[[#All],[forme]]=$H$1)*(Tableau1[[#All],[taille]]=$I$1*1),ROW(Tableau1[[#All],[matière]])-1),ROWS($1:48))),"")</f>
        <v/>
      </c>
      <c r="B50" t="str">
        <f t="array" ref="B50">IFERROR(INDEX(Tableau1[[#All],[N° déclarat° export]],SMALL(IF((Tableau1[[#All],[Origine]]="vente")*(Tableau1[[#All],[matière]]=$G$1)*(Tableau1[[#All],[forme]]=$H$1)*(Tableau1[[#All],[taille]]=$I$1*1),ROW(Tableau1[[#All],[matière]])-1),ROWS($1:48))),"")</f>
        <v/>
      </c>
      <c r="C50" s="45" t="str">
        <f t="array" ref="C50">IFERROR(INDEX(Tableau1[[#All],[Date déclarat° export]],SMALL(IF((Tableau1[[#All],[Origine]]="vente")*(Tableau1[[#All],[matière]]=$G$1)*(Tableau1[[#All],[forme]]=$H$1)*(Tableau1[[#All],[taille]]=$I$1*1),ROW(Tableau1[[#All],[matière]])-1),ROWS($1:48))),"")</f>
        <v/>
      </c>
      <c r="D50" t="str">
        <f t="array" ref="D50">IFERROR(INDEX(Tableau1[[#All],[Réf article]],SMALL(IF((Tableau1[[#All],[Origine]]="vente")*(Tableau1[[#All],[matière]]=$G$1)*(Tableau1[[#All],[forme]]=$H$1)*(Tableau1[[#All],[taille]]=$I$1*1),ROW(Tableau1[[#All],[matière]])-1),ROWS($1:48))),"")</f>
        <v/>
      </c>
      <c r="E50" t="str">
        <f t="array" ref="E50">IFERROR(INDEX(Tableau1[[#All],[Désignation]],SMALL(IF((Tableau1[[#All],[Origine]]="vente")*(Tableau1[[#All],[matière]]=$G$1)*(Tableau1[[#All],[forme]]=$H$1)*(Tableau1[[#All],[taille]]=$I$1*1),ROW(Tableau1[[#All],[matière]])-1),ROWS($1:48))),"")</f>
        <v/>
      </c>
      <c r="F50" t="str">
        <f t="shared" si="4"/>
        <v/>
      </c>
      <c r="G50" t="str">
        <f t="shared" si="5"/>
        <v/>
      </c>
      <c r="H50" t="str">
        <f t="shared" si="6"/>
        <v/>
      </c>
      <c r="I50" t="str">
        <f>IFERROR(VLOOKUP($A50,'Base de données'!$A$3:$AA$114,MATCH('vente '!I$2,'Base de données'!$2:$2,0),0),"")</f>
        <v/>
      </c>
      <c r="J50" t="str">
        <f t="array" ref="J50">IFERROR(INDEX(Tableau1[[#All],[Qté livrée]],SMALL(IF((Tableau1[[#All],[Origine]]="vente")*(Tableau1[[#All],[matière]]=$G$1)*(Tableau1[[#All],[forme]]=$H$1)*(Tableau1[[#All],[taille]]=$I$1*1),ROW(Tableau1[[#All],[matière]])-1),ROWS($1:48))),"")</f>
        <v/>
      </c>
      <c r="K50" t="str">
        <f t="array" ref="K50">IFERROR(INDEX(Tableau1[[#All],[Poids net/ pièce]],SMALL(IF((Tableau1[[#All],[Origine]]="vente")*(Tableau1[[#All],[matière]]=$G$1)*(Tableau1[[#All],[forme]]=$H$1)*(Tableau1[[#All],[taille]]=$I$1*1),ROW(Tableau1[[#All],[matière]])-1),ROWS($1:48))),"")</f>
        <v/>
      </c>
      <c r="L50" t="str">
        <f t="array" ref="L50">IFERROR(INDEX(Tableau1[[#All],[Participat° dans la FB]],SMALL(IF((Tableau1[[#All],[Origine]]="vente")*(Tableau1[[#All],[matière]]=$G$1)*(Tableau1[[#All],[forme]]=$H$1)*(Tableau1[[#All],[taille]]=$I$1*1),ROW(Tableau1[[#All],[matière]])-1),ROWS($1:48))),"")</f>
        <v/>
      </c>
      <c r="M50" t="str">
        <f t="array" ref="M50">IFERROR(INDEX(Tableau1[[#All],[Poids brut/pièce]],SMALL(IF((Tableau1[[#All],[Origine]]="vente")*(Tableau1[[#All],[matière]]=$G$1)*(Tableau1[[#All],[forme]]=$H$1)*(Tableau1[[#All],[taille]]=$I$1*1),ROW(Tableau1[[#All],[matière]])-1),ROWS($1:48))),"")</f>
        <v/>
      </c>
      <c r="N50" t="str">
        <f t="shared" si="7"/>
        <v/>
      </c>
      <c r="O50" t="str">
        <f t="array" ref="O50">IFERROR(INDEX(Tableau1[[#All],[Poids copeaux/
pièce]],SMALL(IF((Tableau1[[#All],[Origine]]="vente")*(Tableau1[[#All],[matière]]=$G$1)*(Tableau1[[#All],[forme]]=$H$1)*(Tableau1[[#All],[taille]]=$I$1*1),ROW(Tableau1[[#All],[matière]])-1),ROWS($1:48))),"")</f>
        <v/>
      </c>
      <c r="P50" t="str">
        <f t="shared" si="8"/>
        <v/>
      </c>
      <c r="Q50" t="str">
        <f t="shared" si="9"/>
        <v/>
      </c>
      <c r="R50" t="str">
        <f t="shared" si="10"/>
        <v/>
      </c>
    </row>
    <row r="51" spans="1:18">
      <c r="A51" t="str">
        <f t="array" ref="A51">IFERROR(INDEX('Base de données'!$A$2:$A$114,SMALL(IF((('Base de données'!$B$2:$B$114="vente"))*('Base de données'!$H$2:$H$114=$G$1)*('Base de données'!$I$2:$I$114=$H$1)*('Base de données'!$J$2:$J$114=$I$1*1),ROW('Base de données'!$H$2:$H$114)-1),ROWS($1:27))),"")</f>
        <v/>
      </c>
    </row>
    <row r="52" spans="1:18">
      <c r="A52" t="str">
        <f t="array" ref="A52">IFERROR(INDEX('Base de données'!$A$2:$A$114,SMALL(IF((('Base de données'!$B$2:$B$114="vente"))*('Base de données'!$H$2:$H$114=$G$1)*('Base de données'!$I$2:$I$114=$H$1)*('Base de données'!$J$2:$J$114=$I$1*1),ROW('Base de données'!$H$2:$H$114)-1),ROWS($1:28))),"")</f>
        <v/>
      </c>
    </row>
    <row r="53" spans="1:18">
      <c r="A53" t="str">
        <f t="array" ref="A53">IFERROR(INDEX('Base de données'!$A$2:$A$114,SMALL(IF((('Base de données'!$B$2:$B$114="vente"))*('Base de données'!$H$2:$H$114=$G$1)*('Base de données'!$I$2:$I$114=$H$1)*('Base de données'!$J$2:$J$114=$I$1*1),ROW('Base de données'!$H$2:$H$114)-1),ROWS($1:29))),"")</f>
        <v/>
      </c>
    </row>
    <row r="54" spans="1:18">
      <c r="A54" t="str">
        <f t="array" ref="A54">IFERROR(INDEX('Base de données'!$A$2:$A$114,SMALL(IF((('Base de données'!$B$2:$B$114="vente"))*('Base de données'!$H$2:$H$114=$G$1)*('Base de données'!$I$2:$I$114=$H$1)*('Base de données'!$J$2:$J$114=$I$1*1),ROW('Base de données'!$H$2:$H$114)-1),ROWS($1:30))),"")</f>
        <v/>
      </c>
    </row>
    <row r="55" spans="1:18">
      <c r="A55" t="str">
        <f t="array" ref="A55">IFERROR(INDEX('Base de données'!$A$2:$A$114,SMALL(IF((('Base de données'!$B$2:$B$114="vente"))*('Base de données'!$H$2:$H$114=$G$1)*('Base de données'!$I$2:$I$114=$H$1)*('Base de données'!$J$2:$J$114=$I$1*1),ROW('Base de données'!$H$2:$H$114)-1),ROWS($1:31))),"")</f>
        <v/>
      </c>
    </row>
    <row r="56" spans="1:18">
      <c r="A56" t="str">
        <f t="array" ref="A56">IFERROR(INDEX('Base de données'!$A$2:$A$114,SMALL(IF((('Base de données'!$B$2:$B$114="vente"))*('Base de données'!$H$2:$H$114=$G$1)*('Base de données'!$I$2:$I$114=$H$1)*('Base de données'!$J$2:$J$114=$I$1*1),ROW('Base de données'!$H$2:$H$114)-1),ROWS($1:32))),"")</f>
        <v/>
      </c>
    </row>
    <row r="57" spans="1:18">
      <c r="A57" t="str">
        <f t="array" ref="A57">IFERROR(INDEX('Base de données'!$A$2:$A$114,SMALL(IF((('Base de données'!$B$2:$B$114="vente"))*('Base de données'!$H$2:$H$114=$G$1)*('Base de données'!$I$2:$I$114=$H$1)*('Base de données'!$J$2:$J$114=$I$1*1),ROW('Base de données'!$H$2:$H$114)-1),ROWS($1:33))),"")</f>
        <v/>
      </c>
    </row>
    <row r="58" spans="1:18">
      <c r="A58" t="str">
        <f t="array" ref="A58">IFERROR(INDEX('Base de données'!$A$2:$A$114,SMALL(IF((('Base de données'!$B$2:$B$114="vente"))*('Base de données'!$H$2:$H$114=$G$1)*('Base de données'!$I$2:$I$114=$H$1)*('Base de données'!$J$2:$J$114=$I$1*1),ROW('Base de données'!$H$2:$H$114)-1),ROWS($1:34))),"")</f>
        <v/>
      </c>
    </row>
    <row r="59" spans="1:18">
      <c r="A59" t="str">
        <f t="array" ref="A59">IFERROR(INDEX('Base de données'!$A$2:$A$114,SMALL(IF((('Base de données'!$B$2:$B$114="vente"))*('Base de données'!$H$2:$H$114=$G$1)*('Base de données'!$I$2:$I$114=$H$1)*('Base de données'!$J$2:$J$114=$I$1*1),ROW('Base de données'!$H$2:$H$114)-1),ROWS($1:35))),"")</f>
        <v/>
      </c>
    </row>
    <row r="60" spans="1:18">
      <c r="A60" t="str">
        <f t="array" ref="A60">IFERROR(INDEX('Base de données'!$A$2:$A$114,SMALL(IF((('Base de données'!$B$2:$B$114="vente"))*('Base de données'!$H$2:$H$114=$G$1)*('Base de données'!$I$2:$I$114=$H$1)*('Base de données'!$J$2:$J$114=$I$1*1),ROW('Base de données'!$H$2:$H$114)-1),ROWS($1:36))),"")</f>
        <v/>
      </c>
    </row>
    <row r="61" spans="1:18">
      <c r="A61" t="str">
        <f t="array" ref="A61">IFERROR(INDEX('Base de données'!$A$2:$A$114,SMALL(IF((('Base de données'!$B$2:$B$114="vente"))*('Base de données'!$H$2:$H$114=$G$1)*('Base de données'!$I$2:$I$114=$H$1)*('Base de données'!$J$2:$J$114=$I$1*1),ROW('Base de données'!$H$2:$H$114)-1),ROWS($1:37))),"")</f>
        <v/>
      </c>
    </row>
    <row r="62" spans="1:18">
      <c r="A62" t="str">
        <f t="array" ref="A62">IFERROR(INDEX('Base de données'!$A$2:$A$114,SMALL(IF((('Base de données'!$B$2:$B$114="vente"))*('Base de données'!$H$2:$H$114=$G$1)*('Base de données'!$I$2:$I$114=$H$1)*('Base de données'!$J$2:$J$114=$I$1*1),ROW('Base de données'!$H$2:$H$114)-1),ROWS($1:38))),"")</f>
        <v/>
      </c>
    </row>
    <row r="63" spans="1:18">
      <c r="A63" t="str">
        <f t="array" ref="A63">IFERROR(INDEX('Base de données'!$A$2:$A$114,SMALL(IF((('Base de données'!$B$2:$B$114="vente"))*('Base de données'!$H$2:$H$114=$G$1)*('Base de données'!$I$2:$I$114=$H$1)*('Base de données'!$J$2:$J$114=$I$1*1),ROW('Base de données'!$H$2:$H$114)-1),ROWS($1:39))),"")</f>
        <v/>
      </c>
    </row>
    <row r="64" spans="1:18">
      <c r="A64" t="str">
        <f t="array" ref="A64">IFERROR(INDEX('Base de données'!$A$2:$A$114,SMALL(IF((('Base de données'!$B$2:$B$114="vente"))*('Base de données'!$H$2:$H$114=$G$1)*('Base de données'!$I$2:$I$114=$H$1)*('Base de données'!$J$2:$J$114=$I$1*1),ROW('Base de données'!$H$2:$H$114)-1),ROWS($1:40))),"")</f>
        <v/>
      </c>
    </row>
    <row r="65" spans="1:1">
      <c r="A65" t="str">
        <f t="array" ref="A65">IFERROR(INDEX('Base de données'!$A$2:$A$114,SMALL(IF((('Base de données'!$B$2:$B$114="vente"))*('Base de données'!$H$2:$H$114=$G$1)*('Base de données'!$I$2:$I$114=$H$1)*('Base de données'!$J$2:$J$114=$I$1*1),ROW('Base de données'!$H$2:$H$114)-1),ROWS($1:41))),"")</f>
        <v/>
      </c>
    </row>
    <row r="66" spans="1:1">
      <c r="A66" t="str">
        <f t="array" ref="A66">IFERROR(INDEX('Base de données'!$A$2:$A$114,SMALL(IF((('Base de données'!$B$2:$B$114="vente"))*('Base de données'!$H$2:$H$114=$G$1)*('Base de données'!$I$2:$I$114=$H$1)*('Base de données'!$J$2:$J$114=$I$1*1),ROW('Base de données'!$H$2:$H$114)-1),ROWS($1:42))),"")</f>
        <v/>
      </c>
    </row>
    <row r="67" spans="1:1">
      <c r="A67" t="str">
        <f t="array" ref="A67">IFERROR(INDEX('Base de données'!$A$2:$A$114,SMALL(IF((('Base de données'!$B$2:$B$114="vente"))*('Base de données'!$H$2:$H$114=$G$1)*('Base de données'!$I$2:$I$114=$H$1)*('Base de données'!$J$2:$J$114=$I$1*1),ROW('Base de données'!$H$2:$H$114)-1),ROWS($1:43))),"")</f>
        <v/>
      </c>
    </row>
    <row r="68" spans="1:1">
      <c r="A68" t="str">
        <f t="array" ref="A68">IFERROR(INDEX('Base de données'!$A$2:$A$114,SMALL(IF((('Base de données'!$B$2:$B$114="vente"))*('Base de données'!$H$2:$H$114=$G$1)*('Base de données'!$I$2:$I$114=$H$1)*('Base de données'!$J$2:$J$114=$I$1*1),ROW('Base de données'!$H$2:$H$114)-1),ROWS($1:44))),"")</f>
        <v/>
      </c>
    </row>
    <row r="69" spans="1:1">
      <c r="A69" t="str">
        <f t="array" ref="A69">IFERROR(INDEX('Base de données'!$A$2:$A$114,SMALL(IF((('Base de données'!$B$2:$B$114="vente"))*('Base de données'!$H$2:$H$114=$G$1)*('Base de données'!$I$2:$I$114=$H$1)*('Base de données'!$J$2:$J$114=$I$1*1),ROW('Base de données'!$H$2:$H$114)-1),ROWS($1:45))),"")</f>
        <v/>
      </c>
    </row>
    <row r="70" spans="1:1">
      <c r="A70" t="str">
        <f t="array" ref="A70">IFERROR(INDEX('Base de données'!$A$2:$A$114,SMALL(IF((('Base de données'!$B$2:$B$114="vente"))*('Base de données'!$H$2:$H$114=$G$1)*('Base de données'!$I$2:$I$114=$H$1)*('Base de données'!$J$2:$J$114=$I$1*1),ROW('Base de données'!$H$2:$H$114)-1),ROWS($1:46))),"")</f>
        <v/>
      </c>
    </row>
    <row r="71" spans="1:1">
      <c r="A71" t="str">
        <f t="array" ref="A71">IFERROR(INDEX('Base de données'!$A$2:$A$114,SMALL(IF((('Base de données'!$B$2:$B$114="vente"))*('Base de données'!$H$2:$H$114=$G$1)*('Base de données'!$I$2:$I$114=$H$1)*('Base de données'!$J$2:$J$114=$I$1*1),ROW('Base de données'!$H$2:$H$114)-1),ROWS($1:47))),"")</f>
        <v/>
      </c>
    </row>
    <row r="72" spans="1:1">
      <c r="A72" t="str">
        <f t="array" ref="A72">IFERROR(INDEX('Base de données'!$A$2:$A$114,SMALL(IF((('Base de données'!$B$2:$B$114="vente"))*('Base de données'!$H$2:$H$114=$G$1)*('Base de données'!$I$2:$I$114=$H$1)*('Base de données'!$J$2:$J$114=$I$1*1),ROW('Base de données'!$H$2:$H$114)-1),ROWS($1:48))),"")</f>
        <v/>
      </c>
    </row>
    <row r="73" spans="1:1">
      <c r="A73" t="str">
        <f t="array" ref="A73">IFERROR(INDEX('Base de données'!$A$2:$A$114,SMALL(IF((('Base de données'!$B$2:$B$114="vente"))*('Base de données'!$H$2:$H$114=$G$1)*('Base de données'!$I$2:$I$114=$H$1)*('Base de données'!$J$2:$J$114=$I$1*1),ROW('Base de données'!$H$2:$H$114)-1),ROWS($1:49))),"")</f>
        <v/>
      </c>
    </row>
    <row r="74" spans="1:1">
      <c r="A74" t="str">
        <f t="array" ref="A74">IFERROR(INDEX('Base de données'!$A$2:$A$114,SMALL(IF((('Base de données'!$B$2:$B$114="vente"))*('Base de données'!$H$2:$H$114=$G$1)*('Base de données'!$I$2:$I$114=$H$1)*('Base de données'!$J$2:$J$114=$I$1*1),ROW('Base de données'!$H$2:$H$114)-1),ROWS($1:50))),"")</f>
        <v/>
      </c>
    </row>
    <row r="75" spans="1:1">
      <c r="A75" t="str">
        <f t="array" ref="A75">IFERROR(INDEX('Base de données'!$A$2:$A$114,SMALL(IF((('Base de données'!$B$2:$B$114="vente"))*('Base de données'!$H$2:$H$114=$G$1)*('Base de données'!$I$2:$I$114=$H$1)*('Base de données'!$J$2:$J$114=$I$1*1),ROW('Base de données'!$H$2:$H$114)-1),ROWS($1:51))),"")</f>
        <v/>
      </c>
    </row>
    <row r="76" spans="1:1">
      <c r="A76" t="str">
        <f t="array" ref="A76">IFERROR(INDEX('Base de données'!$A$2:$A$114,SMALL(IF((('Base de données'!$B$2:$B$114="vente"))*('Base de données'!$H$2:$H$114=$G$1)*('Base de données'!$I$2:$I$114=$H$1)*('Base de données'!$J$2:$J$114=$I$1*1),ROW('Base de données'!$H$2:$H$114)-1),ROWS($1:52))),"")</f>
        <v/>
      </c>
    </row>
    <row r="77" spans="1:1">
      <c r="A77" t="str">
        <f t="array" ref="A77">IFERROR(INDEX('Base de données'!$A$2:$A$114,SMALL(IF((('Base de données'!$B$2:$B$114="vente"))*('Base de données'!$H$2:$H$114=$G$1)*('Base de données'!$I$2:$I$114=$H$1)*('Base de données'!$J$2:$J$114=$I$1*1),ROW('Base de données'!$H$2:$H$114)-1),ROWS($1:53))),"")</f>
        <v/>
      </c>
    </row>
    <row r="78" spans="1:1">
      <c r="A78" t="str">
        <f t="array" ref="A78">IFERROR(INDEX('Base de données'!$A$2:$A$114,SMALL(IF((('Base de données'!$B$2:$B$114="vente"))*('Base de données'!$H$2:$H$114=$G$1)*('Base de données'!$I$2:$I$114=$H$1)*('Base de données'!$J$2:$J$114=$I$1*1),ROW('Base de données'!$H$2:$H$114)-1),ROWS($1:54))),"")</f>
        <v/>
      </c>
    </row>
    <row r="79" spans="1:1">
      <c r="A79" t="str">
        <f t="array" ref="A79">IFERROR(INDEX('Base de données'!$A$2:$A$114,SMALL(IF((('Base de données'!$B$2:$B$114="vente"))*('Base de données'!$H$2:$H$114=$G$1)*('Base de données'!$I$2:$I$114=$H$1)*('Base de données'!$J$2:$J$114=$I$1*1),ROW('Base de données'!$H$2:$H$114)-1),ROWS($1:55))),"")</f>
        <v/>
      </c>
    </row>
    <row r="80" spans="1:1">
      <c r="A80" t="str">
        <f t="array" ref="A80">IFERROR(INDEX('Base de données'!$A$2:$A$114,SMALL(IF((('Base de données'!$B$2:$B$114="vente"))*('Base de données'!$H$2:$H$114=$G$1)*('Base de données'!$I$2:$I$114=$H$1)*('Base de données'!$J$2:$J$114=$I$1*1),ROW('Base de données'!$H$2:$H$114)-1),ROWS($1:56))),"")</f>
        <v/>
      </c>
    </row>
    <row r="81" spans="1:1">
      <c r="A81" t="str">
        <f t="array" ref="A81">IFERROR(INDEX('Base de données'!$A$2:$A$114,SMALL(IF((('Base de données'!$B$2:$B$114="vente"))*('Base de données'!$H$2:$H$114=$G$1)*('Base de données'!$I$2:$I$114=$H$1)*('Base de données'!$J$2:$J$114=$I$1*1),ROW('Base de données'!$H$2:$H$114)-1),ROWS($1:57))),"")</f>
        <v/>
      </c>
    </row>
    <row r="82" spans="1:1">
      <c r="A82" t="str">
        <f t="array" ref="A82">IFERROR(INDEX('Base de données'!$A$2:$A$114,SMALL(IF((('Base de données'!$B$2:$B$114="vente"))*('Base de données'!$H$2:$H$114=$G$1)*('Base de données'!$I$2:$I$114=$H$1)*('Base de données'!$J$2:$J$114=$I$1*1),ROW('Base de données'!$H$2:$H$114)-1),ROWS($1:58))),"")</f>
        <v/>
      </c>
    </row>
    <row r="83" spans="1:1">
      <c r="A83" t="str">
        <f t="array" ref="A83">IFERROR(INDEX('Base de données'!$A$2:$A$114,SMALL(IF((('Base de données'!$B$2:$B$114="vente"))*('Base de données'!$H$2:$H$114=$G$1)*('Base de données'!$I$2:$I$114=$H$1)*('Base de données'!$J$2:$J$114=$I$1*1),ROW('Base de données'!$H$2:$H$114)-1),ROWS($1:59))),"")</f>
        <v/>
      </c>
    </row>
    <row r="84" spans="1:1">
      <c r="A84" t="str">
        <f t="array" ref="A84">IFERROR(INDEX('Base de données'!$A$2:$A$114,SMALL(IF((('Base de données'!$B$2:$B$114="vente"))*('Base de données'!$H$2:$H$114=$G$1)*('Base de données'!$I$2:$I$114=$H$1)*('Base de données'!$J$2:$J$114=$I$1*1),ROW('Base de données'!$H$2:$H$114)-1),ROWS($1:60))),"")</f>
        <v/>
      </c>
    </row>
    <row r="85" spans="1:1">
      <c r="A85" t="str">
        <f t="array" ref="A85">IFERROR(INDEX('Base de données'!$A$2:$A$114,SMALL(IF((('Base de données'!$B$2:$B$114="vente"))*('Base de données'!$H$2:$H$114=$G$1)*('Base de données'!$I$2:$I$114=$H$1)*('Base de données'!$J$2:$J$114=$I$1*1),ROW('Base de données'!$H$2:$H$114)-1),ROWS($1:61))),"")</f>
        <v/>
      </c>
    </row>
    <row r="86" spans="1:1">
      <c r="A86" t="str">
        <f t="array" ref="A86">IFERROR(INDEX('Base de données'!$A$2:$A$114,SMALL(IF((('Base de données'!$B$2:$B$114="vente"))*('Base de données'!$H$2:$H$114=$G$1)*('Base de données'!$I$2:$I$114=$H$1)*('Base de données'!$J$2:$J$114=$I$1*1),ROW('Base de données'!$H$2:$H$114)-1),ROWS($1:62))),"")</f>
        <v/>
      </c>
    </row>
    <row r="87" spans="1:1">
      <c r="A87" t="str">
        <f t="array" ref="A87">IFERROR(INDEX('Base de données'!$A$2:$A$114,SMALL(IF((('Base de données'!$B$2:$B$114="vente"))*('Base de données'!$H$2:$H$114=$G$1)*('Base de données'!$I$2:$I$114=$H$1)*('Base de données'!$J$2:$J$114=$I$1*1),ROW('Base de données'!$H$2:$H$114)-1),ROWS($1:63))),"")</f>
        <v/>
      </c>
    </row>
    <row r="88" spans="1:1">
      <c r="A88" t="str">
        <f t="array" ref="A88">IFERROR(INDEX('Base de données'!$A$2:$A$114,SMALL(IF((('Base de données'!$B$2:$B$114="vente"))*('Base de données'!$H$2:$H$114=$G$1)*('Base de données'!$I$2:$I$114=$H$1)*('Base de données'!$J$2:$J$114=$I$1*1),ROW('Base de données'!$H$2:$H$114)-1),ROWS($1:64))),"")</f>
        <v/>
      </c>
    </row>
    <row r="89" spans="1:1">
      <c r="A89" t="str">
        <f t="array" ref="A89">IFERROR(INDEX('Base de données'!$A$2:$A$114,SMALL(IF((('Base de données'!$B$2:$B$114="vente"))*('Base de données'!$H$2:$H$114=$G$1)*('Base de données'!$I$2:$I$114=$H$1)*('Base de données'!$J$2:$J$114=$I$1*1),ROW('Base de données'!$H$2:$H$114)-1),ROWS($1:65))),"")</f>
        <v/>
      </c>
    </row>
    <row r="90" spans="1:1">
      <c r="A90" t="str">
        <f t="array" ref="A90">IFERROR(INDEX('Base de données'!$A$2:$A$114,SMALL(IF((('Base de données'!$B$2:$B$114="vente"))*('Base de données'!$H$2:$H$114=$G$1)*('Base de données'!$I$2:$I$114=$H$1)*('Base de données'!$J$2:$J$114=$I$1*1),ROW('Base de données'!$H$2:$H$114)-1),ROWS($1:66))),"")</f>
        <v/>
      </c>
    </row>
    <row r="91" spans="1:1">
      <c r="A91" t="str">
        <f t="array" ref="A91">IFERROR(INDEX('Base de données'!$A$2:$A$114,SMALL(IF((('Base de données'!$B$2:$B$114="vente"))*('Base de données'!$H$2:$H$114=$G$1)*('Base de données'!$I$2:$I$114=$H$1)*('Base de données'!$J$2:$J$114=$I$1*1),ROW('Base de données'!$H$2:$H$114)-1),ROWS($1:67))),"")</f>
        <v/>
      </c>
    </row>
    <row r="92" spans="1:1">
      <c r="A92" t="str">
        <f t="array" ref="A92">IFERROR(INDEX('Base de données'!$A$2:$A$114,SMALL(IF((('Base de données'!$B$2:$B$114="vente"))*('Base de données'!$H$2:$H$114=$G$1)*('Base de données'!$I$2:$I$114=$H$1)*('Base de données'!$J$2:$J$114=$I$1*1),ROW('Base de données'!$H$2:$H$114)-1),ROWS($1:68))),"")</f>
        <v/>
      </c>
    </row>
    <row r="93" spans="1:1">
      <c r="A93" t="str">
        <f t="array" ref="A93">IFERROR(INDEX('Base de données'!$A$2:$A$114,SMALL(IF((('Base de données'!$B$2:$B$114="vente"))*('Base de données'!$H$2:$H$114=$G$1)*('Base de données'!$I$2:$I$114=$H$1)*('Base de données'!$J$2:$J$114=$I$1*1),ROW('Base de données'!$H$2:$H$114)-1),ROWS($1:69))),"")</f>
        <v/>
      </c>
    </row>
    <row r="94" spans="1:1">
      <c r="A94" t="str">
        <f t="array" ref="A94">IFERROR(INDEX('Base de données'!$A$2:$A$114,SMALL(IF((('Base de données'!$B$2:$B$114="vente"))*('Base de données'!$H$2:$H$114=$G$1)*('Base de données'!$I$2:$I$114=$H$1)*('Base de données'!$J$2:$J$114=$I$1*1),ROW('Base de données'!$H$2:$H$114)-1),ROWS($1:70))),"")</f>
        <v/>
      </c>
    </row>
    <row r="95" spans="1:1">
      <c r="A95" t="str">
        <f t="array" ref="A95">IFERROR(INDEX('Base de données'!$A$2:$A$114,SMALL(IF((('Base de données'!$B$2:$B$114="vente"))*('Base de données'!$H$2:$H$114=$G$1)*('Base de données'!$I$2:$I$114=$H$1)*('Base de données'!$J$2:$J$114=$I$1*1),ROW('Base de données'!$H$2:$H$114)-1),ROWS($1:71))),"")</f>
        <v/>
      </c>
    </row>
    <row r="96" spans="1:1">
      <c r="A96" t="str">
        <f t="array" ref="A96">IFERROR(INDEX('Base de données'!$A$2:$A$114,SMALL(IF((('Base de données'!$B$2:$B$114="vente"))*('Base de données'!$H$2:$H$114=$G$1)*('Base de données'!$I$2:$I$114=$H$1)*('Base de données'!$J$2:$J$114=$I$1*1),ROW('Base de données'!$H$2:$H$114)-1),ROWS($1:72))),"")</f>
        <v/>
      </c>
    </row>
    <row r="97" spans="1:1">
      <c r="A97" t="str">
        <f t="array" ref="A97">IFERROR(INDEX('Base de données'!$A$2:$A$114,SMALL(IF((('Base de données'!$B$2:$B$114="vente"))*('Base de données'!$H$2:$H$114=$G$1)*('Base de données'!$I$2:$I$114=$H$1)*('Base de données'!$J$2:$J$114=$I$1*1),ROW('Base de données'!$H$2:$H$114)-1),ROWS($1:73))),"")</f>
        <v/>
      </c>
    </row>
  </sheetData>
  <dataValidations count="3">
    <dataValidation type="list" allowBlank="1" showInputMessage="1" showErrorMessage="1" sqref="H1" xr:uid="{76A99620-21A4-4E57-8CD1-E55AD14F18EB}">
      <formula1>formes</formula1>
    </dataValidation>
    <dataValidation type="list" allowBlank="1" showInputMessage="1" showErrorMessage="1" sqref="I1" xr:uid="{7278F4C8-0575-4403-887B-49C8B47C0E74}">
      <formula1>Dia</formula1>
    </dataValidation>
    <dataValidation type="list" allowBlank="1" showInputMessage="1" showErrorMessage="1" sqref="G1" xr:uid="{CC66C2D2-4F9F-4309-8874-C453E38AEAD6}">
      <formula1>matière</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EEF54-70A7-4E6A-AC33-7D090E1B2A68}">
  <dimension ref="A1:C22"/>
  <sheetViews>
    <sheetView workbookViewId="0">
      <selection activeCell="D10" sqref="D10"/>
    </sheetView>
  </sheetViews>
  <sheetFormatPr defaultColWidth="11.42578125" defaultRowHeight="15"/>
  <sheetData>
    <row r="1" spans="1:3">
      <c r="A1" t="s">
        <v>83</v>
      </c>
      <c r="B1" t="s">
        <v>84</v>
      </c>
      <c r="C1" t="s">
        <v>7</v>
      </c>
    </row>
    <row r="2" spans="1:3">
      <c r="A2" t="s">
        <v>45</v>
      </c>
      <c r="B2" s="54">
        <v>4</v>
      </c>
      <c r="C2" t="s">
        <v>43</v>
      </c>
    </row>
    <row r="3" spans="1:3">
      <c r="A3" t="s">
        <v>85</v>
      </c>
      <c r="B3" s="54">
        <v>5</v>
      </c>
      <c r="C3" t="s">
        <v>86</v>
      </c>
    </row>
    <row r="4" spans="1:3">
      <c r="A4" t="s">
        <v>87</v>
      </c>
      <c r="B4" s="54">
        <v>6</v>
      </c>
      <c r="C4" t="s">
        <v>88</v>
      </c>
    </row>
    <row r="5" spans="1:3">
      <c r="A5" t="s">
        <v>89</v>
      </c>
      <c r="B5" s="54">
        <v>7</v>
      </c>
    </row>
    <row r="6" spans="1:3">
      <c r="B6" s="55">
        <v>8</v>
      </c>
    </row>
    <row r="7" spans="1:3">
      <c r="B7" s="54">
        <v>9</v>
      </c>
    </row>
    <row r="8" spans="1:3">
      <c r="B8" s="54">
        <v>10</v>
      </c>
    </row>
    <row r="9" spans="1:3">
      <c r="B9" s="54">
        <v>10.5</v>
      </c>
    </row>
    <row r="10" spans="1:3">
      <c r="B10" s="54">
        <v>11</v>
      </c>
    </row>
    <row r="11" spans="1:3">
      <c r="B11" s="54">
        <v>12</v>
      </c>
    </row>
    <row r="12" spans="1:3">
      <c r="B12" s="54">
        <v>13</v>
      </c>
    </row>
    <row r="13" spans="1:3">
      <c r="B13" s="54">
        <v>14</v>
      </c>
    </row>
    <row r="14" spans="1:3">
      <c r="B14" s="54">
        <v>15</v>
      </c>
    </row>
    <row r="15" spans="1:3">
      <c r="B15" s="54">
        <v>17</v>
      </c>
    </row>
    <row r="16" spans="1:3">
      <c r="B16" s="56">
        <v>18</v>
      </c>
    </row>
    <row r="17" spans="2:2">
      <c r="B17" s="54">
        <v>19</v>
      </c>
    </row>
    <row r="18" spans="2:2">
      <c r="B18" s="54">
        <v>22</v>
      </c>
    </row>
    <row r="19" spans="2:2">
      <c r="B19" s="54">
        <v>23</v>
      </c>
    </row>
    <row r="20" spans="2:2">
      <c r="B20" s="54">
        <v>24</v>
      </c>
    </row>
    <row r="21" spans="2:2">
      <c r="B21" s="54">
        <v>27</v>
      </c>
    </row>
    <row r="22" spans="2:2">
      <c r="B22" s="57" t="s">
        <v>40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Safa Charfi</cp:lastModifiedBy>
  <cp:revision/>
  <dcterms:created xsi:type="dcterms:W3CDTF">2020-01-14T19:39:29Z</dcterms:created>
  <dcterms:modified xsi:type="dcterms:W3CDTF">2020-02-27T11:24:35Z</dcterms:modified>
  <cp:category/>
  <cp:contentStatus/>
</cp:coreProperties>
</file>