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/>
  <mc:AlternateContent xmlns:mc="http://schemas.openxmlformats.org/markup-compatibility/2006">
    <mc:Choice Requires="x15">
      <x15ac:absPath xmlns:x15ac="http://schemas.microsoft.com/office/spreadsheetml/2010/11/ac" url="W:\Gilles\CEPAGES ET CLONES\GREFFONS\PREPARATION CAMPAGNE GREFFONS\Greffons 2019-2020\"/>
    </mc:Choice>
  </mc:AlternateContent>
  <xr:revisionPtr revIDLastSave="0" documentId="13_ncr:1_{68739EC1-ED94-455F-BAFE-BB8FFC5E560C}" xr6:coauthVersionLast="45" xr6:coauthVersionMax="45" xr10:uidLastSave="{00000000-0000-0000-0000-000000000000}"/>
  <bookViews>
    <workbookView xWindow="-108" yWindow="-108" windowWidth="23256" windowHeight="14040" tabRatio="709" firstSheet="2" activeTab="5" xr2:uid="{00000000-000D-0000-FFFF-FFFF00000000}"/>
  </bookViews>
  <sheets>
    <sheet name="contacts 14" sheetId="6" state="hidden" r:id="rId1"/>
    <sheet name="Temps de travail 14" sheetId="2" state="hidden" r:id="rId2"/>
    <sheet name="contacts" sheetId="8" r:id="rId3"/>
    <sheet name="Prévisionnel 9" sheetId="14" r:id="rId4"/>
    <sheet name="Prévisionnel 10" sheetId="13" r:id="rId5"/>
    <sheet name="Prévisionnel 11" sheetId="9" r:id="rId6"/>
    <sheet name="Calendrier réél" sheetId="12" r:id="rId7"/>
    <sheet name="Temps de récolte par fagot" sheetId="10" r:id="rId8"/>
    <sheet name="TCD" sheetId="11" r:id="rId9"/>
  </sheets>
  <externalReferences>
    <externalReference r:id="rId10"/>
    <externalReference r:id="rId11"/>
  </externalReferences>
  <definedNames>
    <definedName name="essai" localSheetId="6">'Calendrier réél'!$A$1:$Q$38</definedName>
    <definedName name="essai" localSheetId="4">'Prévisionnel 10'!$A$1:$Q$38</definedName>
    <definedName name="essai" localSheetId="5">'Prévisionnel 11'!$A$1:$E$20</definedName>
    <definedName name="essai" localSheetId="3">'Prévisionnel 9'!$A$1:$Q$38</definedName>
    <definedName name="essai">'Temps de travail 14'!$A$1:$R$34</definedName>
    <definedName name="impression" localSheetId="6">'Calendrier réél'!$A$1:$Q$38</definedName>
    <definedName name="impression" localSheetId="4">'Prévisionnel 10'!$A$1:$Q$38</definedName>
    <definedName name="impression" localSheetId="5">'Prévisionnel 11'!$A$1:$E$20</definedName>
    <definedName name="impression" localSheetId="3">'Prévisionnel 9'!$A$1:$Q$38</definedName>
    <definedName name="impression">'Temps de travail 14'!$A$1:$R$34</definedName>
    <definedName name="_xlnm.Print_Titles" localSheetId="6">'Calendrier réél'!$A:$A</definedName>
    <definedName name="_xlnm.Print_Titles" localSheetId="4">'Prévisionnel 10'!$A:$A</definedName>
    <definedName name="_xlnm.Print_Titles" localSheetId="5">'Prévisionnel 11'!$A:$A</definedName>
    <definedName name="_xlnm.Print_Titles" localSheetId="3">'Prévisionnel 9'!$A:$A</definedName>
    <definedName name="_xlnm.Print_Titles" localSheetId="1">'Temps de travail 14'!$A:$A</definedName>
    <definedName name="Tableau">'Prévisionnel 11'!$A$6:$D$20</definedName>
    <definedName name="_xlnm.Print_Area" localSheetId="6">'Calendrier réél'!$A$1:$R$66</definedName>
    <definedName name="_xlnm.Print_Area" localSheetId="2">contacts!$A$1:$J$28</definedName>
    <definedName name="_xlnm.Print_Area" localSheetId="0">'contacts 14'!$A$1:$J$28</definedName>
    <definedName name="_xlnm.Print_Area" localSheetId="4">'Prévisionnel 10'!$A$1:$R$66</definedName>
    <definedName name="_xlnm.Print_Area" localSheetId="5">'Prévisionnel 11'!$A$1:$E$20</definedName>
    <definedName name="_xlnm.Print_Area" localSheetId="3">'Prévisionnel 9'!$A$1:$R$66</definedName>
    <definedName name="_xlnm.Print_Area" localSheetId="1">'Temps de travail 14'!$A$1:$S$62</definedName>
  </definedNames>
  <calcPr calcId="181029"/>
  <pivotCaches>
    <pivotCache cacheId="27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8" i="9" l="1"/>
  <c r="J17" i="9"/>
  <c r="J16" i="9"/>
  <c r="J15" i="9"/>
  <c r="G15" i="9"/>
  <c r="G18" i="9"/>
  <c r="G17" i="9"/>
  <c r="G16" i="9"/>
  <c r="B2" i="9"/>
  <c r="C2" i="9"/>
  <c r="D2" i="9"/>
  <c r="E2" i="9"/>
  <c r="N6" i="13" l="1"/>
  <c r="V22" i="13" l="1"/>
  <c r="V22" i="14"/>
  <c r="I6" i="13" l="1"/>
  <c r="V28" i="12"/>
  <c r="V23" i="12"/>
  <c r="V22" i="12"/>
  <c r="V21" i="12"/>
  <c r="V19" i="12"/>
  <c r="V18" i="12"/>
  <c r="AC16" i="14"/>
  <c r="V16" i="12" l="1"/>
  <c r="W16" i="12" l="1"/>
  <c r="W18" i="12"/>
  <c r="W21" i="12"/>
  <c r="W28" i="12"/>
  <c r="W23" i="12"/>
  <c r="W19" i="12"/>
  <c r="W22" i="12"/>
  <c r="P63" i="14" l="1"/>
  <c r="O63" i="14"/>
  <c r="N63" i="14"/>
  <c r="M63" i="14"/>
  <c r="L63" i="14"/>
  <c r="K63" i="14"/>
  <c r="J63" i="14"/>
  <c r="I63" i="14"/>
  <c r="H63" i="14"/>
  <c r="G63" i="14"/>
  <c r="F63" i="14"/>
  <c r="E63" i="14"/>
  <c r="D63" i="14"/>
  <c r="C63" i="14"/>
  <c r="B63" i="14"/>
  <c r="P62" i="14"/>
  <c r="P65" i="14" s="1"/>
  <c r="O62" i="14"/>
  <c r="O65" i="14" s="1"/>
  <c r="N62" i="14"/>
  <c r="M62" i="14"/>
  <c r="L62" i="14"/>
  <c r="K62" i="14"/>
  <c r="J62" i="14"/>
  <c r="J65" i="14" s="1"/>
  <c r="I62" i="14"/>
  <c r="H62" i="14"/>
  <c r="G62" i="14"/>
  <c r="F62" i="14"/>
  <c r="E62" i="14"/>
  <c r="D62" i="14"/>
  <c r="C62" i="14"/>
  <c r="B62" i="14"/>
  <c r="B65" i="14" s="1"/>
  <c r="AD20" i="14"/>
  <c r="AD17" i="14"/>
  <c r="Z17" i="14"/>
  <c r="R7" i="14"/>
  <c r="R8" i="14" s="1"/>
  <c r="R9" i="14" s="1"/>
  <c r="R10" i="14" s="1"/>
  <c r="R11" i="14" s="1"/>
  <c r="R12" i="14" s="1"/>
  <c r="R13" i="14" s="1"/>
  <c r="R14" i="14" s="1"/>
  <c r="R15" i="14" s="1"/>
  <c r="R16" i="14" s="1"/>
  <c r="R17" i="14" s="1"/>
  <c r="R18" i="14" s="1"/>
  <c r="R19" i="14" s="1"/>
  <c r="R20" i="14" s="1"/>
  <c r="R21" i="14" s="1"/>
  <c r="R22" i="14" s="1"/>
  <c r="R23" i="14" s="1"/>
  <c r="R24" i="14" s="1"/>
  <c r="R25" i="14" s="1"/>
  <c r="R26" i="14" s="1"/>
  <c r="R27" i="14" s="1"/>
  <c r="R28" i="14" s="1"/>
  <c r="R29" i="14" s="1"/>
  <c r="R30" i="14" s="1"/>
  <c r="R31" i="14" s="1"/>
  <c r="R32" i="14" s="1"/>
  <c r="R33" i="14" s="1"/>
  <c r="R34" i="14" s="1"/>
  <c r="R35" i="14" s="1"/>
  <c r="R36" i="14" s="1"/>
  <c r="R37" i="14" s="1"/>
  <c r="R38" i="14" s="1"/>
  <c r="R39" i="14" s="1"/>
  <c r="R40" i="14" s="1"/>
  <c r="R41" i="14" s="1"/>
  <c r="R42" i="14" s="1"/>
  <c r="R43" i="14" s="1"/>
  <c r="R44" i="14" s="1"/>
  <c r="R45" i="14" s="1"/>
  <c r="R46" i="14" s="1"/>
  <c r="R47" i="14" s="1"/>
  <c r="R48" i="14" s="1"/>
  <c r="R49" i="14" s="1"/>
  <c r="R50" i="14" s="1"/>
  <c r="R51" i="14" s="1"/>
  <c r="R52" i="14" s="1"/>
  <c r="R53" i="14" s="1"/>
  <c r="R54" i="14" s="1"/>
  <c r="R55" i="14" s="1"/>
  <c r="R56" i="14" s="1"/>
  <c r="R57" i="14" s="1"/>
  <c r="R58" i="14" s="1"/>
  <c r="R59" i="14" s="1"/>
  <c r="Q7" i="14"/>
  <c r="Q8" i="14" s="1"/>
  <c r="Q9" i="14" s="1"/>
  <c r="Q10" i="14" s="1"/>
  <c r="Q11" i="14" s="1"/>
  <c r="Q12" i="14" s="1"/>
  <c r="Q13" i="14" s="1"/>
  <c r="Q14" i="14" s="1"/>
  <c r="Q15" i="14" s="1"/>
  <c r="Q16" i="14" s="1"/>
  <c r="Q17" i="14" s="1"/>
  <c r="Q18" i="14" s="1"/>
  <c r="Q19" i="14" s="1"/>
  <c r="Q20" i="14" s="1"/>
  <c r="Q21" i="14" s="1"/>
  <c r="Q22" i="14" s="1"/>
  <c r="Q23" i="14" s="1"/>
  <c r="Q24" i="14" s="1"/>
  <c r="Q25" i="14" s="1"/>
  <c r="Q26" i="14" s="1"/>
  <c r="Q27" i="14" s="1"/>
  <c r="Q28" i="14" s="1"/>
  <c r="Q29" i="14" s="1"/>
  <c r="Q30" i="14" s="1"/>
  <c r="Q31" i="14" s="1"/>
  <c r="Q32" i="14" s="1"/>
  <c r="Q33" i="14" s="1"/>
  <c r="Q34" i="14" s="1"/>
  <c r="Q35" i="14" s="1"/>
  <c r="Q36" i="14" s="1"/>
  <c r="Q37" i="14" s="1"/>
  <c r="Q38" i="14" s="1"/>
  <c r="Q39" i="14" s="1"/>
  <c r="Q40" i="14" s="1"/>
  <c r="Q41" i="14" s="1"/>
  <c r="Q42" i="14" s="1"/>
  <c r="Q43" i="14" s="1"/>
  <c r="Q44" i="14" s="1"/>
  <c r="Q45" i="14" s="1"/>
  <c r="Q46" i="14" s="1"/>
  <c r="Q47" i="14" s="1"/>
  <c r="Q48" i="14" s="1"/>
  <c r="Q49" i="14" s="1"/>
  <c r="Q50" i="14" s="1"/>
  <c r="Q51" i="14" s="1"/>
  <c r="Q52" i="14" s="1"/>
  <c r="Q53" i="14" s="1"/>
  <c r="Q54" i="14" s="1"/>
  <c r="Q55" i="14" s="1"/>
  <c r="Q56" i="14" s="1"/>
  <c r="Q57" i="14" s="1"/>
  <c r="Q58" i="14" s="1"/>
  <c r="Q59" i="14" s="1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B6" i="14"/>
  <c r="R8" i="12"/>
  <c r="Q7" i="12"/>
  <c r="Q8" i="12" s="1"/>
  <c r="R7" i="12"/>
  <c r="R7" i="13"/>
  <c r="R8" i="13" s="1"/>
  <c r="Q7" i="13"/>
  <c r="Q8" i="13" s="1"/>
  <c r="J2" i="14"/>
  <c r="A2" i="14"/>
  <c r="AC26" i="13"/>
  <c r="H2" i="14"/>
  <c r="E2" i="14"/>
  <c r="AC23" i="14"/>
  <c r="AC17" i="14"/>
  <c r="AC26" i="14"/>
  <c r="F2" i="14"/>
  <c r="AC25" i="14"/>
  <c r="C2" i="14"/>
  <c r="AC19" i="14"/>
  <c r="D2" i="14"/>
  <c r="AC25" i="12"/>
  <c r="G2" i="14"/>
  <c r="AC22" i="14"/>
  <c r="AC18" i="14"/>
  <c r="B2" i="14"/>
  <c r="AC20" i="14"/>
  <c r="I2" i="14"/>
  <c r="AC21" i="14"/>
  <c r="AC25" i="13"/>
  <c r="AC26" i="12"/>
  <c r="H65" i="14" l="1"/>
  <c r="F65" i="14"/>
  <c r="N65" i="14"/>
  <c r="D65" i="14"/>
  <c r="E65" i="14"/>
  <c r="C65" i="14"/>
  <c r="K65" i="14"/>
  <c r="M65" i="14"/>
  <c r="L65" i="14"/>
  <c r="G65" i="14"/>
  <c r="I65" i="14"/>
  <c r="U18" i="14"/>
  <c r="U21" i="14"/>
  <c r="U23" i="14"/>
  <c r="U19" i="14"/>
  <c r="U22" i="14"/>
  <c r="U16" i="14"/>
  <c r="AC24" i="14"/>
  <c r="AC28" i="14" s="1"/>
  <c r="U25" i="14"/>
  <c r="U26" i="14"/>
  <c r="U26" i="13"/>
  <c r="U25" i="13"/>
  <c r="AC23" i="13"/>
  <c r="AC17" i="13"/>
  <c r="AC20" i="13"/>
  <c r="AC21" i="13"/>
  <c r="AC22" i="13"/>
  <c r="AC18" i="13"/>
  <c r="Y22" i="14"/>
  <c r="AC19" i="13"/>
  <c r="Q65" i="14" l="1"/>
  <c r="R65" i="14"/>
  <c r="U24" i="14"/>
  <c r="AD22" i="14"/>
  <c r="P63" i="13"/>
  <c r="O63" i="13"/>
  <c r="N63" i="13"/>
  <c r="M63" i="13"/>
  <c r="L63" i="13"/>
  <c r="K63" i="13"/>
  <c r="J63" i="13"/>
  <c r="I63" i="13"/>
  <c r="H63" i="13"/>
  <c r="G63" i="13"/>
  <c r="F63" i="13"/>
  <c r="E63" i="13"/>
  <c r="D63" i="13"/>
  <c r="C63" i="13"/>
  <c r="B63" i="13"/>
  <c r="P62" i="13"/>
  <c r="O62" i="13"/>
  <c r="N62" i="13"/>
  <c r="M62" i="13"/>
  <c r="L62" i="13"/>
  <c r="K62" i="13"/>
  <c r="J62" i="13"/>
  <c r="I62" i="13"/>
  <c r="H62" i="13"/>
  <c r="G62" i="13"/>
  <c r="F62" i="13"/>
  <c r="E62" i="13"/>
  <c r="D62" i="13"/>
  <c r="C62" i="13"/>
  <c r="B62" i="13"/>
  <c r="AD20" i="13"/>
  <c r="AD17" i="13"/>
  <c r="Z17" i="13"/>
  <c r="R9" i="13"/>
  <c r="R10" i="13" s="1"/>
  <c r="R11" i="13" s="1"/>
  <c r="R12" i="13" s="1"/>
  <c r="R13" i="13" s="1"/>
  <c r="R14" i="13" s="1"/>
  <c r="R15" i="13" s="1"/>
  <c r="R16" i="13" s="1"/>
  <c r="R17" i="13" s="1"/>
  <c r="R18" i="13" s="1"/>
  <c r="R19" i="13" s="1"/>
  <c r="R20" i="13" s="1"/>
  <c r="R21" i="13" s="1"/>
  <c r="R22" i="13" s="1"/>
  <c r="R23" i="13" s="1"/>
  <c r="R24" i="13" s="1"/>
  <c r="R25" i="13" s="1"/>
  <c r="R26" i="13" s="1"/>
  <c r="R27" i="13" s="1"/>
  <c r="R28" i="13" s="1"/>
  <c r="R29" i="13" s="1"/>
  <c r="R30" i="13" s="1"/>
  <c r="R31" i="13" s="1"/>
  <c r="R32" i="13" s="1"/>
  <c r="R33" i="13" s="1"/>
  <c r="R34" i="13" s="1"/>
  <c r="R35" i="13" s="1"/>
  <c r="R36" i="13" s="1"/>
  <c r="R37" i="13" s="1"/>
  <c r="R38" i="13" s="1"/>
  <c r="R39" i="13" s="1"/>
  <c r="R40" i="13" s="1"/>
  <c r="R41" i="13" s="1"/>
  <c r="R42" i="13" s="1"/>
  <c r="R43" i="13" s="1"/>
  <c r="R44" i="13" s="1"/>
  <c r="R45" i="13" s="1"/>
  <c r="R46" i="13" s="1"/>
  <c r="R47" i="13" s="1"/>
  <c r="R48" i="13" s="1"/>
  <c r="R49" i="13" s="1"/>
  <c r="R50" i="13" s="1"/>
  <c r="R51" i="13" s="1"/>
  <c r="R52" i="13" s="1"/>
  <c r="R53" i="13" s="1"/>
  <c r="R54" i="13" s="1"/>
  <c r="R55" i="13" s="1"/>
  <c r="R56" i="13" s="1"/>
  <c r="R57" i="13" s="1"/>
  <c r="R58" i="13" s="1"/>
  <c r="R59" i="13" s="1"/>
  <c r="Q9" i="13"/>
  <c r="Q10" i="13" s="1"/>
  <c r="Q11" i="13" s="1"/>
  <c r="Q12" i="13" s="1"/>
  <c r="Q13" i="13" s="1"/>
  <c r="Q14" i="13" s="1"/>
  <c r="Q15" i="13" s="1"/>
  <c r="Q16" i="13" s="1"/>
  <c r="Q17" i="13" s="1"/>
  <c r="Q18" i="13" s="1"/>
  <c r="Q19" i="13" s="1"/>
  <c r="Q20" i="13" s="1"/>
  <c r="Q21" i="13" s="1"/>
  <c r="Q22" i="13" s="1"/>
  <c r="Q23" i="13" s="1"/>
  <c r="Q24" i="13" s="1"/>
  <c r="Q25" i="13" s="1"/>
  <c r="Q26" i="13" s="1"/>
  <c r="Q27" i="13" s="1"/>
  <c r="Q28" i="13" s="1"/>
  <c r="Q29" i="13" s="1"/>
  <c r="Q30" i="13" s="1"/>
  <c r="Q31" i="13" s="1"/>
  <c r="Q32" i="13" s="1"/>
  <c r="Q33" i="13" s="1"/>
  <c r="Q34" i="13" s="1"/>
  <c r="Q35" i="13" s="1"/>
  <c r="Q36" i="13" s="1"/>
  <c r="Q37" i="13" s="1"/>
  <c r="Q38" i="13" s="1"/>
  <c r="Q39" i="13" s="1"/>
  <c r="Q40" i="13" s="1"/>
  <c r="Q41" i="13" s="1"/>
  <c r="Q42" i="13" s="1"/>
  <c r="Q43" i="13" s="1"/>
  <c r="Q44" i="13" s="1"/>
  <c r="Q45" i="13" s="1"/>
  <c r="Q46" i="13" s="1"/>
  <c r="Q47" i="13" s="1"/>
  <c r="Q48" i="13" s="1"/>
  <c r="Q49" i="13" s="1"/>
  <c r="Q50" i="13" s="1"/>
  <c r="Q51" i="13" s="1"/>
  <c r="Q52" i="13" s="1"/>
  <c r="Q53" i="13" s="1"/>
  <c r="Q54" i="13" s="1"/>
  <c r="Q55" i="13" s="1"/>
  <c r="Q56" i="13" s="1"/>
  <c r="Q57" i="13" s="1"/>
  <c r="Q58" i="13" s="1"/>
  <c r="Q59" i="13" s="1"/>
  <c r="P6" i="13"/>
  <c r="O6" i="13"/>
  <c r="M6" i="13"/>
  <c r="L6" i="13"/>
  <c r="K6" i="13"/>
  <c r="J6" i="13"/>
  <c r="H6" i="13"/>
  <c r="G6" i="13"/>
  <c r="F6" i="13"/>
  <c r="E6" i="13"/>
  <c r="D6" i="13"/>
  <c r="C6" i="13"/>
  <c r="B6" i="13"/>
  <c r="X23" i="2"/>
  <c r="W23" i="2"/>
  <c r="X22" i="2"/>
  <c r="W22" i="2"/>
  <c r="X21" i="2"/>
  <c r="W21" i="2"/>
  <c r="X20" i="2"/>
  <c r="W20" i="2"/>
  <c r="X17" i="2"/>
  <c r="W17" i="2"/>
  <c r="X16" i="2"/>
  <c r="W16" i="2"/>
  <c r="C2" i="13"/>
  <c r="B2" i="13"/>
  <c r="I2" i="13"/>
  <c r="G2" i="13"/>
  <c r="J2" i="13"/>
  <c r="AC16" i="13"/>
  <c r="E2" i="13"/>
  <c r="H2" i="13"/>
  <c r="D2" i="13"/>
  <c r="A2" i="13"/>
  <c r="F2" i="13"/>
  <c r="Y22" i="13"/>
  <c r="U27" i="14" l="1"/>
  <c r="AC24" i="13"/>
  <c r="C65" i="13"/>
  <c r="G65" i="13"/>
  <c r="O65" i="13"/>
  <c r="D65" i="13"/>
  <c r="H65" i="13"/>
  <c r="L65" i="13"/>
  <c r="P65" i="13"/>
  <c r="E65" i="13"/>
  <c r="I65" i="13"/>
  <c r="M65" i="13"/>
  <c r="B65" i="13"/>
  <c r="F65" i="13"/>
  <c r="N65" i="13"/>
  <c r="K65" i="13"/>
  <c r="J65" i="13"/>
  <c r="U16" i="13"/>
  <c r="U19" i="13"/>
  <c r="U22" i="13"/>
  <c r="U18" i="13"/>
  <c r="U21" i="13"/>
  <c r="AD22" i="13"/>
  <c r="U23" i="13"/>
  <c r="E37" i="10"/>
  <c r="F37" i="10" s="1"/>
  <c r="AC22" i="12"/>
  <c r="Q65" i="13" l="1"/>
  <c r="R65" i="13"/>
  <c r="U24" i="13"/>
  <c r="U27" i="13" s="1"/>
  <c r="P63" i="12"/>
  <c r="O63" i="12"/>
  <c r="N63" i="12"/>
  <c r="M63" i="12"/>
  <c r="L63" i="12"/>
  <c r="K63" i="12"/>
  <c r="J63" i="12"/>
  <c r="I63" i="12"/>
  <c r="H63" i="12"/>
  <c r="G63" i="12"/>
  <c r="F63" i="12"/>
  <c r="E63" i="12"/>
  <c r="D63" i="12"/>
  <c r="C63" i="12"/>
  <c r="B63" i="12"/>
  <c r="P62" i="12"/>
  <c r="O62" i="12"/>
  <c r="O65" i="12" s="1"/>
  <c r="N62" i="12"/>
  <c r="N65" i="12" s="1"/>
  <c r="M62" i="12"/>
  <c r="M65" i="12" s="1"/>
  <c r="L62" i="12"/>
  <c r="K62" i="12"/>
  <c r="K65" i="12" s="1"/>
  <c r="J62" i="12"/>
  <c r="J65" i="12" s="1"/>
  <c r="I62" i="12"/>
  <c r="I65" i="12" s="1"/>
  <c r="H62" i="12"/>
  <c r="G62" i="12"/>
  <c r="G65" i="12" s="1"/>
  <c r="F62" i="12"/>
  <c r="F65" i="12" s="1"/>
  <c r="E62" i="12"/>
  <c r="E65" i="12" s="1"/>
  <c r="D62" i="12"/>
  <c r="C62" i="12"/>
  <c r="B62" i="12"/>
  <c r="B65" i="12" s="1"/>
  <c r="AD20" i="12"/>
  <c r="AD17" i="12"/>
  <c r="Z17" i="12"/>
  <c r="R9" i="12"/>
  <c r="R10" i="12" s="1"/>
  <c r="R11" i="12" s="1"/>
  <c r="R12" i="12" s="1"/>
  <c r="R13" i="12" s="1"/>
  <c r="R14" i="12" s="1"/>
  <c r="R15" i="12" s="1"/>
  <c r="R16" i="12" s="1"/>
  <c r="R17" i="12" s="1"/>
  <c r="R18" i="12" s="1"/>
  <c r="R19" i="12" s="1"/>
  <c r="R20" i="12" s="1"/>
  <c r="R21" i="12" s="1"/>
  <c r="R22" i="12" s="1"/>
  <c r="R23" i="12" s="1"/>
  <c r="R24" i="12" s="1"/>
  <c r="R25" i="12" s="1"/>
  <c r="R26" i="12" s="1"/>
  <c r="R27" i="12" s="1"/>
  <c r="R28" i="12" s="1"/>
  <c r="R29" i="12" s="1"/>
  <c r="R30" i="12" s="1"/>
  <c r="R31" i="12" s="1"/>
  <c r="R32" i="12" s="1"/>
  <c r="R33" i="12" s="1"/>
  <c r="R34" i="12" s="1"/>
  <c r="R35" i="12" s="1"/>
  <c r="R36" i="12" s="1"/>
  <c r="R37" i="12" s="1"/>
  <c r="R38" i="12" s="1"/>
  <c r="R39" i="12" s="1"/>
  <c r="R40" i="12" s="1"/>
  <c r="R41" i="12" s="1"/>
  <c r="R42" i="12" s="1"/>
  <c r="R43" i="12" s="1"/>
  <c r="R44" i="12" s="1"/>
  <c r="R45" i="12" s="1"/>
  <c r="R46" i="12" s="1"/>
  <c r="R47" i="12" s="1"/>
  <c r="R48" i="12" s="1"/>
  <c r="R49" i="12" s="1"/>
  <c r="R50" i="12" s="1"/>
  <c r="R51" i="12" s="1"/>
  <c r="R52" i="12" s="1"/>
  <c r="R53" i="12" s="1"/>
  <c r="R54" i="12" s="1"/>
  <c r="R55" i="12" s="1"/>
  <c r="R56" i="12" s="1"/>
  <c r="R57" i="12" s="1"/>
  <c r="R58" i="12" s="1"/>
  <c r="R59" i="12" s="1"/>
  <c r="Q9" i="12"/>
  <c r="Q10" i="12" s="1"/>
  <c r="Q11" i="12" s="1"/>
  <c r="Q12" i="12" s="1"/>
  <c r="Q13" i="12" s="1"/>
  <c r="Q14" i="12" s="1"/>
  <c r="Q15" i="12" s="1"/>
  <c r="Q16" i="12" s="1"/>
  <c r="Q17" i="12" s="1"/>
  <c r="Q18" i="12" s="1"/>
  <c r="Q19" i="12" s="1"/>
  <c r="Q20" i="12" s="1"/>
  <c r="Q21" i="12" s="1"/>
  <c r="Q22" i="12" s="1"/>
  <c r="Q23" i="12" s="1"/>
  <c r="Q24" i="12" s="1"/>
  <c r="Q25" i="12" s="1"/>
  <c r="Q26" i="12" s="1"/>
  <c r="Q27" i="12" s="1"/>
  <c r="Q28" i="12" s="1"/>
  <c r="Q29" i="12" s="1"/>
  <c r="Q30" i="12" s="1"/>
  <c r="Q31" i="12" s="1"/>
  <c r="Q32" i="12" s="1"/>
  <c r="Q33" i="12" s="1"/>
  <c r="Q34" i="12" s="1"/>
  <c r="Q35" i="12" s="1"/>
  <c r="Q36" i="12" s="1"/>
  <c r="Q37" i="12" s="1"/>
  <c r="Q38" i="12" s="1"/>
  <c r="Q39" i="12" s="1"/>
  <c r="Q40" i="12" s="1"/>
  <c r="Q41" i="12" s="1"/>
  <c r="Q42" i="12" s="1"/>
  <c r="Q43" i="12" s="1"/>
  <c r="Q44" i="12" s="1"/>
  <c r="Q45" i="12" s="1"/>
  <c r="Q46" i="12" s="1"/>
  <c r="Q47" i="12" s="1"/>
  <c r="Q48" i="12" s="1"/>
  <c r="Q49" i="12" s="1"/>
  <c r="Q50" i="12" s="1"/>
  <c r="Q51" i="12" s="1"/>
  <c r="Q52" i="12" s="1"/>
  <c r="Q53" i="12" s="1"/>
  <c r="Q54" i="12" s="1"/>
  <c r="Q55" i="12" s="1"/>
  <c r="Q56" i="12" s="1"/>
  <c r="Q57" i="12" s="1"/>
  <c r="Q58" i="12" s="1"/>
  <c r="Q59" i="12" s="1"/>
  <c r="P6" i="12"/>
  <c r="O6" i="12"/>
  <c r="N6" i="12"/>
  <c r="M6" i="12"/>
  <c r="L6" i="12"/>
  <c r="K6" i="12"/>
  <c r="J6" i="12"/>
  <c r="I6" i="12"/>
  <c r="H6" i="12"/>
  <c r="G6" i="12"/>
  <c r="F6" i="12"/>
  <c r="E6" i="12"/>
  <c r="D6" i="12"/>
  <c r="C6" i="12"/>
  <c r="B6" i="12"/>
  <c r="AC19" i="12"/>
  <c r="AC20" i="12"/>
  <c r="G2" i="12"/>
  <c r="F2" i="12"/>
  <c r="I2" i="12"/>
  <c r="B2" i="12"/>
  <c r="Y18" i="12"/>
  <c r="AC21" i="12"/>
  <c r="A2" i="12"/>
  <c r="J2" i="12"/>
  <c r="C2" i="12"/>
  <c r="D2" i="12"/>
  <c r="E2" i="12"/>
  <c r="H2" i="12"/>
  <c r="AC17" i="12"/>
  <c r="Y22" i="12"/>
  <c r="AC23" i="12"/>
  <c r="AC16" i="12"/>
  <c r="AC18" i="12"/>
  <c r="Y21" i="12"/>
  <c r="Y19" i="12"/>
  <c r="C65" i="12" l="1"/>
  <c r="R65" i="12" s="1"/>
  <c r="AC24" i="12"/>
  <c r="AC28" i="12" s="1"/>
  <c r="D65" i="12"/>
  <c r="H65" i="12"/>
  <c r="L65" i="12"/>
  <c r="P65" i="12"/>
  <c r="AD22" i="12"/>
  <c r="U23" i="12"/>
  <c r="U16" i="12"/>
  <c r="U26" i="12"/>
  <c r="AD19" i="12"/>
  <c r="AD18" i="12"/>
  <c r="U19" i="12"/>
  <c r="AD21" i="12"/>
  <c r="U22" i="12"/>
  <c r="U18" i="12"/>
  <c r="U21" i="12"/>
  <c r="Q65" i="12" l="1"/>
  <c r="U25" i="12"/>
  <c r="U24" i="12"/>
  <c r="U27" i="12" l="1"/>
  <c r="E44" i="10"/>
  <c r="F44" i="10" s="1"/>
  <c r="E40" i="10"/>
  <c r="F40" i="10" s="1"/>
  <c r="E39" i="10"/>
  <c r="F39" i="10" s="1"/>
  <c r="E38" i="10"/>
  <c r="F38" i="10" s="1"/>
  <c r="E34" i="10"/>
  <c r="F34" i="10" s="1"/>
  <c r="E33" i="10"/>
  <c r="F33" i="10" s="1"/>
  <c r="E32" i="10"/>
  <c r="F32" i="10" s="1"/>
  <c r="E30" i="10"/>
  <c r="F30" i="10" s="1"/>
  <c r="E29" i="10"/>
  <c r="F29" i="10" s="1"/>
  <c r="E28" i="10"/>
  <c r="F28" i="10" s="1"/>
  <c r="E27" i="10"/>
  <c r="F27" i="10" s="1"/>
  <c r="E23" i="10"/>
  <c r="F23" i="10" s="1"/>
  <c r="E22" i="10"/>
  <c r="F22" i="10" s="1"/>
  <c r="E21" i="10"/>
  <c r="F21" i="10" s="1"/>
  <c r="E17" i="10"/>
  <c r="F17" i="10" s="1"/>
  <c r="E16" i="10"/>
  <c r="F16" i="10" s="1"/>
  <c r="E15" i="10"/>
  <c r="F15" i="10" s="1"/>
  <c r="E13" i="10"/>
  <c r="F13" i="10" s="1"/>
  <c r="E12" i="10"/>
  <c r="F12" i="10" s="1"/>
  <c r="E11" i="10"/>
  <c r="F11" i="10" s="1"/>
  <c r="E10" i="10"/>
  <c r="F10" i="10" s="1"/>
  <c r="E5" i="10"/>
  <c r="F5" i="10" s="1"/>
  <c r="E6" i="10"/>
  <c r="F6" i="10" s="1"/>
  <c r="E7" i="10"/>
  <c r="F7" i="10" s="1"/>
  <c r="E8" i="10"/>
  <c r="F8" i="10" s="1"/>
  <c r="E4" i="10" l="1"/>
  <c r="F4" i="10" s="1"/>
  <c r="C58" i="2" l="1"/>
  <c r="D58" i="2"/>
  <c r="E58" i="2"/>
  <c r="F58" i="2"/>
  <c r="F61" i="2" s="1"/>
  <c r="G58" i="2"/>
  <c r="H58" i="2"/>
  <c r="I58" i="2"/>
  <c r="J58" i="2"/>
  <c r="J61" i="2" s="1"/>
  <c r="K58" i="2"/>
  <c r="L58" i="2"/>
  <c r="M58" i="2"/>
  <c r="N58" i="2"/>
  <c r="O58" i="2"/>
  <c r="P58" i="2"/>
  <c r="Q58" i="2"/>
  <c r="C59" i="2"/>
  <c r="C61" i="2" s="1"/>
  <c r="D59" i="2"/>
  <c r="E59" i="2"/>
  <c r="E61" i="2" s="1"/>
  <c r="F59" i="2"/>
  <c r="G59" i="2"/>
  <c r="H59" i="2"/>
  <c r="I59" i="2"/>
  <c r="J59" i="2"/>
  <c r="K59" i="2"/>
  <c r="L59" i="2"/>
  <c r="M59" i="2"/>
  <c r="N59" i="2"/>
  <c r="O59" i="2"/>
  <c r="P59" i="2"/>
  <c r="Q59" i="2"/>
  <c r="B59" i="2"/>
  <c r="B58" i="2"/>
  <c r="S8" i="2"/>
  <c r="S9" i="2" s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S55" i="2" s="1"/>
  <c r="R8" i="2"/>
  <c r="R9" i="2" s="1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R53" i="2" s="1"/>
  <c r="R54" i="2" s="1"/>
  <c r="R55" i="2" s="1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Z23" i="2"/>
  <c r="AE23" i="2" s="1"/>
  <c r="Z17" i="2"/>
  <c r="AE17" i="2" s="1"/>
  <c r="AE20" i="2"/>
  <c r="AD14" i="2"/>
  <c r="V52" i="2"/>
  <c r="AD50" i="2"/>
  <c r="V53" i="2"/>
  <c r="Y53" i="2"/>
  <c r="V55" i="2"/>
  <c r="Y55" i="2"/>
  <c r="V54" i="2"/>
  <c r="Y54" i="2" s="1"/>
  <c r="AA54" i="2"/>
  <c r="AA57" i="2"/>
  <c r="Y63" i="2"/>
  <c r="AA63" i="2"/>
  <c r="Y64" i="2"/>
  <c r="AA64" i="2"/>
  <c r="Y65" i="2"/>
  <c r="AA65" i="2"/>
  <c r="V67" i="2"/>
  <c r="AA67" i="2" s="1"/>
  <c r="W67" i="2"/>
  <c r="Y74" i="2"/>
  <c r="AA74" i="2"/>
  <c r="Y75" i="2"/>
  <c r="AA75" i="2"/>
  <c r="Y76" i="2"/>
  <c r="AA76" i="2"/>
  <c r="V77" i="2"/>
  <c r="W77" i="2"/>
  <c r="W56" i="2"/>
  <c r="AA55" i="2"/>
  <c r="K61" i="2"/>
  <c r="AA53" i="2"/>
  <c r="N61" i="2"/>
  <c r="I61" i="2"/>
  <c r="AD19" i="2"/>
  <c r="G2" i="2"/>
  <c r="B2" i="2"/>
  <c r="AD16" i="2"/>
  <c r="AD21" i="2"/>
  <c r="F2" i="2"/>
  <c r="AD23" i="2"/>
  <c r="C2" i="2"/>
  <c r="AD25" i="2"/>
  <c r="H2" i="2"/>
  <c r="J2" i="2"/>
  <c r="A2" i="2"/>
  <c r="AD24" i="2"/>
  <c r="E2" i="2"/>
  <c r="AD20" i="2"/>
  <c r="I2" i="2"/>
  <c r="AD17" i="2"/>
  <c r="D2" i="2"/>
  <c r="AD22" i="2"/>
  <c r="AD18" i="2"/>
  <c r="O61" i="2" l="1"/>
  <c r="G61" i="2"/>
  <c r="B61" i="2"/>
  <c r="AA77" i="2"/>
  <c r="V56" i="2"/>
  <c r="Y56" i="2" s="1"/>
  <c r="Q61" i="2"/>
  <c r="M61" i="2"/>
  <c r="P61" i="2"/>
  <c r="L61" i="2"/>
  <c r="S61" i="2" s="1"/>
  <c r="H61" i="2"/>
  <c r="D61" i="2"/>
  <c r="Y77" i="2"/>
  <c r="Y67" i="2"/>
  <c r="Y52" i="2"/>
  <c r="V70" i="2"/>
  <c r="AA52" i="2"/>
  <c r="V17" i="2"/>
  <c r="V26" i="2"/>
  <c r="V22" i="2"/>
  <c r="V18" i="2"/>
  <c r="V25" i="2"/>
  <c r="V20" i="2"/>
  <c r="AA20" i="2" s="1"/>
  <c r="V21" i="2"/>
  <c r="V23" i="2"/>
  <c r="V19" i="2"/>
  <c r="V16" i="2"/>
  <c r="AD27" i="2"/>
  <c r="AA56" i="2" l="1"/>
  <c r="V59" i="2"/>
  <c r="R61" i="2"/>
  <c r="V24" i="2"/>
  <c r="AA23" i="2"/>
  <c r="AA17" i="2"/>
  <c r="V27" i="2" l="1"/>
  <c r="Y24" i="2"/>
  <c r="AA22" i="2" l="1"/>
  <c r="Z22" i="2"/>
  <c r="AE22" i="2" s="1"/>
  <c r="Y20" i="2" l="1"/>
  <c r="Y17" i="2"/>
  <c r="AA21" i="2" l="1"/>
  <c r="Z21" i="2"/>
  <c r="AE21" i="2" s="1"/>
  <c r="Y23" i="2" l="1"/>
  <c r="Y16" i="2"/>
  <c r="Y21" i="2"/>
  <c r="Y22" i="2"/>
  <c r="AA16" i="2"/>
  <c r="Z16" i="2"/>
  <c r="AE16" i="2" s="1"/>
  <c r="Y23" i="12"/>
  <c r="AD23" i="12" l="1"/>
  <c r="AC28" i="13" l="1"/>
  <c r="X18" i="2" l="1"/>
  <c r="Y18" i="2" s="1"/>
  <c r="W18" i="2" l="1"/>
  <c r="W29" i="2" l="1"/>
  <c r="W19" i="2"/>
  <c r="W24" i="2" s="1"/>
  <c r="AA18" i="2"/>
  <c r="Z18" i="2"/>
  <c r="AE18" i="2" s="1"/>
  <c r="Y16" i="12"/>
  <c r="Y24" i="12" l="1"/>
  <c r="AD16" i="12"/>
  <c r="AD24" i="12" s="1"/>
  <c r="AD28" i="12" s="1"/>
  <c r="Z19" i="2"/>
  <c r="AE19" i="2" s="1"/>
  <c r="AE27" i="2" s="1"/>
  <c r="AA19" i="2"/>
  <c r="V24" i="12"/>
  <c r="V30" i="12" s="1"/>
  <c r="X19" i="2"/>
  <c r="Y19" i="2" s="1"/>
  <c r="AA24" i="2"/>
  <c r="W28" i="2"/>
  <c r="W30" i="2" s="1"/>
  <c r="X21" i="12" l="1"/>
  <c r="Z21" i="12"/>
  <c r="Z23" i="12"/>
  <c r="X23" i="12"/>
  <c r="Z18" i="12"/>
  <c r="X18" i="12"/>
  <c r="Z19" i="12"/>
  <c r="X19" i="12"/>
  <c r="W24" i="12"/>
  <c r="X16" i="12"/>
  <c r="Z16" i="12"/>
  <c r="Z22" i="12"/>
  <c r="X22" i="12"/>
  <c r="X27" i="12" l="1"/>
  <c r="X24" i="12"/>
  <c r="Z24" i="12"/>
  <c r="V19" i="14" l="1"/>
  <c r="V19" i="13"/>
  <c r="V23" i="14"/>
  <c r="V23" i="13"/>
  <c r="V21" i="13"/>
  <c r="V21" i="14"/>
  <c r="V18" i="14"/>
  <c r="V18" i="13"/>
  <c r="V28" i="14"/>
  <c r="V28" i="13"/>
  <c r="V16" i="14"/>
  <c r="V16" i="13"/>
  <c r="Y23" i="13"/>
  <c r="Y19" i="14"/>
  <c r="Y19" i="13"/>
  <c r="Y23" i="14"/>
  <c r="Y21" i="13"/>
  <c r="Y21" i="14"/>
  <c r="Y18" i="13"/>
  <c r="Y18" i="14"/>
  <c r="Y16" i="14"/>
  <c r="Y16" i="13"/>
  <c r="AD23" i="14" l="1"/>
  <c r="AD19" i="13"/>
  <c r="AD19" i="14"/>
  <c r="AD23" i="13"/>
  <c r="W16" i="13"/>
  <c r="W16" i="14"/>
  <c r="W18" i="14"/>
  <c r="W18" i="13"/>
  <c r="W21" i="13"/>
  <c r="W21" i="14"/>
  <c r="W28" i="13"/>
  <c r="W28" i="14"/>
  <c r="W19" i="14"/>
  <c r="W19" i="13"/>
  <c r="W22" i="13"/>
  <c r="W22" i="14"/>
  <c r="AD21" i="14"/>
  <c r="AD21" i="13"/>
  <c r="AD18" i="14"/>
  <c r="AD18" i="13"/>
  <c r="Y24" i="13"/>
  <c r="AD16" i="13"/>
  <c r="AD16" i="14"/>
  <c r="Y24" i="14"/>
  <c r="V24" i="13"/>
  <c r="V30" i="13" s="1"/>
  <c r="V24" i="14"/>
  <c r="V30" i="14" s="1"/>
  <c r="W23" i="14"/>
  <c r="W23" i="13"/>
  <c r="Z22" i="14" l="1"/>
  <c r="X22" i="14"/>
  <c r="X19" i="14"/>
  <c r="Z19" i="14"/>
  <c r="Z18" i="13"/>
  <c r="X18" i="13"/>
  <c r="X16" i="14"/>
  <c r="Z16" i="14"/>
  <c r="Z19" i="13"/>
  <c r="X19" i="13"/>
  <c r="Z21" i="13"/>
  <c r="X21" i="13"/>
  <c r="Z22" i="13"/>
  <c r="X22" i="13"/>
  <c r="X21" i="14"/>
  <c r="Z21" i="14"/>
  <c r="X18" i="14"/>
  <c r="Z18" i="14"/>
  <c r="X16" i="13"/>
  <c r="Z16" i="13"/>
  <c r="AD24" i="13"/>
  <c r="AD28" i="13" s="1"/>
  <c r="AD24" i="14"/>
  <c r="AD28" i="14" s="1"/>
  <c r="W24" i="14"/>
  <c r="X23" i="14"/>
  <c r="Z23" i="14"/>
  <c r="X23" i="13"/>
  <c r="Z23" i="13"/>
  <c r="W24" i="13"/>
  <c r="Z24" i="13" l="1"/>
  <c r="X27" i="13"/>
  <c r="X24" i="13"/>
  <c r="Z24" i="14"/>
  <c r="X27" i="14"/>
  <c r="X24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Gilles</author>
  </authors>
  <commentList>
    <comment ref="I1" authorId="0" shapeId="0" xr:uid="{00000000-0006-0000-0100-000001000000}">
      <text>
        <r>
          <rPr>
            <sz val="9"/>
            <color indexed="8"/>
            <rFont val="Tahoma"/>
            <family val="2"/>
            <charset val="1"/>
          </rPr>
          <t xml:space="preserve">chargement camion
récupération chez viti
...
</t>
        </r>
      </text>
    </comment>
    <comment ref="B8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Déc: 2 A/R récup sarments taillés en décembre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9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2 clones déjà ramenés par momo fin dec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9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4.2 sans compter trajet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7" authorId="1" shapeId="0" xr:uid="{00000000-0006-0000-0100-000005000000}">
      <text>
        <r>
          <rPr>
            <b/>
            <sz val="9"/>
            <color indexed="81"/>
            <rFont val="Tahoma"/>
            <family val="2"/>
          </rPr>
          <t>0.6 sans compter trajet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7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4.2 sans compter trajet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Gilles</author>
  </authors>
  <commentList>
    <comment ref="H9" authorId="0" shapeId="0" xr:uid="{350DEA88-275C-4E2C-9D80-9AAED6B1F503}">
      <text>
        <r>
          <rPr>
            <sz val="9"/>
            <color indexed="81"/>
            <rFont val="Tahoma"/>
            <family val="2"/>
          </rPr>
          <t xml:space="preserve">Pb RIB ?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Gilles</author>
  </authors>
  <commentList>
    <comment ref="I1" authorId="0" shapeId="0" xr:uid="{364BC941-FD18-4430-84B9-CEE52231F44F}">
      <text>
        <r>
          <rPr>
            <sz val="9"/>
            <color indexed="8"/>
            <rFont val="Tahoma"/>
            <family val="2"/>
            <charset val="1"/>
          </rPr>
          <t xml:space="preserve">chargement camion
récupération chez viti
...
</t>
        </r>
      </text>
    </comment>
    <comment ref="F15" authorId="1" shapeId="0" xr:uid="{3A705F71-062F-46EB-8851-0AABE8984B89}">
      <text>
        <r>
          <rPr>
            <b/>
            <sz val="9"/>
            <color indexed="81"/>
            <rFont val="Tahoma"/>
            <family val="2"/>
          </rPr>
          <t>+ 8 h FD greffons 2018/2019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8" authorId="1" shapeId="0" xr:uid="{A6FA219D-25E8-40D4-88B6-A4B781AE6AB5}">
      <text>
        <r>
          <rPr>
            <b/>
            <sz val="9"/>
            <color indexed="81"/>
            <rFont val="Tahoma"/>
            <family val="2"/>
          </rPr>
          <t>peut-être sous-estimé si plus de fagots que prévu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9" authorId="1" shapeId="0" xr:uid="{EE4AA4DC-FBC4-43B3-904C-0F5C5D1D0103}">
      <text>
        <r>
          <rPr>
            <b/>
            <sz val="9"/>
            <color indexed="81"/>
            <rFont val="Tahoma"/>
            <family val="2"/>
          </rPr>
          <t>4.2 sans compter trajet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" authorId="1" shapeId="0" xr:uid="{B01D8874-5F56-406F-A1C2-67A27934F530}">
      <text>
        <r>
          <rPr>
            <b/>
            <sz val="9"/>
            <color indexed="81"/>
            <rFont val="Tahoma"/>
            <family val="2"/>
          </rPr>
          <t xml:space="preserve">DZ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3" authorId="1" shapeId="0" xr:uid="{073C69B3-9239-48A3-A527-0CF2700ABF52}">
      <text>
        <r>
          <rPr>
            <b/>
            <sz val="9"/>
            <color indexed="81"/>
            <rFont val="Tahoma"/>
            <family val="2"/>
          </rPr>
          <t>sur-estimé si formule "mobilhome" pour qq cdd</t>
        </r>
        <r>
          <rPr>
            <sz val="9"/>
            <color indexed="81"/>
            <rFont val="Tahoma"/>
            <family val="2"/>
          </rPr>
          <t xml:space="preserve">
donc environ 190 à 200 heures</t>
        </r>
      </text>
    </comment>
    <comment ref="B37" authorId="1" shapeId="0" xr:uid="{3200E001-B6D4-478C-9D9A-065FF2EC384A}">
      <text>
        <r>
          <rPr>
            <b/>
            <sz val="9"/>
            <color indexed="81"/>
            <rFont val="Tahoma"/>
            <family val="2"/>
          </rPr>
          <t xml:space="preserve">DZ + Momo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Gilles</author>
  </authors>
  <commentList>
    <comment ref="I1" authorId="0" shapeId="0" xr:uid="{B9C05DBE-6D5D-4487-8303-DA46DDC189F3}">
      <text>
        <r>
          <rPr>
            <sz val="9"/>
            <color indexed="8"/>
            <rFont val="Tahoma"/>
            <family val="2"/>
            <charset val="1"/>
          </rPr>
          <t xml:space="preserve">chargement camion
récupération chez viti
...
</t>
        </r>
      </text>
    </comment>
    <comment ref="F15" authorId="1" shapeId="0" xr:uid="{D94FFD66-94FB-4F42-A734-CB6ADE674910}">
      <text>
        <r>
          <rPr>
            <b/>
            <sz val="9"/>
            <color indexed="81"/>
            <rFont val="Tahoma"/>
            <family val="2"/>
          </rPr>
          <t>+ 8 h FD greffons 2018/2019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8" authorId="1" shapeId="0" xr:uid="{4AF72889-62C7-47D2-AFDF-F2606388D6EE}">
      <text>
        <r>
          <rPr>
            <b/>
            <sz val="9"/>
            <color indexed="81"/>
            <rFont val="Tahoma"/>
            <family val="2"/>
          </rPr>
          <t>peut-être sous-estimé si plus de fagots que prévu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9" authorId="1" shapeId="0" xr:uid="{F7F77984-C05C-440A-AB68-3891A45D0C15}">
      <text>
        <r>
          <rPr>
            <b/>
            <sz val="9"/>
            <color indexed="81"/>
            <rFont val="Tahoma"/>
            <family val="2"/>
          </rPr>
          <t>4.2 sans compter trajet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" authorId="1" shapeId="0" xr:uid="{2E6EF3F9-9930-43FD-89C6-EE5292633160}">
      <text>
        <r>
          <rPr>
            <b/>
            <sz val="9"/>
            <color indexed="81"/>
            <rFont val="Tahoma"/>
            <family val="2"/>
          </rPr>
          <t xml:space="preserve">DZ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3" authorId="1" shapeId="0" xr:uid="{49AC7164-1624-4520-8C08-7725A66739E7}">
      <text>
        <r>
          <rPr>
            <b/>
            <sz val="9"/>
            <color indexed="81"/>
            <rFont val="Tahoma"/>
            <family val="2"/>
          </rPr>
          <t>sur-estimé si formule "mobilhome" pour qq cdd</t>
        </r>
        <r>
          <rPr>
            <sz val="9"/>
            <color indexed="81"/>
            <rFont val="Tahoma"/>
            <family val="2"/>
          </rPr>
          <t xml:space="preserve">
donc environ 190 à 200 heures</t>
        </r>
      </text>
    </comment>
    <comment ref="B37" authorId="1" shapeId="0" xr:uid="{E98AEAF2-C77C-4915-B9A5-E8FB105139C2}">
      <text>
        <r>
          <rPr>
            <b/>
            <sz val="9"/>
            <color indexed="81"/>
            <rFont val="Tahoma"/>
            <family val="2"/>
          </rPr>
          <t xml:space="preserve">DZ + Momo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Gilles</author>
  </authors>
  <commentList>
    <comment ref="I1" authorId="0" shapeId="0" xr:uid="{0C853917-F0D6-4BC6-87AE-068D105C01C2}">
      <text>
        <r>
          <rPr>
            <sz val="9"/>
            <color indexed="8"/>
            <rFont val="Tahoma"/>
            <family val="2"/>
            <charset val="1"/>
          </rPr>
          <t xml:space="preserve">chargement camion
récupération chez viti
...
</t>
        </r>
      </text>
    </comment>
    <comment ref="Y18" authorId="1" shapeId="0" xr:uid="{63851411-9133-41E5-B67B-25E7A6E9D2E0}">
      <text>
        <r>
          <rPr>
            <b/>
            <sz val="9"/>
            <color indexed="81"/>
            <rFont val="Tahoma"/>
            <family val="2"/>
          </rPr>
          <t>peut-être sous-estimé si plus de fagots que prévu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9" authorId="1" shapeId="0" xr:uid="{437328E0-4464-4574-8194-115AA71960FF}">
      <text>
        <r>
          <rPr>
            <b/>
            <sz val="9"/>
            <color indexed="81"/>
            <rFont val="Tahoma"/>
            <family val="2"/>
          </rPr>
          <t>4.2 sans compter trajet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" authorId="1" shapeId="0" xr:uid="{5FEC6ECF-EC9A-4231-9C91-200FC8BF4E3C}">
      <text>
        <r>
          <rPr>
            <b/>
            <sz val="9"/>
            <color indexed="81"/>
            <rFont val="Tahoma"/>
            <family val="2"/>
          </rPr>
          <t xml:space="preserve">DZ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3" authorId="1" shapeId="0" xr:uid="{D7B2F744-92E7-4455-B1B9-41C16E0E6A1D}">
      <text>
        <r>
          <rPr>
            <b/>
            <sz val="9"/>
            <color indexed="81"/>
            <rFont val="Tahoma"/>
            <family val="2"/>
          </rPr>
          <t>sur-estimé si formule "mobilhome" pour qq cdd</t>
        </r>
        <r>
          <rPr>
            <sz val="9"/>
            <color indexed="81"/>
            <rFont val="Tahoma"/>
            <family val="2"/>
          </rPr>
          <t xml:space="preserve">
donc environ 190 à 200 heures</t>
        </r>
      </text>
    </comment>
  </commentList>
</comments>
</file>

<file path=xl/sharedStrings.xml><?xml version="1.0" encoding="utf-8"?>
<sst xmlns="http://schemas.openxmlformats.org/spreadsheetml/2006/main" count="462" uniqueCount="115">
  <si>
    <t>Equipe CRVI</t>
  </si>
  <si>
    <t>Equipe Aghione / Aleria</t>
  </si>
  <si>
    <t>nb fagots</t>
  </si>
  <si>
    <t>nom</t>
  </si>
  <si>
    <t>tel</t>
  </si>
  <si>
    <t>dispo</t>
  </si>
  <si>
    <t>Momo</t>
  </si>
  <si>
    <t>Bertrand Plancke</t>
  </si>
  <si>
    <t>CRVI</t>
  </si>
  <si>
    <t>Barcelo</t>
  </si>
  <si>
    <t xml:space="preserve">Poli </t>
  </si>
  <si>
    <t>Renucci</t>
  </si>
  <si>
    <t>Mondange</t>
  </si>
  <si>
    <t>JBDP</t>
  </si>
  <si>
    <t>Suzzoni</t>
  </si>
  <si>
    <t xml:space="preserve">autres </t>
  </si>
  <si>
    <t>travaux vignes</t>
  </si>
  <si>
    <t>total</t>
  </si>
  <si>
    <t>prévu</t>
  </si>
  <si>
    <t>nb h</t>
  </si>
  <si>
    <t>nb fag</t>
  </si>
  <si>
    <t>nb fag/h</t>
  </si>
  <si>
    <t>nb fag/ j /personne</t>
  </si>
  <si>
    <t>Aghione</t>
  </si>
  <si>
    <t>Aleria</t>
  </si>
  <si>
    <t>SG</t>
  </si>
  <si>
    <t>VMG viti</t>
  </si>
  <si>
    <t>TOTAL fagots</t>
  </si>
  <si>
    <t>autre</t>
  </si>
  <si>
    <t>travaux vigne</t>
  </si>
  <si>
    <t>TOTAL CDD</t>
  </si>
  <si>
    <t>Fait en 2016</t>
  </si>
  <si>
    <t>Fait en 2015</t>
  </si>
  <si>
    <t>Agh</t>
  </si>
  <si>
    <t>Aler</t>
  </si>
  <si>
    <t>TOTAL</t>
  </si>
  <si>
    <t>janvier</t>
  </si>
  <si>
    <t>fevrier</t>
  </si>
  <si>
    <t>Fait en 2017</t>
  </si>
  <si>
    <t>Geoffrey Plancke</t>
  </si>
  <si>
    <t>papiers</t>
  </si>
  <si>
    <t xml:space="preserve"> + 2 ouvriers</t>
  </si>
  <si>
    <t>autre greffon</t>
  </si>
  <si>
    <t>autres travaux</t>
  </si>
  <si>
    <t>Total</t>
  </si>
  <si>
    <t>Albertini</t>
  </si>
  <si>
    <t>Bourde</t>
  </si>
  <si>
    <t>Total fagots</t>
  </si>
  <si>
    <t xml:space="preserve">TOTAL </t>
  </si>
  <si>
    <t>Organisation de la récolte de greffons 2019</t>
  </si>
  <si>
    <t>Agnès Guilland</t>
  </si>
  <si>
    <t>Patricia Verdat</t>
  </si>
  <si>
    <t>Delphine Jacquemin</t>
  </si>
  <si>
    <t>Fait en 2018</t>
  </si>
  <si>
    <t>En cours 2019</t>
  </si>
  <si>
    <t>Poli Tony</t>
  </si>
  <si>
    <t>Poli Eric</t>
  </si>
  <si>
    <t>Poli T</t>
  </si>
  <si>
    <t>Poli E</t>
  </si>
  <si>
    <t>nb h prévues</t>
  </si>
  <si>
    <t>Anne Romeyer</t>
  </si>
  <si>
    <t>Francesca Vergellati</t>
  </si>
  <si>
    <t>Saisonniers 2019 / greffons</t>
  </si>
  <si>
    <t>A partir du 10 janvier 2019</t>
  </si>
  <si>
    <t>Coralie Kasule</t>
  </si>
  <si>
    <t>Barbara Boryslawska</t>
  </si>
  <si>
    <t>Damien</t>
  </si>
  <si>
    <t>nb fag en cours</t>
  </si>
  <si>
    <t>nb fag prévu</t>
  </si>
  <si>
    <t>ok</t>
  </si>
  <si>
    <t>oui</t>
  </si>
  <si>
    <t>Nicolas Bonnet</t>
  </si>
  <si>
    <t>Clémentine Gambet</t>
  </si>
  <si>
    <t>Stéphane Robert</t>
  </si>
  <si>
    <t>Michel Alram</t>
  </si>
  <si>
    <t>Sophie Fontana</t>
  </si>
  <si>
    <t>autre / crvi</t>
  </si>
  <si>
    <t>autre / greffons</t>
  </si>
  <si>
    <t>Organisation de la récolte de greffons 2020</t>
  </si>
  <si>
    <t>Paul-André Dompietrini</t>
  </si>
  <si>
    <t>Valérie Ginoux</t>
  </si>
  <si>
    <t>Equipe Ghiso / Figari</t>
  </si>
  <si>
    <t>En cours 2020</t>
  </si>
  <si>
    <t>Année</t>
  </si>
  <si>
    <t>nb heures</t>
  </si>
  <si>
    <t>nb fag / h</t>
  </si>
  <si>
    <t>Vigne</t>
  </si>
  <si>
    <t>Étiquettes de lignes</t>
  </si>
  <si>
    <t>Total général</t>
  </si>
  <si>
    <t xml:space="preserve"> nb heures</t>
  </si>
  <si>
    <t xml:space="preserve"> nb fag / h</t>
  </si>
  <si>
    <t>nb fag/j/personne</t>
  </si>
  <si>
    <t xml:space="preserve"> nb fag/j/personne</t>
  </si>
  <si>
    <t xml:space="preserve"> de nb fagots</t>
  </si>
  <si>
    <t>nb h en cours</t>
  </si>
  <si>
    <t>nb h faites</t>
  </si>
  <si>
    <t>Emily Le Berre</t>
  </si>
  <si>
    <t>Aicha Verdier</t>
  </si>
  <si>
    <t>Jasmine Rafoni</t>
  </si>
  <si>
    <t>Jan Jerzi Kielban</t>
  </si>
  <si>
    <t>A</t>
  </si>
  <si>
    <t>B</t>
  </si>
  <si>
    <t>C</t>
  </si>
  <si>
    <t>D</t>
  </si>
  <si>
    <t>somme</t>
  </si>
  <si>
    <t>x</t>
  </si>
  <si>
    <t>y</t>
  </si>
  <si>
    <t>z</t>
  </si>
  <si>
    <t>Résultat au 8/01</t>
  </si>
  <si>
    <t>Résultat au 10/01</t>
  </si>
  <si>
    <t>Tableau 1</t>
  </si>
  <si>
    <t>Tableau 2</t>
  </si>
  <si>
    <t>Je voudrais inscrire une formule (en G15, G16, G17 et G18) qui tienne compte de la date de manière à n'avoir qu'un seul tableau de résultats</t>
  </si>
  <si>
    <t>Lorsque j'ouvrirai le fichier le 10 janvier j'aurai les résultats du tableau 2</t>
  </si>
  <si>
    <t>Par exemple lorsque j'ouvre le fichier le 8 janvier j'ai les résultats du 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</si>
</sst>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\ ##\ ##\ ##\ ##"/>
    <numFmt numFmtId="165" formatCode="dd/mm/yy;@"/>
    <numFmt numFmtId="166" formatCode="0.0"/>
  </numFmts>
  <fonts count="30" x14ac:knownFonts="1">
    <font>
      <sz val="10"/>
      <name val="Arial"/>
      <family val="2"/>
    </font>
    <font>
      <u/>
      <sz val="16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sz val="10"/>
      <color indexed="12"/>
      <name val="Arial"/>
      <family val="2"/>
    </font>
    <font>
      <sz val="12"/>
      <color indexed="17"/>
      <name val="Arial"/>
      <family val="2"/>
    </font>
    <font>
      <strike/>
      <sz val="10"/>
      <name val="Arial"/>
      <family val="2"/>
    </font>
    <font>
      <sz val="9"/>
      <color indexed="8"/>
      <name val="Tahoma"/>
      <family val="2"/>
      <charset val="1"/>
    </font>
    <font>
      <sz val="10"/>
      <name val="Calibri"/>
      <family val="2"/>
    </font>
    <font>
      <b/>
      <sz val="14"/>
      <color indexed="10"/>
      <name val="Calibri"/>
      <family val="2"/>
    </font>
    <font>
      <b/>
      <sz val="10"/>
      <name val="Calibri"/>
      <family val="2"/>
    </font>
    <font>
      <b/>
      <sz val="10"/>
      <color indexed="12"/>
      <name val="Calibri"/>
      <family val="2"/>
    </font>
    <font>
      <sz val="10"/>
      <color indexed="10"/>
      <name val="Calibri"/>
      <family val="2"/>
    </font>
    <font>
      <b/>
      <sz val="10"/>
      <color indexed="10"/>
      <name val="Calibri"/>
      <family val="2"/>
    </font>
    <font>
      <b/>
      <sz val="10"/>
      <color indexed="48"/>
      <name val="Calibri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FF0000"/>
      <name val="Calibri"/>
      <family val="2"/>
    </font>
    <font>
      <sz val="11"/>
      <name val="Calibri"/>
      <family val="2"/>
    </font>
    <font>
      <sz val="10"/>
      <color theme="0" tint="-4.9989318521683403E-2"/>
      <name val="Calibri"/>
      <family val="2"/>
    </font>
    <font>
      <sz val="10"/>
      <color indexed="12"/>
      <name val="Calibri"/>
      <family val="2"/>
    </font>
    <font>
      <sz val="10"/>
      <color rgb="FFFF0000"/>
      <name val="Calibri"/>
      <family val="2"/>
    </font>
    <font>
      <sz val="10"/>
      <color theme="1"/>
      <name val="Arial"/>
      <family val="2"/>
    </font>
    <font>
      <b/>
      <sz val="10"/>
      <color rgb="FFFF0000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6"/>
      <name val="Calibri"/>
      <family val="2"/>
    </font>
    <font>
      <b/>
      <sz val="11"/>
      <color rgb="FFFF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6"/>
        <bgColor indexed="24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11"/>
        <bgColor indexed="3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/>
      <top style="medium">
        <color indexed="64"/>
      </top>
      <bottom style="medium">
        <color indexed="64"/>
      </bottom>
      <diagonal style="medium">
        <color indexed="64"/>
      </diagonal>
    </border>
  </borders>
  <cellStyleXfs count="1">
    <xf numFmtId="0" fontId="0" fillId="0" borderId="0"/>
  </cellStyleXfs>
  <cellXfs count="23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vertical="center"/>
    </xf>
    <xf numFmtId="164" fontId="5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0" fontId="0" fillId="0" borderId="4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5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/>
    <xf numFmtId="0" fontId="11" fillId="2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9" fillId="0" borderId="7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2" fontId="9" fillId="0" borderId="11" xfId="0" applyNumberFormat="1" applyFont="1" applyBorder="1" applyAlignment="1">
      <alignment horizontal="center"/>
    </xf>
    <xf numFmtId="166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2" fontId="9" fillId="0" borderId="8" xfId="0" applyNumberFormat="1" applyFont="1" applyBorder="1" applyAlignment="1">
      <alignment horizontal="center"/>
    </xf>
    <xf numFmtId="2" fontId="14" fillId="0" borderId="8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0" fontId="9" fillId="0" borderId="11" xfId="0" applyFont="1" applyBorder="1"/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2" fontId="9" fillId="0" borderId="13" xfId="0" applyNumberFormat="1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2" fontId="9" fillId="0" borderId="15" xfId="0" applyNumberFormat="1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2" fontId="9" fillId="0" borderId="18" xfId="0" applyNumberFormat="1" applyFont="1" applyBorder="1" applyAlignment="1">
      <alignment horizontal="center"/>
    </xf>
    <xf numFmtId="3" fontId="9" fillId="0" borderId="17" xfId="0" applyNumberFormat="1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166" fontId="15" fillId="0" borderId="0" xfId="0" applyNumberFormat="1" applyFont="1" applyAlignment="1">
      <alignment horizontal="center"/>
    </xf>
    <xf numFmtId="2" fontId="14" fillId="0" borderId="15" xfId="0" applyNumberFormat="1" applyFont="1" applyBorder="1" applyAlignment="1">
      <alignment horizontal="center"/>
    </xf>
    <xf numFmtId="2" fontId="9" fillId="0" borderId="6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9" fillId="11" borderId="0" xfId="0" applyFont="1" applyFill="1" applyAlignment="1">
      <alignment horizontal="center"/>
    </xf>
    <xf numFmtId="0" fontId="12" fillId="9" borderId="0" xfId="0" applyFont="1" applyFill="1" applyAlignment="1">
      <alignment horizontal="center"/>
    </xf>
    <xf numFmtId="0" fontId="9" fillId="10" borderId="0" xfId="0" applyFont="1" applyFill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/>
    </xf>
    <xf numFmtId="2" fontId="9" fillId="0" borderId="25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/>
    <xf numFmtId="0" fontId="9" fillId="0" borderId="18" xfId="0" applyFont="1" applyBorder="1" applyAlignment="1">
      <alignment horizontal="center"/>
    </xf>
    <xf numFmtId="0" fontId="11" fillId="12" borderId="0" xfId="0" applyFont="1" applyFill="1" applyAlignment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0" xfId="0" applyNumberFormat="1" applyFont="1" applyAlignment="1">
      <alignment horizontal="center"/>
    </xf>
    <xf numFmtId="3" fontId="9" fillId="0" borderId="5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9" fillId="0" borderId="0" xfId="0" applyFont="1" applyAlignment="1">
      <alignment horizontal="center"/>
    </xf>
    <xf numFmtId="3" fontId="19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0" fillId="13" borderId="7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 wrapText="1"/>
    </xf>
    <xf numFmtId="0" fontId="0" fillId="13" borderId="14" xfId="0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4" borderId="0" xfId="0" applyFont="1" applyFill="1" applyAlignment="1">
      <alignment horizontal="center"/>
    </xf>
    <xf numFmtId="2" fontId="20" fillId="0" borderId="25" xfId="0" applyNumberFormat="1" applyFont="1" applyBorder="1" applyAlignment="1">
      <alignment horizontal="center" vertical="center"/>
    </xf>
    <xf numFmtId="0" fontId="9" fillId="14" borderId="0" xfId="0" applyFont="1" applyFill="1" applyAlignment="1">
      <alignment horizontal="center"/>
    </xf>
    <xf numFmtId="49" fontId="0" fillId="0" borderId="0" xfId="0" applyNumberFormat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2" fontId="20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0" fillId="15" borderId="7" xfId="0" applyFill="1" applyBorder="1" applyAlignment="1">
      <alignment horizontal="center" vertical="center"/>
    </xf>
    <xf numFmtId="1" fontId="9" fillId="0" borderId="22" xfId="0" applyNumberFormat="1" applyFont="1" applyBorder="1" applyAlignment="1">
      <alignment horizontal="center"/>
    </xf>
    <xf numFmtId="166" fontId="9" fillId="11" borderId="0" xfId="0" applyNumberFormat="1" applyFont="1" applyFill="1" applyAlignment="1">
      <alignment horizontal="center"/>
    </xf>
    <xf numFmtId="166" fontId="9" fillId="11" borderId="0" xfId="0" applyNumberFormat="1" applyFont="1" applyFill="1" applyAlignment="1">
      <alignment horizontal="center" vertical="center"/>
    </xf>
    <xf numFmtId="2" fontId="21" fillId="0" borderId="15" xfId="0" applyNumberFormat="1" applyFont="1" applyBorder="1" applyAlignment="1">
      <alignment horizontal="center"/>
    </xf>
    <xf numFmtId="166" fontId="21" fillId="11" borderId="0" xfId="0" applyNumberFormat="1" applyFont="1" applyFill="1" applyAlignment="1">
      <alignment horizontal="center"/>
    </xf>
    <xf numFmtId="0" fontId="9" fillId="6" borderId="15" xfId="0" applyFont="1" applyFill="1" applyBorder="1" applyAlignment="1">
      <alignment horizontal="center"/>
    </xf>
    <xf numFmtId="0" fontId="9" fillId="11" borderId="14" xfId="0" applyFont="1" applyFill="1" applyBorder="1" applyAlignment="1">
      <alignment horizontal="center"/>
    </xf>
    <xf numFmtId="0" fontId="9" fillId="11" borderId="15" xfId="0" applyFont="1" applyFill="1" applyBorder="1" applyAlignment="1">
      <alignment horizontal="center"/>
    </xf>
    <xf numFmtId="0" fontId="9" fillId="8" borderId="15" xfId="0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7" borderId="15" xfId="0" applyFont="1" applyFill="1" applyBorder="1" applyAlignment="1">
      <alignment horizontal="center"/>
    </xf>
    <xf numFmtId="0" fontId="9" fillId="14" borderId="15" xfId="0" applyFont="1" applyFill="1" applyBorder="1" applyAlignment="1">
      <alignment horizontal="center"/>
    </xf>
    <xf numFmtId="0" fontId="9" fillId="10" borderId="14" xfId="0" applyFont="1" applyFill="1" applyBorder="1" applyAlignment="1">
      <alignment horizontal="center"/>
    </xf>
    <xf numFmtId="0" fontId="9" fillId="6" borderId="14" xfId="0" applyFont="1" applyFill="1" applyBorder="1" applyAlignment="1">
      <alignment horizontal="center"/>
    </xf>
    <xf numFmtId="0" fontId="9" fillId="8" borderId="14" xfId="0" applyFont="1" applyFill="1" applyBorder="1" applyAlignment="1">
      <alignment horizontal="center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165" fontId="9" fillId="11" borderId="0" xfId="0" applyNumberFormat="1" applyFont="1" applyFill="1" applyAlignment="1">
      <alignment horizontal="center"/>
    </xf>
    <xf numFmtId="0" fontId="9" fillId="7" borderId="14" xfId="0" applyFont="1" applyFill="1" applyBorder="1" applyAlignment="1">
      <alignment horizontal="center"/>
    </xf>
    <xf numFmtId="0" fontId="9" fillId="14" borderId="14" xfId="0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9" fillId="11" borderId="29" xfId="0" applyFont="1" applyFill="1" applyBorder="1" applyAlignment="1">
      <alignment horizont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5" fontId="9" fillId="16" borderId="7" xfId="0" applyNumberFormat="1" applyFont="1" applyFill="1" applyBorder="1" applyAlignment="1">
      <alignment horizontal="center" vertical="center"/>
    </xf>
    <xf numFmtId="0" fontId="9" fillId="16" borderId="0" xfId="0" applyFont="1" applyFill="1" applyAlignment="1">
      <alignment horizontal="center"/>
    </xf>
    <xf numFmtId="0" fontId="9" fillId="16" borderId="14" xfId="0" applyFont="1" applyFill="1" applyBorder="1" applyAlignment="1">
      <alignment horizontal="center"/>
    </xf>
    <xf numFmtId="0" fontId="0" fillId="16" borderId="0" xfId="0" applyFill="1" applyAlignment="1">
      <alignment horizontal="center"/>
    </xf>
    <xf numFmtId="0" fontId="9" fillId="16" borderId="15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9" fillId="11" borderId="0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16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2" fontId="24" fillId="0" borderId="0" xfId="0" applyNumberFormat="1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 vertical="center"/>
    </xf>
    <xf numFmtId="1" fontId="24" fillId="0" borderId="0" xfId="0" applyNumberFormat="1" applyFont="1" applyFill="1" applyBorder="1" applyAlignment="1">
      <alignment horizontal="center" vertical="center"/>
    </xf>
    <xf numFmtId="0" fontId="0" fillId="0" borderId="0" xfId="0" pivotButton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2" fontId="11" fillId="0" borderId="18" xfId="0" applyNumberFormat="1" applyFont="1" applyBorder="1" applyAlignment="1">
      <alignment horizontal="center"/>
    </xf>
    <xf numFmtId="3" fontId="11" fillId="0" borderId="0" xfId="0" applyNumberFormat="1" applyFont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1" fontId="25" fillId="0" borderId="0" xfId="0" applyNumberFormat="1" applyFont="1" applyAlignment="1">
      <alignment horizontal="center"/>
    </xf>
    <xf numFmtId="0" fontId="9" fillId="1" borderId="0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2" fillId="17" borderId="28" xfId="0" applyFont="1" applyFill="1" applyBorder="1" applyAlignment="1">
      <alignment horizontal="center"/>
    </xf>
    <xf numFmtId="0" fontId="2" fillId="18" borderId="28" xfId="0" applyFont="1" applyFill="1" applyBorder="1" applyAlignment="1">
      <alignment horizontal="center"/>
    </xf>
    <xf numFmtId="0" fontId="11" fillId="12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11" fillId="14" borderId="0" xfId="0" applyFont="1" applyFill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14" borderId="21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/>
    </xf>
    <xf numFmtId="0" fontId="11" fillId="10" borderId="0" xfId="0" applyFont="1" applyFill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7" fillId="12" borderId="0" xfId="0" applyFont="1" applyFill="1" applyAlignment="1">
      <alignment horizontal="center" vertical="center" wrapText="1"/>
    </xf>
    <xf numFmtId="0" fontId="27" fillId="3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7" fillId="5" borderId="0" xfId="0" applyFont="1" applyFill="1" applyAlignment="1">
      <alignment horizontal="center" vertical="center" wrapText="1"/>
    </xf>
    <xf numFmtId="0" fontId="28" fillId="12" borderId="0" xfId="0" applyFont="1" applyFill="1" applyAlignment="1">
      <alignment horizontal="center" vertical="center" wrapText="1"/>
    </xf>
    <xf numFmtId="0" fontId="28" fillId="3" borderId="0" xfId="0" applyFont="1" applyFill="1" applyAlignment="1">
      <alignment horizontal="center" vertical="center" wrapText="1"/>
    </xf>
    <xf numFmtId="0" fontId="28" fillId="4" borderId="0" xfId="0" applyFont="1" applyFill="1" applyAlignment="1">
      <alignment horizontal="center" vertical="center" wrapText="1"/>
    </xf>
    <xf numFmtId="0" fontId="28" fillId="5" borderId="0" xfId="0" applyFont="1" applyFill="1" applyAlignment="1">
      <alignment horizontal="center" vertical="center" wrapText="1"/>
    </xf>
    <xf numFmtId="0" fontId="27" fillId="5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14" fontId="9" fillId="0" borderId="15" xfId="0" applyNumberFormat="1" applyFont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9" fillId="4" borderId="14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/>
    </xf>
    <xf numFmtId="0" fontId="26" fillId="0" borderId="20" xfId="0" applyFont="1" applyBorder="1" applyAlignment="1">
      <alignment horizontal="center"/>
    </xf>
    <xf numFmtId="0" fontId="26" fillId="0" borderId="22" xfId="0" applyFont="1" applyBorder="1" applyAlignment="1">
      <alignment horizontal="center"/>
    </xf>
    <xf numFmtId="0" fontId="29" fillId="0" borderId="0" xfId="0" applyFont="1" applyAlignment="1">
      <alignment horizontal="left"/>
    </xf>
  </cellXfs>
  <cellStyles count="1">
    <cellStyle name="Normal" xfId="0" builtinId="0"/>
  </cellStyles>
  <dxfs count="274"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numFmt numFmtId="1" formatCode="0"/>
    </dxf>
    <dxf>
      <numFmt numFmtId="1" formatCode="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[formule date.xlsx]TCD!Tableau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 nb heures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TCD!$A$2:$A$56</c:f>
              <c:multiLvlStrCache>
                <c:ptCount val="46"/>
                <c:lvl>
                  <c:pt idx="0">
                    <c:v>2015</c:v>
                  </c:pt>
                  <c:pt idx="1">
                    <c:v>2016</c:v>
                  </c:pt>
                  <c:pt idx="2">
                    <c:v>2017</c:v>
                  </c:pt>
                  <c:pt idx="3">
                    <c:v>2018</c:v>
                  </c:pt>
                  <c:pt idx="4">
                    <c:v>2019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2015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  <c:pt idx="15">
                    <c:v>2019</c:v>
                  </c:pt>
                  <c:pt idx="16">
                    <c:v>2020</c:v>
                  </c:pt>
                  <c:pt idx="17">
                    <c:v>2015</c:v>
                  </c:pt>
                  <c:pt idx="18">
                    <c:v>2016</c:v>
                  </c:pt>
                  <c:pt idx="19">
                    <c:v>2017</c:v>
                  </c:pt>
                  <c:pt idx="20">
                    <c:v>2018</c:v>
                  </c:pt>
                  <c:pt idx="21">
                    <c:v>2019</c:v>
                  </c:pt>
                  <c:pt idx="22">
                    <c:v>2020</c:v>
                  </c:pt>
                  <c:pt idx="23">
                    <c:v>2015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2019</c:v>
                  </c:pt>
                  <c:pt idx="28">
                    <c:v>2020</c:v>
                  </c:pt>
                  <c:pt idx="29">
                    <c:v>2015</c:v>
                  </c:pt>
                  <c:pt idx="30">
                    <c:v>2016</c:v>
                  </c:pt>
                  <c:pt idx="31">
                    <c:v>2017</c:v>
                  </c:pt>
                  <c:pt idx="32">
                    <c:v>2018</c:v>
                  </c:pt>
                  <c:pt idx="33">
                    <c:v>2019</c:v>
                  </c:pt>
                  <c:pt idx="34">
                    <c:v>2015</c:v>
                  </c:pt>
                  <c:pt idx="35">
                    <c:v>2016</c:v>
                  </c:pt>
                  <c:pt idx="36">
                    <c:v>2017</c:v>
                  </c:pt>
                  <c:pt idx="37">
                    <c:v>2018</c:v>
                  </c:pt>
                  <c:pt idx="38">
                    <c:v>2019</c:v>
                  </c:pt>
                  <c:pt idx="39">
                    <c:v>2020</c:v>
                  </c:pt>
                  <c:pt idx="40">
                    <c:v>2015</c:v>
                  </c:pt>
                  <c:pt idx="41">
                    <c:v>2016</c:v>
                  </c:pt>
                  <c:pt idx="42">
                    <c:v>2017</c:v>
                  </c:pt>
                  <c:pt idx="43">
                    <c:v>2018</c:v>
                  </c:pt>
                  <c:pt idx="44">
                    <c:v>2019</c:v>
                  </c:pt>
                  <c:pt idx="45">
                    <c:v>2020</c:v>
                  </c:pt>
                </c:lvl>
                <c:lvl>
                  <c:pt idx="0">
                    <c:v>Barcelo</c:v>
                  </c:pt>
                  <c:pt idx="5">
                    <c:v>CRVI</c:v>
                  </c:pt>
                  <c:pt idx="11">
                    <c:v>JBDP</c:v>
                  </c:pt>
                  <c:pt idx="17">
                    <c:v>Mondange</c:v>
                  </c:pt>
                  <c:pt idx="23">
                    <c:v>Poli E</c:v>
                  </c:pt>
                  <c:pt idx="29">
                    <c:v>Poli T</c:v>
                  </c:pt>
                  <c:pt idx="34">
                    <c:v>Renucci</c:v>
                  </c:pt>
                  <c:pt idx="40">
                    <c:v>Suzzoni</c:v>
                  </c:pt>
                </c:lvl>
              </c:multiLvlStrCache>
            </c:multiLvlStrRef>
          </c:cat>
          <c:val>
            <c:numRef>
              <c:f>TCD!$B$2:$B$56</c:f>
              <c:numCache>
                <c:formatCode>0</c:formatCode>
                <c:ptCount val="46"/>
                <c:pt idx="0">
                  <c:v>469</c:v>
                </c:pt>
                <c:pt idx="1">
                  <c:v>272</c:v>
                </c:pt>
                <c:pt idx="2">
                  <c:v>191</c:v>
                </c:pt>
                <c:pt idx="3">
                  <c:v>147</c:v>
                </c:pt>
                <c:pt idx="5">
                  <c:v>712</c:v>
                </c:pt>
                <c:pt idx="6">
                  <c:v>894</c:v>
                </c:pt>
                <c:pt idx="7">
                  <c:v>829</c:v>
                </c:pt>
                <c:pt idx="8">
                  <c:v>585</c:v>
                </c:pt>
                <c:pt idx="9">
                  <c:v>632</c:v>
                </c:pt>
                <c:pt idx="13">
                  <c:v>67</c:v>
                </c:pt>
                <c:pt idx="14">
                  <c:v>110</c:v>
                </c:pt>
                <c:pt idx="15">
                  <c:v>112</c:v>
                </c:pt>
                <c:pt idx="19">
                  <c:v>157</c:v>
                </c:pt>
                <c:pt idx="20">
                  <c:v>222.5</c:v>
                </c:pt>
                <c:pt idx="21">
                  <c:v>405.5</c:v>
                </c:pt>
                <c:pt idx="27">
                  <c:v>106.5</c:v>
                </c:pt>
                <c:pt idx="29">
                  <c:v>168</c:v>
                </c:pt>
                <c:pt idx="30">
                  <c:v>236.5</c:v>
                </c:pt>
                <c:pt idx="31">
                  <c:v>177</c:v>
                </c:pt>
                <c:pt idx="32">
                  <c:v>28</c:v>
                </c:pt>
                <c:pt idx="36">
                  <c:v>84</c:v>
                </c:pt>
                <c:pt idx="37">
                  <c:v>171.5</c:v>
                </c:pt>
                <c:pt idx="38">
                  <c:v>70</c:v>
                </c:pt>
                <c:pt idx="39">
                  <c:v>194</c:v>
                </c:pt>
                <c:pt idx="42">
                  <c:v>195</c:v>
                </c:pt>
                <c:pt idx="43">
                  <c:v>150</c:v>
                </c:pt>
                <c:pt idx="44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1A-4629-A06A-3580C76E3ABA}"/>
            </c:ext>
          </c:extLst>
        </c:ser>
        <c:ser>
          <c:idx val="1"/>
          <c:order val="1"/>
          <c:tx>
            <c:strRef>
              <c:f>TCD!$C$1</c:f>
              <c:strCache>
                <c:ptCount val="1"/>
                <c:pt idx="0">
                  <c:v> de nb fagots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TCD!$A$2:$A$56</c:f>
              <c:multiLvlStrCache>
                <c:ptCount val="46"/>
                <c:lvl>
                  <c:pt idx="0">
                    <c:v>2015</c:v>
                  </c:pt>
                  <c:pt idx="1">
                    <c:v>2016</c:v>
                  </c:pt>
                  <c:pt idx="2">
                    <c:v>2017</c:v>
                  </c:pt>
                  <c:pt idx="3">
                    <c:v>2018</c:v>
                  </c:pt>
                  <c:pt idx="4">
                    <c:v>2019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2015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  <c:pt idx="15">
                    <c:v>2019</c:v>
                  </c:pt>
                  <c:pt idx="16">
                    <c:v>2020</c:v>
                  </c:pt>
                  <c:pt idx="17">
                    <c:v>2015</c:v>
                  </c:pt>
                  <c:pt idx="18">
                    <c:v>2016</c:v>
                  </c:pt>
                  <c:pt idx="19">
                    <c:v>2017</c:v>
                  </c:pt>
                  <c:pt idx="20">
                    <c:v>2018</c:v>
                  </c:pt>
                  <c:pt idx="21">
                    <c:v>2019</c:v>
                  </c:pt>
                  <c:pt idx="22">
                    <c:v>2020</c:v>
                  </c:pt>
                  <c:pt idx="23">
                    <c:v>2015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2019</c:v>
                  </c:pt>
                  <c:pt idx="28">
                    <c:v>2020</c:v>
                  </c:pt>
                  <c:pt idx="29">
                    <c:v>2015</c:v>
                  </c:pt>
                  <c:pt idx="30">
                    <c:v>2016</c:v>
                  </c:pt>
                  <c:pt idx="31">
                    <c:v>2017</c:v>
                  </c:pt>
                  <c:pt idx="32">
                    <c:v>2018</c:v>
                  </c:pt>
                  <c:pt idx="33">
                    <c:v>2019</c:v>
                  </c:pt>
                  <c:pt idx="34">
                    <c:v>2015</c:v>
                  </c:pt>
                  <c:pt idx="35">
                    <c:v>2016</c:v>
                  </c:pt>
                  <c:pt idx="36">
                    <c:v>2017</c:v>
                  </c:pt>
                  <c:pt idx="37">
                    <c:v>2018</c:v>
                  </c:pt>
                  <c:pt idx="38">
                    <c:v>2019</c:v>
                  </c:pt>
                  <c:pt idx="39">
                    <c:v>2020</c:v>
                  </c:pt>
                  <c:pt idx="40">
                    <c:v>2015</c:v>
                  </c:pt>
                  <c:pt idx="41">
                    <c:v>2016</c:v>
                  </c:pt>
                  <c:pt idx="42">
                    <c:v>2017</c:v>
                  </c:pt>
                  <c:pt idx="43">
                    <c:v>2018</c:v>
                  </c:pt>
                  <c:pt idx="44">
                    <c:v>2019</c:v>
                  </c:pt>
                  <c:pt idx="45">
                    <c:v>2020</c:v>
                  </c:pt>
                </c:lvl>
                <c:lvl>
                  <c:pt idx="0">
                    <c:v>Barcelo</c:v>
                  </c:pt>
                  <c:pt idx="5">
                    <c:v>CRVI</c:v>
                  </c:pt>
                  <c:pt idx="11">
                    <c:v>JBDP</c:v>
                  </c:pt>
                  <c:pt idx="17">
                    <c:v>Mondange</c:v>
                  </c:pt>
                  <c:pt idx="23">
                    <c:v>Poli E</c:v>
                  </c:pt>
                  <c:pt idx="29">
                    <c:v>Poli T</c:v>
                  </c:pt>
                  <c:pt idx="34">
                    <c:v>Renucci</c:v>
                  </c:pt>
                  <c:pt idx="40">
                    <c:v>Suzzoni</c:v>
                  </c:pt>
                </c:lvl>
              </c:multiLvlStrCache>
            </c:multiLvlStrRef>
          </c:cat>
          <c:val>
            <c:numRef>
              <c:f>TCD!$C$2:$C$56</c:f>
              <c:numCache>
                <c:formatCode>0</c:formatCode>
                <c:ptCount val="46"/>
                <c:pt idx="0">
                  <c:v>379</c:v>
                </c:pt>
                <c:pt idx="1">
                  <c:v>266</c:v>
                </c:pt>
                <c:pt idx="2">
                  <c:v>175</c:v>
                </c:pt>
                <c:pt idx="3">
                  <c:v>153</c:v>
                </c:pt>
                <c:pt idx="5">
                  <c:v>842</c:v>
                </c:pt>
                <c:pt idx="6">
                  <c:v>907</c:v>
                </c:pt>
                <c:pt idx="7">
                  <c:v>670</c:v>
                </c:pt>
                <c:pt idx="8">
                  <c:v>574</c:v>
                </c:pt>
                <c:pt idx="9">
                  <c:v>524</c:v>
                </c:pt>
                <c:pt idx="13">
                  <c:v>27</c:v>
                </c:pt>
                <c:pt idx="14">
                  <c:v>62</c:v>
                </c:pt>
                <c:pt idx="15">
                  <c:v>98</c:v>
                </c:pt>
                <c:pt idx="19">
                  <c:v>130</c:v>
                </c:pt>
                <c:pt idx="20">
                  <c:v>212</c:v>
                </c:pt>
                <c:pt idx="21">
                  <c:v>336</c:v>
                </c:pt>
                <c:pt idx="27">
                  <c:v>54</c:v>
                </c:pt>
                <c:pt idx="29">
                  <c:v>121</c:v>
                </c:pt>
                <c:pt idx="30">
                  <c:v>215</c:v>
                </c:pt>
                <c:pt idx="31">
                  <c:v>174</c:v>
                </c:pt>
                <c:pt idx="32">
                  <c:v>26</c:v>
                </c:pt>
                <c:pt idx="36">
                  <c:v>58</c:v>
                </c:pt>
                <c:pt idx="37">
                  <c:v>152</c:v>
                </c:pt>
                <c:pt idx="38">
                  <c:v>68</c:v>
                </c:pt>
                <c:pt idx="39">
                  <c:v>146</c:v>
                </c:pt>
                <c:pt idx="42">
                  <c:v>132</c:v>
                </c:pt>
                <c:pt idx="43">
                  <c:v>104</c:v>
                </c:pt>
                <c:pt idx="44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1A-4629-A06A-3580C76E3A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42620152"/>
        <c:axId val="440222640"/>
      </c:barChart>
      <c:lineChart>
        <c:grouping val="standard"/>
        <c:varyColors val="0"/>
        <c:ser>
          <c:idx val="2"/>
          <c:order val="2"/>
          <c:tx>
            <c:strRef>
              <c:f>TCD!$D$1</c:f>
              <c:strCache>
                <c:ptCount val="1"/>
                <c:pt idx="0">
                  <c:v> nb fag / h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TCD!$A$2:$A$56</c:f>
              <c:multiLvlStrCache>
                <c:ptCount val="46"/>
                <c:lvl>
                  <c:pt idx="0">
                    <c:v>2015</c:v>
                  </c:pt>
                  <c:pt idx="1">
                    <c:v>2016</c:v>
                  </c:pt>
                  <c:pt idx="2">
                    <c:v>2017</c:v>
                  </c:pt>
                  <c:pt idx="3">
                    <c:v>2018</c:v>
                  </c:pt>
                  <c:pt idx="4">
                    <c:v>2019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2015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  <c:pt idx="15">
                    <c:v>2019</c:v>
                  </c:pt>
                  <c:pt idx="16">
                    <c:v>2020</c:v>
                  </c:pt>
                  <c:pt idx="17">
                    <c:v>2015</c:v>
                  </c:pt>
                  <c:pt idx="18">
                    <c:v>2016</c:v>
                  </c:pt>
                  <c:pt idx="19">
                    <c:v>2017</c:v>
                  </c:pt>
                  <c:pt idx="20">
                    <c:v>2018</c:v>
                  </c:pt>
                  <c:pt idx="21">
                    <c:v>2019</c:v>
                  </c:pt>
                  <c:pt idx="22">
                    <c:v>2020</c:v>
                  </c:pt>
                  <c:pt idx="23">
                    <c:v>2015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2019</c:v>
                  </c:pt>
                  <c:pt idx="28">
                    <c:v>2020</c:v>
                  </c:pt>
                  <c:pt idx="29">
                    <c:v>2015</c:v>
                  </c:pt>
                  <c:pt idx="30">
                    <c:v>2016</c:v>
                  </c:pt>
                  <c:pt idx="31">
                    <c:v>2017</c:v>
                  </c:pt>
                  <c:pt idx="32">
                    <c:v>2018</c:v>
                  </c:pt>
                  <c:pt idx="33">
                    <c:v>2019</c:v>
                  </c:pt>
                  <c:pt idx="34">
                    <c:v>2015</c:v>
                  </c:pt>
                  <c:pt idx="35">
                    <c:v>2016</c:v>
                  </c:pt>
                  <c:pt idx="36">
                    <c:v>2017</c:v>
                  </c:pt>
                  <c:pt idx="37">
                    <c:v>2018</c:v>
                  </c:pt>
                  <c:pt idx="38">
                    <c:v>2019</c:v>
                  </c:pt>
                  <c:pt idx="39">
                    <c:v>2020</c:v>
                  </c:pt>
                  <c:pt idx="40">
                    <c:v>2015</c:v>
                  </c:pt>
                  <c:pt idx="41">
                    <c:v>2016</c:v>
                  </c:pt>
                  <c:pt idx="42">
                    <c:v>2017</c:v>
                  </c:pt>
                  <c:pt idx="43">
                    <c:v>2018</c:v>
                  </c:pt>
                  <c:pt idx="44">
                    <c:v>2019</c:v>
                  </c:pt>
                  <c:pt idx="45">
                    <c:v>2020</c:v>
                  </c:pt>
                </c:lvl>
                <c:lvl>
                  <c:pt idx="0">
                    <c:v>Barcelo</c:v>
                  </c:pt>
                  <c:pt idx="5">
                    <c:v>CRVI</c:v>
                  </c:pt>
                  <c:pt idx="11">
                    <c:v>JBDP</c:v>
                  </c:pt>
                  <c:pt idx="17">
                    <c:v>Mondange</c:v>
                  </c:pt>
                  <c:pt idx="23">
                    <c:v>Poli E</c:v>
                  </c:pt>
                  <c:pt idx="29">
                    <c:v>Poli T</c:v>
                  </c:pt>
                  <c:pt idx="34">
                    <c:v>Renucci</c:v>
                  </c:pt>
                  <c:pt idx="40">
                    <c:v>Suzzoni</c:v>
                  </c:pt>
                </c:lvl>
              </c:multiLvlStrCache>
            </c:multiLvlStrRef>
          </c:cat>
          <c:val>
            <c:numRef>
              <c:f>TCD!$D$2:$D$56</c:f>
              <c:numCache>
                <c:formatCode>0.00</c:formatCode>
                <c:ptCount val="46"/>
                <c:pt idx="0">
                  <c:v>0.8081023454157783</c:v>
                </c:pt>
                <c:pt idx="1">
                  <c:v>0.9779411764705882</c:v>
                </c:pt>
                <c:pt idx="2">
                  <c:v>0.91623036649214662</c:v>
                </c:pt>
                <c:pt idx="3">
                  <c:v>1.0408163265306123</c:v>
                </c:pt>
                <c:pt idx="5">
                  <c:v>1.1825842696629214</c:v>
                </c:pt>
                <c:pt idx="6">
                  <c:v>1.0145413870246085</c:v>
                </c:pt>
                <c:pt idx="7">
                  <c:v>0.80820265379975875</c:v>
                </c:pt>
                <c:pt idx="8">
                  <c:v>0.98119658119658115</c:v>
                </c:pt>
                <c:pt idx="9">
                  <c:v>0.82911392405063289</c:v>
                </c:pt>
                <c:pt idx="13">
                  <c:v>0.40298507462686567</c:v>
                </c:pt>
                <c:pt idx="14">
                  <c:v>0.5636363636363636</c:v>
                </c:pt>
                <c:pt idx="15">
                  <c:v>0.875</c:v>
                </c:pt>
                <c:pt idx="19">
                  <c:v>0.82802547770700641</c:v>
                </c:pt>
                <c:pt idx="20">
                  <c:v>0.95280898876404496</c:v>
                </c:pt>
                <c:pt idx="21">
                  <c:v>0.8286066584463625</c:v>
                </c:pt>
                <c:pt idx="27">
                  <c:v>0.50704225352112675</c:v>
                </c:pt>
                <c:pt idx="29">
                  <c:v>0.72023809523809523</c:v>
                </c:pt>
                <c:pt idx="30">
                  <c:v>0.90909090909090906</c:v>
                </c:pt>
                <c:pt idx="31">
                  <c:v>0.98305084745762716</c:v>
                </c:pt>
                <c:pt idx="32">
                  <c:v>0.9285714285714286</c:v>
                </c:pt>
                <c:pt idx="36">
                  <c:v>0.69047619047619047</c:v>
                </c:pt>
                <c:pt idx="37">
                  <c:v>0.88629737609329451</c:v>
                </c:pt>
                <c:pt idx="38">
                  <c:v>0.97142857142857142</c:v>
                </c:pt>
                <c:pt idx="39">
                  <c:v>0.75257731958762886</c:v>
                </c:pt>
                <c:pt idx="42">
                  <c:v>0.67692307692307696</c:v>
                </c:pt>
                <c:pt idx="43">
                  <c:v>0.69333333333333336</c:v>
                </c:pt>
                <c:pt idx="44">
                  <c:v>0.7142857142857143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1A-4629-A06A-3580C76E3ABA}"/>
            </c:ext>
          </c:extLst>
        </c:ser>
        <c:ser>
          <c:idx val="3"/>
          <c:order val="3"/>
          <c:tx>
            <c:strRef>
              <c:f>TCD!$E$1</c:f>
              <c:strCache>
                <c:ptCount val="1"/>
                <c:pt idx="0">
                  <c:v> nb fag/j/personne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TCD!$A$2:$A$56</c:f>
              <c:multiLvlStrCache>
                <c:ptCount val="46"/>
                <c:lvl>
                  <c:pt idx="0">
                    <c:v>2015</c:v>
                  </c:pt>
                  <c:pt idx="1">
                    <c:v>2016</c:v>
                  </c:pt>
                  <c:pt idx="2">
                    <c:v>2017</c:v>
                  </c:pt>
                  <c:pt idx="3">
                    <c:v>2018</c:v>
                  </c:pt>
                  <c:pt idx="4">
                    <c:v>2019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2015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  <c:pt idx="15">
                    <c:v>2019</c:v>
                  </c:pt>
                  <c:pt idx="16">
                    <c:v>2020</c:v>
                  </c:pt>
                  <c:pt idx="17">
                    <c:v>2015</c:v>
                  </c:pt>
                  <c:pt idx="18">
                    <c:v>2016</c:v>
                  </c:pt>
                  <c:pt idx="19">
                    <c:v>2017</c:v>
                  </c:pt>
                  <c:pt idx="20">
                    <c:v>2018</c:v>
                  </c:pt>
                  <c:pt idx="21">
                    <c:v>2019</c:v>
                  </c:pt>
                  <c:pt idx="22">
                    <c:v>2020</c:v>
                  </c:pt>
                  <c:pt idx="23">
                    <c:v>2015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2019</c:v>
                  </c:pt>
                  <c:pt idx="28">
                    <c:v>2020</c:v>
                  </c:pt>
                  <c:pt idx="29">
                    <c:v>2015</c:v>
                  </c:pt>
                  <c:pt idx="30">
                    <c:v>2016</c:v>
                  </c:pt>
                  <c:pt idx="31">
                    <c:v>2017</c:v>
                  </c:pt>
                  <c:pt idx="32">
                    <c:v>2018</c:v>
                  </c:pt>
                  <c:pt idx="33">
                    <c:v>2019</c:v>
                  </c:pt>
                  <c:pt idx="34">
                    <c:v>2015</c:v>
                  </c:pt>
                  <c:pt idx="35">
                    <c:v>2016</c:v>
                  </c:pt>
                  <c:pt idx="36">
                    <c:v>2017</c:v>
                  </c:pt>
                  <c:pt idx="37">
                    <c:v>2018</c:v>
                  </c:pt>
                  <c:pt idx="38">
                    <c:v>2019</c:v>
                  </c:pt>
                  <c:pt idx="39">
                    <c:v>2020</c:v>
                  </c:pt>
                  <c:pt idx="40">
                    <c:v>2015</c:v>
                  </c:pt>
                  <c:pt idx="41">
                    <c:v>2016</c:v>
                  </c:pt>
                  <c:pt idx="42">
                    <c:v>2017</c:v>
                  </c:pt>
                  <c:pt idx="43">
                    <c:v>2018</c:v>
                  </c:pt>
                  <c:pt idx="44">
                    <c:v>2019</c:v>
                  </c:pt>
                  <c:pt idx="45">
                    <c:v>2020</c:v>
                  </c:pt>
                </c:lvl>
                <c:lvl>
                  <c:pt idx="0">
                    <c:v>Barcelo</c:v>
                  </c:pt>
                  <c:pt idx="5">
                    <c:v>CRVI</c:v>
                  </c:pt>
                  <c:pt idx="11">
                    <c:v>JBDP</c:v>
                  </c:pt>
                  <c:pt idx="17">
                    <c:v>Mondange</c:v>
                  </c:pt>
                  <c:pt idx="23">
                    <c:v>Poli E</c:v>
                  </c:pt>
                  <c:pt idx="29">
                    <c:v>Poli T</c:v>
                  </c:pt>
                  <c:pt idx="34">
                    <c:v>Renucci</c:v>
                  </c:pt>
                  <c:pt idx="40">
                    <c:v>Suzzoni</c:v>
                  </c:pt>
                </c:lvl>
              </c:multiLvlStrCache>
            </c:multiLvlStrRef>
          </c:cat>
          <c:val>
            <c:numRef>
              <c:f>TCD!$E$2:$E$56</c:f>
              <c:numCache>
                <c:formatCode>0.0</c:formatCode>
                <c:ptCount val="46"/>
                <c:pt idx="0">
                  <c:v>5.6567164179104479</c:v>
                </c:pt>
                <c:pt idx="1">
                  <c:v>6.8455882352941178</c:v>
                </c:pt>
                <c:pt idx="2">
                  <c:v>6.4136125654450264</c:v>
                </c:pt>
                <c:pt idx="3">
                  <c:v>7.2857142857142865</c:v>
                </c:pt>
                <c:pt idx="5">
                  <c:v>8.2780898876404496</c:v>
                </c:pt>
                <c:pt idx="6">
                  <c:v>7.1017897091722597</c:v>
                </c:pt>
                <c:pt idx="7">
                  <c:v>5.6574185765983112</c:v>
                </c:pt>
                <c:pt idx="8">
                  <c:v>6.868376068376068</c:v>
                </c:pt>
                <c:pt idx="9">
                  <c:v>5.8037974683544302</c:v>
                </c:pt>
                <c:pt idx="13">
                  <c:v>2.8208955223880596</c:v>
                </c:pt>
                <c:pt idx="14">
                  <c:v>3.9454545454545453</c:v>
                </c:pt>
                <c:pt idx="15">
                  <c:v>6.125</c:v>
                </c:pt>
                <c:pt idx="19">
                  <c:v>5.7961783439490446</c:v>
                </c:pt>
                <c:pt idx="20">
                  <c:v>6.6696629213483147</c:v>
                </c:pt>
                <c:pt idx="21">
                  <c:v>5.800246609124537</c:v>
                </c:pt>
                <c:pt idx="27">
                  <c:v>3.549295774647887</c:v>
                </c:pt>
                <c:pt idx="29">
                  <c:v>5.041666666666667</c:v>
                </c:pt>
                <c:pt idx="30">
                  <c:v>6.3636363636363633</c:v>
                </c:pt>
                <c:pt idx="31">
                  <c:v>6.8813559322033901</c:v>
                </c:pt>
                <c:pt idx="32">
                  <c:v>6.5</c:v>
                </c:pt>
                <c:pt idx="36">
                  <c:v>4.833333333333333</c:v>
                </c:pt>
                <c:pt idx="37">
                  <c:v>6.2040816326530619</c:v>
                </c:pt>
                <c:pt idx="38">
                  <c:v>6.8</c:v>
                </c:pt>
                <c:pt idx="39">
                  <c:v>5.268041237113402</c:v>
                </c:pt>
                <c:pt idx="42">
                  <c:v>4.7384615384615385</c:v>
                </c:pt>
                <c:pt idx="43">
                  <c:v>4.8533333333333335</c:v>
                </c:pt>
                <c:pt idx="44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C1A-4629-A06A-3580C76E3A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6150304"/>
        <c:axId val="432434224"/>
      </c:lineChart>
      <c:catAx>
        <c:axId val="442620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222640"/>
        <c:crosses val="autoZero"/>
        <c:auto val="1"/>
        <c:lblAlgn val="ctr"/>
        <c:lblOffset val="100"/>
        <c:noMultiLvlLbl val="0"/>
      </c:catAx>
      <c:valAx>
        <c:axId val="440222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2620152"/>
        <c:crosses val="autoZero"/>
        <c:crossBetween val="between"/>
      </c:valAx>
      <c:valAx>
        <c:axId val="432434224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6150304"/>
        <c:crosses val="max"/>
        <c:crossBetween val="between"/>
      </c:valAx>
      <c:catAx>
        <c:axId val="436150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24342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190500</xdr:colOff>
      <xdr:row>3</xdr:row>
      <xdr:rowOff>203200</xdr:rowOff>
    </xdr:from>
    <xdr:to>
      <xdr:col>31</xdr:col>
      <xdr:colOff>127000</xdr:colOff>
      <xdr:row>13</xdr:row>
      <xdr:rowOff>38100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A8CDD12C-2F0C-4836-93F4-22B8C6DE7325}"/>
            </a:ext>
          </a:extLst>
        </xdr:cNvPr>
        <xdr:cNvGrpSpPr/>
      </xdr:nvGrpSpPr>
      <xdr:grpSpPr>
        <a:xfrm>
          <a:off x="16764000" y="889000"/>
          <a:ext cx="6769100" cy="1905000"/>
          <a:chOff x="16764000" y="889000"/>
          <a:chExt cx="6769100" cy="1905000"/>
        </a:xfrm>
      </xdr:grpSpPr>
      <xdr:sp macro="" textlink="">
        <xdr:nvSpPr>
          <xdr:cNvPr id="2" name="Flèche : courbe vers le bas 1">
            <a:extLst>
              <a:ext uri="{FF2B5EF4-FFF2-40B4-BE49-F238E27FC236}">
                <a16:creationId xmlns:a16="http://schemas.microsoft.com/office/drawing/2014/main" id="{1F99717C-605B-4488-AB85-66A10CC20BC5}"/>
              </a:ext>
            </a:extLst>
          </xdr:cNvPr>
          <xdr:cNvSpPr/>
        </xdr:nvSpPr>
        <xdr:spPr bwMode="auto">
          <a:xfrm>
            <a:off x="16764000" y="901700"/>
            <a:ext cx="3149600" cy="1892300"/>
          </a:xfrm>
          <a:prstGeom prst="curvedDownArrow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3" name="Flèche : courbe vers le bas 2">
            <a:extLst>
              <a:ext uri="{FF2B5EF4-FFF2-40B4-BE49-F238E27FC236}">
                <a16:creationId xmlns:a16="http://schemas.microsoft.com/office/drawing/2014/main" id="{336E832B-50DE-4DAA-8B0C-4BDB46363849}"/>
              </a:ext>
            </a:extLst>
          </xdr:cNvPr>
          <xdr:cNvSpPr/>
        </xdr:nvSpPr>
        <xdr:spPr bwMode="auto">
          <a:xfrm>
            <a:off x="19469100" y="889000"/>
            <a:ext cx="4064000" cy="1892300"/>
          </a:xfrm>
          <a:prstGeom prst="curvedDownArrow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368300</xdr:colOff>
      <xdr:row>3</xdr:row>
      <xdr:rowOff>190500</xdr:rowOff>
    </xdr:from>
    <xdr:to>
      <xdr:col>30</xdr:col>
      <xdr:colOff>165100</xdr:colOff>
      <xdr:row>13</xdr:row>
      <xdr:rowOff>38100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D5E2FA5A-E8BC-4675-81FD-CF5076792C1F}"/>
            </a:ext>
          </a:extLst>
        </xdr:cNvPr>
        <xdr:cNvGrpSpPr/>
      </xdr:nvGrpSpPr>
      <xdr:grpSpPr>
        <a:xfrm>
          <a:off x="16852900" y="952500"/>
          <a:ext cx="7035800" cy="1854200"/>
          <a:chOff x="17754600" y="876300"/>
          <a:chExt cx="6629400" cy="1917700"/>
        </a:xfrm>
      </xdr:grpSpPr>
      <xdr:sp macro="" textlink="">
        <xdr:nvSpPr>
          <xdr:cNvPr id="3" name="Flèche : courbe vers le bas 2">
            <a:extLst>
              <a:ext uri="{FF2B5EF4-FFF2-40B4-BE49-F238E27FC236}">
                <a16:creationId xmlns:a16="http://schemas.microsoft.com/office/drawing/2014/main" id="{400FB7B6-4C35-4BB5-8670-CB556F925DFD}"/>
              </a:ext>
            </a:extLst>
          </xdr:cNvPr>
          <xdr:cNvSpPr/>
        </xdr:nvSpPr>
        <xdr:spPr bwMode="auto">
          <a:xfrm>
            <a:off x="17754600" y="901700"/>
            <a:ext cx="2984500" cy="1892300"/>
          </a:xfrm>
          <a:prstGeom prst="curvedDownArrow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4" name="Flèche : courbe vers le bas 3">
            <a:extLst>
              <a:ext uri="{FF2B5EF4-FFF2-40B4-BE49-F238E27FC236}">
                <a16:creationId xmlns:a16="http://schemas.microsoft.com/office/drawing/2014/main" id="{250095B2-AF5C-40C7-BB2C-AFBFFCACF537}"/>
              </a:ext>
            </a:extLst>
          </xdr:cNvPr>
          <xdr:cNvSpPr/>
        </xdr:nvSpPr>
        <xdr:spPr bwMode="auto">
          <a:xfrm>
            <a:off x="20270709" y="876300"/>
            <a:ext cx="4113291" cy="1892300"/>
          </a:xfrm>
          <a:prstGeom prst="curvedDownArrow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368300</xdr:colOff>
      <xdr:row>3</xdr:row>
      <xdr:rowOff>190500</xdr:rowOff>
    </xdr:from>
    <xdr:to>
      <xdr:col>30</xdr:col>
      <xdr:colOff>165100</xdr:colOff>
      <xdr:row>13</xdr:row>
      <xdr:rowOff>38100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2325E7FD-3824-4E8E-A54B-A85B826F515F}"/>
            </a:ext>
          </a:extLst>
        </xdr:cNvPr>
        <xdr:cNvGrpSpPr/>
      </xdr:nvGrpSpPr>
      <xdr:grpSpPr>
        <a:xfrm>
          <a:off x="16852900" y="952500"/>
          <a:ext cx="7035800" cy="1854200"/>
          <a:chOff x="17754600" y="876300"/>
          <a:chExt cx="6629400" cy="1917700"/>
        </a:xfrm>
      </xdr:grpSpPr>
      <xdr:sp macro="" textlink="">
        <xdr:nvSpPr>
          <xdr:cNvPr id="3" name="Flèche : courbe vers le bas 2">
            <a:extLst>
              <a:ext uri="{FF2B5EF4-FFF2-40B4-BE49-F238E27FC236}">
                <a16:creationId xmlns:a16="http://schemas.microsoft.com/office/drawing/2014/main" id="{2428B335-AC5D-4150-88B1-7637D10A1F7D}"/>
              </a:ext>
            </a:extLst>
          </xdr:cNvPr>
          <xdr:cNvSpPr/>
        </xdr:nvSpPr>
        <xdr:spPr bwMode="auto">
          <a:xfrm>
            <a:off x="17754600" y="901700"/>
            <a:ext cx="2984500" cy="1892300"/>
          </a:xfrm>
          <a:prstGeom prst="curvedDownArrow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4" name="Flèche : courbe vers le bas 3">
            <a:extLst>
              <a:ext uri="{FF2B5EF4-FFF2-40B4-BE49-F238E27FC236}">
                <a16:creationId xmlns:a16="http://schemas.microsoft.com/office/drawing/2014/main" id="{413639D7-0159-44BA-BE8F-7729196BB3FE}"/>
              </a:ext>
            </a:extLst>
          </xdr:cNvPr>
          <xdr:cNvSpPr/>
        </xdr:nvSpPr>
        <xdr:spPr bwMode="auto">
          <a:xfrm>
            <a:off x="20270709" y="876300"/>
            <a:ext cx="4113291" cy="1892300"/>
          </a:xfrm>
          <a:prstGeom prst="curvedDownArrow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368300</xdr:colOff>
      <xdr:row>3</xdr:row>
      <xdr:rowOff>190500</xdr:rowOff>
    </xdr:from>
    <xdr:to>
      <xdr:col>30</xdr:col>
      <xdr:colOff>165100</xdr:colOff>
      <xdr:row>13</xdr:row>
      <xdr:rowOff>38100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F2756B6C-5B99-4B41-A968-E0D0D8B8626D}"/>
            </a:ext>
          </a:extLst>
        </xdr:cNvPr>
        <xdr:cNvGrpSpPr/>
      </xdr:nvGrpSpPr>
      <xdr:grpSpPr>
        <a:xfrm>
          <a:off x="16929100" y="723900"/>
          <a:ext cx="7035800" cy="1854200"/>
          <a:chOff x="17754600" y="876300"/>
          <a:chExt cx="6629400" cy="1917700"/>
        </a:xfrm>
      </xdr:grpSpPr>
      <xdr:sp macro="" textlink="">
        <xdr:nvSpPr>
          <xdr:cNvPr id="3" name="Flèche : courbe vers le bas 2">
            <a:extLst>
              <a:ext uri="{FF2B5EF4-FFF2-40B4-BE49-F238E27FC236}">
                <a16:creationId xmlns:a16="http://schemas.microsoft.com/office/drawing/2014/main" id="{F9EBA4B4-B1B8-45D6-A985-171C5B5649FB}"/>
              </a:ext>
            </a:extLst>
          </xdr:cNvPr>
          <xdr:cNvSpPr/>
        </xdr:nvSpPr>
        <xdr:spPr bwMode="auto">
          <a:xfrm>
            <a:off x="17754600" y="901700"/>
            <a:ext cx="2984500" cy="1892300"/>
          </a:xfrm>
          <a:prstGeom prst="curvedDownArrow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4" name="Flèche : courbe vers le bas 3">
            <a:extLst>
              <a:ext uri="{FF2B5EF4-FFF2-40B4-BE49-F238E27FC236}">
                <a16:creationId xmlns:a16="http://schemas.microsoft.com/office/drawing/2014/main" id="{1EDA49E9-9538-4C8D-BA88-3797B8EA546F}"/>
              </a:ext>
            </a:extLst>
          </xdr:cNvPr>
          <xdr:cNvSpPr/>
        </xdr:nvSpPr>
        <xdr:spPr bwMode="auto">
          <a:xfrm>
            <a:off x="20270709" y="876300"/>
            <a:ext cx="4113291" cy="1892300"/>
          </a:xfrm>
          <a:prstGeom prst="curvedDownArrow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411480</xdr:colOff>
      <xdr:row>0</xdr:row>
      <xdr:rowOff>91440</xdr:rowOff>
    </xdr:from>
    <xdr:to>
      <xdr:col>10</xdr:col>
      <xdr:colOff>746760</xdr:colOff>
      <xdr:row>19</xdr:row>
      <xdr:rowOff>99060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215ECE9-6331-489C-95C6-487ACAD0EF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411480</xdr:colOff>
      <xdr:row>19</xdr:row>
      <xdr:rowOff>137160</xdr:rowOff>
    </xdr:from>
    <xdr:to>
      <xdr:col>10</xdr:col>
      <xdr:colOff>760947</xdr:colOff>
      <xdr:row>38</xdr:row>
      <xdr:rowOff>158774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411CC84-78F3-4CF1-970D-4B06CFBFE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64480" y="3322320"/>
          <a:ext cx="5432007" cy="32067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Pack%20de%20fonctions%20XLP.xla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REFFONS%202019-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"/>
      <definedName name="somme_si_couleur"/>
    </defined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el 2019"/>
      <sheetName val="Commandes 2020"/>
      <sheetName val="Récolte"/>
      <sheetName val="Fournitures"/>
      <sheetName val="Suivi_etiquettes"/>
      <sheetName val="Attrib lot"/>
      <sheetName val="Commande Etiquettes"/>
      <sheetName val="choix vermentinu"/>
      <sheetName val="choix sciaccarellu"/>
    </sheetNames>
    <sheetDataSet>
      <sheetData sheetId="0"/>
      <sheetData sheetId="1"/>
      <sheetData sheetId="2">
        <row r="68">
          <cell r="AB68">
            <v>146000</v>
          </cell>
          <cell r="AC68">
            <v>146000</v>
          </cell>
        </row>
        <row r="87">
          <cell r="D87">
            <v>0</v>
          </cell>
          <cell r="E87">
            <v>0</v>
          </cell>
          <cell r="G87">
            <v>70000</v>
          </cell>
          <cell r="H87">
            <v>0</v>
          </cell>
          <cell r="M87">
            <v>607000</v>
          </cell>
          <cell r="N87">
            <v>29000</v>
          </cell>
          <cell r="P87">
            <v>272000</v>
          </cell>
          <cell r="Q87">
            <v>0</v>
          </cell>
          <cell r="S87">
            <v>0</v>
          </cell>
          <cell r="T87">
            <v>0</v>
          </cell>
          <cell r="V87">
            <v>159000</v>
          </cell>
          <cell r="W87">
            <v>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Gilles" refreshedDate="43837.417749305554" createdVersion="6" refreshedVersion="6" minRefreshableVersion="3" recordCount="46" xr:uid="{CE3FB4F6-18ED-4A74-9E64-92800A27439D}">
  <cacheSource type="worksheet">
    <worksheetSource ref="A2:F48" sheet="Temps de récolte par fagot"/>
  </cacheSource>
  <cacheFields count="6">
    <cacheField name="Vigne" numFmtId="0">
      <sharedItems count="8">
        <s v="CRVI"/>
        <s v="Barcelo"/>
        <s v="Mondange"/>
        <s v="JBDP"/>
        <s v="Poli T"/>
        <s v="Suzzoni"/>
        <s v="Renucci"/>
        <s v="Poli E"/>
      </sharedItems>
    </cacheField>
    <cacheField name="Année" numFmtId="0">
      <sharedItems containsSemiMixedTypes="0" containsString="0" containsNumber="1" containsInteger="1" minValue="2015" maxValue="2020" count="6">
        <n v="2020"/>
        <n v="2019"/>
        <n v="2018"/>
        <n v="2017"/>
        <n v="2016"/>
        <n v="2015"/>
      </sharedItems>
    </cacheField>
    <cacheField name="nb heures" numFmtId="1">
      <sharedItems containsString="0" containsBlank="1" containsNumber="1" minValue="28" maxValue="894"/>
    </cacheField>
    <cacheField name="nb fagots" numFmtId="0">
      <sharedItems containsString="0" containsBlank="1" containsNumber="1" containsInteger="1" minValue="26" maxValue="907"/>
    </cacheField>
    <cacheField name="nb fag / h" numFmtId="2">
      <sharedItems containsString="0" containsBlank="1" containsNumber="1" minValue="0.40298507462686567" maxValue="1.1825842696629214"/>
    </cacheField>
    <cacheField name="nb fag/j/personne" numFmtId="166">
      <sharedItems containsString="0" containsBlank="1" containsNumber="1" minValue="2.8208955223880596" maxValue="8.27808988764044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">
  <r>
    <x v="0"/>
    <x v="0"/>
    <m/>
    <m/>
    <m/>
    <m/>
  </r>
  <r>
    <x v="0"/>
    <x v="1"/>
    <n v="632"/>
    <n v="524"/>
    <n v="0.82911392405063289"/>
    <n v="5.8037974683544302"/>
  </r>
  <r>
    <x v="0"/>
    <x v="2"/>
    <n v="585"/>
    <n v="574"/>
    <n v="0.98119658119658115"/>
    <n v="6.868376068376068"/>
  </r>
  <r>
    <x v="0"/>
    <x v="3"/>
    <n v="829"/>
    <n v="670"/>
    <n v="0.80820265379975875"/>
    <n v="5.6574185765983112"/>
  </r>
  <r>
    <x v="0"/>
    <x v="4"/>
    <n v="894"/>
    <n v="907"/>
    <n v="1.0145413870246085"/>
    <n v="7.1017897091722597"/>
  </r>
  <r>
    <x v="0"/>
    <x v="5"/>
    <n v="712"/>
    <n v="842"/>
    <n v="1.1825842696629214"/>
    <n v="8.2780898876404496"/>
  </r>
  <r>
    <x v="1"/>
    <x v="1"/>
    <m/>
    <m/>
    <m/>
    <m/>
  </r>
  <r>
    <x v="1"/>
    <x v="2"/>
    <n v="147"/>
    <n v="153"/>
    <n v="1.0408163265306123"/>
    <n v="7.2857142857142865"/>
  </r>
  <r>
    <x v="1"/>
    <x v="3"/>
    <n v="191"/>
    <n v="175"/>
    <n v="0.91623036649214662"/>
    <n v="6.4136125654450264"/>
  </r>
  <r>
    <x v="1"/>
    <x v="4"/>
    <n v="272"/>
    <n v="266"/>
    <n v="0.9779411764705882"/>
    <n v="6.8455882352941178"/>
  </r>
  <r>
    <x v="1"/>
    <x v="5"/>
    <n v="469"/>
    <n v="379"/>
    <n v="0.8081023454157783"/>
    <n v="5.6567164179104479"/>
  </r>
  <r>
    <x v="2"/>
    <x v="0"/>
    <m/>
    <m/>
    <m/>
    <m/>
  </r>
  <r>
    <x v="2"/>
    <x v="1"/>
    <n v="405.5"/>
    <n v="336"/>
    <n v="0.8286066584463625"/>
    <n v="5.800246609124537"/>
  </r>
  <r>
    <x v="2"/>
    <x v="2"/>
    <n v="222.5"/>
    <n v="212"/>
    <n v="0.95280898876404496"/>
    <n v="6.6696629213483147"/>
  </r>
  <r>
    <x v="2"/>
    <x v="3"/>
    <n v="157"/>
    <n v="130"/>
    <n v="0.82802547770700641"/>
    <n v="5.7961783439490446"/>
  </r>
  <r>
    <x v="2"/>
    <x v="4"/>
    <m/>
    <m/>
    <m/>
    <m/>
  </r>
  <r>
    <x v="2"/>
    <x v="5"/>
    <m/>
    <m/>
    <m/>
    <m/>
  </r>
  <r>
    <x v="3"/>
    <x v="0"/>
    <m/>
    <m/>
    <m/>
    <m/>
  </r>
  <r>
    <x v="3"/>
    <x v="1"/>
    <n v="112"/>
    <n v="98"/>
    <n v="0.875"/>
    <n v="6.125"/>
  </r>
  <r>
    <x v="3"/>
    <x v="2"/>
    <n v="110"/>
    <n v="62"/>
    <n v="0.5636363636363636"/>
    <n v="3.9454545454545453"/>
  </r>
  <r>
    <x v="3"/>
    <x v="3"/>
    <n v="67"/>
    <n v="27"/>
    <n v="0.40298507462686567"/>
    <n v="2.8208955223880596"/>
  </r>
  <r>
    <x v="3"/>
    <x v="4"/>
    <m/>
    <m/>
    <m/>
    <m/>
  </r>
  <r>
    <x v="3"/>
    <x v="5"/>
    <m/>
    <m/>
    <m/>
    <m/>
  </r>
  <r>
    <x v="4"/>
    <x v="1"/>
    <m/>
    <m/>
    <m/>
    <m/>
  </r>
  <r>
    <x v="4"/>
    <x v="2"/>
    <n v="28"/>
    <n v="26"/>
    <n v="0.9285714285714286"/>
    <n v="6.5"/>
  </r>
  <r>
    <x v="4"/>
    <x v="3"/>
    <n v="177"/>
    <n v="174"/>
    <n v="0.98305084745762716"/>
    <n v="6.8813559322033901"/>
  </r>
  <r>
    <x v="4"/>
    <x v="4"/>
    <n v="236.5"/>
    <n v="215"/>
    <n v="0.90909090909090906"/>
    <n v="6.3636363636363633"/>
  </r>
  <r>
    <x v="4"/>
    <x v="5"/>
    <n v="168"/>
    <n v="121"/>
    <n v="0.72023809523809523"/>
    <n v="5.041666666666667"/>
  </r>
  <r>
    <x v="5"/>
    <x v="0"/>
    <m/>
    <m/>
    <m/>
    <m/>
  </r>
  <r>
    <x v="5"/>
    <x v="1"/>
    <n v="140"/>
    <n v="100"/>
    <n v="0.7142857142857143"/>
    <n v="5"/>
  </r>
  <r>
    <x v="5"/>
    <x v="2"/>
    <n v="150"/>
    <n v="104"/>
    <n v="0.69333333333333336"/>
    <n v="4.8533333333333335"/>
  </r>
  <r>
    <x v="5"/>
    <x v="3"/>
    <n v="195"/>
    <n v="132"/>
    <n v="0.67692307692307696"/>
    <n v="4.7384615384615385"/>
  </r>
  <r>
    <x v="5"/>
    <x v="4"/>
    <m/>
    <m/>
    <m/>
    <m/>
  </r>
  <r>
    <x v="5"/>
    <x v="5"/>
    <m/>
    <m/>
    <m/>
    <m/>
  </r>
  <r>
    <x v="6"/>
    <x v="0"/>
    <n v="194"/>
    <n v="146"/>
    <n v="0.75257731958762886"/>
    <n v="5.268041237113402"/>
  </r>
  <r>
    <x v="6"/>
    <x v="1"/>
    <n v="70"/>
    <n v="68"/>
    <n v="0.97142857142857142"/>
    <n v="6.8"/>
  </r>
  <r>
    <x v="6"/>
    <x v="2"/>
    <n v="171.5"/>
    <n v="152"/>
    <n v="0.88629737609329451"/>
    <n v="6.2040816326530619"/>
  </r>
  <r>
    <x v="6"/>
    <x v="3"/>
    <n v="84"/>
    <n v="58"/>
    <n v="0.69047619047619047"/>
    <n v="4.833333333333333"/>
  </r>
  <r>
    <x v="6"/>
    <x v="4"/>
    <m/>
    <m/>
    <m/>
    <m/>
  </r>
  <r>
    <x v="6"/>
    <x v="5"/>
    <m/>
    <m/>
    <m/>
    <m/>
  </r>
  <r>
    <x v="7"/>
    <x v="0"/>
    <m/>
    <m/>
    <m/>
    <m/>
  </r>
  <r>
    <x v="7"/>
    <x v="1"/>
    <n v="106.5"/>
    <n v="54"/>
    <n v="0.50704225352112675"/>
    <n v="3.549295774647887"/>
  </r>
  <r>
    <x v="7"/>
    <x v="2"/>
    <m/>
    <m/>
    <m/>
    <m/>
  </r>
  <r>
    <x v="7"/>
    <x v="3"/>
    <m/>
    <m/>
    <m/>
    <m/>
  </r>
  <r>
    <x v="7"/>
    <x v="4"/>
    <m/>
    <m/>
    <m/>
    <m/>
  </r>
  <r>
    <x v="7"/>
    <x v="5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70718E-0685-4ED6-B2F8-F81786A53737}" name="Tableau croisé dynamique1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2">
  <location ref="A1:E56" firstHeaderRow="0" firstDataRow="1" firstDataCol="1"/>
  <pivotFields count="6">
    <pivotField axis="axisRow" showAll="0">
      <items count="9">
        <item x="1"/>
        <item x="0"/>
        <item x="3"/>
        <item x="2"/>
        <item x="7"/>
        <item x="4"/>
        <item x="6"/>
        <item x="5"/>
        <item t="default"/>
      </items>
    </pivotField>
    <pivotField axis="axisRow" showAll="0">
      <items count="7">
        <item x="5"/>
        <item x="4"/>
        <item x="3"/>
        <item x="2"/>
        <item x="1"/>
        <item x="0"/>
        <item t="default"/>
      </items>
    </pivotField>
    <pivotField dataField="1" showAll="0"/>
    <pivotField dataField="1" showAll="0"/>
    <pivotField dataField="1" showAll="0"/>
    <pivotField name="nb fag/j/personne2" dataField="1" showAll="0"/>
  </pivotFields>
  <rowFields count="2">
    <field x="0"/>
    <field x="1"/>
  </rowFields>
  <rowItems count="55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>
      <x v="4"/>
    </i>
    <i r="1">
      <x/>
    </i>
    <i r="1">
      <x v="1"/>
    </i>
    <i r="1">
      <x v="2"/>
    </i>
    <i r="1">
      <x v="3"/>
    </i>
    <i r="1">
      <x v="4"/>
    </i>
    <i r="1">
      <x v="5"/>
    </i>
    <i>
      <x v="5"/>
    </i>
    <i r="1">
      <x/>
    </i>
    <i r="1">
      <x v="1"/>
    </i>
    <i r="1">
      <x v="2"/>
    </i>
    <i r="1">
      <x v="3"/>
    </i>
    <i r="1">
      <x v="4"/>
    </i>
    <i>
      <x v="6"/>
    </i>
    <i r="1">
      <x/>
    </i>
    <i r="1">
      <x v="1"/>
    </i>
    <i r="1">
      <x v="2"/>
    </i>
    <i r="1">
      <x v="3"/>
    </i>
    <i r="1">
      <x v="4"/>
    </i>
    <i r="1">
      <x v="5"/>
    </i>
    <i>
      <x v="7"/>
    </i>
    <i r="1">
      <x/>
    </i>
    <i r="1">
      <x v="1"/>
    </i>
    <i r="1">
      <x v="2"/>
    </i>
    <i r="1">
      <x v="3"/>
    </i>
    <i r="1">
      <x v="4"/>
    </i>
    <i r="1"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nb heures" fld="2" subtotal="average" baseField="0" baseItem="0" numFmtId="1"/>
    <dataField name=" de nb fagots" fld="3" subtotal="average" baseField="0" baseItem="0" numFmtId="1"/>
    <dataField name=" nb fag / h" fld="4" subtotal="average" baseField="0" baseItem="0" numFmtId="2"/>
    <dataField name=" nb fag/j/personne" fld="5" subtotal="average" baseField="0" baseItem="0" numFmtId="166"/>
  </dataFields>
  <formats count="30">
    <format dxfId="273">
      <pivotArea type="all" dataOnly="0" outline="0" fieldPosition="0"/>
    </format>
    <format dxfId="272">
      <pivotArea outline="0" collapsedLevelsAreSubtotals="1" fieldPosition="0"/>
    </format>
    <format dxfId="271">
      <pivotArea field="0" type="button" dataOnly="0" labelOnly="1" outline="0" axis="axisRow" fieldPosition="0"/>
    </format>
    <format dxfId="270">
      <pivotArea dataOnly="0" labelOnly="1" fieldPosition="0">
        <references count="1">
          <reference field="0" count="0"/>
        </references>
      </pivotArea>
    </format>
    <format dxfId="269">
      <pivotArea dataOnly="0" labelOnly="1" grandRow="1" outline="0" fieldPosition="0"/>
    </format>
    <format dxfId="268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67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266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265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264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263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262">
      <pivotArea dataOnly="0" labelOnly="1" fieldPosition="0">
        <references count="2">
          <reference field="0" count="1" selected="0">
            <x v="6"/>
          </reference>
          <reference field="1" count="0"/>
        </references>
      </pivotArea>
    </format>
    <format dxfId="261">
      <pivotArea dataOnly="0" labelOnly="1" fieldPosition="0">
        <references count="2">
          <reference field="0" count="1" selected="0">
            <x v="7"/>
          </reference>
          <reference field="1" count="0"/>
        </references>
      </pivotArea>
    </format>
    <format dxfId="26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59">
      <pivotArea type="all" dataOnly="0" outline="0" fieldPosition="0"/>
    </format>
    <format dxfId="258">
      <pivotArea outline="0" collapsedLevelsAreSubtotals="1" fieldPosition="0"/>
    </format>
    <format dxfId="257">
      <pivotArea field="0" type="button" dataOnly="0" labelOnly="1" outline="0" axis="axisRow" fieldPosition="0"/>
    </format>
    <format dxfId="256">
      <pivotArea dataOnly="0" labelOnly="1" fieldPosition="0">
        <references count="1">
          <reference field="0" count="0"/>
        </references>
      </pivotArea>
    </format>
    <format dxfId="255">
      <pivotArea dataOnly="0" labelOnly="1" grandRow="1" outline="0" fieldPosition="0"/>
    </format>
    <format dxfId="254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53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252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251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250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249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248">
      <pivotArea dataOnly="0" labelOnly="1" fieldPosition="0">
        <references count="2">
          <reference field="0" count="1" selected="0">
            <x v="6"/>
          </reference>
          <reference field="1" count="0"/>
        </references>
      </pivotArea>
    </format>
    <format dxfId="247">
      <pivotArea dataOnly="0" labelOnly="1" fieldPosition="0">
        <references count="2">
          <reference field="0" count="1" selected="0">
            <x v="7"/>
          </reference>
          <reference field="1" count="0"/>
        </references>
      </pivotArea>
    </format>
    <format dxfId="24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45">
      <pivotArea outline="0" fieldPosition="0">
        <references count="1">
          <reference field="4294967294" count="1">
            <x v="0"/>
          </reference>
        </references>
      </pivotArea>
    </format>
    <format dxfId="244">
      <pivotArea outline="0" fieldPosition="0">
        <references count="1">
          <reference field="4294967294" count="1">
            <x v="1"/>
          </reference>
        </references>
      </pivotArea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9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1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J25"/>
  <sheetViews>
    <sheetView zoomScaleNormal="100" workbookViewId="0">
      <selection activeCell="F8" sqref="F8"/>
    </sheetView>
  </sheetViews>
  <sheetFormatPr baseColWidth="10" defaultColWidth="11.44140625" defaultRowHeight="13.2" x14ac:dyDescent="0.25"/>
  <cols>
    <col min="1" max="1" width="26.88671875" style="1" customWidth="1"/>
    <col min="2" max="2" width="17.6640625" style="2" customWidth="1"/>
    <col min="3" max="3" width="21.33203125" style="1" customWidth="1"/>
    <col min="4" max="4" width="17.6640625" style="1" customWidth="1"/>
    <col min="5" max="5" width="5.6640625" style="1" customWidth="1"/>
    <col min="6" max="6" width="18.5546875" style="1" customWidth="1"/>
    <col min="7" max="7" width="17.6640625" style="2" customWidth="1"/>
    <col min="8" max="8" width="17.6640625" style="1" customWidth="1"/>
    <col min="9" max="9" width="18.6640625" style="1" customWidth="1"/>
    <col min="10" max="10" width="5.6640625" style="1" customWidth="1"/>
    <col min="11" max="16384" width="11.44140625" style="1"/>
  </cols>
  <sheetData>
    <row r="1" spans="1:10" ht="20.399999999999999" x14ac:dyDescent="0.35">
      <c r="A1" s="3" t="s">
        <v>62</v>
      </c>
      <c r="B1" s="3"/>
      <c r="C1" s="3" t="s">
        <v>63</v>
      </c>
      <c r="D1" s="3"/>
      <c r="E1" s="3"/>
      <c r="F1" s="3"/>
      <c r="H1" s="3"/>
      <c r="I1" s="3"/>
    </row>
    <row r="2" spans="1:10" ht="21" thickBot="1" x14ac:dyDescent="0.4">
      <c r="A2" s="4"/>
      <c r="B2" s="4"/>
      <c r="C2" s="4"/>
      <c r="D2" s="4"/>
      <c r="E2" s="4"/>
      <c r="F2" s="4"/>
      <c r="G2" s="4"/>
      <c r="H2" s="4"/>
      <c r="I2" s="4"/>
    </row>
    <row r="3" spans="1:10" ht="22.95" customHeight="1" thickBot="1" x14ac:dyDescent="0.4">
      <c r="A3" s="188" t="s">
        <v>0</v>
      </c>
      <c r="B3" s="188"/>
      <c r="C3" s="188"/>
      <c r="D3" s="188"/>
      <c r="E3" s="5"/>
      <c r="F3" s="188" t="s">
        <v>1</v>
      </c>
      <c r="G3" s="188"/>
      <c r="H3" s="188"/>
      <c r="I3" s="188"/>
      <c r="J3" s="6"/>
    </row>
    <row r="4" spans="1:10" ht="13.8" thickBot="1" x14ac:dyDescent="0.3">
      <c r="A4" s="189"/>
      <c r="B4" s="189"/>
      <c r="C4" s="189"/>
      <c r="D4" s="189"/>
      <c r="F4" s="189"/>
      <c r="G4" s="189"/>
      <c r="H4" s="189"/>
      <c r="I4" s="189"/>
    </row>
    <row r="5" spans="1:10" ht="15.6" thickBot="1" x14ac:dyDescent="0.3">
      <c r="A5" s="7"/>
      <c r="B5" s="8" t="s">
        <v>2</v>
      </c>
      <c r="C5" s="9">
        <v>850</v>
      </c>
      <c r="D5" s="10"/>
      <c r="E5" s="11"/>
      <c r="F5" s="7"/>
      <c r="G5" s="12" t="s">
        <v>2</v>
      </c>
      <c r="H5" s="1">
        <v>480</v>
      </c>
      <c r="I5" s="10"/>
    </row>
    <row r="6" spans="1:10" ht="26.25" customHeight="1" thickBot="1" x14ac:dyDescent="0.3">
      <c r="A6" s="13" t="s">
        <v>3</v>
      </c>
      <c r="B6" s="14" t="s">
        <v>4</v>
      </c>
      <c r="C6" s="15" t="s">
        <v>5</v>
      </c>
      <c r="D6" s="16" t="s">
        <v>40</v>
      </c>
      <c r="E6" s="17"/>
      <c r="F6" s="90" t="s">
        <v>3</v>
      </c>
      <c r="G6" s="91" t="s">
        <v>4</v>
      </c>
      <c r="H6" s="92" t="s">
        <v>5</v>
      </c>
      <c r="I6" s="20" t="s">
        <v>40</v>
      </c>
    </row>
    <row r="7" spans="1:10" s="17" customFormat="1" ht="19.5" customHeight="1" x14ac:dyDescent="0.25">
      <c r="A7" s="117" t="s">
        <v>66</v>
      </c>
      <c r="B7" s="19">
        <v>613688709</v>
      </c>
      <c r="D7" s="20"/>
      <c r="F7" s="93"/>
      <c r="G7" s="94"/>
      <c r="H7" s="95"/>
      <c r="I7" s="96"/>
    </row>
    <row r="8" spans="1:10" s="17" customFormat="1" ht="19.5" customHeight="1" x14ac:dyDescent="0.25">
      <c r="A8" s="117" t="s">
        <v>6</v>
      </c>
      <c r="B8" s="19">
        <v>618526189</v>
      </c>
      <c r="D8" s="20"/>
      <c r="F8" s="104" t="s">
        <v>71</v>
      </c>
      <c r="G8" s="19">
        <v>607422198</v>
      </c>
      <c r="H8" s="17" t="s">
        <v>69</v>
      </c>
      <c r="I8" s="20" t="s">
        <v>70</v>
      </c>
    </row>
    <row r="9" spans="1:10" s="17" customFormat="1" ht="19.5" customHeight="1" x14ac:dyDescent="0.25">
      <c r="A9" s="104" t="s">
        <v>50</v>
      </c>
      <c r="B9" s="19">
        <v>648612278</v>
      </c>
      <c r="C9" s="17" t="s">
        <v>69</v>
      </c>
      <c r="D9" s="20" t="s">
        <v>70</v>
      </c>
      <c r="F9" s="104" t="s">
        <v>73</v>
      </c>
      <c r="G9" s="19">
        <v>615822173</v>
      </c>
      <c r="H9" s="17" t="s">
        <v>69</v>
      </c>
      <c r="I9" s="78" t="s">
        <v>70</v>
      </c>
    </row>
    <row r="10" spans="1:10" s="17" customFormat="1" ht="19.5" customHeight="1" x14ac:dyDescent="0.25">
      <c r="A10" s="104" t="s">
        <v>75</v>
      </c>
      <c r="B10" s="19">
        <v>665441101</v>
      </c>
      <c r="C10" s="17" t="s">
        <v>69</v>
      </c>
      <c r="D10" s="20" t="s">
        <v>70</v>
      </c>
      <c r="F10" s="105" t="s">
        <v>7</v>
      </c>
      <c r="G10" s="19">
        <v>619859454</v>
      </c>
      <c r="H10" s="17" t="s">
        <v>69</v>
      </c>
      <c r="I10" s="78" t="s">
        <v>70</v>
      </c>
    </row>
    <row r="11" spans="1:10" s="17" customFormat="1" ht="19.5" customHeight="1" x14ac:dyDescent="0.25">
      <c r="A11" s="104" t="s">
        <v>60</v>
      </c>
      <c r="B11" s="19">
        <v>688474449</v>
      </c>
      <c r="C11" s="17" t="s">
        <v>69</v>
      </c>
      <c r="D11" s="20" t="s">
        <v>70</v>
      </c>
      <c r="F11" s="106" t="s">
        <v>39</v>
      </c>
      <c r="G11" s="19">
        <v>617840950</v>
      </c>
      <c r="H11" s="17" t="s">
        <v>69</v>
      </c>
      <c r="I11" s="78" t="s">
        <v>70</v>
      </c>
    </row>
    <row r="12" spans="1:10" s="17" customFormat="1" ht="19.5" customHeight="1" x14ac:dyDescent="0.25">
      <c r="A12" s="104" t="s">
        <v>64</v>
      </c>
      <c r="B12" s="19">
        <v>614295219</v>
      </c>
      <c r="C12" s="17" t="s">
        <v>69</v>
      </c>
      <c r="D12" s="20" t="s">
        <v>70</v>
      </c>
      <c r="F12" s="104" t="s">
        <v>72</v>
      </c>
      <c r="G12" s="19">
        <v>608953716</v>
      </c>
      <c r="H12" s="17" t="s">
        <v>69</v>
      </c>
      <c r="I12" s="78" t="s">
        <v>70</v>
      </c>
    </row>
    <row r="13" spans="1:10" s="17" customFormat="1" ht="19.5" customHeight="1" x14ac:dyDescent="0.25">
      <c r="A13" s="104" t="s">
        <v>65</v>
      </c>
      <c r="B13" s="19">
        <v>602105949</v>
      </c>
      <c r="C13" s="17" t="s">
        <v>69</v>
      </c>
      <c r="D13" s="78" t="s">
        <v>70</v>
      </c>
      <c r="F13" s="18"/>
      <c r="G13" s="19"/>
      <c r="I13" s="78"/>
    </row>
    <row r="14" spans="1:10" s="17" customFormat="1" ht="20.399999999999999" customHeight="1" x14ac:dyDescent="0.25">
      <c r="A14" s="104" t="s">
        <v>61</v>
      </c>
      <c r="B14" s="19">
        <v>628751203</v>
      </c>
      <c r="C14" s="17" t="s">
        <v>69</v>
      </c>
      <c r="D14" s="78" t="s">
        <v>70</v>
      </c>
      <c r="F14" s="18"/>
      <c r="G14" s="19"/>
      <c r="I14" s="78"/>
    </row>
    <row r="15" spans="1:10" s="17" customFormat="1" ht="19.5" customHeight="1" x14ac:dyDescent="0.25">
      <c r="A15" s="104" t="s">
        <v>52</v>
      </c>
      <c r="B15" s="19">
        <v>625805897</v>
      </c>
      <c r="C15" s="17" t="s">
        <v>69</v>
      </c>
      <c r="D15" s="20" t="s">
        <v>70</v>
      </c>
      <c r="F15" s="79"/>
      <c r="G15" s="19"/>
      <c r="I15" s="78"/>
    </row>
    <row r="16" spans="1:10" s="17" customFormat="1" ht="19.5" customHeight="1" x14ac:dyDescent="0.25">
      <c r="A16" s="104" t="s">
        <v>74</v>
      </c>
      <c r="B16" s="19"/>
      <c r="C16" s="17" t="s">
        <v>69</v>
      </c>
      <c r="D16" s="78" t="s">
        <v>70</v>
      </c>
      <c r="F16" s="79"/>
      <c r="G16" s="19"/>
      <c r="I16" s="78"/>
    </row>
    <row r="17" spans="1:9" s="17" customFormat="1" ht="19.5" customHeight="1" x14ac:dyDescent="0.25">
      <c r="A17" s="104" t="s">
        <v>51</v>
      </c>
      <c r="B17" s="19">
        <v>619873086</v>
      </c>
      <c r="C17" s="17" t="s">
        <v>69</v>
      </c>
      <c r="D17" s="20" t="s">
        <v>70</v>
      </c>
      <c r="F17" s="79"/>
      <c r="G17" s="19"/>
      <c r="I17" s="78"/>
    </row>
    <row r="18" spans="1:9" s="17" customFormat="1" ht="19.5" customHeight="1" x14ac:dyDescent="0.25">
      <c r="A18" s="18"/>
      <c r="B18" s="19"/>
      <c r="D18" s="20"/>
      <c r="F18" s="79"/>
      <c r="G18" s="19"/>
      <c r="I18" s="78"/>
    </row>
    <row r="19" spans="1:9" s="17" customFormat="1" ht="19.5" customHeight="1" x14ac:dyDescent="0.25">
      <c r="A19" s="18"/>
      <c r="B19" s="19"/>
      <c r="D19" s="20"/>
      <c r="F19" s="79"/>
      <c r="G19" s="19"/>
      <c r="I19" s="78"/>
    </row>
    <row r="20" spans="1:9" s="17" customFormat="1" ht="19.5" customHeight="1" x14ac:dyDescent="0.25">
      <c r="A20" s="18"/>
      <c r="B20" s="19"/>
      <c r="D20" s="20"/>
      <c r="F20" s="79"/>
      <c r="G20" s="111"/>
      <c r="I20" s="78"/>
    </row>
    <row r="21" spans="1:9" s="17" customFormat="1" ht="19.5" customHeight="1" x14ac:dyDescent="0.25">
      <c r="A21" s="18"/>
      <c r="B21" s="19"/>
      <c r="D21" s="78"/>
      <c r="F21" s="79"/>
      <c r="G21" s="19"/>
      <c r="I21" s="78"/>
    </row>
    <row r="22" spans="1:9" s="17" customFormat="1" ht="19.5" customHeight="1" thickBot="1" x14ac:dyDescent="0.3">
      <c r="A22" s="74"/>
      <c r="B22" s="22"/>
      <c r="C22" s="23"/>
      <c r="D22" s="16"/>
      <c r="F22" s="97"/>
      <c r="G22" s="98"/>
      <c r="H22" s="99"/>
      <c r="I22" s="100"/>
    </row>
    <row r="23" spans="1:9" ht="20.100000000000001" customHeight="1" x14ac:dyDescent="0.25"/>
    <row r="24" spans="1:9" x14ac:dyDescent="0.25">
      <c r="A24" s="18"/>
      <c r="B24" s="1"/>
    </row>
    <row r="25" spans="1:9" x14ac:dyDescent="0.25">
      <c r="A25" s="18"/>
    </row>
  </sheetData>
  <sheetProtection selectLockedCells="1" selectUnlockedCells="1"/>
  <mergeCells count="4">
    <mergeCell ref="A3:D3"/>
    <mergeCell ref="F3:I3"/>
    <mergeCell ref="A4:D4"/>
    <mergeCell ref="F4:I4"/>
  </mergeCells>
  <conditionalFormatting sqref="I7 D7:D9 I9:I17">
    <cfRule type="cellIs" dxfId="243" priority="71" operator="equal">
      <formula>"non"</formula>
    </cfRule>
    <cfRule type="cellIs" dxfId="242" priority="72" operator="equal">
      <formula>"oui"</formula>
    </cfRule>
  </conditionalFormatting>
  <conditionalFormatting sqref="I9">
    <cfRule type="cellIs" dxfId="241" priority="69" operator="equal">
      <formula>"non"</formula>
    </cfRule>
    <cfRule type="cellIs" dxfId="240" priority="70" operator="equal">
      <formula>"oui"</formula>
    </cfRule>
  </conditionalFormatting>
  <conditionalFormatting sqref="D21">
    <cfRule type="cellIs" dxfId="239" priority="67" operator="equal">
      <formula>"non"</formula>
    </cfRule>
    <cfRule type="cellIs" dxfId="238" priority="68" operator="equal">
      <formula>"oui"</formula>
    </cfRule>
  </conditionalFormatting>
  <conditionalFormatting sqref="D10:D12">
    <cfRule type="cellIs" dxfId="237" priority="65" operator="equal">
      <formula>"non"</formula>
    </cfRule>
    <cfRule type="cellIs" dxfId="236" priority="66" operator="equal">
      <formula>"oui"</formula>
    </cfRule>
  </conditionalFormatting>
  <conditionalFormatting sqref="D13">
    <cfRule type="cellIs" dxfId="235" priority="63" operator="equal">
      <formula>"non"</formula>
    </cfRule>
    <cfRule type="cellIs" dxfId="234" priority="64" operator="equal">
      <formula>"oui"</formula>
    </cfRule>
  </conditionalFormatting>
  <conditionalFormatting sqref="D19">
    <cfRule type="cellIs" dxfId="233" priority="59" operator="equal">
      <formula>"non"</formula>
    </cfRule>
    <cfRule type="cellIs" dxfId="232" priority="60" operator="equal">
      <formula>"oui"</formula>
    </cfRule>
  </conditionalFormatting>
  <conditionalFormatting sqref="D14">
    <cfRule type="cellIs" dxfId="231" priority="57" operator="equal">
      <formula>"non"</formula>
    </cfRule>
    <cfRule type="cellIs" dxfId="230" priority="58" operator="equal">
      <formula>"oui"</formula>
    </cfRule>
  </conditionalFormatting>
  <conditionalFormatting sqref="D16">
    <cfRule type="cellIs" dxfId="229" priority="55" operator="equal">
      <formula>"non"</formula>
    </cfRule>
    <cfRule type="cellIs" dxfId="228" priority="56" operator="equal">
      <formula>"oui"</formula>
    </cfRule>
  </conditionalFormatting>
  <conditionalFormatting sqref="D20">
    <cfRule type="cellIs" dxfId="227" priority="53" operator="equal">
      <formula>"non"</formula>
    </cfRule>
    <cfRule type="cellIs" dxfId="226" priority="54" operator="equal">
      <formula>"oui"</formula>
    </cfRule>
  </conditionalFormatting>
  <conditionalFormatting sqref="D15">
    <cfRule type="cellIs" dxfId="225" priority="51" operator="equal">
      <formula>"non"</formula>
    </cfRule>
    <cfRule type="cellIs" dxfId="224" priority="52" operator="equal">
      <formula>"oui"</formula>
    </cfRule>
  </conditionalFormatting>
  <conditionalFormatting sqref="D12">
    <cfRule type="cellIs" dxfId="223" priority="49" operator="equal">
      <formula>"non"</formula>
    </cfRule>
    <cfRule type="cellIs" dxfId="222" priority="50" operator="equal">
      <formula>"oui"</formula>
    </cfRule>
  </conditionalFormatting>
  <conditionalFormatting sqref="D12">
    <cfRule type="cellIs" dxfId="221" priority="47" operator="equal">
      <formula>"non"</formula>
    </cfRule>
    <cfRule type="cellIs" dxfId="220" priority="48" operator="equal">
      <formula>"oui"</formula>
    </cfRule>
  </conditionalFormatting>
  <conditionalFormatting sqref="D16">
    <cfRule type="cellIs" dxfId="219" priority="45" operator="equal">
      <formula>"non"</formula>
    </cfRule>
    <cfRule type="cellIs" dxfId="218" priority="46" operator="equal">
      <formula>"oui"</formula>
    </cfRule>
  </conditionalFormatting>
  <conditionalFormatting sqref="D13">
    <cfRule type="cellIs" dxfId="217" priority="43" operator="equal">
      <formula>"non"</formula>
    </cfRule>
    <cfRule type="cellIs" dxfId="216" priority="44" operator="equal">
      <formula>"oui"</formula>
    </cfRule>
  </conditionalFormatting>
  <conditionalFormatting sqref="D15">
    <cfRule type="cellIs" dxfId="215" priority="41" operator="equal">
      <formula>"non"</formula>
    </cfRule>
    <cfRule type="cellIs" dxfId="214" priority="42" operator="equal">
      <formula>"oui"</formula>
    </cfRule>
  </conditionalFormatting>
  <conditionalFormatting sqref="D14">
    <cfRule type="cellIs" dxfId="213" priority="39" operator="equal">
      <formula>"non"</formula>
    </cfRule>
    <cfRule type="cellIs" dxfId="212" priority="40" operator="equal">
      <formula>"oui"</formula>
    </cfRule>
  </conditionalFormatting>
  <conditionalFormatting sqref="D11">
    <cfRule type="cellIs" dxfId="211" priority="37" operator="equal">
      <formula>"non"</formula>
    </cfRule>
    <cfRule type="cellIs" dxfId="210" priority="38" operator="equal">
      <formula>"oui"</formula>
    </cfRule>
  </conditionalFormatting>
  <conditionalFormatting sqref="D17">
    <cfRule type="cellIs" dxfId="209" priority="35" operator="equal">
      <formula>"non"</formula>
    </cfRule>
    <cfRule type="cellIs" dxfId="208" priority="36" operator="equal">
      <formula>"oui"</formula>
    </cfRule>
  </conditionalFormatting>
  <conditionalFormatting sqref="I10">
    <cfRule type="cellIs" dxfId="207" priority="31" operator="equal">
      <formula>"non"</formula>
    </cfRule>
    <cfRule type="cellIs" dxfId="206" priority="32" operator="equal">
      <formula>"oui"</formula>
    </cfRule>
  </conditionalFormatting>
  <conditionalFormatting sqref="I9">
    <cfRule type="cellIs" dxfId="205" priority="29" operator="equal">
      <formula>"non"</formula>
    </cfRule>
    <cfRule type="cellIs" dxfId="204" priority="30" operator="equal">
      <formula>"oui"</formula>
    </cfRule>
  </conditionalFormatting>
  <conditionalFormatting sqref="I9">
    <cfRule type="cellIs" dxfId="203" priority="27" operator="equal">
      <formula>"non"</formula>
    </cfRule>
    <cfRule type="cellIs" dxfId="202" priority="28" operator="equal">
      <formula>"oui"</formula>
    </cfRule>
  </conditionalFormatting>
  <conditionalFormatting sqref="I8">
    <cfRule type="cellIs" dxfId="201" priority="25" operator="equal">
      <formula>"non"</formula>
    </cfRule>
    <cfRule type="cellIs" dxfId="200" priority="26" operator="equal">
      <formula>"oui"</formula>
    </cfRule>
  </conditionalFormatting>
  <conditionalFormatting sqref="D14">
    <cfRule type="cellIs" dxfId="199" priority="23" operator="equal">
      <formula>"non"</formula>
    </cfRule>
    <cfRule type="cellIs" dxfId="198" priority="24" operator="equal">
      <formula>"oui"</formula>
    </cfRule>
  </conditionalFormatting>
  <conditionalFormatting sqref="D15">
    <cfRule type="cellIs" dxfId="197" priority="21" operator="equal">
      <formula>"non"</formula>
    </cfRule>
    <cfRule type="cellIs" dxfId="196" priority="22" operator="equal">
      <formula>"oui"</formula>
    </cfRule>
  </conditionalFormatting>
  <conditionalFormatting sqref="D17">
    <cfRule type="cellIs" dxfId="195" priority="19" operator="equal">
      <formula>"non"</formula>
    </cfRule>
    <cfRule type="cellIs" dxfId="194" priority="20" operator="equal">
      <formula>"oui"</formula>
    </cfRule>
  </conditionalFormatting>
  <conditionalFormatting sqref="D16">
    <cfRule type="cellIs" dxfId="193" priority="17" operator="equal">
      <formula>"non"</formula>
    </cfRule>
    <cfRule type="cellIs" dxfId="192" priority="18" operator="equal">
      <formula>"oui"</formula>
    </cfRule>
  </conditionalFormatting>
  <conditionalFormatting sqref="D13">
    <cfRule type="cellIs" dxfId="191" priority="15" operator="equal">
      <formula>"non"</formula>
    </cfRule>
    <cfRule type="cellIs" dxfId="190" priority="16" operator="equal">
      <formula>"oui"</formula>
    </cfRule>
  </conditionalFormatting>
  <conditionalFormatting sqref="D13">
    <cfRule type="cellIs" dxfId="189" priority="13" operator="equal">
      <formula>"non"</formula>
    </cfRule>
    <cfRule type="cellIs" dxfId="188" priority="14" operator="equal">
      <formula>"oui"</formula>
    </cfRule>
  </conditionalFormatting>
  <conditionalFormatting sqref="D17">
    <cfRule type="cellIs" dxfId="187" priority="11" operator="equal">
      <formula>"non"</formula>
    </cfRule>
    <cfRule type="cellIs" dxfId="186" priority="12" operator="equal">
      <formula>"oui"</formula>
    </cfRule>
  </conditionalFormatting>
  <conditionalFormatting sqref="D14">
    <cfRule type="cellIs" dxfId="185" priority="9" operator="equal">
      <formula>"non"</formula>
    </cfRule>
    <cfRule type="cellIs" dxfId="184" priority="10" operator="equal">
      <formula>"oui"</formula>
    </cfRule>
  </conditionalFormatting>
  <conditionalFormatting sqref="D16">
    <cfRule type="cellIs" dxfId="183" priority="7" operator="equal">
      <formula>"non"</formula>
    </cfRule>
    <cfRule type="cellIs" dxfId="182" priority="8" operator="equal">
      <formula>"oui"</formula>
    </cfRule>
  </conditionalFormatting>
  <conditionalFormatting sqref="D15">
    <cfRule type="cellIs" dxfId="181" priority="5" operator="equal">
      <formula>"non"</formula>
    </cfRule>
    <cfRule type="cellIs" dxfId="180" priority="6" operator="equal">
      <formula>"oui"</formula>
    </cfRule>
  </conditionalFormatting>
  <conditionalFormatting sqref="D12">
    <cfRule type="cellIs" dxfId="179" priority="3" operator="equal">
      <formula>"non"</formula>
    </cfRule>
    <cfRule type="cellIs" dxfId="178" priority="4" operator="equal">
      <formula>"oui"</formula>
    </cfRule>
  </conditionalFormatting>
  <conditionalFormatting sqref="D18">
    <cfRule type="cellIs" dxfId="177" priority="1" operator="equal">
      <formula>"non"</formula>
    </cfRule>
    <cfRule type="cellIs" dxfId="176" priority="2" operator="equal">
      <formula>"oui"</formula>
    </cfRule>
  </conditionalFormatting>
  <pageMargins left="0.74791666666666667" right="0.74791666666666667" top="0.98402777777777772" bottom="0.98402777777777772" header="0.51180555555555551" footer="0.51180555555555551"/>
  <pageSetup paperSize="9" scale="61" firstPageNumber="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AF77"/>
  <sheetViews>
    <sheetView zoomScale="60" zoomScaleNormal="60" workbookViewId="0">
      <pane xSplit="1" ySplit="6" topLeftCell="B7" activePane="bottomRight" state="frozen"/>
      <selection pane="topRight" activeCell="B1" sqref="B1"/>
      <selection pane="bottomLeft" activeCell="A24" sqref="A24"/>
      <selection pane="bottomRight" activeCell="J44" sqref="J44"/>
    </sheetView>
  </sheetViews>
  <sheetFormatPr baseColWidth="10" defaultColWidth="11.44140625" defaultRowHeight="18" x14ac:dyDescent="0.35"/>
  <cols>
    <col min="1" max="1" width="10.109375" style="24" bestFit="1" customWidth="1"/>
    <col min="2" max="3" width="10.109375" style="25" bestFit="1" customWidth="1"/>
    <col min="4" max="4" width="11" style="25" customWidth="1"/>
    <col min="5" max="6" width="12.33203125" style="25" customWidth="1"/>
    <col min="7" max="7" width="11.5546875" style="25" customWidth="1"/>
    <col min="8" max="8" width="13.33203125" style="25" customWidth="1"/>
    <col min="9" max="9" width="14.109375" style="25" customWidth="1"/>
    <col min="10" max="10" width="12.88671875" style="25" customWidth="1"/>
    <col min="11" max="11" width="13" style="25" customWidth="1"/>
    <col min="12" max="12" width="10.109375" style="25" customWidth="1"/>
    <col min="13" max="14" width="12.6640625" style="25" customWidth="1"/>
    <col min="15" max="15" width="11.109375" style="25" customWidth="1"/>
    <col min="16" max="16" width="13.6640625" style="25" customWidth="1"/>
    <col min="17" max="17" width="5.6640625" style="26" customWidth="1"/>
    <col min="18" max="19" width="6.5546875" style="25" customWidth="1"/>
    <col min="20" max="20" width="3" style="25" customWidth="1"/>
    <col min="21" max="21" width="17.88671875" style="25" customWidth="1"/>
    <col min="22" max="22" width="10.88671875" style="25" customWidth="1"/>
    <col min="23" max="23" width="11.5546875" style="25" customWidth="1"/>
    <col min="24" max="24" width="14.33203125" style="25" bestFit="1" customWidth="1"/>
    <col min="25" max="25" width="10.6640625" style="27" customWidth="1"/>
    <col min="26" max="26" width="12.109375" style="27" bestFit="1" customWidth="1"/>
    <col min="27" max="27" width="16" style="27" customWidth="1"/>
    <col min="28" max="28" width="2.109375" style="25" customWidth="1"/>
    <col min="29" max="29" width="13.33203125" style="25" bestFit="1" customWidth="1"/>
    <col min="30" max="30" width="11.44140625" style="25" customWidth="1"/>
    <col min="31" max="31" width="8.33203125" style="25" customWidth="1"/>
    <col min="32" max="16384" width="11.44140625" style="25"/>
  </cols>
  <sheetData>
    <row r="1" spans="1:31" x14ac:dyDescent="0.35">
      <c r="A1" s="86" t="s">
        <v>8</v>
      </c>
      <c r="B1" s="29" t="s">
        <v>9</v>
      </c>
      <c r="C1" s="30" t="s">
        <v>55</v>
      </c>
      <c r="D1" s="31" t="s">
        <v>11</v>
      </c>
      <c r="E1" s="32" t="s">
        <v>12</v>
      </c>
      <c r="F1" s="33" t="s">
        <v>13</v>
      </c>
      <c r="G1" s="34" t="s">
        <v>14</v>
      </c>
      <c r="H1" s="110" t="s">
        <v>56</v>
      </c>
      <c r="I1" s="77" t="s">
        <v>15</v>
      </c>
      <c r="J1" s="76" t="s">
        <v>16</v>
      </c>
      <c r="Y1" s="25"/>
      <c r="Z1" s="25"/>
      <c r="AA1" s="25"/>
    </row>
    <row r="2" spans="1:31" x14ac:dyDescent="0.35">
      <c r="A2" s="25">
        <f ca="1">[1]!NO_COULEUR(A1)</f>
        <v>16777215</v>
      </c>
      <c r="B2" s="25">
        <f ca="1">[1]!NO_COULEUR(B1)</f>
        <v>10079487</v>
      </c>
      <c r="C2" s="25">
        <f ca="1">[1]!NO_COULEUR(C1)</f>
        <v>10092543</v>
      </c>
      <c r="D2" s="25">
        <f ca="1">[1]!NO_COULEUR(D1)</f>
        <v>16777164</v>
      </c>
      <c r="E2" s="25">
        <f ca="1">[1]!NO_COULEUR(E1)</f>
        <v>16751052</v>
      </c>
      <c r="F2" s="25">
        <f ca="1">[1]!NO_COULEUR(F1)</f>
        <v>13434828</v>
      </c>
      <c r="G2" s="25">
        <f ca="1">[1]!NO_COULEUR(G1)</f>
        <v>16764057</v>
      </c>
      <c r="H2" s="25">
        <f ca="1">[1]!NO_COULEUR(H1)</f>
        <v>14277081</v>
      </c>
      <c r="I2" s="25">
        <f ca="1">[1]!NO_COULEUR(I1)</f>
        <v>65280</v>
      </c>
      <c r="J2" s="25">
        <f ca="1">[1]!NO_COULEUR(J1)</f>
        <v>13408767</v>
      </c>
      <c r="Y2" s="25"/>
      <c r="Z2" s="25"/>
      <c r="AA2" s="25"/>
    </row>
    <row r="3" spans="1:31" x14ac:dyDescent="0.35">
      <c r="F3" s="35"/>
      <c r="G3" s="35"/>
      <c r="Y3" s="25"/>
      <c r="Z3" s="25"/>
      <c r="AA3" s="25"/>
    </row>
    <row r="4" spans="1:31" x14ac:dyDescent="0.35">
      <c r="B4" s="190" t="s">
        <v>49</v>
      </c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Y4" s="25"/>
      <c r="Z4" s="25"/>
      <c r="AA4" s="25"/>
    </row>
    <row r="5" spans="1:31" ht="18.600000000000001" thickBot="1" x14ac:dyDescent="0.4">
      <c r="A5" s="25"/>
      <c r="W5" s="88"/>
      <c r="X5" s="88"/>
    </row>
    <row r="6" spans="1:31" ht="28.2" thickBot="1" x14ac:dyDescent="0.35">
      <c r="B6" s="36" t="str">
        <f>'contacts 14'!A8</f>
        <v>Momo</v>
      </c>
      <c r="C6" s="133" t="str">
        <f>'contacts 14'!A9</f>
        <v>Agnès Guilland</v>
      </c>
      <c r="D6" s="134" t="str">
        <f>'contacts 14'!A10</f>
        <v>Sophie Fontana</v>
      </c>
      <c r="E6" s="134" t="str">
        <f>'contacts 14'!A11</f>
        <v>Anne Romeyer</v>
      </c>
      <c r="F6" s="134" t="str">
        <f>'contacts 14'!A12</f>
        <v>Coralie Kasule</v>
      </c>
      <c r="G6" s="134" t="str">
        <f>'contacts 14'!A13</f>
        <v>Barbara Boryslawska</v>
      </c>
      <c r="H6" s="134" t="str">
        <f>'contacts 14'!A14</f>
        <v>Francesca Vergellati</v>
      </c>
      <c r="I6" s="134" t="str">
        <f>'contacts 14'!A15</f>
        <v>Delphine Jacquemin</v>
      </c>
      <c r="J6" s="133" t="str">
        <f>'contacts 14'!A16</f>
        <v>Michel Alram</v>
      </c>
      <c r="K6" s="134" t="str">
        <f>'contacts 14'!A17</f>
        <v>Patricia Verdat</v>
      </c>
      <c r="L6" s="135" t="str">
        <f>'contacts 14'!F8</f>
        <v>Nicolas Bonnet</v>
      </c>
      <c r="M6" s="133" t="str">
        <f>'contacts 14'!F9</f>
        <v>Stéphane Robert</v>
      </c>
      <c r="N6" s="134" t="str">
        <f>'contacts 14'!F10</f>
        <v>Bertrand Plancke</v>
      </c>
      <c r="O6" s="134" t="str">
        <f>'contacts 14'!F11</f>
        <v>Geoffrey Plancke</v>
      </c>
      <c r="P6" s="135" t="str">
        <f>'contacts 14'!F12</f>
        <v>Clémentine Gambet</v>
      </c>
      <c r="Q6" s="36"/>
      <c r="R6" s="37"/>
      <c r="S6" s="37"/>
      <c r="T6" s="37"/>
      <c r="Y6" s="25"/>
      <c r="Z6" s="25"/>
      <c r="AA6" s="25"/>
    </row>
    <row r="7" spans="1:31" ht="13.8" x14ac:dyDescent="0.3">
      <c r="A7" s="38">
        <v>43479</v>
      </c>
      <c r="C7" s="141"/>
      <c r="D7" s="37"/>
      <c r="E7" s="37"/>
      <c r="F7" s="37"/>
      <c r="G7" s="37"/>
      <c r="H7" s="37"/>
      <c r="I7" s="37"/>
      <c r="J7" s="143"/>
      <c r="K7" s="144"/>
      <c r="L7" s="145"/>
      <c r="M7" s="141"/>
      <c r="N7" s="37"/>
      <c r="O7" s="37"/>
      <c r="P7" s="142"/>
      <c r="Q7" s="36"/>
      <c r="R7" s="37"/>
      <c r="S7" s="37"/>
      <c r="T7" s="37"/>
      <c r="Y7" s="25"/>
      <c r="Z7" s="25"/>
      <c r="AA7" s="25"/>
    </row>
    <row r="8" spans="1:31" ht="13.8" x14ac:dyDescent="0.3">
      <c r="A8" s="38">
        <v>43480</v>
      </c>
      <c r="B8" s="33">
        <v>16</v>
      </c>
      <c r="C8" s="141"/>
      <c r="D8" s="37"/>
      <c r="E8" s="37"/>
      <c r="G8" s="37"/>
      <c r="I8" s="31">
        <v>7</v>
      </c>
      <c r="J8" s="139">
        <v>7</v>
      </c>
      <c r="K8" s="31">
        <v>7</v>
      </c>
      <c r="L8" s="142"/>
      <c r="M8" s="141"/>
      <c r="N8" s="37"/>
      <c r="O8" s="37"/>
      <c r="P8" s="142"/>
      <c r="Q8" s="36"/>
      <c r="R8" s="25">
        <f>SUM(B8:Q8)</f>
        <v>37</v>
      </c>
      <c r="S8" s="25">
        <f>SUM(C8:Q8)</f>
        <v>21</v>
      </c>
      <c r="T8" s="37"/>
      <c r="Y8" s="25"/>
      <c r="Z8" s="25"/>
      <c r="AA8" s="25"/>
    </row>
    <row r="9" spans="1:31" ht="13.8" x14ac:dyDescent="0.3">
      <c r="A9" s="38">
        <v>43481</v>
      </c>
      <c r="B9" s="36"/>
      <c r="C9" s="141"/>
      <c r="D9" s="37"/>
      <c r="E9" s="37"/>
      <c r="G9" s="37"/>
      <c r="I9" s="31">
        <v>7</v>
      </c>
      <c r="J9" s="139">
        <v>7</v>
      </c>
      <c r="K9" s="31">
        <v>7</v>
      </c>
      <c r="L9" s="142"/>
      <c r="M9" s="141"/>
      <c r="N9" s="37"/>
      <c r="O9" s="37"/>
      <c r="P9" s="142"/>
      <c r="Q9" s="36"/>
      <c r="R9" s="25">
        <f t="shared" ref="R9:R15" si="0">SUM(B9:Q9)+R8</f>
        <v>58</v>
      </c>
      <c r="S9" s="25">
        <f>SUM(C9:Q9)+S8</f>
        <v>42</v>
      </c>
      <c r="T9" s="37"/>
      <c r="Y9" s="25"/>
      <c r="Z9" s="25"/>
      <c r="AA9" s="25"/>
    </row>
    <row r="10" spans="1:31" ht="13.8" x14ac:dyDescent="0.3">
      <c r="A10" s="38">
        <v>43482</v>
      </c>
      <c r="B10" s="36"/>
      <c r="C10" s="141"/>
      <c r="D10" s="37"/>
      <c r="E10" s="37"/>
      <c r="G10" s="37"/>
      <c r="I10" s="31">
        <v>4</v>
      </c>
      <c r="J10" s="139">
        <v>8</v>
      </c>
      <c r="K10" s="31">
        <v>8</v>
      </c>
      <c r="L10" s="142"/>
      <c r="M10" s="141"/>
      <c r="N10" s="37"/>
      <c r="O10" s="37"/>
      <c r="P10" s="142"/>
      <c r="Q10" s="36"/>
      <c r="R10" s="25">
        <f t="shared" si="0"/>
        <v>78</v>
      </c>
      <c r="S10" s="25">
        <f>SUM(C10:Q10)+S9</f>
        <v>62</v>
      </c>
      <c r="T10" s="37"/>
      <c r="Y10" s="25"/>
      <c r="Z10" s="25"/>
      <c r="AA10" s="25"/>
    </row>
    <row r="11" spans="1:31" ht="13.8" x14ac:dyDescent="0.3">
      <c r="A11" s="38">
        <v>43483</v>
      </c>
      <c r="B11" s="36"/>
      <c r="C11" s="141"/>
      <c r="D11" s="37"/>
      <c r="E11" s="37"/>
      <c r="G11" s="37"/>
      <c r="I11" s="33">
        <v>7</v>
      </c>
      <c r="J11" s="137">
        <v>7</v>
      </c>
      <c r="K11" s="33">
        <v>7</v>
      </c>
      <c r="L11" s="142"/>
      <c r="M11" s="141"/>
      <c r="N11" s="37"/>
      <c r="O11" s="37"/>
      <c r="P11" s="142"/>
      <c r="Q11" s="36"/>
      <c r="R11" s="25">
        <f t="shared" si="0"/>
        <v>99</v>
      </c>
      <c r="S11" s="25">
        <f>SUM(C11:Q11)+S10</f>
        <v>83</v>
      </c>
      <c r="T11" s="37"/>
      <c r="Y11" s="25"/>
      <c r="Z11" s="25"/>
      <c r="AA11" s="25"/>
    </row>
    <row r="12" spans="1:31" ht="13.8" x14ac:dyDescent="0.3">
      <c r="A12" s="136">
        <v>43484</v>
      </c>
      <c r="B12" s="75"/>
      <c r="C12" s="124"/>
      <c r="D12" s="75"/>
      <c r="E12" s="75"/>
      <c r="F12" s="75"/>
      <c r="G12" s="75"/>
      <c r="H12" s="75"/>
      <c r="I12" s="75"/>
      <c r="J12" s="124"/>
      <c r="K12" s="75"/>
      <c r="L12" s="125"/>
      <c r="M12" s="124"/>
      <c r="N12" s="75"/>
      <c r="O12" s="75"/>
      <c r="P12" s="125"/>
      <c r="Q12" s="75"/>
      <c r="R12" s="25">
        <f t="shared" si="0"/>
        <v>99</v>
      </c>
      <c r="S12" s="25">
        <f>SUM(C12:Q12)+S11</f>
        <v>83</v>
      </c>
      <c r="T12" s="37"/>
      <c r="Y12" s="25"/>
      <c r="Z12" s="25"/>
      <c r="AA12" s="25"/>
    </row>
    <row r="13" spans="1:31" ht="13.8" x14ac:dyDescent="0.3">
      <c r="A13" s="136">
        <v>43485</v>
      </c>
      <c r="B13" s="75"/>
      <c r="C13" s="124"/>
      <c r="D13" s="75"/>
      <c r="E13" s="75"/>
      <c r="F13" s="75"/>
      <c r="G13" s="75"/>
      <c r="H13" s="75"/>
      <c r="I13" s="75"/>
      <c r="J13" s="124"/>
      <c r="K13" s="75"/>
      <c r="L13" s="125"/>
      <c r="M13" s="124"/>
      <c r="N13" s="75"/>
      <c r="O13" s="75"/>
      <c r="P13" s="125"/>
      <c r="Q13" s="75"/>
      <c r="R13" s="25">
        <f t="shared" si="0"/>
        <v>99</v>
      </c>
      <c r="S13" s="25">
        <f t="shared" ref="S13:S55" si="1">SUM(C13:Q13)+S12</f>
        <v>83</v>
      </c>
      <c r="T13" s="37"/>
      <c r="Y13" s="25"/>
      <c r="Z13" s="25"/>
      <c r="AA13" s="25"/>
    </row>
    <row r="14" spans="1:31" ht="16.2" customHeight="1" thickBot="1" x14ac:dyDescent="0.35">
      <c r="A14" s="38">
        <v>43486</v>
      </c>
      <c r="C14" s="61">
        <v>7</v>
      </c>
      <c r="D14" s="25">
        <v>7</v>
      </c>
      <c r="E14" s="25">
        <v>7</v>
      </c>
      <c r="F14" s="25">
        <v>7</v>
      </c>
      <c r="G14" s="25">
        <v>7</v>
      </c>
      <c r="H14" s="25">
        <v>7</v>
      </c>
      <c r="I14" s="25">
        <v>7</v>
      </c>
      <c r="J14" s="61">
        <v>7</v>
      </c>
      <c r="K14" s="25">
        <v>7</v>
      </c>
      <c r="L14" s="127">
        <v>7</v>
      </c>
      <c r="M14" s="61">
        <v>7</v>
      </c>
      <c r="N14" s="25">
        <v>7</v>
      </c>
      <c r="O14" s="25">
        <v>7</v>
      </c>
      <c r="P14" s="127">
        <v>7</v>
      </c>
      <c r="Q14" s="25"/>
      <c r="R14" s="25">
        <f t="shared" si="0"/>
        <v>197</v>
      </c>
      <c r="S14" s="25">
        <f t="shared" si="1"/>
        <v>181</v>
      </c>
      <c r="U14" s="108" t="s">
        <v>54</v>
      </c>
      <c r="V14" s="108"/>
      <c r="W14" s="108"/>
      <c r="X14" s="108"/>
      <c r="Y14" s="108"/>
      <c r="Z14" s="108"/>
      <c r="AA14" s="25"/>
      <c r="AD14" s="39">
        <f ca="1">TODAY()</f>
        <v>43838</v>
      </c>
      <c r="AE14" s="25" t="s">
        <v>18</v>
      </c>
    </row>
    <row r="15" spans="1:31" ht="16.2" customHeight="1" thickBot="1" x14ac:dyDescent="0.35">
      <c r="A15" s="38">
        <v>43487</v>
      </c>
      <c r="C15" s="137">
        <v>9</v>
      </c>
      <c r="D15" s="33">
        <v>9</v>
      </c>
      <c r="E15" s="33">
        <v>9</v>
      </c>
      <c r="F15" s="33">
        <v>9</v>
      </c>
      <c r="G15" s="33">
        <v>9</v>
      </c>
      <c r="H15" s="33">
        <v>9</v>
      </c>
      <c r="I15" s="33">
        <v>9</v>
      </c>
      <c r="J15" s="61">
        <v>7</v>
      </c>
      <c r="K15" s="25">
        <v>7</v>
      </c>
      <c r="L15" s="127">
        <v>7</v>
      </c>
      <c r="M15" s="61">
        <v>7</v>
      </c>
      <c r="N15" s="25">
        <v>7</v>
      </c>
      <c r="O15" s="25">
        <v>7</v>
      </c>
      <c r="P15" s="127">
        <v>7</v>
      </c>
      <c r="Q15" s="25"/>
      <c r="R15" s="25">
        <f t="shared" si="0"/>
        <v>309</v>
      </c>
      <c r="S15" s="25">
        <f t="shared" si="1"/>
        <v>293</v>
      </c>
      <c r="U15" s="59"/>
      <c r="V15" s="67" t="s">
        <v>19</v>
      </c>
      <c r="W15" s="67" t="s">
        <v>68</v>
      </c>
      <c r="X15" s="67" t="s">
        <v>67</v>
      </c>
      <c r="Y15" s="80" t="s">
        <v>21</v>
      </c>
      <c r="Z15" s="25" t="s">
        <v>59</v>
      </c>
      <c r="AA15" s="75" t="s">
        <v>22</v>
      </c>
    </row>
    <row r="16" spans="1:31" ht="16.2" customHeight="1" x14ac:dyDescent="0.3">
      <c r="A16" s="38">
        <v>43488</v>
      </c>
      <c r="C16" s="61">
        <v>7</v>
      </c>
      <c r="D16" s="25">
        <v>7</v>
      </c>
      <c r="E16" s="25">
        <v>7</v>
      </c>
      <c r="F16" s="25">
        <v>7</v>
      </c>
      <c r="G16" s="25">
        <v>7</v>
      </c>
      <c r="H16" s="25">
        <v>7</v>
      </c>
      <c r="I16" s="25">
        <v>7</v>
      </c>
      <c r="J16" s="138">
        <v>9</v>
      </c>
      <c r="K16" s="110">
        <v>9</v>
      </c>
      <c r="L16" s="129">
        <v>9</v>
      </c>
      <c r="M16" s="138">
        <v>9</v>
      </c>
      <c r="N16" s="110">
        <v>9</v>
      </c>
      <c r="O16" s="110">
        <v>9</v>
      </c>
      <c r="P16" s="129">
        <v>9</v>
      </c>
      <c r="Q16" s="25"/>
      <c r="R16" s="25">
        <f t="shared" ref="R16:R55" si="2">SUM(B16:Q16)+R15</f>
        <v>421</v>
      </c>
      <c r="S16" s="25">
        <f t="shared" si="1"/>
        <v>405</v>
      </c>
      <c r="U16" s="59" t="s">
        <v>8</v>
      </c>
      <c r="V16" s="67">
        <f t="shared" ref="V16:V22" ca="1" si="3">AD16</f>
        <v>581</v>
      </c>
      <c r="W16" s="87" t="e">
        <f>#REF!/1000</f>
        <v>#REF!</v>
      </c>
      <c r="X16" s="87" t="e">
        <f>#REF!/1000</f>
        <v>#REF!</v>
      </c>
      <c r="Y16" s="60" t="e">
        <f ca="1">X16/V16</f>
        <v>#REF!</v>
      </c>
      <c r="Z16" s="116" t="e">
        <f>W16/Y34</f>
        <v>#REF!</v>
      </c>
      <c r="AA16" s="119" t="e">
        <f ca="1">+W16/V16*7</f>
        <v>#REF!</v>
      </c>
      <c r="AC16" s="28" t="s">
        <v>8</v>
      </c>
      <c r="AD16" s="25">
        <f ca="1">[1]!somme_si_couleur(B7:Q32,16777215)</f>
        <v>581</v>
      </c>
      <c r="AE16" s="116" t="e">
        <f t="shared" ref="AE16:AE23" si="4">Z16</f>
        <v>#REF!</v>
      </c>
    </row>
    <row r="17" spans="1:32" ht="16.2" customHeight="1" x14ac:dyDescent="0.3">
      <c r="A17" s="38">
        <v>43489</v>
      </c>
      <c r="C17" s="138">
        <v>9</v>
      </c>
      <c r="D17" s="110">
        <v>9</v>
      </c>
      <c r="E17" s="110">
        <v>9</v>
      </c>
      <c r="F17" s="110">
        <v>9</v>
      </c>
      <c r="G17" s="110">
        <v>9</v>
      </c>
      <c r="H17" s="110">
        <v>9</v>
      </c>
      <c r="I17" s="32">
        <v>7</v>
      </c>
      <c r="J17" s="131">
        <v>7</v>
      </c>
      <c r="K17" s="32">
        <v>7</v>
      </c>
      <c r="L17" s="123">
        <v>7</v>
      </c>
      <c r="M17" s="131">
        <v>7</v>
      </c>
      <c r="N17" s="32">
        <v>7</v>
      </c>
      <c r="O17" s="32">
        <v>7</v>
      </c>
      <c r="P17" s="123">
        <v>7</v>
      </c>
      <c r="Q17" s="25"/>
      <c r="R17" s="25">
        <f t="shared" si="2"/>
        <v>531</v>
      </c>
      <c r="S17" s="25">
        <f t="shared" si="1"/>
        <v>515</v>
      </c>
      <c r="U17" s="61" t="s">
        <v>9</v>
      </c>
      <c r="V17" s="25">
        <f t="shared" ca="1" si="3"/>
        <v>0</v>
      </c>
      <c r="W17" s="88" t="e">
        <f>#REF!/1000</f>
        <v>#REF!</v>
      </c>
      <c r="X17" s="88" t="e">
        <f>#REF!/1000</f>
        <v>#REF!</v>
      </c>
      <c r="Y17" s="121" t="e">
        <f t="shared" ref="Y17:Y23" ca="1" si="5">X17/V17</f>
        <v>#REF!</v>
      </c>
      <c r="Z17" s="116" t="e">
        <f>W17/Y35</f>
        <v>#REF!</v>
      </c>
      <c r="AA17" s="122" t="e">
        <f t="shared" ref="AA17:AA23" ca="1" si="6">+W17/V17*7</f>
        <v>#REF!</v>
      </c>
      <c r="AC17" s="29" t="s">
        <v>9</v>
      </c>
      <c r="AD17" s="25">
        <f ca="1">[1]!somme_si_couleur(B7:Q32,10079487)</f>
        <v>0</v>
      </c>
      <c r="AE17" s="116" t="e">
        <f t="shared" si="4"/>
        <v>#REF!</v>
      </c>
    </row>
    <row r="18" spans="1:32" ht="16.2" customHeight="1" x14ac:dyDescent="0.3">
      <c r="A18" s="38">
        <v>43490</v>
      </c>
      <c r="C18" s="61">
        <v>7</v>
      </c>
      <c r="D18" s="25">
        <v>7</v>
      </c>
      <c r="E18" s="25">
        <v>7</v>
      </c>
      <c r="F18" s="25">
        <v>7</v>
      </c>
      <c r="G18" s="25">
        <v>7</v>
      </c>
      <c r="H18" s="25">
        <v>7</v>
      </c>
      <c r="I18" s="25">
        <v>7</v>
      </c>
      <c r="J18" s="61">
        <v>7</v>
      </c>
      <c r="K18" s="33">
        <v>9</v>
      </c>
      <c r="L18" s="128">
        <v>9</v>
      </c>
      <c r="M18" s="137">
        <v>9</v>
      </c>
      <c r="N18" s="33">
        <v>9</v>
      </c>
      <c r="O18" s="33">
        <v>9</v>
      </c>
      <c r="P18" s="128">
        <v>9</v>
      </c>
      <c r="Q18" s="25"/>
      <c r="R18" s="25">
        <f t="shared" si="2"/>
        <v>641</v>
      </c>
      <c r="S18" s="25">
        <f t="shared" si="1"/>
        <v>625</v>
      </c>
      <c r="U18" s="61" t="s">
        <v>12</v>
      </c>
      <c r="V18" s="25">
        <f t="shared" ca="1" si="3"/>
        <v>252</v>
      </c>
      <c r="W18" s="88" t="e">
        <f>#REF!/1000</f>
        <v>#REF!</v>
      </c>
      <c r="X18" s="88" t="e">
        <f>#REF!/1000</f>
        <v>#REF!</v>
      </c>
      <c r="Y18" s="62" t="e">
        <f t="shared" ca="1" si="5"/>
        <v>#REF!</v>
      </c>
      <c r="Z18" s="116" t="e">
        <f>W18/Y36</f>
        <v>#REF!</v>
      </c>
      <c r="AA18" s="119" t="e">
        <f t="shared" ca="1" si="6"/>
        <v>#REF!</v>
      </c>
      <c r="AC18" s="32" t="s">
        <v>12</v>
      </c>
      <c r="AD18" s="25">
        <f ca="1">[1]!somme_si_couleur(B7:Q32,16751052)</f>
        <v>252</v>
      </c>
      <c r="AE18" s="116" t="e">
        <f t="shared" si="4"/>
        <v>#REF!</v>
      </c>
      <c r="AF18" s="56"/>
    </row>
    <row r="19" spans="1:32" ht="16.2" customHeight="1" x14ac:dyDescent="0.3">
      <c r="A19" s="136">
        <v>43491</v>
      </c>
      <c r="B19" s="75"/>
      <c r="C19" s="124"/>
      <c r="D19" s="75"/>
      <c r="E19" s="75"/>
      <c r="F19" s="75"/>
      <c r="G19" s="75"/>
      <c r="H19" s="75"/>
      <c r="I19" s="75"/>
      <c r="J19" s="124"/>
      <c r="K19" s="75"/>
      <c r="L19" s="125"/>
      <c r="M19" s="124"/>
      <c r="N19" s="75"/>
      <c r="O19" s="75"/>
      <c r="P19" s="125"/>
      <c r="Q19" s="75"/>
      <c r="R19" s="25">
        <f t="shared" si="2"/>
        <v>641</v>
      </c>
      <c r="S19" s="25">
        <f t="shared" si="1"/>
        <v>625</v>
      </c>
      <c r="U19" s="61" t="s">
        <v>13</v>
      </c>
      <c r="V19" s="25">
        <f t="shared" ca="1" si="3"/>
        <v>154</v>
      </c>
      <c r="W19" s="88" t="e">
        <f>#REF!/1000</f>
        <v>#REF!</v>
      </c>
      <c r="X19" s="88" t="e">
        <f>#REF!/1000</f>
        <v>#REF!</v>
      </c>
      <c r="Y19" s="62" t="e">
        <f t="shared" ca="1" si="5"/>
        <v>#REF!</v>
      </c>
      <c r="Z19" s="116" t="e">
        <f>W19/Y37/1.3</f>
        <v>#REF!</v>
      </c>
      <c r="AA19" s="119" t="e">
        <f ca="1">+W19/V19*7</f>
        <v>#REF!</v>
      </c>
      <c r="AC19" s="33" t="s">
        <v>13</v>
      </c>
      <c r="AD19" s="25">
        <f ca="1">[1]!somme_si_couleur(B7:Q32,13434828)</f>
        <v>154</v>
      </c>
      <c r="AE19" s="116" t="e">
        <f>Z19</f>
        <v>#REF!</v>
      </c>
      <c r="AF19" s="35"/>
    </row>
    <row r="20" spans="1:32" ht="16.2" customHeight="1" x14ac:dyDescent="0.3">
      <c r="A20" s="136">
        <v>43492</v>
      </c>
      <c r="B20" s="75"/>
      <c r="C20" s="124"/>
      <c r="D20" s="75"/>
      <c r="E20" s="75"/>
      <c r="F20" s="75"/>
      <c r="G20" s="75"/>
      <c r="H20" s="75"/>
      <c r="I20" s="75"/>
      <c r="J20" s="124"/>
      <c r="K20" s="75"/>
      <c r="L20" s="125"/>
      <c r="M20" s="124"/>
      <c r="N20" s="75"/>
      <c r="O20" s="75"/>
      <c r="P20" s="125"/>
      <c r="Q20" s="75"/>
      <c r="R20" s="25">
        <f t="shared" si="2"/>
        <v>641</v>
      </c>
      <c r="S20" s="25">
        <f t="shared" si="1"/>
        <v>625</v>
      </c>
      <c r="U20" s="61" t="s">
        <v>57</v>
      </c>
      <c r="V20" s="25">
        <f t="shared" ca="1" si="3"/>
        <v>0</v>
      </c>
      <c r="W20" s="88" t="e">
        <f>#REF!/1000</f>
        <v>#REF!</v>
      </c>
      <c r="X20" s="88" t="e">
        <f>#REF!/1000</f>
        <v>#REF!</v>
      </c>
      <c r="Y20" s="121" t="e">
        <f t="shared" ca="1" si="5"/>
        <v>#REF!</v>
      </c>
      <c r="Z20" s="116">
        <v>0</v>
      </c>
      <c r="AA20" s="122" t="e">
        <f t="shared" ca="1" si="6"/>
        <v>#REF!</v>
      </c>
      <c r="AC20" s="30" t="s">
        <v>55</v>
      </c>
      <c r="AD20" s="25">
        <f ca="1">[1]!somme_si_couleur(B7:Q32,10092543)</f>
        <v>0</v>
      </c>
      <c r="AE20" s="116">
        <f t="shared" si="4"/>
        <v>0</v>
      </c>
      <c r="AF20" s="35"/>
    </row>
    <row r="21" spans="1:32" ht="16.2" customHeight="1" x14ac:dyDescent="0.3">
      <c r="A21" s="38">
        <v>43493</v>
      </c>
      <c r="C21" s="61">
        <v>7</v>
      </c>
      <c r="D21" s="25">
        <v>7</v>
      </c>
      <c r="E21" s="25">
        <v>7</v>
      </c>
      <c r="F21" s="25">
        <v>7</v>
      </c>
      <c r="G21" s="25">
        <v>7</v>
      </c>
      <c r="H21" s="25">
        <v>7</v>
      </c>
      <c r="I21" s="34">
        <v>9</v>
      </c>
      <c r="J21" s="132">
        <v>9</v>
      </c>
      <c r="K21" s="34">
        <v>9</v>
      </c>
      <c r="L21" s="126">
        <v>9</v>
      </c>
      <c r="M21" s="132">
        <v>9</v>
      </c>
      <c r="N21" s="34">
        <v>9</v>
      </c>
      <c r="O21" s="34">
        <v>9</v>
      </c>
      <c r="P21" s="126">
        <v>9</v>
      </c>
      <c r="Q21" s="25"/>
      <c r="R21" s="25">
        <f t="shared" si="2"/>
        <v>755</v>
      </c>
      <c r="S21" s="25">
        <f t="shared" si="1"/>
        <v>739</v>
      </c>
      <c r="U21" s="61" t="s">
        <v>14</v>
      </c>
      <c r="V21" s="25">
        <f t="shared" ca="1" si="3"/>
        <v>144</v>
      </c>
      <c r="W21" s="88" t="e">
        <f>#REF!/1000</f>
        <v>#REF!</v>
      </c>
      <c r="X21" s="88" t="e">
        <f>#REF!/1000</f>
        <v>#REF!</v>
      </c>
      <c r="Y21" s="62" t="e">
        <f t="shared" ca="1" si="5"/>
        <v>#REF!</v>
      </c>
      <c r="Z21" s="116" t="e">
        <f>W21/Y39</f>
        <v>#REF!</v>
      </c>
      <c r="AA21" s="119" t="e">
        <f t="shared" ca="1" si="6"/>
        <v>#REF!</v>
      </c>
      <c r="AC21" s="34" t="s">
        <v>14</v>
      </c>
      <c r="AD21" s="25">
        <f ca="1">[1]!somme_si_couleur(B7:Q32,16764057)</f>
        <v>144</v>
      </c>
      <c r="AE21" s="116" t="e">
        <f t="shared" si="4"/>
        <v>#REF!</v>
      </c>
      <c r="AF21" s="35"/>
    </row>
    <row r="22" spans="1:32" ht="16.2" customHeight="1" x14ac:dyDescent="0.3">
      <c r="A22" s="38">
        <v>43494</v>
      </c>
      <c r="C22" s="61">
        <v>7</v>
      </c>
      <c r="D22" s="25">
        <v>7</v>
      </c>
      <c r="E22" s="25">
        <v>7</v>
      </c>
      <c r="F22" s="25">
        <v>7</v>
      </c>
      <c r="G22" s="25">
        <v>7</v>
      </c>
      <c r="H22" s="25">
        <v>7</v>
      </c>
      <c r="I22" s="34">
        <v>9</v>
      </c>
      <c r="J22" s="132">
        <v>9</v>
      </c>
      <c r="K22" s="34">
        <v>9</v>
      </c>
      <c r="L22" s="126">
        <v>9</v>
      </c>
      <c r="M22" s="132">
        <v>9</v>
      </c>
      <c r="N22" s="34">
        <v>9</v>
      </c>
      <c r="O22" s="34">
        <v>9</v>
      </c>
      <c r="P22" s="126">
        <v>9</v>
      </c>
      <c r="Q22" s="25"/>
      <c r="R22" s="25">
        <f t="shared" si="2"/>
        <v>869</v>
      </c>
      <c r="S22" s="25">
        <f t="shared" si="1"/>
        <v>853</v>
      </c>
      <c r="U22" s="61" t="s">
        <v>11</v>
      </c>
      <c r="V22" s="25">
        <f t="shared" ca="1" si="3"/>
        <v>62</v>
      </c>
      <c r="W22" s="88" t="e">
        <f>#REF!/1000</f>
        <v>#REF!</v>
      </c>
      <c r="X22" s="88" t="e">
        <f>#REF!/1000</f>
        <v>#REF!</v>
      </c>
      <c r="Y22" s="62" t="e">
        <f t="shared" ca="1" si="5"/>
        <v>#REF!</v>
      </c>
      <c r="Z22" s="116" t="e">
        <f>W22/Y40</f>
        <v>#REF!</v>
      </c>
      <c r="AA22" s="119" t="e">
        <f t="shared" ca="1" si="6"/>
        <v>#REF!</v>
      </c>
      <c r="AC22" s="31" t="s">
        <v>11</v>
      </c>
      <c r="AD22" s="25">
        <f ca="1">[1]!somme_si_couleur(B7:Q32,16777164)</f>
        <v>62</v>
      </c>
      <c r="AE22" s="116" t="e">
        <f t="shared" si="4"/>
        <v>#REF!</v>
      </c>
      <c r="AF22" s="35"/>
    </row>
    <row r="23" spans="1:32" ht="16.2" customHeight="1" thickBot="1" x14ac:dyDescent="0.35">
      <c r="A23" s="38">
        <v>43495</v>
      </c>
      <c r="C23" s="61">
        <v>7</v>
      </c>
      <c r="D23" s="25">
        <v>7</v>
      </c>
      <c r="E23" s="25">
        <v>7</v>
      </c>
      <c r="F23" s="25">
        <v>7</v>
      </c>
      <c r="G23" s="25">
        <v>7</v>
      </c>
      <c r="H23" s="25">
        <v>7</v>
      </c>
      <c r="I23" s="25">
        <v>7</v>
      </c>
      <c r="J23" s="131">
        <v>7</v>
      </c>
      <c r="K23" s="32">
        <v>7</v>
      </c>
      <c r="L23" s="123">
        <v>7</v>
      </c>
      <c r="M23" s="131">
        <v>7</v>
      </c>
      <c r="N23" s="32">
        <v>7</v>
      </c>
      <c r="O23" s="32">
        <v>7</v>
      </c>
      <c r="P23" s="123">
        <v>7</v>
      </c>
      <c r="Q23" s="25"/>
      <c r="R23" s="25">
        <f t="shared" si="2"/>
        <v>967</v>
      </c>
      <c r="S23" s="25">
        <f t="shared" si="1"/>
        <v>951</v>
      </c>
      <c r="U23" s="63" t="s">
        <v>58</v>
      </c>
      <c r="V23" s="64">
        <f ca="1">AD23</f>
        <v>117</v>
      </c>
      <c r="W23" s="64" t="e">
        <f>#REF!/1000</f>
        <v>#REF!</v>
      </c>
      <c r="X23" s="64" t="e">
        <f>#REF!/1000</f>
        <v>#REF!</v>
      </c>
      <c r="Y23" s="85" t="e">
        <f t="shared" ca="1" si="5"/>
        <v>#REF!</v>
      </c>
      <c r="Z23" s="116" t="e">
        <f>W23/0.5</f>
        <v>#REF!</v>
      </c>
      <c r="AA23" s="119" t="e">
        <f t="shared" ca="1" si="6"/>
        <v>#REF!</v>
      </c>
      <c r="AC23" s="110" t="s">
        <v>56</v>
      </c>
      <c r="AD23" s="25">
        <f ca="1">[1]!somme_si_couleur(B7:Q32,14277081)</f>
        <v>117</v>
      </c>
      <c r="AE23" s="116" t="e">
        <f t="shared" si="4"/>
        <v>#REF!</v>
      </c>
    </row>
    <row r="24" spans="1:32" ht="16.2" customHeight="1" thickBot="1" x14ac:dyDescent="0.35">
      <c r="A24" s="38">
        <v>43496</v>
      </c>
      <c r="C24" s="61">
        <v>7</v>
      </c>
      <c r="D24" s="25">
        <v>7</v>
      </c>
      <c r="E24" s="25">
        <v>7</v>
      </c>
      <c r="F24" s="25">
        <v>7</v>
      </c>
      <c r="G24" s="25">
        <v>7</v>
      </c>
      <c r="H24" s="25">
        <v>7</v>
      </c>
      <c r="I24" s="25">
        <v>7</v>
      </c>
      <c r="J24" s="131">
        <v>7</v>
      </c>
      <c r="K24" s="32">
        <v>7</v>
      </c>
      <c r="L24" s="123">
        <v>7</v>
      </c>
      <c r="M24" s="131">
        <v>7</v>
      </c>
      <c r="N24" s="32">
        <v>7</v>
      </c>
      <c r="O24" s="32">
        <v>7</v>
      </c>
      <c r="P24" s="123">
        <v>7</v>
      </c>
      <c r="Q24" s="25"/>
      <c r="R24" s="25">
        <f t="shared" si="2"/>
        <v>1065</v>
      </c>
      <c r="S24" s="25">
        <f t="shared" si="1"/>
        <v>1049</v>
      </c>
      <c r="U24" s="81" t="s">
        <v>48</v>
      </c>
      <c r="V24" s="58">
        <f ca="1">SUM(V16:V23)</f>
        <v>1310</v>
      </c>
      <c r="W24" s="89" t="e">
        <f>SUM(W16:W23)</f>
        <v>#REF!</v>
      </c>
      <c r="X24" s="89"/>
      <c r="Y24" s="109">
        <f ca="1">+X24/V24</f>
        <v>0</v>
      </c>
      <c r="Z24" s="113"/>
      <c r="AA24" s="120" t="e">
        <f ca="1">+W24/V24*7</f>
        <v>#REF!</v>
      </c>
      <c r="AC24" s="77" t="s">
        <v>42</v>
      </c>
      <c r="AD24" s="25">
        <f ca="1">[1]!somme_si_couleur(B7:Q32,65280)</f>
        <v>21</v>
      </c>
      <c r="AE24" s="25">
        <v>21</v>
      </c>
    </row>
    <row r="25" spans="1:32" ht="16.2" customHeight="1" thickBot="1" x14ac:dyDescent="0.35">
      <c r="A25" s="38">
        <v>43497</v>
      </c>
      <c r="C25" s="61">
        <v>7</v>
      </c>
      <c r="D25" s="25">
        <v>7</v>
      </c>
      <c r="E25" s="25">
        <v>7</v>
      </c>
      <c r="F25" s="25">
        <v>7</v>
      </c>
      <c r="G25" s="25">
        <v>7</v>
      </c>
      <c r="H25" s="25">
        <v>7</v>
      </c>
      <c r="I25" s="25">
        <v>7</v>
      </c>
      <c r="J25" s="131">
        <v>7</v>
      </c>
      <c r="K25" s="32">
        <v>7</v>
      </c>
      <c r="L25" s="123">
        <v>7</v>
      </c>
      <c r="M25" s="131">
        <v>7</v>
      </c>
      <c r="N25" s="32">
        <v>7</v>
      </c>
      <c r="O25" s="32">
        <v>7</v>
      </c>
      <c r="P25" s="123">
        <v>7</v>
      </c>
      <c r="Q25" s="25"/>
      <c r="R25" s="25">
        <f t="shared" si="2"/>
        <v>1163</v>
      </c>
      <c r="S25" s="25">
        <f t="shared" si="1"/>
        <v>1147</v>
      </c>
      <c r="U25" s="83" t="s">
        <v>28</v>
      </c>
      <c r="V25" s="41">
        <f ca="1">AD24</f>
        <v>21</v>
      </c>
      <c r="W25" s="41"/>
      <c r="X25" s="41"/>
      <c r="Y25" s="84"/>
      <c r="AA25" s="25"/>
      <c r="AC25" s="76" t="s">
        <v>43</v>
      </c>
      <c r="AD25" s="25">
        <f ca="1">[1]!somme_si_couleur(B12:Q32,13408767)</f>
        <v>0</v>
      </c>
      <c r="AE25" s="25">
        <v>0</v>
      </c>
    </row>
    <row r="26" spans="1:32" ht="16.2" customHeight="1" thickBot="1" x14ac:dyDescent="0.35">
      <c r="A26" s="136">
        <v>43498</v>
      </c>
      <c r="B26" s="75"/>
      <c r="C26" s="124"/>
      <c r="D26" s="75"/>
      <c r="E26" s="75"/>
      <c r="F26" s="75"/>
      <c r="G26" s="75"/>
      <c r="H26" s="75"/>
      <c r="I26" s="75"/>
      <c r="J26" s="124"/>
      <c r="K26" s="75"/>
      <c r="L26" s="125"/>
      <c r="M26" s="124"/>
      <c r="N26" s="75"/>
      <c r="O26" s="140"/>
      <c r="P26" s="125"/>
      <c r="Q26" s="75"/>
      <c r="R26" s="25">
        <f t="shared" si="2"/>
        <v>1163</v>
      </c>
      <c r="S26" s="25">
        <f t="shared" si="1"/>
        <v>1147</v>
      </c>
      <c r="U26" s="63" t="s">
        <v>29</v>
      </c>
      <c r="V26" s="64">
        <f ca="1">AD25</f>
        <v>0</v>
      </c>
      <c r="W26" s="64"/>
      <c r="X26" s="64"/>
      <c r="Y26" s="85"/>
      <c r="Z26" s="25"/>
      <c r="AA26" s="25"/>
    </row>
    <row r="27" spans="1:32" ht="16.2" customHeight="1" thickBot="1" x14ac:dyDescent="0.35">
      <c r="A27" s="136">
        <v>43499</v>
      </c>
      <c r="B27" s="75"/>
      <c r="C27" s="124"/>
      <c r="D27" s="75"/>
      <c r="E27" s="75"/>
      <c r="F27" s="75"/>
      <c r="G27" s="75"/>
      <c r="H27" s="75"/>
      <c r="I27" s="75"/>
      <c r="J27" s="124"/>
      <c r="K27" s="75"/>
      <c r="L27" s="125"/>
      <c r="M27" s="124"/>
      <c r="N27" s="75"/>
      <c r="O27" s="75"/>
      <c r="P27" s="125"/>
      <c r="Q27" s="75"/>
      <c r="R27" s="25">
        <f t="shared" si="2"/>
        <v>1163</v>
      </c>
      <c r="S27" s="25">
        <f t="shared" si="1"/>
        <v>1147</v>
      </c>
      <c r="U27" s="25" t="s">
        <v>30</v>
      </c>
      <c r="V27" s="25">
        <f ca="1">+V24+V25+V26</f>
        <v>1331</v>
      </c>
      <c r="Y27" s="25"/>
      <c r="Z27" s="25"/>
      <c r="AA27" s="25"/>
      <c r="AC27" s="68" t="s">
        <v>44</v>
      </c>
      <c r="AD27" s="69">
        <f ca="1">SUM(AD16:AD25)</f>
        <v>1331</v>
      </c>
      <c r="AE27" s="118" t="e">
        <f>SUM(AE16:AE25)</f>
        <v>#REF!</v>
      </c>
    </row>
    <row r="28" spans="1:32" ht="16.2" customHeight="1" x14ac:dyDescent="0.3">
      <c r="A28" s="38">
        <v>43500</v>
      </c>
      <c r="C28" s="61">
        <v>7</v>
      </c>
      <c r="D28" s="25">
        <v>7</v>
      </c>
      <c r="E28" s="25">
        <v>7</v>
      </c>
      <c r="F28" s="25">
        <v>7</v>
      </c>
      <c r="G28" s="25">
        <v>7</v>
      </c>
      <c r="H28" s="25">
        <v>7</v>
      </c>
      <c r="I28" s="25">
        <v>7</v>
      </c>
      <c r="J28" s="131">
        <v>7</v>
      </c>
      <c r="K28" s="32">
        <v>7</v>
      </c>
      <c r="L28" s="123">
        <v>7</v>
      </c>
      <c r="M28" s="131">
        <v>7</v>
      </c>
      <c r="N28" s="32">
        <v>7</v>
      </c>
      <c r="O28" s="32">
        <v>7</v>
      </c>
      <c r="P28" s="123">
        <v>7</v>
      </c>
      <c r="Q28" s="25"/>
      <c r="R28" s="25">
        <f t="shared" si="2"/>
        <v>1261</v>
      </c>
      <c r="S28" s="25">
        <f t="shared" si="1"/>
        <v>1245</v>
      </c>
      <c r="U28" s="25" t="s">
        <v>45</v>
      </c>
      <c r="V28" s="25">
        <v>15</v>
      </c>
      <c r="W28" s="88" t="e">
        <f>#REF!/1000</f>
        <v>#REF!</v>
      </c>
      <c r="X28" s="88"/>
    </row>
    <row r="29" spans="1:32" ht="16.2" customHeight="1" x14ac:dyDescent="0.3">
      <c r="A29" s="38">
        <v>43501</v>
      </c>
      <c r="C29" s="61">
        <v>7</v>
      </c>
      <c r="D29" s="25">
        <v>7</v>
      </c>
      <c r="E29" s="25">
        <v>7</v>
      </c>
      <c r="F29" s="25">
        <v>7</v>
      </c>
      <c r="G29" s="25">
        <v>7</v>
      </c>
      <c r="H29" s="25">
        <v>7</v>
      </c>
      <c r="I29" s="25">
        <v>7</v>
      </c>
      <c r="J29" s="61"/>
      <c r="L29" s="127"/>
      <c r="M29" s="130">
        <v>7</v>
      </c>
      <c r="N29" s="77">
        <v>7</v>
      </c>
      <c r="O29" s="77">
        <v>7</v>
      </c>
      <c r="P29" s="127"/>
      <c r="Q29" s="25"/>
      <c r="R29" s="25">
        <f t="shared" si="2"/>
        <v>1331</v>
      </c>
      <c r="S29" s="25">
        <f t="shared" si="1"/>
        <v>1315</v>
      </c>
      <c r="U29" s="25" t="s">
        <v>46</v>
      </c>
      <c r="W29" s="25" t="e">
        <f>#REF!/1000</f>
        <v>#REF!</v>
      </c>
    </row>
    <row r="30" spans="1:32" ht="16.2" customHeight="1" x14ac:dyDescent="0.35">
      <c r="A30" s="38">
        <v>43502</v>
      </c>
      <c r="C30" s="61"/>
      <c r="J30" s="61"/>
      <c r="L30" s="127"/>
      <c r="M30" s="61"/>
      <c r="P30" s="127"/>
      <c r="Q30" s="25"/>
      <c r="R30" s="25">
        <f t="shared" si="2"/>
        <v>1331</v>
      </c>
      <c r="S30" s="25">
        <f t="shared" si="1"/>
        <v>1315</v>
      </c>
      <c r="U30" s="101" t="s">
        <v>47</v>
      </c>
      <c r="V30" s="101"/>
      <c r="W30" s="102" t="e">
        <f>+W24+W28+W29</f>
        <v>#REF!</v>
      </c>
      <c r="X30" s="102"/>
    </row>
    <row r="31" spans="1:32" ht="16.2" customHeight="1" x14ac:dyDescent="0.3">
      <c r="A31" s="38">
        <v>43503</v>
      </c>
      <c r="C31" s="61"/>
      <c r="J31" s="61"/>
      <c r="L31" s="127"/>
      <c r="M31" s="61"/>
      <c r="P31" s="127"/>
      <c r="Q31" s="25"/>
      <c r="R31" s="25">
        <f t="shared" si="2"/>
        <v>1331</v>
      </c>
      <c r="S31" s="25">
        <f t="shared" si="1"/>
        <v>1315</v>
      </c>
    </row>
    <row r="32" spans="1:32" ht="16.2" customHeight="1" thickBot="1" x14ac:dyDescent="0.35">
      <c r="A32" s="38">
        <v>43504</v>
      </c>
      <c r="C32" s="63"/>
      <c r="D32" s="64"/>
      <c r="E32" s="64"/>
      <c r="F32" s="64"/>
      <c r="G32" s="64"/>
      <c r="H32" s="64"/>
      <c r="I32" s="64"/>
      <c r="J32" s="63"/>
      <c r="K32" s="64"/>
      <c r="L32" s="85"/>
      <c r="M32" s="63"/>
      <c r="N32" s="64"/>
      <c r="O32" s="64"/>
      <c r="P32" s="85"/>
      <c r="Q32" s="25"/>
      <c r="R32" s="25">
        <f t="shared" si="2"/>
        <v>1331</v>
      </c>
      <c r="S32" s="25">
        <f t="shared" si="1"/>
        <v>1315</v>
      </c>
      <c r="U32" s="25" t="s">
        <v>53</v>
      </c>
      <c r="V32" s="107"/>
      <c r="W32" s="107"/>
      <c r="X32" s="107"/>
      <c r="Y32" s="107"/>
      <c r="Z32" s="107"/>
      <c r="AA32" s="25"/>
      <c r="AD32" s="39">
        <v>43122</v>
      </c>
      <c r="AE32" s="25" t="s">
        <v>18</v>
      </c>
    </row>
    <row r="33" spans="1:31" ht="16.2" customHeight="1" thickBot="1" x14ac:dyDescent="0.35">
      <c r="A33" s="136">
        <v>43505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25">
        <f t="shared" si="2"/>
        <v>1331</v>
      </c>
      <c r="S33" s="25">
        <f t="shared" si="1"/>
        <v>1315</v>
      </c>
      <c r="U33" s="59"/>
      <c r="V33" s="67" t="s">
        <v>19</v>
      </c>
      <c r="W33" s="67" t="s">
        <v>20</v>
      </c>
      <c r="X33" s="67"/>
      <c r="Y33" s="80" t="s">
        <v>21</v>
      </c>
      <c r="Z33" s="25"/>
      <c r="AA33" s="25" t="s">
        <v>22</v>
      </c>
    </row>
    <row r="34" spans="1:31" ht="16.2" customHeight="1" x14ac:dyDescent="0.3">
      <c r="A34" s="136">
        <v>43506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25">
        <f t="shared" si="2"/>
        <v>1331</v>
      </c>
      <c r="S34" s="25">
        <f t="shared" si="1"/>
        <v>1315</v>
      </c>
      <c r="U34" s="59" t="s">
        <v>8</v>
      </c>
      <c r="V34" s="67">
        <v>585</v>
      </c>
      <c r="W34" s="87">
        <v>574</v>
      </c>
      <c r="X34" s="87"/>
      <c r="Y34" s="60">
        <v>0.98119658119658115</v>
      </c>
      <c r="Z34" s="112"/>
      <c r="AA34" s="44">
        <v>6.868376068376068</v>
      </c>
      <c r="AC34" s="28" t="s">
        <v>8</v>
      </c>
      <c r="AD34" s="25">
        <v>585</v>
      </c>
      <c r="AE34" s="25">
        <v>623</v>
      </c>
    </row>
    <row r="35" spans="1:31" ht="16.2" customHeight="1" x14ac:dyDescent="0.3">
      <c r="A35" s="38">
        <v>43507</v>
      </c>
      <c r="Q35" s="25"/>
      <c r="R35" s="25">
        <f t="shared" si="2"/>
        <v>1331</v>
      </c>
      <c r="S35" s="25">
        <f t="shared" si="1"/>
        <v>1315</v>
      </c>
      <c r="U35" s="61" t="s">
        <v>9</v>
      </c>
      <c r="V35" s="25">
        <v>147</v>
      </c>
      <c r="W35" s="88">
        <v>153</v>
      </c>
      <c r="X35" s="88"/>
      <c r="Y35" s="62">
        <v>1.0408163265306123</v>
      </c>
      <c r="Z35" s="112"/>
      <c r="AA35" s="44">
        <v>7.2857142857142865</v>
      </c>
      <c r="AC35" s="29" t="s">
        <v>9</v>
      </c>
      <c r="AD35" s="25">
        <v>147</v>
      </c>
      <c r="AE35" s="25">
        <v>222</v>
      </c>
    </row>
    <row r="36" spans="1:31" ht="16.2" customHeight="1" x14ac:dyDescent="0.35">
      <c r="A36" s="38">
        <v>43508</v>
      </c>
      <c r="R36" s="25">
        <f t="shared" si="2"/>
        <v>1331</v>
      </c>
      <c r="S36" s="25">
        <f t="shared" si="1"/>
        <v>1315</v>
      </c>
      <c r="U36" s="61" t="s">
        <v>12</v>
      </c>
      <c r="V36" s="25">
        <v>222.5</v>
      </c>
      <c r="W36" s="88">
        <v>212</v>
      </c>
      <c r="X36" s="88"/>
      <c r="Y36" s="62">
        <v>0.95280898876404496</v>
      </c>
      <c r="Z36" s="112"/>
      <c r="AA36" s="44">
        <v>6.6696629213483103</v>
      </c>
      <c r="AC36" s="32" t="s">
        <v>12</v>
      </c>
      <c r="AD36" s="25">
        <v>222.5</v>
      </c>
      <c r="AE36" s="25">
        <v>248</v>
      </c>
    </row>
    <row r="37" spans="1:31" ht="16.2" customHeight="1" x14ac:dyDescent="0.35">
      <c r="A37" s="38">
        <v>43509</v>
      </c>
      <c r="R37" s="25">
        <f t="shared" si="2"/>
        <v>1331</v>
      </c>
      <c r="S37" s="25">
        <f t="shared" si="1"/>
        <v>1315</v>
      </c>
      <c r="U37" s="61" t="s">
        <v>13</v>
      </c>
      <c r="V37" s="25">
        <v>110</v>
      </c>
      <c r="W37" s="88">
        <v>62</v>
      </c>
      <c r="X37" s="88"/>
      <c r="Y37" s="62">
        <v>0.56000000000000005</v>
      </c>
      <c r="Z37" s="112"/>
      <c r="AA37" s="44">
        <v>2.6727272727272728</v>
      </c>
      <c r="AC37" s="33" t="s">
        <v>13</v>
      </c>
      <c r="AD37" s="25">
        <v>110</v>
      </c>
      <c r="AE37" s="25">
        <v>74</v>
      </c>
    </row>
    <row r="38" spans="1:31" ht="16.2" customHeight="1" x14ac:dyDescent="0.35">
      <c r="A38" s="38">
        <v>43510</v>
      </c>
      <c r="R38" s="25">
        <f t="shared" si="2"/>
        <v>1331</v>
      </c>
      <c r="S38" s="25">
        <f t="shared" si="1"/>
        <v>1315</v>
      </c>
      <c r="U38" s="61" t="s">
        <v>10</v>
      </c>
      <c r="V38" s="25">
        <v>28</v>
      </c>
      <c r="W38" s="88">
        <v>26</v>
      </c>
      <c r="X38" s="88"/>
      <c r="Y38" s="62">
        <v>0.9285714285714286</v>
      </c>
      <c r="Z38" s="112"/>
      <c r="AA38" s="44">
        <v>6.5</v>
      </c>
      <c r="AC38" s="30" t="s">
        <v>10</v>
      </c>
      <c r="AD38" s="25">
        <v>28</v>
      </c>
      <c r="AE38" s="25">
        <v>0</v>
      </c>
    </row>
    <row r="39" spans="1:31" ht="16.2" customHeight="1" x14ac:dyDescent="0.35">
      <c r="A39" s="38">
        <v>43511</v>
      </c>
      <c r="R39" s="25">
        <f t="shared" si="2"/>
        <v>1331</v>
      </c>
      <c r="S39" s="25">
        <f t="shared" si="1"/>
        <v>1315</v>
      </c>
      <c r="U39" s="61" t="s">
        <v>14</v>
      </c>
      <c r="V39" s="25">
        <v>150</v>
      </c>
      <c r="W39" s="88">
        <v>104</v>
      </c>
      <c r="X39" s="88"/>
      <c r="Y39" s="62">
        <v>0.69</v>
      </c>
      <c r="Z39" s="112"/>
      <c r="AA39" s="44">
        <v>5.7866666666666671</v>
      </c>
      <c r="AC39" s="34" t="s">
        <v>14</v>
      </c>
      <c r="AD39" s="25">
        <v>150</v>
      </c>
      <c r="AE39" s="25">
        <v>193</v>
      </c>
    </row>
    <row r="40" spans="1:31" ht="16.2" customHeight="1" thickBot="1" x14ac:dyDescent="0.35">
      <c r="A40" s="136">
        <v>43512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25">
        <f t="shared" si="2"/>
        <v>1331</v>
      </c>
      <c r="S40" s="25">
        <f t="shared" si="1"/>
        <v>1315</v>
      </c>
      <c r="U40" s="63" t="s">
        <v>11</v>
      </c>
      <c r="V40" s="64">
        <v>171.5</v>
      </c>
      <c r="W40" s="66">
        <v>152</v>
      </c>
      <c r="X40" s="66"/>
      <c r="Y40" s="65">
        <v>0.88629737609329451</v>
      </c>
      <c r="Z40" s="112"/>
      <c r="AA40" s="44">
        <v>6.2040816326530619</v>
      </c>
      <c r="AC40" s="31" t="s">
        <v>11</v>
      </c>
      <c r="AD40" s="25">
        <v>171.5</v>
      </c>
      <c r="AE40" s="25">
        <v>165</v>
      </c>
    </row>
    <row r="41" spans="1:31" ht="16.2" customHeight="1" thickBot="1" x14ac:dyDescent="0.35">
      <c r="A41" s="136">
        <v>43513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25">
        <f t="shared" si="2"/>
        <v>1331</v>
      </c>
      <c r="S41" s="25">
        <f t="shared" si="1"/>
        <v>1315</v>
      </c>
      <c r="U41" s="81" t="s">
        <v>48</v>
      </c>
      <c r="V41" s="58">
        <v>1414</v>
      </c>
      <c r="W41" s="89">
        <v>1283</v>
      </c>
      <c r="X41" s="89"/>
      <c r="Y41" s="82">
        <v>0.90735502121640732</v>
      </c>
      <c r="Z41" s="114"/>
      <c r="AA41" s="51">
        <v>6.3514851485148514</v>
      </c>
      <c r="AC41" s="77" t="s">
        <v>42</v>
      </c>
      <c r="AD41" s="25">
        <v>44</v>
      </c>
      <c r="AE41" s="25">
        <v>70</v>
      </c>
    </row>
    <row r="42" spans="1:31" ht="16.2" customHeight="1" x14ac:dyDescent="0.35">
      <c r="A42" s="38">
        <v>43514</v>
      </c>
      <c r="R42" s="25">
        <f t="shared" si="2"/>
        <v>1331</v>
      </c>
      <c r="S42" s="25">
        <f t="shared" si="1"/>
        <v>1315</v>
      </c>
      <c r="U42" s="83" t="s">
        <v>28</v>
      </c>
      <c r="V42" s="41">
        <v>44</v>
      </c>
      <c r="W42" s="41"/>
      <c r="X42" s="41"/>
      <c r="Y42" s="84"/>
      <c r="AA42" s="25"/>
      <c r="AC42" s="76" t="s">
        <v>43</v>
      </c>
      <c r="AD42" s="25">
        <v>27</v>
      </c>
      <c r="AE42" s="25">
        <v>70</v>
      </c>
    </row>
    <row r="43" spans="1:31" ht="16.2" customHeight="1" thickBot="1" x14ac:dyDescent="0.4">
      <c r="A43" s="38">
        <v>43515</v>
      </c>
      <c r="R43" s="25">
        <f t="shared" si="2"/>
        <v>1331</v>
      </c>
      <c r="S43" s="25">
        <f t="shared" si="1"/>
        <v>1315</v>
      </c>
      <c r="U43" s="63" t="s">
        <v>29</v>
      </c>
      <c r="V43" s="64">
        <v>27</v>
      </c>
      <c r="W43" s="64"/>
      <c r="X43" s="64"/>
      <c r="Y43" s="85"/>
      <c r="Z43" s="25"/>
      <c r="AA43" s="25"/>
    </row>
    <row r="44" spans="1:31" ht="16.2" customHeight="1" thickBot="1" x14ac:dyDescent="0.4">
      <c r="A44" s="38">
        <v>43516</v>
      </c>
      <c r="R44" s="25">
        <f t="shared" si="2"/>
        <v>1331</v>
      </c>
      <c r="S44" s="25">
        <f t="shared" si="1"/>
        <v>1315</v>
      </c>
      <c r="U44" s="25" t="s">
        <v>30</v>
      </c>
      <c r="V44" s="25">
        <v>1485</v>
      </c>
      <c r="Y44" s="25"/>
      <c r="Z44" s="25"/>
      <c r="AA44" s="25"/>
      <c r="AC44" s="68" t="s">
        <v>44</v>
      </c>
      <c r="AD44" s="69">
        <v>1485</v>
      </c>
      <c r="AE44" s="70">
        <v>1665</v>
      </c>
    </row>
    <row r="45" spans="1:31" ht="16.2" customHeight="1" x14ac:dyDescent="0.35">
      <c r="A45" s="38">
        <v>43517</v>
      </c>
      <c r="R45" s="25">
        <f t="shared" si="2"/>
        <v>1331</v>
      </c>
      <c r="S45" s="25">
        <f t="shared" si="1"/>
        <v>1315</v>
      </c>
    </row>
    <row r="46" spans="1:31" ht="16.2" customHeight="1" x14ac:dyDescent="0.35">
      <c r="A46" s="38">
        <v>43518</v>
      </c>
      <c r="R46" s="25">
        <f t="shared" si="2"/>
        <v>1331</v>
      </c>
      <c r="S46" s="25">
        <f t="shared" si="1"/>
        <v>1315</v>
      </c>
      <c r="U46" s="25" t="s">
        <v>45</v>
      </c>
      <c r="W46" s="88">
        <v>212</v>
      </c>
      <c r="X46" s="88"/>
    </row>
    <row r="47" spans="1:31" ht="16.2" customHeight="1" x14ac:dyDescent="0.3">
      <c r="A47" s="136">
        <v>43519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25">
        <f t="shared" si="2"/>
        <v>1331</v>
      </c>
      <c r="S47" s="25">
        <f t="shared" si="1"/>
        <v>1315</v>
      </c>
      <c r="U47" s="25" t="s">
        <v>46</v>
      </c>
      <c r="W47" s="25">
        <v>0</v>
      </c>
    </row>
    <row r="48" spans="1:31" ht="16.2" customHeight="1" x14ac:dyDescent="0.35">
      <c r="A48" s="136">
        <v>43520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25">
        <f t="shared" si="2"/>
        <v>1331</v>
      </c>
      <c r="S48" s="25">
        <f t="shared" si="1"/>
        <v>1315</v>
      </c>
      <c r="U48" s="101" t="s">
        <v>47</v>
      </c>
      <c r="V48" s="101"/>
      <c r="W48" s="102">
        <v>1495</v>
      </c>
      <c r="X48" s="102"/>
    </row>
    <row r="49" spans="1:31" ht="16.2" customHeight="1" x14ac:dyDescent="0.35">
      <c r="A49" s="38">
        <v>43521</v>
      </c>
      <c r="R49" s="25">
        <f t="shared" si="2"/>
        <v>1331</v>
      </c>
      <c r="S49" s="25">
        <f t="shared" si="1"/>
        <v>1315</v>
      </c>
    </row>
    <row r="50" spans="1:31" ht="16.2" customHeight="1" thickBot="1" x14ac:dyDescent="0.4">
      <c r="A50" s="38">
        <v>43522</v>
      </c>
      <c r="R50" s="25">
        <f t="shared" si="2"/>
        <v>1331</v>
      </c>
      <c r="S50" s="25">
        <f t="shared" si="1"/>
        <v>1315</v>
      </c>
      <c r="U50" s="25" t="s">
        <v>38</v>
      </c>
      <c r="Y50" s="25"/>
      <c r="Z50" s="25"/>
      <c r="AA50" s="25"/>
      <c r="AD50" s="39">
        <f ca="1">TODAY()</f>
        <v>43838</v>
      </c>
      <c r="AE50" s="25" t="s">
        <v>18</v>
      </c>
    </row>
    <row r="51" spans="1:31" ht="16.2" customHeight="1" thickBot="1" x14ac:dyDescent="0.4">
      <c r="A51" s="38">
        <v>43523</v>
      </c>
      <c r="R51" s="25">
        <f t="shared" si="2"/>
        <v>1331</v>
      </c>
      <c r="S51" s="25">
        <f t="shared" si="1"/>
        <v>1315</v>
      </c>
      <c r="U51" s="68"/>
      <c r="V51" s="69" t="s">
        <v>19</v>
      </c>
      <c r="W51" s="69" t="s">
        <v>20</v>
      </c>
      <c r="X51" s="69"/>
      <c r="Y51" s="70" t="s">
        <v>21</v>
      </c>
      <c r="Z51" s="25"/>
      <c r="AA51" s="25" t="s">
        <v>22</v>
      </c>
    </row>
    <row r="52" spans="1:31" ht="16.2" customHeight="1" x14ac:dyDescent="0.35">
      <c r="A52" s="38">
        <v>43524</v>
      </c>
      <c r="R52" s="25">
        <f t="shared" si="2"/>
        <v>1331</v>
      </c>
      <c r="S52" s="25">
        <f t="shared" si="1"/>
        <v>1315</v>
      </c>
      <c r="U52" s="59" t="s">
        <v>23</v>
      </c>
      <c r="V52" s="67">
        <f>AD53</f>
        <v>191</v>
      </c>
      <c r="W52" s="67">
        <v>175</v>
      </c>
      <c r="X52" s="67"/>
      <c r="Y52" s="60">
        <f>W52/V52</f>
        <v>0.91623036649214662</v>
      </c>
      <c r="Z52" s="112"/>
      <c r="AA52" s="71">
        <f t="shared" ref="AA52:AA57" si="7">+W52/V52*7</f>
        <v>6.4136125654450264</v>
      </c>
      <c r="AC52" s="28" t="s">
        <v>8</v>
      </c>
      <c r="AD52" s="25">
        <v>829</v>
      </c>
    </row>
    <row r="53" spans="1:31" ht="16.2" customHeight="1" x14ac:dyDescent="0.35">
      <c r="A53" s="38">
        <v>43525</v>
      </c>
      <c r="R53" s="25">
        <f t="shared" si="2"/>
        <v>1331</v>
      </c>
      <c r="S53" s="25">
        <f t="shared" si="1"/>
        <v>1315</v>
      </c>
      <c r="U53" s="61" t="s">
        <v>24</v>
      </c>
      <c r="V53" s="25">
        <f>AD56</f>
        <v>177</v>
      </c>
      <c r="W53" s="25">
        <v>174</v>
      </c>
      <c r="Y53" s="62">
        <f>W53/V53</f>
        <v>0.98305084745762716</v>
      </c>
      <c r="Z53" s="112"/>
      <c r="AA53" s="44">
        <f t="shared" si="7"/>
        <v>6.8813559322033901</v>
      </c>
      <c r="AC53" s="29" t="s">
        <v>9</v>
      </c>
      <c r="AD53" s="25">
        <v>191</v>
      </c>
    </row>
    <row r="54" spans="1:31" ht="16.2" customHeight="1" x14ac:dyDescent="0.3">
      <c r="A54" s="136">
        <v>43526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25">
        <f t="shared" si="2"/>
        <v>1331</v>
      </c>
      <c r="S54" s="25">
        <f t="shared" si="1"/>
        <v>1315</v>
      </c>
      <c r="U54" s="61" t="s">
        <v>25</v>
      </c>
      <c r="V54" s="25">
        <f>AD52</f>
        <v>829</v>
      </c>
      <c r="W54" s="25">
        <v>670</v>
      </c>
      <c r="Y54" s="72">
        <f>W54/V54</f>
        <v>0.80820265379975875</v>
      </c>
      <c r="Z54" s="115"/>
      <c r="AA54" s="44">
        <f t="shared" si="7"/>
        <v>5.6574185765983112</v>
      </c>
      <c r="AC54" s="32" t="s">
        <v>12</v>
      </c>
      <c r="AD54" s="25">
        <v>130</v>
      </c>
      <c r="AE54" s="103" t="s">
        <v>41</v>
      </c>
    </row>
    <row r="55" spans="1:31" ht="16.2" customHeight="1" thickBot="1" x14ac:dyDescent="0.35">
      <c r="A55" s="136">
        <v>43527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25">
        <f t="shared" si="2"/>
        <v>1331</v>
      </c>
      <c r="S55" s="25">
        <f t="shared" si="1"/>
        <v>1315</v>
      </c>
      <c r="U55" s="63" t="s">
        <v>26</v>
      </c>
      <c r="V55" s="64">
        <f>AD54+AD55+AD57+AD58</f>
        <v>476</v>
      </c>
      <c r="W55" s="66">
        <v>357</v>
      </c>
      <c r="X55" s="66"/>
      <c r="Y55" s="65">
        <f>W55/V55</f>
        <v>0.75</v>
      </c>
      <c r="Z55" s="112"/>
      <c r="AA55" s="71">
        <f t="shared" si="7"/>
        <v>5.25</v>
      </c>
      <c r="AC55" s="33" t="s">
        <v>13</v>
      </c>
      <c r="AD55" s="25">
        <v>67</v>
      </c>
    </row>
    <row r="56" spans="1:31" ht="16.2" customHeight="1" thickBot="1" x14ac:dyDescent="0.4">
      <c r="U56" s="57" t="s">
        <v>27</v>
      </c>
      <c r="V56" s="58">
        <f>SUM(V52:V55)</f>
        <v>1673</v>
      </c>
      <c r="W56" s="58">
        <f>SUM(W52:W55)</f>
        <v>1376</v>
      </c>
      <c r="X56" s="58"/>
      <c r="Y56" s="73">
        <f>+W56/V56</f>
        <v>0.8224745965331739</v>
      </c>
      <c r="Z56" s="114"/>
      <c r="AA56" s="44">
        <f t="shared" si="7"/>
        <v>5.7573221757322175</v>
      </c>
      <c r="AC56" s="30" t="s">
        <v>10</v>
      </c>
      <c r="AD56" s="25">
        <v>177</v>
      </c>
    </row>
    <row r="57" spans="1:31" ht="16.2" customHeight="1" x14ac:dyDescent="0.35">
      <c r="U57" s="40" t="s">
        <v>28</v>
      </c>
      <c r="V57" s="41">
        <v>74</v>
      </c>
      <c r="W57" s="41"/>
      <c r="X57" s="41"/>
      <c r="Y57" s="52"/>
      <c r="AA57" s="51">
        <f t="shared" si="7"/>
        <v>0</v>
      </c>
      <c r="AC57" s="34" t="s">
        <v>14</v>
      </c>
      <c r="AD57" s="25">
        <v>195</v>
      </c>
    </row>
    <row r="58" spans="1:31" ht="16.2" customHeight="1" thickBot="1" x14ac:dyDescent="0.35">
      <c r="A58" s="24" t="s">
        <v>36</v>
      </c>
      <c r="B58" s="25">
        <f>SUM(B7:B24)</f>
        <v>16</v>
      </c>
      <c r="C58" s="25">
        <f t="shared" ref="C58:Q58" si="8">SUM(C7:C24)</f>
        <v>67</v>
      </c>
      <c r="D58" s="25">
        <f t="shared" si="8"/>
        <v>67</v>
      </c>
      <c r="E58" s="25">
        <f t="shared" si="8"/>
        <v>67</v>
      </c>
      <c r="F58" s="25">
        <f t="shared" si="8"/>
        <v>67</v>
      </c>
      <c r="G58" s="25">
        <f t="shared" si="8"/>
        <v>67</v>
      </c>
      <c r="H58" s="25">
        <f t="shared" si="8"/>
        <v>67</v>
      </c>
      <c r="I58" s="25">
        <f t="shared" si="8"/>
        <v>94</v>
      </c>
      <c r="J58" s="25">
        <f t="shared" si="8"/>
        <v>98</v>
      </c>
      <c r="K58" s="25">
        <f t="shared" si="8"/>
        <v>100</v>
      </c>
      <c r="L58" s="25">
        <f t="shared" si="8"/>
        <v>71</v>
      </c>
      <c r="M58" s="25">
        <f t="shared" si="8"/>
        <v>71</v>
      </c>
      <c r="N58" s="25">
        <f t="shared" si="8"/>
        <v>71</v>
      </c>
      <c r="O58" s="25">
        <f t="shared" si="8"/>
        <v>71</v>
      </c>
      <c r="P58" s="25">
        <f t="shared" si="8"/>
        <v>71</v>
      </c>
      <c r="Q58" s="25">
        <f t="shared" si="8"/>
        <v>0</v>
      </c>
      <c r="U58" s="53" t="s">
        <v>29</v>
      </c>
      <c r="V58" s="54">
        <v>78</v>
      </c>
      <c r="W58" s="54"/>
      <c r="X58" s="54"/>
      <c r="Y58" s="55"/>
      <c r="Z58" s="25"/>
      <c r="AA58" s="25"/>
      <c r="AC58" s="31" t="s">
        <v>11</v>
      </c>
      <c r="AD58" s="25">
        <v>84</v>
      </c>
    </row>
    <row r="59" spans="1:31" ht="15.6" customHeight="1" x14ac:dyDescent="0.3">
      <c r="A59" s="24" t="s">
        <v>37</v>
      </c>
      <c r="B59" s="56">
        <f>SUM(B25:B32)</f>
        <v>0</v>
      </c>
      <c r="C59" s="56">
        <f t="shared" ref="C59:Q59" si="9">SUM(C25:C32)</f>
        <v>21</v>
      </c>
      <c r="D59" s="56">
        <f t="shared" si="9"/>
        <v>21</v>
      </c>
      <c r="E59" s="56">
        <f t="shared" si="9"/>
        <v>21</v>
      </c>
      <c r="F59" s="56">
        <f t="shared" si="9"/>
        <v>21</v>
      </c>
      <c r="G59" s="56">
        <f t="shared" si="9"/>
        <v>21</v>
      </c>
      <c r="H59" s="56">
        <f t="shared" si="9"/>
        <v>21</v>
      </c>
      <c r="I59" s="56">
        <f t="shared" si="9"/>
        <v>21</v>
      </c>
      <c r="J59" s="56">
        <f t="shared" si="9"/>
        <v>14</v>
      </c>
      <c r="K59" s="56">
        <f t="shared" si="9"/>
        <v>14</v>
      </c>
      <c r="L59" s="56">
        <f t="shared" si="9"/>
        <v>14</v>
      </c>
      <c r="M59" s="56">
        <f t="shared" si="9"/>
        <v>21</v>
      </c>
      <c r="N59" s="56">
        <f t="shared" si="9"/>
        <v>21</v>
      </c>
      <c r="O59" s="56">
        <f t="shared" si="9"/>
        <v>21</v>
      </c>
      <c r="P59" s="56">
        <f t="shared" si="9"/>
        <v>14</v>
      </c>
      <c r="Q59" s="56">
        <f t="shared" si="9"/>
        <v>0</v>
      </c>
      <c r="U59" s="25" t="s">
        <v>30</v>
      </c>
      <c r="V59" s="25">
        <f>+V56+V57+V58</f>
        <v>1825</v>
      </c>
      <c r="Y59" s="25"/>
      <c r="Z59" s="25"/>
      <c r="AA59" s="25"/>
    </row>
    <row r="60" spans="1:31" ht="13.8" x14ac:dyDescent="0.3">
      <c r="Q60" s="25"/>
    </row>
    <row r="61" spans="1:31" ht="14.4" thickBot="1" x14ac:dyDescent="0.35">
      <c r="A61" s="24" t="s">
        <v>17</v>
      </c>
      <c r="B61" s="25">
        <f>SUM(B58:B59)</f>
        <v>16</v>
      </c>
      <c r="C61" s="25">
        <f t="shared" ref="C61:P61" si="10">SUM(C58:C59)</f>
        <v>88</v>
      </c>
      <c r="D61" s="25">
        <f t="shared" si="10"/>
        <v>88</v>
      </c>
      <c r="E61" s="25">
        <f t="shared" si="10"/>
        <v>88</v>
      </c>
      <c r="F61" s="25">
        <f t="shared" si="10"/>
        <v>88</v>
      </c>
      <c r="G61" s="25">
        <f t="shared" si="10"/>
        <v>88</v>
      </c>
      <c r="H61" s="25">
        <f t="shared" si="10"/>
        <v>88</v>
      </c>
      <c r="I61" s="25">
        <f t="shared" si="10"/>
        <v>115</v>
      </c>
      <c r="J61" s="25">
        <f t="shared" si="10"/>
        <v>112</v>
      </c>
      <c r="K61" s="25">
        <f t="shared" si="10"/>
        <v>114</v>
      </c>
      <c r="L61" s="25">
        <f t="shared" si="10"/>
        <v>85</v>
      </c>
      <c r="M61" s="25">
        <f t="shared" si="10"/>
        <v>92</v>
      </c>
      <c r="N61" s="25">
        <f t="shared" si="10"/>
        <v>92</v>
      </c>
      <c r="O61" s="25">
        <f t="shared" si="10"/>
        <v>92</v>
      </c>
      <c r="P61" s="25">
        <f t="shared" si="10"/>
        <v>85</v>
      </c>
      <c r="Q61" s="25">
        <f>SUM(Q58:Q59)</f>
        <v>0</v>
      </c>
      <c r="R61" s="25">
        <f>SUM(B61:Q61)</f>
        <v>1331</v>
      </c>
      <c r="S61" s="25">
        <f>SUM(C61:Q61)</f>
        <v>1315</v>
      </c>
      <c r="U61" s="54" t="s">
        <v>31</v>
      </c>
      <c r="V61" s="54"/>
      <c r="W61" s="54"/>
      <c r="X61" s="54"/>
      <c r="Y61" s="54"/>
      <c r="Z61" s="25"/>
      <c r="AA61" s="25"/>
    </row>
    <row r="62" spans="1:31" ht="18.600000000000001" thickBot="1" x14ac:dyDescent="0.4">
      <c r="U62" s="40"/>
      <c r="V62" s="41" t="s">
        <v>19</v>
      </c>
      <c r="W62" s="41" t="s">
        <v>20</v>
      </c>
      <c r="X62" s="41"/>
      <c r="Y62" s="42" t="s">
        <v>21</v>
      </c>
      <c r="Z62" s="25"/>
      <c r="AA62" s="25" t="s">
        <v>22</v>
      </c>
    </row>
    <row r="63" spans="1:31" x14ac:dyDescent="0.35">
      <c r="U63" s="40" t="s">
        <v>23</v>
      </c>
      <c r="V63" s="41">
        <v>272</v>
      </c>
      <c r="W63" s="41">
        <v>266</v>
      </c>
      <c r="X63" s="41"/>
      <c r="Y63" s="43">
        <f>W63/V63</f>
        <v>0.9779411764705882</v>
      </c>
      <c r="Z63" s="112"/>
      <c r="AA63" s="44">
        <f>+W63/V63*7</f>
        <v>6.8455882352941178</v>
      </c>
    </row>
    <row r="64" spans="1:31" x14ac:dyDescent="0.35">
      <c r="U64" s="45" t="s">
        <v>24</v>
      </c>
      <c r="V64" s="25">
        <v>236.5</v>
      </c>
      <c r="W64" s="25">
        <v>215</v>
      </c>
      <c r="Y64" s="46">
        <f>W64/V64</f>
        <v>0.90909090909090906</v>
      </c>
      <c r="Z64" s="112"/>
      <c r="AA64" s="44">
        <f>+W64/V64*7</f>
        <v>6.3636363636363633</v>
      </c>
    </row>
    <row r="65" spans="21:27" x14ac:dyDescent="0.35">
      <c r="U65" s="45" t="s">
        <v>25</v>
      </c>
      <c r="V65" s="25">
        <v>894</v>
      </c>
      <c r="W65" s="25">
        <v>907</v>
      </c>
      <c r="Y65" s="47">
        <f>W65/V65</f>
        <v>1.0145413870246085</v>
      </c>
      <c r="Z65" s="115"/>
      <c r="AA65" s="44">
        <f>+W65/V65*7</f>
        <v>7.1017897091722597</v>
      </c>
    </row>
    <row r="66" spans="21:27" ht="18.600000000000001" thickBot="1" x14ac:dyDescent="0.4">
      <c r="U66" s="45" t="s">
        <v>28</v>
      </c>
      <c r="V66" s="25">
        <v>74</v>
      </c>
      <c r="Y66" s="46"/>
      <c r="Z66" s="112"/>
      <c r="AA66" s="44"/>
    </row>
    <row r="67" spans="21:27" ht="18.600000000000001" thickBot="1" x14ac:dyDescent="0.4">
      <c r="U67" s="48" t="s">
        <v>27</v>
      </c>
      <c r="V67" s="49">
        <f>SUM(V63:V66)</f>
        <v>1476.5</v>
      </c>
      <c r="W67" s="49">
        <f>SUM(W63:W66)</f>
        <v>1388</v>
      </c>
      <c r="X67" s="49"/>
      <c r="Y67" s="50">
        <f>+W67/V67</f>
        <v>0.94006095496105657</v>
      </c>
      <c r="Z67" s="114"/>
      <c r="AA67" s="51">
        <f>+W67/V67*7</f>
        <v>6.5804266847273958</v>
      </c>
    </row>
    <row r="68" spans="21:27" x14ac:dyDescent="0.35">
      <c r="U68" s="40" t="s">
        <v>28</v>
      </c>
      <c r="V68" s="41">
        <v>74</v>
      </c>
      <c r="W68" s="41"/>
      <c r="X68" s="41"/>
      <c r="Y68" s="52"/>
      <c r="AA68" s="25"/>
    </row>
    <row r="69" spans="21:27" ht="18.600000000000001" thickBot="1" x14ac:dyDescent="0.4">
      <c r="U69" s="53" t="s">
        <v>29</v>
      </c>
      <c r="V69" s="54">
        <v>23</v>
      </c>
      <c r="W69" s="54"/>
      <c r="X69" s="54"/>
      <c r="Y69" s="55"/>
      <c r="Z69" s="25"/>
      <c r="AA69" s="25"/>
    </row>
    <row r="70" spans="21:27" x14ac:dyDescent="0.35">
      <c r="U70" s="56" t="s">
        <v>30</v>
      </c>
      <c r="V70" s="56">
        <f>+V67+V68+V69</f>
        <v>1573.5</v>
      </c>
      <c r="Y70" s="25"/>
      <c r="Z70" s="25"/>
      <c r="AA70" s="25"/>
    </row>
    <row r="72" spans="21:27" ht="18.600000000000001" thickBot="1" x14ac:dyDescent="0.4">
      <c r="U72" s="54" t="s">
        <v>32</v>
      </c>
      <c r="V72" s="54"/>
      <c r="W72" s="54"/>
      <c r="X72" s="54"/>
      <c r="Y72" s="54"/>
      <c r="Z72" s="25"/>
      <c r="AA72" s="25"/>
    </row>
    <row r="73" spans="21:27" ht="18.600000000000001" thickBot="1" x14ac:dyDescent="0.4">
      <c r="U73" s="40"/>
      <c r="V73" s="41" t="s">
        <v>19</v>
      </c>
      <c r="W73" s="41" t="s">
        <v>20</v>
      </c>
      <c r="X73" s="41"/>
      <c r="Y73" s="42" t="s">
        <v>21</v>
      </c>
      <c r="Z73" s="25"/>
      <c r="AA73" s="25"/>
    </row>
    <row r="74" spans="21:27" x14ac:dyDescent="0.35">
      <c r="U74" s="40" t="s">
        <v>33</v>
      </c>
      <c r="V74" s="41">
        <v>469</v>
      </c>
      <c r="W74" s="41">
        <v>379</v>
      </c>
      <c r="X74" s="41"/>
      <c r="Y74" s="43">
        <f>+W74/V74</f>
        <v>0.8081023454157783</v>
      </c>
      <c r="Z74" s="112"/>
      <c r="AA74" s="44">
        <f>+W74/V74*7</f>
        <v>5.6567164179104479</v>
      </c>
    </row>
    <row r="75" spans="21:27" x14ac:dyDescent="0.35">
      <c r="U75" s="45" t="s">
        <v>34</v>
      </c>
      <c r="V75" s="25">
        <v>168</v>
      </c>
      <c r="W75" s="25">
        <v>121</v>
      </c>
      <c r="Y75" s="46">
        <f>+W75/V75</f>
        <v>0.72023809523809523</v>
      </c>
      <c r="Z75" s="112"/>
      <c r="AA75" s="44">
        <f>+W75/V75*7</f>
        <v>5.041666666666667</v>
      </c>
    </row>
    <row r="76" spans="21:27" ht="18.600000000000001" thickBot="1" x14ac:dyDescent="0.4">
      <c r="U76" s="45" t="s">
        <v>25</v>
      </c>
      <c r="V76" s="25">
        <v>712</v>
      </c>
      <c r="W76" s="25">
        <v>842</v>
      </c>
      <c r="Y76" s="47">
        <f>+W76/V76</f>
        <v>1.1825842696629214</v>
      </c>
      <c r="Z76" s="115"/>
      <c r="AA76" s="44">
        <f>+W76/V76*7</f>
        <v>8.2780898876404496</v>
      </c>
    </row>
    <row r="77" spans="21:27" ht="18.600000000000001" thickBot="1" x14ac:dyDescent="0.4">
      <c r="U77" s="48" t="s">
        <v>35</v>
      </c>
      <c r="V77" s="49">
        <f>SUM(V74:V76)</f>
        <v>1349</v>
      </c>
      <c r="W77" s="49">
        <f>SUM(W74:W76)</f>
        <v>1342</v>
      </c>
      <c r="X77" s="49"/>
      <c r="Y77" s="50">
        <f>+W77/V77</f>
        <v>0.99481097108969607</v>
      </c>
      <c r="Z77" s="114"/>
      <c r="AA77" s="51">
        <f>+W77/V77*7</f>
        <v>6.9636767976278726</v>
      </c>
    </row>
  </sheetData>
  <sheetProtection selectLockedCells="1" selectUnlockedCells="1"/>
  <mergeCells count="1">
    <mergeCell ref="B4:P4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52" firstPageNumber="0" orientation="landscape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J25"/>
  <sheetViews>
    <sheetView zoomScaleNormal="100" workbookViewId="0">
      <selection activeCell="L6" sqref="L6"/>
    </sheetView>
  </sheetViews>
  <sheetFormatPr baseColWidth="10" defaultColWidth="11.44140625" defaultRowHeight="13.2" x14ac:dyDescent="0.25"/>
  <cols>
    <col min="1" max="1" width="26.88671875" style="1" customWidth="1"/>
    <col min="2" max="2" width="17.6640625" style="2" customWidth="1"/>
    <col min="3" max="3" width="21.33203125" style="1" customWidth="1"/>
    <col min="4" max="4" width="17.6640625" style="1" customWidth="1"/>
    <col min="5" max="5" width="5.6640625" style="1" customWidth="1"/>
    <col min="6" max="6" width="20" style="1" bestFit="1" customWidth="1"/>
    <col min="7" max="7" width="17.6640625" style="2" customWidth="1"/>
    <col min="8" max="8" width="17.6640625" style="1" customWidth="1"/>
    <col min="9" max="9" width="18.6640625" style="1" customWidth="1"/>
    <col min="10" max="10" width="5.6640625" style="1" customWidth="1"/>
    <col min="11" max="16384" width="11.44140625" style="1"/>
  </cols>
  <sheetData>
    <row r="1" spans="1:10" ht="20.399999999999999" x14ac:dyDescent="0.35">
      <c r="A1" s="3" t="s">
        <v>62</v>
      </c>
      <c r="B1" s="3"/>
      <c r="C1" s="3" t="s">
        <v>63</v>
      </c>
      <c r="D1" s="3"/>
      <c r="E1" s="3"/>
      <c r="F1" s="3"/>
      <c r="H1" s="3"/>
      <c r="I1" s="3"/>
    </row>
    <row r="2" spans="1:10" ht="21" thickBot="1" x14ac:dyDescent="0.4">
      <c r="A2" s="4"/>
      <c r="B2" s="4"/>
      <c r="C2" s="4"/>
      <c r="D2" s="4"/>
      <c r="E2" s="4"/>
      <c r="F2" s="4"/>
      <c r="G2" s="4"/>
      <c r="H2" s="4"/>
      <c r="I2" s="4"/>
    </row>
    <row r="3" spans="1:10" ht="22.95" customHeight="1" thickBot="1" x14ac:dyDescent="0.4">
      <c r="A3" s="191" t="s">
        <v>0</v>
      </c>
      <c r="B3" s="191"/>
      <c r="C3" s="191"/>
      <c r="D3" s="191"/>
      <c r="E3" s="5"/>
      <c r="F3" s="192" t="s">
        <v>81</v>
      </c>
      <c r="G3" s="192"/>
      <c r="H3" s="192"/>
      <c r="I3" s="192"/>
      <c r="J3" s="6"/>
    </row>
    <row r="4" spans="1:10" ht="13.8" thickBot="1" x14ac:dyDescent="0.3">
      <c r="A4" s="189"/>
      <c r="B4" s="189"/>
      <c r="C4" s="189"/>
      <c r="D4" s="189"/>
      <c r="F4" s="189"/>
      <c r="G4" s="189"/>
      <c r="H4" s="189"/>
      <c r="I4" s="189"/>
    </row>
    <row r="5" spans="1:10" ht="15.6" thickBot="1" x14ac:dyDescent="0.3">
      <c r="A5" s="7"/>
      <c r="B5" s="8" t="s">
        <v>2</v>
      </c>
      <c r="C5" s="9">
        <v>550</v>
      </c>
      <c r="D5" s="10"/>
      <c r="E5" s="11"/>
      <c r="F5" s="7"/>
      <c r="G5" s="8" t="s">
        <v>2</v>
      </c>
      <c r="H5" s="9">
        <v>270</v>
      </c>
      <c r="I5" s="10"/>
    </row>
    <row r="6" spans="1:10" ht="26.25" customHeight="1" thickBot="1" x14ac:dyDescent="0.3">
      <c r="A6" s="13" t="s">
        <v>3</v>
      </c>
      <c r="B6" s="14" t="s">
        <v>4</v>
      </c>
      <c r="C6" s="15" t="s">
        <v>5</v>
      </c>
      <c r="D6" s="16" t="s">
        <v>40</v>
      </c>
      <c r="E6" s="17"/>
      <c r="F6" s="13" t="s">
        <v>3</v>
      </c>
      <c r="G6" s="14" t="s">
        <v>4</v>
      </c>
      <c r="H6" s="15" t="s">
        <v>5</v>
      </c>
      <c r="I6" s="16" t="s">
        <v>40</v>
      </c>
    </row>
    <row r="7" spans="1:10" s="17" customFormat="1" ht="19.5" customHeight="1" x14ac:dyDescent="0.25">
      <c r="A7" s="117" t="s">
        <v>66</v>
      </c>
      <c r="B7" s="19">
        <v>613688709</v>
      </c>
      <c r="D7" s="20"/>
      <c r="F7" s="104" t="s">
        <v>7</v>
      </c>
      <c r="G7" s="19">
        <v>619859454</v>
      </c>
      <c r="H7" s="17" t="s">
        <v>69</v>
      </c>
      <c r="I7" s="20" t="s">
        <v>70</v>
      </c>
    </row>
    <row r="8" spans="1:10" s="17" customFormat="1" ht="19.5" customHeight="1" x14ac:dyDescent="0.25">
      <c r="A8" s="117" t="s">
        <v>6</v>
      </c>
      <c r="B8" s="19">
        <v>618526189</v>
      </c>
      <c r="D8" s="20"/>
      <c r="F8" s="104" t="s">
        <v>96</v>
      </c>
      <c r="G8" s="19">
        <v>640249406</v>
      </c>
      <c r="H8" s="17" t="s">
        <v>69</v>
      </c>
      <c r="I8" s="20" t="s">
        <v>70</v>
      </c>
    </row>
    <row r="9" spans="1:10" s="17" customFormat="1" ht="19.5" customHeight="1" x14ac:dyDescent="0.25">
      <c r="A9" s="104" t="s">
        <v>74</v>
      </c>
      <c r="B9" s="19">
        <v>669220783</v>
      </c>
      <c r="C9" s="17" t="s">
        <v>69</v>
      </c>
      <c r="D9" s="20" t="s">
        <v>70</v>
      </c>
      <c r="F9" s="106" t="s">
        <v>99</v>
      </c>
      <c r="G9" s="19"/>
      <c r="H9" s="17" t="s">
        <v>69</v>
      </c>
      <c r="I9" s="78" t="s">
        <v>70</v>
      </c>
    </row>
    <row r="10" spans="1:10" s="17" customFormat="1" ht="19.5" customHeight="1" x14ac:dyDescent="0.25">
      <c r="A10" s="104" t="s">
        <v>50</v>
      </c>
      <c r="B10" s="19">
        <v>648612278</v>
      </c>
      <c r="C10" s="17" t="s">
        <v>69</v>
      </c>
      <c r="D10" s="20" t="s">
        <v>70</v>
      </c>
      <c r="F10" s="106" t="s">
        <v>97</v>
      </c>
      <c r="G10" s="19">
        <v>616029606</v>
      </c>
      <c r="H10" s="17" t="s">
        <v>69</v>
      </c>
      <c r="I10" s="78" t="s">
        <v>70</v>
      </c>
    </row>
    <row r="11" spans="1:10" s="17" customFormat="1" ht="19.5" customHeight="1" x14ac:dyDescent="0.25">
      <c r="A11" s="104" t="s">
        <v>98</v>
      </c>
      <c r="B11" s="19">
        <v>610981752</v>
      </c>
      <c r="C11" s="17" t="s">
        <v>69</v>
      </c>
      <c r="D11" s="20" t="s">
        <v>70</v>
      </c>
      <c r="F11" s="106" t="s">
        <v>79</v>
      </c>
      <c r="G11" s="19">
        <v>620253727</v>
      </c>
      <c r="H11" s="17" t="s">
        <v>69</v>
      </c>
      <c r="I11" s="78" t="s">
        <v>70</v>
      </c>
    </row>
    <row r="12" spans="1:10" s="17" customFormat="1" ht="19.5" customHeight="1" x14ac:dyDescent="0.25">
      <c r="A12" s="104" t="s">
        <v>64</v>
      </c>
      <c r="B12" s="19">
        <v>614295219</v>
      </c>
      <c r="C12" s="17" t="s">
        <v>69</v>
      </c>
      <c r="D12" s="20" t="s">
        <v>70</v>
      </c>
      <c r="F12" s="165"/>
      <c r="G12" s="19"/>
      <c r="I12" s="78"/>
    </row>
    <row r="13" spans="1:10" s="17" customFormat="1" ht="19.5" customHeight="1" x14ac:dyDescent="0.25">
      <c r="A13" s="104" t="s">
        <v>80</v>
      </c>
      <c r="B13" s="19">
        <v>627365493</v>
      </c>
      <c r="C13" s="17" t="s">
        <v>69</v>
      </c>
      <c r="D13" s="78" t="s">
        <v>70</v>
      </c>
      <c r="F13" s="165"/>
      <c r="G13" s="19"/>
      <c r="I13" s="78"/>
    </row>
    <row r="14" spans="1:10" s="17" customFormat="1" ht="20.399999999999999" customHeight="1" x14ac:dyDescent="0.25">
      <c r="A14" s="165"/>
      <c r="B14" s="19"/>
      <c r="D14" s="20"/>
      <c r="F14" s="165"/>
      <c r="G14" s="19"/>
      <c r="I14" s="78"/>
    </row>
    <row r="15" spans="1:10" s="17" customFormat="1" ht="19.5" customHeight="1" x14ac:dyDescent="0.25">
      <c r="A15" s="165"/>
      <c r="B15" s="19"/>
      <c r="D15" s="78"/>
      <c r="F15" s="165"/>
      <c r="G15" s="19"/>
      <c r="I15" s="78"/>
    </row>
    <row r="16" spans="1:10" s="17" customFormat="1" ht="19.5" customHeight="1" x14ac:dyDescent="0.25">
      <c r="A16" s="165"/>
      <c r="B16" s="19"/>
      <c r="D16" s="78"/>
      <c r="F16" s="165"/>
      <c r="G16" s="19"/>
      <c r="I16" s="78"/>
    </row>
    <row r="17" spans="1:9" s="17" customFormat="1" ht="19.5" customHeight="1" x14ac:dyDescent="0.25">
      <c r="A17" s="165"/>
      <c r="B17" s="19"/>
      <c r="D17" s="20"/>
      <c r="F17" s="79"/>
      <c r="G17" s="19"/>
      <c r="I17" s="78"/>
    </row>
    <row r="18" spans="1:9" s="17" customFormat="1" ht="19.5" customHeight="1" x14ac:dyDescent="0.25">
      <c r="A18" s="79"/>
      <c r="B18" s="19"/>
      <c r="C18" s="21"/>
      <c r="D18" s="20"/>
      <c r="F18" s="79"/>
      <c r="G18" s="19"/>
      <c r="I18" s="78"/>
    </row>
    <row r="19" spans="1:9" s="17" customFormat="1" ht="19.5" customHeight="1" x14ac:dyDescent="0.25">
      <c r="A19" s="18"/>
      <c r="B19" s="19"/>
      <c r="D19" s="20"/>
      <c r="F19" s="79"/>
      <c r="G19" s="19"/>
      <c r="I19" s="78"/>
    </row>
    <row r="20" spans="1:9" s="17" customFormat="1" ht="19.5" customHeight="1" x14ac:dyDescent="0.25">
      <c r="A20" s="18"/>
      <c r="B20" s="19"/>
      <c r="D20" s="20"/>
      <c r="F20" s="79"/>
      <c r="G20" s="111"/>
      <c r="I20" s="78"/>
    </row>
    <row r="21" spans="1:9" s="17" customFormat="1" ht="19.5" customHeight="1" x14ac:dyDescent="0.25">
      <c r="A21" s="18"/>
      <c r="B21" s="19"/>
      <c r="D21" s="78"/>
      <c r="F21" s="79"/>
      <c r="G21" s="19"/>
      <c r="I21" s="78"/>
    </row>
    <row r="22" spans="1:9" s="17" customFormat="1" ht="19.5" customHeight="1" thickBot="1" x14ac:dyDescent="0.3">
      <c r="A22" s="74"/>
      <c r="B22" s="22"/>
      <c r="C22" s="23"/>
      <c r="D22" s="16"/>
      <c r="F22" s="97"/>
      <c r="G22" s="98"/>
      <c r="H22" s="99"/>
      <c r="I22" s="100"/>
    </row>
    <row r="23" spans="1:9" ht="20.100000000000001" customHeight="1" x14ac:dyDescent="0.25"/>
    <row r="24" spans="1:9" x14ac:dyDescent="0.25">
      <c r="A24" s="18"/>
      <c r="B24" s="1"/>
    </row>
    <row r="25" spans="1:9" x14ac:dyDescent="0.25">
      <c r="A25" s="18"/>
    </row>
  </sheetData>
  <sheetProtection selectLockedCells="1" selectUnlockedCells="1"/>
  <mergeCells count="4">
    <mergeCell ref="A3:D3"/>
    <mergeCell ref="F3:I3"/>
    <mergeCell ref="A4:D4"/>
    <mergeCell ref="F4:I4"/>
  </mergeCells>
  <conditionalFormatting sqref="D7:D8 I9 I11:I17">
    <cfRule type="cellIs" dxfId="175" priority="279" operator="equal">
      <formula>"non"</formula>
    </cfRule>
    <cfRule type="cellIs" dxfId="174" priority="280" operator="equal">
      <formula>"oui"</formula>
    </cfRule>
  </conditionalFormatting>
  <conditionalFormatting sqref="I9">
    <cfRule type="cellIs" dxfId="173" priority="277" operator="equal">
      <formula>"non"</formula>
    </cfRule>
    <cfRule type="cellIs" dxfId="172" priority="278" operator="equal">
      <formula>"oui"</formula>
    </cfRule>
  </conditionalFormatting>
  <conditionalFormatting sqref="D21">
    <cfRule type="cellIs" dxfId="171" priority="275" operator="equal">
      <formula>"non"</formula>
    </cfRule>
    <cfRule type="cellIs" dxfId="170" priority="276" operator="equal">
      <formula>"oui"</formula>
    </cfRule>
  </conditionalFormatting>
  <conditionalFormatting sqref="D11:D12">
    <cfRule type="cellIs" dxfId="169" priority="273" operator="equal">
      <formula>"non"</formula>
    </cfRule>
    <cfRule type="cellIs" dxfId="168" priority="274" operator="equal">
      <formula>"oui"</formula>
    </cfRule>
  </conditionalFormatting>
  <conditionalFormatting sqref="D13">
    <cfRule type="cellIs" dxfId="167" priority="271" operator="equal">
      <formula>"non"</formula>
    </cfRule>
    <cfRule type="cellIs" dxfId="166" priority="272" operator="equal">
      <formula>"oui"</formula>
    </cfRule>
  </conditionalFormatting>
  <conditionalFormatting sqref="D19">
    <cfRule type="cellIs" dxfId="165" priority="267" operator="equal">
      <formula>"non"</formula>
    </cfRule>
    <cfRule type="cellIs" dxfId="164" priority="268" operator="equal">
      <formula>"oui"</formula>
    </cfRule>
  </conditionalFormatting>
  <conditionalFormatting sqref="D20">
    <cfRule type="cellIs" dxfId="163" priority="261" operator="equal">
      <formula>"non"</formula>
    </cfRule>
    <cfRule type="cellIs" dxfId="162" priority="262" operator="equal">
      <formula>"oui"</formula>
    </cfRule>
  </conditionalFormatting>
  <conditionalFormatting sqref="D13">
    <cfRule type="cellIs" dxfId="161" priority="251" operator="equal">
      <formula>"non"</formula>
    </cfRule>
    <cfRule type="cellIs" dxfId="160" priority="252" operator="equal">
      <formula>"oui"</formula>
    </cfRule>
  </conditionalFormatting>
  <conditionalFormatting sqref="D11">
    <cfRule type="cellIs" dxfId="159" priority="245" operator="equal">
      <formula>"non"</formula>
    </cfRule>
    <cfRule type="cellIs" dxfId="158" priority="246" operator="equal">
      <formula>"oui"</formula>
    </cfRule>
  </conditionalFormatting>
  <conditionalFormatting sqref="D17">
    <cfRule type="cellIs" dxfId="157" priority="243" operator="equal">
      <formula>"non"</formula>
    </cfRule>
    <cfRule type="cellIs" dxfId="156" priority="244" operator="equal">
      <formula>"oui"</formula>
    </cfRule>
  </conditionalFormatting>
  <conditionalFormatting sqref="D13">
    <cfRule type="cellIs" dxfId="155" priority="239" operator="equal">
      <formula>"non"</formula>
    </cfRule>
    <cfRule type="cellIs" dxfId="154" priority="240" operator="equal">
      <formula>"oui"</formula>
    </cfRule>
  </conditionalFormatting>
  <conditionalFormatting sqref="D13">
    <cfRule type="cellIs" dxfId="153" priority="229" operator="equal">
      <formula>"non"</formula>
    </cfRule>
    <cfRule type="cellIs" dxfId="152" priority="230" operator="equal">
      <formula>"oui"</formula>
    </cfRule>
  </conditionalFormatting>
  <conditionalFormatting sqref="D16">
    <cfRule type="cellIs" dxfId="151" priority="209" operator="equal">
      <formula>"non"</formula>
    </cfRule>
    <cfRule type="cellIs" dxfId="150" priority="210" operator="equal">
      <formula>"oui"</formula>
    </cfRule>
  </conditionalFormatting>
  <conditionalFormatting sqref="D16">
    <cfRule type="cellIs" dxfId="149" priority="207" operator="equal">
      <formula>"non"</formula>
    </cfRule>
    <cfRule type="cellIs" dxfId="148" priority="208" operator="equal">
      <formula>"oui"</formula>
    </cfRule>
  </conditionalFormatting>
  <conditionalFormatting sqref="D16">
    <cfRule type="cellIs" dxfId="147" priority="205" operator="equal">
      <formula>"non"</formula>
    </cfRule>
    <cfRule type="cellIs" dxfId="146" priority="206" operator="equal">
      <formula>"oui"</formula>
    </cfRule>
  </conditionalFormatting>
  <conditionalFormatting sqref="D16">
    <cfRule type="cellIs" dxfId="145" priority="203" operator="equal">
      <formula>"non"</formula>
    </cfRule>
    <cfRule type="cellIs" dxfId="144" priority="204" operator="equal">
      <formula>"oui"</formula>
    </cfRule>
  </conditionalFormatting>
  <conditionalFormatting sqref="D14">
    <cfRule type="cellIs" dxfId="143" priority="201" operator="equal">
      <formula>"non"</formula>
    </cfRule>
    <cfRule type="cellIs" dxfId="142" priority="202" operator="equal">
      <formula>"oui"</formula>
    </cfRule>
  </conditionalFormatting>
  <conditionalFormatting sqref="D15">
    <cfRule type="cellIs" dxfId="141" priority="199" operator="equal">
      <formula>"non"</formula>
    </cfRule>
    <cfRule type="cellIs" dxfId="140" priority="200" operator="equal">
      <formula>"oui"</formula>
    </cfRule>
  </conditionalFormatting>
  <conditionalFormatting sqref="D15">
    <cfRule type="cellIs" dxfId="139" priority="197" operator="equal">
      <formula>"non"</formula>
    </cfRule>
    <cfRule type="cellIs" dxfId="138" priority="198" operator="equal">
      <formula>"oui"</formula>
    </cfRule>
  </conditionalFormatting>
  <conditionalFormatting sqref="D15">
    <cfRule type="cellIs" dxfId="137" priority="195" operator="equal">
      <formula>"non"</formula>
    </cfRule>
    <cfRule type="cellIs" dxfId="136" priority="196" operator="equal">
      <formula>"oui"</formula>
    </cfRule>
  </conditionalFormatting>
  <conditionalFormatting sqref="D15">
    <cfRule type="cellIs" dxfId="135" priority="193" operator="equal">
      <formula>"non"</formula>
    </cfRule>
    <cfRule type="cellIs" dxfId="134" priority="194" operator="equal">
      <formula>"oui"</formula>
    </cfRule>
  </conditionalFormatting>
  <conditionalFormatting sqref="I14">
    <cfRule type="cellIs" dxfId="133" priority="183" operator="equal">
      <formula>"non"</formula>
    </cfRule>
    <cfRule type="cellIs" dxfId="132" priority="184" operator="equal">
      <formula>"oui"</formula>
    </cfRule>
  </conditionalFormatting>
  <conditionalFormatting sqref="I14">
    <cfRule type="cellIs" dxfId="131" priority="181" operator="equal">
      <formula>"non"</formula>
    </cfRule>
    <cfRule type="cellIs" dxfId="130" priority="182" operator="equal">
      <formula>"oui"</formula>
    </cfRule>
  </conditionalFormatting>
  <conditionalFormatting sqref="I11">
    <cfRule type="cellIs" dxfId="129" priority="171" operator="equal">
      <formula>"non"</formula>
    </cfRule>
    <cfRule type="cellIs" dxfId="128" priority="172" operator="equal">
      <formula>"oui"</formula>
    </cfRule>
  </conditionalFormatting>
  <conditionalFormatting sqref="I11">
    <cfRule type="cellIs" dxfId="127" priority="169" operator="equal">
      <formula>"non"</formula>
    </cfRule>
    <cfRule type="cellIs" dxfId="126" priority="170" operator="equal">
      <formula>"oui"</formula>
    </cfRule>
  </conditionalFormatting>
  <conditionalFormatting sqref="I15">
    <cfRule type="cellIs" dxfId="125" priority="165" operator="equal">
      <formula>"non"</formula>
    </cfRule>
    <cfRule type="cellIs" dxfId="124" priority="166" operator="equal">
      <formula>"oui"</formula>
    </cfRule>
  </conditionalFormatting>
  <conditionalFormatting sqref="I15">
    <cfRule type="cellIs" dxfId="123" priority="163" operator="equal">
      <formula>"non"</formula>
    </cfRule>
    <cfRule type="cellIs" dxfId="122" priority="164" operator="equal">
      <formula>"oui"</formula>
    </cfRule>
  </conditionalFormatting>
  <conditionalFormatting sqref="I9">
    <cfRule type="cellIs" dxfId="121" priority="161" operator="equal">
      <formula>"non"</formula>
    </cfRule>
    <cfRule type="cellIs" dxfId="120" priority="162" operator="equal">
      <formula>"oui"</formula>
    </cfRule>
  </conditionalFormatting>
  <conditionalFormatting sqref="I9">
    <cfRule type="cellIs" dxfId="119" priority="159" operator="equal">
      <formula>"non"</formula>
    </cfRule>
    <cfRule type="cellIs" dxfId="118" priority="160" operator="equal">
      <formula>"oui"</formula>
    </cfRule>
  </conditionalFormatting>
  <conditionalFormatting sqref="I9">
    <cfRule type="cellIs" dxfId="117" priority="157" operator="equal">
      <formula>"non"</formula>
    </cfRule>
    <cfRule type="cellIs" dxfId="116" priority="158" operator="equal">
      <formula>"oui"</formula>
    </cfRule>
  </conditionalFormatting>
  <conditionalFormatting sqref="I9">
    <cfRule type="cellIs" dxfId="115" priority="155" operator="equal">
      <formula>"non"</formula>
    </cfRule>
    <cfRule type="cellIs" dxfId="114" priority="156" operator="equal">
      <formula>"oui"</formula>
    </cfRule>
  </conditionalFormatting>
  <conditionalFormatting sqref="I12">
    <cfRule type="cellIs" dxfId="113" priority="153" operator="equal">
      <formula>"non"</formula>
    </cfRule>
    <cfRule type="cellIs" dxfId="112" priority="154" operator="equal">
      <formula>"oui"</formula>
    </cfRule>
  </conditionalFormatting>
  <conditionalFormatting sqref="I12">
    <cfRule type="cellIs" dxfId="111" priority="151" operator="equal">
      <formula>"non"</formula>
    </cfRule>
    <cfRule type="cellIs" dxfId="110" priority="152" operator="equal">
      <formula>"oui"</formula>
    </cfRule>
  </conditionalFormatting>
  <conditionalFormatting sqref="I15">
    <cfRule type="cellIs" dxfId="109" priority="139" operator="equal">
      <formula>"non"</formula>
    </cfRule>
    <cfRule type="cellIs" dxfId="108" priority="140" operator="equal">
      <formula>"oui"</formula>
    </cfRule>
  </conditionalFormatting>
  <conditionalFormatting sqref="I15">
    <cfRule type="cellIs" dxfId="107" priority="137" operator="equal">
      <formula>"non"</formula>
    </cfRule>
    <cfRule type="cellIs" dxfId="106" priority="138" operator="equal">
      <formula>"oui"</formula>
    </cfRule>
  </conditionalFormatting>
  <conditionalFormatting sqref="I12">
    <cfRule type="cellIs" dxfId="105" priority="135" operator="equal">
      <formula>"non"</formula>
    </cfRule>
    <cfRule type="cellIs" dxfId="104" priority="136" operator="equal">
      <formula>"oui"</formula>
    </cfRule>
  </conditionalFormatting>
  <conditionalFormatting sqref="I12">
    <cfRule type="cellIs" dxfId="103" priority="133" operator="equal">
      <formula>"non"</formula>
    </cfRule>
    <cfRule type="cellIs" dxfId="102" priority="134" operator="equal">
      <formula>"oui"</formula>
    </cfRule>
  </conditionalFormatting>
  <conditionalFormatting sqref="I11">
    <cfRule type="cellIs" dxfId="101" priority="131" operator="equal">
      <formula>"non"</formula>
    </cfRule>
    <cfRule type="cellIs" dxfId="100" priority="132" operator="equal">
      <formula>"oui"</formula>
    </cfRule>
  </conditionalFormatting>
  <conditionalFormatting sqref="I16">
    <cfRule type="cellIs" dxfId="99" priority="129" operator="equal">
      <formula>"non"</formula>
    </cfRule>
    <cfRule type="cellIs" dxfId="98" priority="130" operator="equal">
      <formula>"oui"</formula>
    </cfRule>
  </conditionalFormatting>
  <conditionalFormatting sqref="I16">
    <cfRule type="cellIs" dxfId="97" priority="127" operator="equal">
      <formula>"non"</formula>
    </cfRule>
    <cfRule type="cellIs" dxfId="96" priority="128" operator="equal">
      <formula>"oui"</formula>
    </cfRule>
  </conditionalFormatting>
  <conditionalFormatting sqref="I13">
    <cfRule type="cellIs" dxfId="95" priority="117" operator="equal">
      <formula>"non"</formula>
    </cfRule>
    <cfRule type="cellIs" dxfId="94" priority="118" operator="equal">
      <formula>"oui"</formula>
    </cfRule>
  </conditionalFormatting>
  <conditionalFormatting sqref="I13">
    <cfRule type="cellIs" dxfId="93" priority="115" operator="equal">
      <formula>"non"</formula>
    </cfRule>
    <cfRule type="cellIs" dxfId="92" priority="116" operator="equal">
      <formula>"oui"</formula>
    </cfRule>
  </conditionalFormatting>
  <conditionalFormatting sqref="D12">
    <cfRule type="cellIs" dxfId="91" priority="113" operator="equal">
      <formula>"non"</formula>
    </cfRule>
    <cfRule type="cellIs" dxfId="90" priority="114" operator="equal">
      <formula>"oui"</formula>
    </cfRule>
  </conditionalFormatting>
  <conditionalFormatting sqref="D14">
    <cfRule type="cellIs" dxfId="89" priority="109" operator="equal">
      <formula>"non"</formula>
    </cfRule>
    <cfRule type="cellIs" dxfId="88" priority="110" operator="equal">
      <formula>"oui"</formula>
    </cfRule>
  </conditionalFormatting>
  <conditionalFormatting sqref="D14">
    <cfRule type="cellIs" dxfId="87" priority="107" operator="equal">
      <formula>"non"</formula>
    </cfRule>
    <cfRule type="cellIs" dxfId="86" priority="108" operator="equal">
      <formula>"oui"</formula>
    </cfRule>
  </conditionalFormatting>
  <conditionalFormatting sqref="D12">
    <cfRule type="cellIs" dxfId="85" priority="105" operator="equal">
      <formula>"non"</formula>
    </cfRule>
    <cfRule type="cellIs" dxfId="84" priority="106" operator="equal">
      <formula>"oui"</formula>
    </cfRule>
  </conditionalFormatting>
  <conditionalFormatting sqref="D14">
    <cfRule type="cellIs" dxfId="83" priority="103" operator="equal">
      <formula>"non"</formula>
    </cfRule>
    <cfRule type="cellIs" dxfId="82" priority="104" operator="equal">
      <formula>"oui"</formula>
    </cfRule>
  </conditionalFormatting>
  <conditionalFormatting sqref="D14">
    <cfRule type="cellIs" dxfId="81" priority="101" operator="equal">
      <formula>"non"</formula>
    </cfRule>
    <cfRule type="cellIs" dxfId="80" priority="102" operator="equal">
      <formula>"oui"</formula>
    </cfRule>
  </conditionalFormatting>
  <conditionalFormatting sqref="D13">
    <cfRule type="cellIs" dxfId="79" priority="99" operator="equal">
      <formula>"non"</formula>
    </cfRule>
    <cfRule type="cellIs" dxfId="78" priority="100" operator="equal">
      <formula>"oui"</formula>
    </cfRule>
  </conditionalFormatting>
  <conditionalFormatting sqref="I8">
    <cfRule type="cellIs" dxfId="77" priority="83" operator="equal">
      <formula>"non"</formula>
    </cfRule>
    <cfRule type="cellIs" dxfId="76" priority="84" operator="equal">
      <formula>"oui"</formula>
    </cfRule>
  </conditionalFormatting>
  <conditionalFormatting sqref="I8">
    <cfRule type="cellIs" dxfId="75" priority="81" operator="equal">
      <formula>"non"</formula>
    </cfRule>
    <cfRule type="cellIs" dxfId="74" priority="82" operator="equal">
      <formula>"oui"</formula>
    </cfRule>
  </conditionalFormatting>
  <conditionalFormatting sqref="I8">
    <cfRule type="cellIs" dxfId="73" priority="79" operator="equal">
      <formula>"non"</formula>
    </cfRule>
    <cfRule type="cellIs" dxfId="72" priority="80" operator="equal">
      <formula>"oui"</formula>
    </cfRule>
  </conditionalFormatting>
  <conditionalFormatting sqref="I8">
    <cfRule type="cellIs" dxfId="71" priority="77" operator="equal">
      <formula>"non"</formula>
    </cfRule>
    <cfRule type="cellIs" dxfId="70" priority="78" operator="equal">
      <formula>"oui"</formula>
    </cfRule>
  </conditionalFormatting>
  <conditionalFormatting sqref="I8">
    <cfRule type="cellIs" dxfId="69" priority="75" operator="equal">
      <formula>"non"</formula>
    </cfRule>
    <cfRule type="cellIs" dxfId="68" priority="76" operator="equal">
      <formula>"oui"</formula>
    </cfRule>
  </conditionalFormatting>
  <conditionalFormatting sqref="I8">
    <cfRule type="cellIs" dxfId="67" priority="73" operator="equal">
      <formula>"non"</formula>
    </cfRule>
    <cfRule type="cellIs" dxfId="66" priority="74" operator="equal">
      <formula>"oui"</formula>
    </cfRule>
  </conditionalFormatting>
  <conditionalFormatting sqref="I8">
    <cfRule type="cellIs" dxfId="65" priority="71" operator="equal">
      <formula>"non"</formula>
    </cfRule>
    <cfRule type="cellIs" dxfId="64" priority="72" operator="equal">
      <formula>"oui"</formula>
    </cfRule>
  </conditionalFormatting>
  <conditionalFormatting sqref="I8">
    <cfRule type="cellIs" dxfId="63" priority="69" operator="equal">
      <formula>"non"</formula>
    </cfRule>
    <cfRule type="cellIs" dxfId="62" priority="70" operator="equal">
      <formula>"oui"</formula>
    </cfRule>
  </conditionalFormatting>
  <conditionalFormatting sqref="I8">
    <cfRule type="cellIs" dxfId="61" priority="67" operator="equal">
      <formula>"non"</formula>
    </cfRule>
    <cfRule type="cellIs" dxfId="60" priority="68" operator="equal">
      <formula>"oui"</formula>
    </cfRule>
  </conditionalFormatting>
  <conditionalFormatting sqref="I9">
    <cfRule type="cellIs" dxfId="59" priority="65" operator="equal">
      <formula>"non"</formula>
    </cfRule>
    <cfRule type="cellIs" dxfId="58" priority="66" operator="equal">
      <formula>"oui"</formula>
    </cfRule>
  </conditionalFormatting>
  <conditionalFormatting sqref="I9">
    <cfRule type="cellIs" dxfId="57" priority="63" operator="equal">
      <formula>"non"</formula>
    </cfRule>
    <cfRule type="cellIs" dxfId="56" priority="64" operator="equal">
      <formula>"oui"</formula>
    </cfRule>
  </conditionalFormatting>
  <conditionalFormatting sqref="I9">
    <cfRule type="cellIs" dxfId="55" priority="61" operator="equal">
      <formula>"non"</formula>
    </cfRule>
    <cfRule type="cellIs" dxfId="54" priority="62" operator="equal">
      <formula>"oui"</formula>
    </cfRule>
  </conditionalFormatting>
  <conditionalFormatting sqref="I7">
    <cfRule type="cellIs" dxfId="53" priority="59" operator="equal">
      <formula>"non"</formula>
    </cfRule>
    <cfRule type="cellIs" dxfId="52" priority="60" operator="equal">
      <formula>"oui"</formula>
    </cfRule>
  </conditionalFormatting>
  <conditionalFormatting sqref="I7">
    <cfRule type="cellIs" dxfId="51" priority="57" operator="equal">
      <formula>"non"</formula>
    </cfRule>
    <cfRule type="cellIs" dxfId="50" priority="58" operator="equal">
      <formula>"oui"</formula>
    </cfRule>
  </conditionalFormatting>
  <conditionalFormatting sqref="I7">
    <cfRule type="cellIs" dxfId="49" priority="55" operator="equal">
      <formula>"non"</formula>
    </cfRule>
    <cfRule type="cellIs" dxfId="48" priority="56" operator="equal">
      <formula>"oui"</formula>
    </cfRule>
  </conditionalFormatting>
  <conditionalFormatting sqref="I7">
    <cfRule type="cellIs" dxfId="47" priority="53" operator="equal">
      <formula>"non"</formula>
    </cfRule>
    <cfRule type="cellIs" dxfId="46" priority="54" operator="equal">
      <formula>"oui"</formula>
    </cfRule>
  </conditionalFormatting>
  <conditionalFormatting sqref="I7">
    <cfRule type="cellIs" dxfId="45" priority="51" operator="equal">
      <formula>"non"</formula>
    </cfRule>
    <cfRule type="cellIs" dxfId="44" priority="52" operator="equal">
      <formula>"oui"</formula>
    </cfRule>
  </conditionalFormatting>
  <conditionalFormatting sqref="I7">
    <cfRule type="cellIs" dxfId="43" priority="49" operator="equal">
      <formula>"non"</formula>
    </cfRule>
    <cfRule type="cellIs" dxfId="42" priority="50" operator="equal">
      <formula>"oui"</formula>
    </cfRule>
  </conditionalFormatting>
  <conditionalFormatting sqref="I7">
    <cfRule type="cellIs" dxfId="41" priority="47" operator="equal">
      <formula>"non"</formula>
    </cfRule>
    <cfRule type="cellIs" dxfId="40" priority="48" operator="equal">
      <formula>"oui"</formula>
    </cfRule>
  </conditionalFormatting>
  <conditionalFormatting sqref="I10">
    <cfRule type="cellIs" dxfId="39" priority="45" operator="equal">
      <formula>"non"</formula>
    </cfRule>
    <cfRule type="cellIs" dxfId="38" priority="46" operator="equal">
      <formula>"oui"</formula>
    </cfRule>
  </conditionalFormatting>
  <conditionalFormatting sqref="I10">
    <cfRule type="cellIs" dxfId="37" priority="43" operator="equal">
      <formula>"non"</formula>
    </cfRule>
    <cfRule type="cellIs" dxfId="36" priority="44" operator="equal">
      <formula>"oui"</formula>
    </cfRule>
  </conditionalFormatting>
  <conditionalFormatting sqref="I10">
    <cfRule type="cellIs" dxfId="35" priority="41" operator="equal">
      <formula>"non"</formula>
    </cfRule>
    <cfRule type="cellIs" dxfId="34" priority="42" operator="equal">
      <formula>"oui"</formula>
    </cfRule>
  </conditionalFormatting>
  <conditionalFormatting sqref="I10">
    <cfRule type="cellIs" dxfId="33" priority="39" operator="equal">
      <formula>"non"</formula>
    </cfRule>
    <cfRule type="cellIs" dxfId="32" priority="40" operator="equal">
      <formula>"oui"</formula>
    </cfRule>
  </conditionalFormatting>
  <conditionalFormatting sqref="I10">
    <cfRule type="cellIs" dxfId="31" priority="37" operator="equal">
      <formula>"non"</formula>
    </cfRule>
    <cfRule type="cellIs" dxfId="30" priority="38" operator="equal">
      <formula>"oui"</formula>
    </cfRule>
  </conditionalFormatting>
  <conditionalFormatting sqref="I10">
    <cfRule type="cellIs" dxfId="29" priority="35" operator="equal">
      <formula>"non"</formula>
    </cfRule>
    <cfRule type="cellIs" dxfId="28" priority="36" operator="equal">
      <formula>"oui"</formula>
    </cfRule>
  </conditionalFormatting>
  <conditionalFormatting sqref="I10">
    <cfRule type="cellIs" dxfId="27" priority="33" operator="equal">
      <formula>"non"</formula>
    </cfRule>
    <cfRule type="cellIs" dxfId="26" priority="34" operator="equal">
      <formula>"oui"</formula>
    </cfRule>
  </conditionalFormatting>
  <conditionalFormatting sqref="I10">
    <cfRule type="cellIs" dxfId="25" priority="31" operator="equal">
      <formula>"non"</formula>
    </cfRule>
    <cfRule type="cellIs" dxfId="24" priority="32" operator="equal">
      <formula>"oui"</formula>
    </cfRule>
  </conditionalFormatting>
  <conditionalFormatting sqref="I10">
    <cfRule type="cellIs" dxfId="23" priority="29" operator="equal">
      <formula>"non"</formula>
    </cfRule>
    <cfRule type="cellIs" dxfId="22" priority="30" operator="equal">
      <formula>"oui"</formula>
    </cfRule>
  </conditionalFormatting>
  <conditionalFormatting sqref="I10">
    <cfRule type="cellIs" dxfId="21" priority="27" operator="equal">
      <formula>"non"</formula>
    </cfRule>
    <cfRule type="cellIs" dxfId="20" priority="28" operator="equal">
      <formula>"oui"</formula>
    </cfRule>
  </conditionalFormatting>
  <conditionalFormatting sqref="I10">
    <cfRule type="cellIs" dxfId="19" priority="25" operator="equal">
      <formula>"non"</formula>
    </cfRule>
    <cfRule type="cellIs" dxfId="18" priority="26" operator="equal">
      <formula>"oui"</formula>
    </cfRule>
  </conditionalFormatting>
  <conditionalFormatting sqref="I10">
    <cfRule type="cellIs" dxfId="17" priority="23" operator="equal">
      <formula>"non"</formula>
    </cfRule>
    <cfRule type="cellIs" dxfId="16" priority="24" operator="equal">
      <formula>"oui"</formula>
    </cfRule>
  </conditionalFormatting>
  <conditionalFormatting sqref="I10">
    <cfRule type="cellIs" dxfId="15" priority="21" operator="equal">
      <formula>"non"</formula>
    </cfRule>
    <cfRule type="cellIs" dxfId="14" priority="22" operator="equal">
      <formula>"oui"</formula>
    </cfRule>
  </conditionalFormatting>
  <conditionalFormatting sqref="I10">
    <cfRule type="cellIs" dxfId="13" priority="19" operator="equal">
      <formula>"non"</formula>
    </cfRule>
    <cfRule type="cellIs" dxfId="12" priority="20" operator="equal">
      <formula>"oui"</formula>
    </cfRule>
  </conditionalFormatting>
  <conditionalFormatting sqref="I11">
    <cfRule type="cellIs" dxfId="11" priority="17" operator="equal">
      <formula>"non"</formula>
    </cfRule>
    <cfRule type="cellIs" dxfId="10" priority="18" operator="equal">
      <formula>"oui"</formula>
    </cfRule>
  </conditionalFormatting>
  <conditionalFormatting sqref="I11">
    <cfRule type="cellIs" dxfId="9" priority="15" operator="equal">
      <formula>"non"</formula>
    </cfRule>
    <cfRule type="cellIs" dxfId="8" priority="16" operator="equal">
      <formula>"oui"</formula>
    </cfRule>
  </conditionalFormatting>
  <conditionalFormatting sqref="I11">
    <cfRule type="cellIs" dxfId="7" priority="13" operator="equal">
      <formula>"non"</formula>
    </cfRule>
    <cfRule type="cellIs" dxfId="6" priority="14" operator="equal">
      <formula>"oui"</formula>
    </cfRule>
  </conditionalFormatting>
  <conditionalFormatting sqref="I11">
    <cfRule type="cellIs" dxfId="5" priority="11" operator="equal">
      <formula>"non"</formula>
    </cfRule>
    <cfRule type="cellIs" dxfId="4" priority="12" operator="equal">
      <formula>"oui"</formula>
    </cfRule>
  </conditionalFormatting>
  <conditionalFormatting sqref="I11">
    <cfRule type="cellIs" dxfId="3" priority="9" operator="equal">
      <formula>"non"</formula>
    </cfRule>
    <cfRule type="cellIs" dxfId="2" priority="10" operator="equal">
      <formula>"oui"</formula>
    </cfRule>
  </conditionalFormatting>
  <conditionalFormatting sqref="D9:D10">
    <cfRule type="cellIs" dxfId="1" priority="1" operator="equal">
      <formula>"non"</formula>
    </cfRule>
    <cfRule type="cellIs" dxfId="0" priority="2" operator="equal">
      <formula>"oui"</formula>
    </cfRule>
  </conditionalFormatting>
  <pageMargins left="0.74791666666666667" right="0.74791666666666667" top="0.98402777777777772" bottom="0.98402777777777772" header="0.51180555555555551" footer="0.51180555555555551"/>
  <pageSetup paperSize="9" scale="78" firstPageNumber="0" orientation="landscape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3C1EB-DB11-4848-8291-691A44D9B74B}">
  <sheetPr codeName="Feuil10">
    <pageSetUpPr fitToPage="1"/>
  </sheetPr>
  <dimension ref="A1:AE78"/>
  <sheetViews>
    <sheetView zoomScale="60" zoomScaleNormal="60" workbookViewId="0">
      <pane xSplit="1" ySplit="6" topLeftCell="B7" activePane="bottomRight" state="frozen"/>
      <selection pane="topRight" activeCell="B1" sqref="B1"/>
      <selection pane="bottomLeft" activeCell="A24" sqref="A24"/>
      <selection pane="bottomRight" activeCell="F2" sqref="F2"/>
    </sheetView>
  </sheetViews>
  <sheetFormatPr baseColWidth="10" defaultColWidth="11.44140625" defaultRowHeight="13.8" x14ac:dyDescent="0.3"/>
  <cols>
    <col min="1" max="1" width="10.109375" style="24" bestFit="1" customWidth="1"/>
    <col min="2" max="3" width="10.109375" style="25" bestFit="1" customWidth="1"/>
    <col min="4" max="4" width="11" style="25" customWidth="1"/>
    <col min="5" max="6" width="12.33203125" style="25" customWidth="1"/>
    <col min="7" max="7" width="12.88671875" style="25" customWidth="1"/>
    <col min="8" max="8" width="13.33203125" style="25" customWidth="1"/>
    <col min="9" max="9" width="14.109375" style="25" customWidth="1"/>
    <col min="10" max="10" width="12.88671875" style="25" customWidth="1"/>
    <col min="11" max="11" width="13" style="25" customWidth="1"/>
    <col min="12" max="12" width="11.5546875" style="25" customWidth="1"/>
    <col min="13" max="14" width="13.21875" style="25" bestFit="1" customWidth="1"/>
    <col min="15" max="15" width="13.109375" style="25" bestFit="1" customWidth="1"/>
    <col min="16" max="16" width="10.44140625" style="25" customWidth="1"/>
    <col min="17" max="18" width="6.5546875" style="25" customWidth="1"/>
    <col min="19" max="19" width="3" style="25" customWidth="1"/>
    <col min="20" max="20" width="17.88671875" style="25" customWidth="1"/>
    <col min="21" max="21" width="12.6640625" style="25" bestFit="1" customWidth="1"/>
    <col min="22" max="22" width="11.5546875" style="25" customWidth="1"/>
    <col min="23" max="23" width="14.33203125" style="25" bestFit="1" customWidth="1"/>
    <col min="24" max="24" width="10.6640625" style="27" customWidth="1"/>
    <col min="25" max="25" width="12.109375" style="27" bestFit="1" customWidth="1"/>
    <col min="26" max="26" width="16" style="27" customWidth="1"/>
    <col min="27" max="27" width="2.109375" style="25" customWidth="1"/>
    <col min="28" max="28" width="13.33203125" style="25" bestFit="1" customWidth="1"/>
    <col min="29" max="29" width="13.6640625" style="25" bestFit="1" customWidth="1"/>
    <col min="30" max="30" width="12.109375" style="25" bestFit="1" customWidth="1"/>
    <col min="31" max="16384" width="11.44140625" style="25"/>
  </cols>
  <sheetData>
    <row r="1" spans="1:30" ht="31.8" customHeight="1" x14ac:dyDescent="0.3">
      <c r="A1" s="193" t="s">
        <v>8</v>
      </c>
      <c r="B1" s="194" t="s">
        <v>9</v>
      </c>
      <c r="C1" s="195" t="s">
        <v>55</v>
      </c>
      <c r="D1" s="196" t="s">
        <v>11</v>
      </c>
      <c r="E1" s="197" t="s">
        <v>12</v>
      </c>
      <c r="F1" s="198" t="s">
        <v>13</v>
      </c>
      <c r="G1" s="199" t="s">
        <v>14</v>
      </c>
      <c r="H1" s="200" t="s">
        <v>56</v>
      </c>
      <c r="I1" s="204" t="s">
        <v>77</v>
      </c>
      <c r="J1" s="201" t="s">
        <v>76</v>
      </c>
      <c r="X1" s="25"/>
      <c r="Y1" s="25"/>
      <c r="Z1" s="25"/>
    </row>
    <row r="2" spans="1:30" x14ac:dyDescent="0.3">
      <c r="A2" s="25">
        <f ca="1">[1]!NO_COULEUR(A1)</f>
        <v>16777215</v>
      </c>
      <c r="B2" s="25">
        <f ca="1">[1]!NO_COULEUR(B1)</f>
        <v>10079487</v>
      </c>
      <c r="C2" s="25">
        <f ca="1">[1]!NO_COULEUR(C1)</f>
        <v>10092543</v>
      </c>
      <c r="D2" s="25">
        <f ca="1">[1]!NO_COULEUR(D1)</f>
        <v>16777164</v>
      </c>
      <c r="E2" s="25">
        <f ca="1">[1]!NO_COULEUR(E1)</f>
        <v>16751052</v>
      </c>
      <c r="F2" s="25">
        <f ca="1">[1]!NO_COULEUR(F1)</f>
        <v>13434828</v>
      </c>
      <c r="G2" s="25">
        <f ca="1">[1]!NO_COULEUR(G1)</f>
        <v>16764057</v>
      </c>
      <c r="H2" s="25">
        <f ca="1">[1]!NO_COULEUR(H1)</f>
        <v>14277081</v>
      </c>
      <c r="I2" s="25">
        <f ca="1">[1]!NO_COULEUR(I1)</f>
        <v>65280</v>
      </c>
      <c r="J2" s="25">
        <f ca="1">[1]!NO_COULEUR(J1)</f>
        <v>13408767</v>
      </c>
      <c r="X2" s="25"/>
      <c r="Y2" s="25"/>
      <c r="Z2" s="25"/>
    </row>
    <row r="3" spans="1:30" x14ac:dyDescent="0.3">
      <c r="F3" s="35"/>
      <c r="G3" s="35"/>
      <c r="X3" s="25"/>
      <c r="Y3" s="25"/>
      <c r="Z3" s="25"/>
    </row>
    <row r="4" spans="1:30" ht="18" x14ac:dyDescent="0.35">
      <c r="B4" s="190" t="s">
        <v>78</v>
      </c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X4" s="25"/>
      <c r="Y4" s="25"/>
      <c r="Z4" s="25"/>
    </row>
    <row r="5" spans="1:30" ht="14.4" thickBot="1" x14ac:dyDescent="0.35">
      <c r="A5" s="25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V5" s="88"/>
      <c r="W5" s="88"/>
    </row>
    <row r="6" spans="1:30" ht="28.2" thickBot="1" x14ac:dyDescent="0.35">
      <c r="B6" s="36" t="str">
        <f>contacts!A8</f>
        <v>Momo</v>
      </c>
      <c r="C6" s="133" t="str">
        <f>contacts!A9</f>
        <v>Michel Alram</v>
      </c>
      <c r="D6" s="200" t="str">
        <f>contacts!A10</f>
        <v>Agnès Guilland</v>
      </c>
      <c r="E6" s="205" t="str">
        <f>contacts!A11</f>
        <v>Jasmine Rafoni</v>
      </c>
      <c r="F6" s="200" t="str">
        <f>contacts!A12</f>
        <v>Coralie Kasule</v>
      </c>
      <c r="G6" s="205" t="str">
        <f>contacts!A13</f>
        <v>Valérie Ginoux</v>
      </c>
      <c r="H6" s="134">
        <f>contacts!A14</f>
        <v>0</v>
      </c>
      <c r="I6" s="187">
        <f>contacts!A15</f>
        <v>0</v>
      </c>
      <c r="J6" s="200" t="str">
        <f>contacts!F7</f>
        <v>Bertrand Plancke</v>
      </c>
      <c r="K6" s="205" t="str">
        <f>contacts!F8</f>
        <v>Emily Le Berre</v>
      </c>
      <c r="L6" s="202" t="str">
        <f>contacts!F9</f>
        <v>Jan Jerzi Kielban</v>
      </c>
      <c r="M6" s="202" t="str">
        <f>contacts!F10</f>
        <v>Aicha Verdier</v>
      </c>
      <c r="N6" s="205" t="str">
        <f>contacts!F11</f>
        <v>Paul-André Dompietrini</v>
      </c>
      <c r="O6" s="134">
        <f>contacts!F12</f>
        <v>0</v>
      </c>
      <c r="P6" s="135">
        <f>contacts!F13</f>
        <v>0</v>
      </c>
      <c r="Q6" s="37"/>
      <c r="R6" s="37"/>
      <c r="S6" s="37"/>
      <c r="X6" s="25"/>
      <c r="Y6" s="25"/>
      <c r="Z6" s="25"/>
    </row>
    <row r="7" spans="1:30" x14ac:dyDescent="0.3">
      <c r="A7" s="38">
        <v>43802</v>
      </c>
      <c r="B7" s="183">
        <v>7</v>
      </c>
      <c r="C7" s="203">
        <v>7</v>
      </c>
      <c r="D7" s="144"/>
      <c r="E7" s="159"/>
      <c r="F7" s="203">
        <v>7</v>
      </c>
      <c r="G7" s="144"/>
      <c r="H7" s="159"/>
      <c r="I7" s="159"/>
      <c r="J7" s="203">
        <v>7</v>
      </c>
      <c r="K7" s="144"/>
      <c r="L7" s="159"/>
      <c r="M7" s="159"/>
      <c r="N7" s="144"/>
      <c r="O7" s="144"/>
      <c r="P7" s="144"/>
      <c r="Q7" s="61">
        <f>SUM(B7:P7)</f>
        <v>28</v>
      </c>
      <c r="R7" s="25">
        <f>SUM(C7:P7)</f>
        <v>21</v>
      </c>
      <c r="S7" s="37"/>
      <c r="X7" s="25"/>
      <c r="Y7" s="25"/>
      <c r="Z7" s="25"/>
    </row>
    <row r="8" spans="1:30" x14ac:dyDescent="0.3">
      <c r="A8" s="38">
        <v>43803</v>
      </c>
      <c r="B8" s="183">
        <v>7</v>
      </c>
      <c r="C8" s="163">
        <v>7</v>
      </c>
      <c r="D8" s="154"/>
      <c r="E8" s="152"/>
      <c r="F8" s="31">
        <v>4.5</v>
      </c>
      <c r="G8" s="152"/>
      <c r="H8" s="160"/>
      <c r="I8" s="160"/>
      <c r="J8" s="31">
        <v>7</v>
      </c>
      <c r="L8" s="152"/>
      <c r="M8" s="152"/>
      <c r="N8" s="164"/>
      <c r="O8" s="164"/>
      <c r="P8" s="142"/>
      <c r="Q8" s="25">
        <f t="shared" ref="Q8:Q39" si="0">SUM(B8:P8)+Q7</f>
        <v>53.5</v>
      </c>
      <c r="R8" s="25">
        <f t="shared" ref="R8:R39" si="1">SUM(C8:P8)+R7</f>
        <v>39.5</v>
      </c>
      <c r="S8" s="37"/>
      <c r="X8" s="25"/>
      <c r="Y8" s="25"/>
      <c r="Z8" s="25"/>
    </row>
    <row r="9" spans="1:30" x14ac:dyDescent="0.3">
      <c r="A9" s="38">
        <v>43804</v>
      </c>
      <c r="B9" s="183">
        <v>0</v>
      </c>
      <c r="C9" s="163">
        <v>2</v>
      </c>
      <c r="D9" s="154"/>
      <c r="E9" s="152"/>
      <c r="F9" s="31">
        <v>2</v>
      </c>
      <c r="G9" s="152"/>
      <c r="H9" s="160"/>
      <c r="I9" s="160"/>
      <c r="J9" s="31">
        <v>0</v>
      </c>
      <c r="L9" s="152"/>
      <c r="M9" s="152"/>
      <c r="N9" s="164"/>
      <c r="O9" s="164"/>
      <c r="P9" s="142"/>
      <c r="Q9" s="25">
        <f t="shared" si="0"/>
        <v>57.5</v>
      </c>
      <c r="R9" s="25">
        <f t="shared" si="1"/>
        <v>43.5</v>
      </c>
      <c r="S9" s="37"/>
      <c r="X9" s="25"/>
      <c r="Y9" s="25"/>
      <c r="Z9" s="25"/>
    </row>
    <row r="10" spans="1:30" x14ac:dyDescent="0.3">
      <c r="A10" s="38">
        <v>43805</v>
      </c>
      <c r="B10" s="183">
        <v>7</v>
      </c>
      <c r="C10" s="163">
        <v>8</v>
      </c>
      <c r="D10" s="154"/>
      <c r="E10" s="152"/>
      <c r="F10" s="31">
        <v>7</v>
      </c>
      <c r="G10" s="155"/>
      <c r="H10" s="160"/>
      <c r="I10" s="160"/>
      <c r="J10" s="31">
        <v>8</v>
      </c>
      <c r="L10" s="152"/>
      <c r="M10" s="152"/>
      <c r="N10" s="164"/>
      <c r="O10" s="164"/>
      <c r="P10" s="142"/>
      <c r="Q10" s="25">
        <f t="shared" si="0"/>
        <v>87.5</v>
      </c>
      <c r="R10" s="25">
        <f t="shared" si="1"/>
        <v>66.5</v>
      </c>
      <c r="S10" s="37"/>
      <c r="X10" s="25"/>
      <c r="Y10" s="25"/>
      <c r="Z10" s="25"/>
    </row>
    <row r="11" spans="1:30" x14ac:dyDescent="0.3">
      <c r="A11" s="38">
        <v>43806</v>
      </c>
      <c r="B11" s="125"/>
      <c r="C11" s="158"/>
      <c r="D11" s="75"/>
      <c r="E11" s="75"/>
      <c r="F11" s="75"/>
      <c r="G11" s="75"/>
      <c r="H11" s="158"/>
      <c r="I11" s="158"/>
      <c r="J11" s="75"/>
      <c r="K11" s="75"/>
      <c r="L11" s="75"/>
      <c r="M11" s="75"/>
      <c r="N11" s="158"/>
      <c r="O11" s="158"/>
      <c r="P11" s="125"/>
      <c r="Q11" s="25">
        <f t="shared" si="0"/>
        <v>87.5</v>
      </c>
      <c r="R11" s="25">
        <f t="shared" si="1"/>
        <v>66.5</v>
      </c>
      <c r="S11" s="37"/>
      <c r="X11" s="25"/>
      <c r="Y11" s="25"/>
      <c r="Z11" s="25"/>
    </row>
    <row r="12" spans="1:30" x14ac:dyDescent="0.3">
      <c r="A12" s="38">
        <v>43807</v>
      </c>
      <c r="B12" s="125"/>
      <c r="C12" s="158"/>
      <c r="D12" s="75"/>
      <c r="E12" s="75"/>
      <c r="F12" s="75"/>
      <c r="G12" s="75"/>
      <c r="H12" s="158"/>
      <c r="I12" s="158"/>
      <c r="J12" s="75"/>
      <c r="K12" s="75"/>
      <c r="L12" s="75"/>
      <c r="M12" s="75"/>
      <c r="N12" s="158"/>
      <c r="O12" s="158"/>
      <c r="P12" s="125"/>
      <c r="Q12" s="25">
        <f t="shared" si="0"/>
        <v>87.5</v>
      </c>
      <c r="R12" s="25">
        <f t="shared" si="1"/>
        <v>66.5</v>
      </c>
      <c r="S12" s="37"/>
      <c r="X12" s="25"/>
      <c r="Y12" s="25"/>
      <c r="Z12" s="25"/>
    </row>
    <row r="13" spans="1:30" x14ac:dyDescent="0.3">
      <c r="A13" s="38">
        <v>43808</v>
      </c>
      <c r="B13" s="183">
        <v>7</v>
      </c>
      <c r="C13" s="163">
        <v>8</v>
      </c>
      <c r="D13" s="152"/>
      <c r="E13" s="152"/>
      <c r="F13" s="31">
        <v>6.5</v>
      </c>
      <c r="G13" s="152"/>
      <c r="H13" s="160"/>
      <c r="I13" s="160"/>
      <c r="J13" s="31">
        <v>8</v>
      </c>
      <c r="K13" s="152"/>
      <c r="L13" s="152"/>
      <c r="M13" s="152"/>
      <c r="N13" s="160"/>
      <c r="O13" s="160"/>
      <c r="P13" s="151"/>
      <c r="Q13" s="25">
        <f t="shared" si="0"/>
        <v>117</v>
      </c>
      <c r="R13" s="25">
        <f t="shared" si="1"/>
        <v>89</v>
      </c>
      <c r="S13" s="37"/>
      <c r="X13" s="25"/>
      <c r="Y13" s="25"/>
      <c r="Z13" s="25"/>
    </row>
    <row r="14" spans="1:30" ht="16.2" customHeight="1" thickBot="1" x14ac:dyDescent="0.35">
      <c r="A14" s="38">
        <v>43809</v>
      </c>
      <c r="B14" s="183">
        <v>7</v>
      </c>
      <c r="C14" s="163">
        <v>7</v>
      </c>
      <c r="D14" s="152"/>
      <c r="E14" s="152"/>
      <c r="F14" s="31">
        <v>7</v>
      </c>
      <c r="G14" s="156"/>
      <c r="H14" s="160"/>
      <c r="I14" s="160"/>
      <c r="J14" s="31">
        <v>7</v>
      </c>
      <c r="K14" s="152"/>
      <c r="L14" s="152"/>
      <c r="M14" s="152"/>
      <c r="N14" s="160"/>
      <c r="O14" s="162"/>
      <c r="P14" s="127"/>
      <c r="Q14" s="25">
        <f t="shared" si="0"/>
        <v>145</v>
      </c>
      <c r="R14" s="25">
        <f t="shared" si="1"/>
        <v>110</v>
      </c>
      <c r="T14" s="108" t="s">
        <v>82</v>
      </c>
      <c r="U14" s="108"/>
      <c r="V14" s="108"/>
      <c r="W14" s="108"/>
      <c r="X14" s="108"/>
      <c r="Y14" s="108"/>
      <c r="Z14" s="25"/>
    </row>
    <row r="15" spans="1:30" ht="16.2" customHeight="1" thickBot="1" x14ac:dyDescent="0.35">
      <c r="A15" s="38">
        <v>43810</v>
      </c>
      <c r="B15" s="183">
        <v>7</v>
      </c>
      <c r="C15" s="163">
        <v>7</v>
      </c>
      <c r="D15" s="152"/>
      <c r="E15" s="152"/>
      <c r="F15" s="152"/>
      <c r="G15" s="156"/>
      <c r="H15" s="160"/>
      <c r="I15" s="160"/>
      <c r="J15" s="31">
        <v>7</v>
      </c>
      <c r="K15" s="152"/>
      <c r="L15" s="152"/>
      <c r="M15" s="152"/>
      <c r="N15" s="160"/>
      <c r="O15" s="162"/>
      <c r="P15" s="127"/>
      <c r="Q15" s="25">
        <f t="shared" si="0"/>
        <v>166</v>
      </c>
      <c r="R15" s="25">
        <f t="shared" si="1"/>
        <v>124</v>
      </c>
      <c r="T15" s="59"/>
      <c r="U15" s="67" t="s">
        <v>94</v>
      </c>
      <c r="V15" s="67" t="s">
        <v>68</v>
      </c>
      <c r="W15" s="67" t="s">
        <v>67</v>
      </c>
      <c r="X15" s="80" t="s">
        <v>21</v>
      </c>
      <c r="Y15" s="25" t="s">
        <v>59</v>
      </c>
      <c r="Z15" s="75" t="s">
        <v>22</v>
      </c>
      <c r="AC15" s="39" t="s">
        <v>95</v>
      </c>
      <c r="AD15" s="25" t="s">
        <v>59</v>
      </c>
    </row>
    <row r="16" spans="1:30" ht="16.2" customHeight="1" x14ac:dyDescent="0.3">
      <c r="A16" s="38">
        <v>43811</v>
      </c>
      <c r="B16" s="183">
        <v>7</v>
      </c>
      <c r="C16" s="163">
        <v>7</v>
      </c>
      <c r="D16" s="152"/>
      <c r="E16" s="152"/>
      <c r="F16" s="152"/>
      <c r="G16" s="152"/>
      <c r="H16" s="160"/>
      <c r="I16" s="160"/>
      <c r="J16" s="31">
        <v>7</v>
      </c>
      <c r="K16" s="152"/>
      <c r="L16" s="152"/>
      <c r="M16" s="152"/>
      <c r="N16" s="160"/>
      <c r="O16" s="162"/>
      <c r="P16" s="127"/>
      <c r="Q16" s="25">
        <f t="shared" si="0"/>
        <v>187</v>
      </c>
      <c r="R16" s="25">
        <f t="shared" si="1"/>
        <v>138</v>
      </c>
      <c r="T16" s="59" t="s">
        <v>8</v>
      </c>
      <c r="U16" s="67">
        <f t="shared" ref="U16:U23" ca="1" si="2">AC16</f>
        <v>634</v>
      </c>
      <c r="V16" s="87">
        <f>[2]Récolte!$M$87/1000</f>
        <v>607</v>
      </c>
      <c r="W16" s="87">
        <f>[2]Récolte!$N$87/1000</f>
        <v>29</v>
      </c>
      <c r="X16" s="60">
        <f ca="1">W16/U16</f>
        <v>4.5741324921135647E-2</v>
      </c>
      <c r="Y16" s="116">
        <f>V16/GETPIVOTDATA(" nb fag / h",TCD!$A$1,"Vigne","CRVI")</f>
        <v>630.23829571343958</v>
      </c>
      <c r="Z16" s="119">
        <f ca="1">+W16/U16*7</f>
        <v>0.32018927444794953</v>
      </c>
      <c r="AB16" s="28" t="s">
        <v>8</v>
      </c>
      <c r="AC16" s="25">
        <f ca="1">[1]!somme_si_couleur(B7:P48,16777215)</f>
        <v>634</v>
      </c>
      <c r="AD16" s="116">
        <f t="shared" ref="AD16:AD23" si="3">Y16</f>
        <v>630.23829571343958</v>
      </c>
    </row>
    <row r="17" spans="1:31" ht="16.2" customHeight="1" x14ac:dyDescent="0.3">
      <c r="A17" s="38">
        <v>43812</v>
      </c>
      <c r="B17" s="151"/>
      <c r="C17" s="163">
        <v>7</v>
      </c>
      <c r="D17" s="152"/>
      <c r="E17" s="152"/>
      <c r="F17" s="152"/>
      <c r="G17" s="152"/>
      <c r="H17" s="160"/>
      <c r="I17" s="160"/>
      <c r="J17" s="152"/>
      <c r="K17" s="155"/>
      <c r="L17" s="152"/>
      <c r="M17" s="152"/>
      <c r="N17" s="160"/>
      <c r="O17" s="162"/>
      <c r="P17" s="127"/>
      <c r="Q17" s="25">
        <f t="shared" si="0"/>
        <v>194</v>
      </c>
      <c r="R17" s="25">
        <f t="shared" si="1"/>
        <v>145</v>
      </c>
      <c r="T17" s="61" t="s">
        <v>9</v>
      </c>
      <c r="V17" s="88"/>
      <c r="W17" s="88"/>
      <c r="X17" s="121"/>
      <c r="Y17" s="116"/>
      <c r="Z17" s="122" t="e">
        <f>+V17/U17*7</f>
        <v>#DIV/0!</v>
      </c>
      <c r="AB17" s="29" t="s">
        <v>9</v>
      </c>
      <c r="AC17" s="25">
        <f ca="1">[1]!somme_si_couleur(B7:P48,10079487)</f>
        <v>0</v>
      </c>
      <c r="AD17" s="116">
        <f t="shared" si="3"/>
        <v>0</v>
      </c>
    </row>
    <row r="18" spans="1:31" ht="16.2" customHeight="1" x14ac:dyDescent="0.3">
      <c r="A18" s="38">
        <v>43813</v>
      </c>
      <c r="B18" s="125"/>
      <c r="C18" s="158"/>
      <c r="D18" s="75"/>
      <c r="E18" s="75"/>
      <c r="F18" s="75"/>
      <c r="G18" s="75"/>
      <c r="H18" s="75"/>
      <c r="I18" s="158"/>
      <c r="J18" s="75"/>
      <c r="K18" s="75"/>
      <c r="L18" s="75"/>
      <c r="M18" s="75"/>
      <c r="N18" s="158"/>
      <c r="O18" s="158"/>
      <c r="P18" s="125"/>
      <c r="Q18" s="25">
        <f t="shared" si="0"/>
        <v>194</v>
      </c>
      <c r="R18" s="25">
        <f t="shared" si="1"/>
        <v>145</v>
      </c>
      <c r="T18" s="61" t="s">
        <v>12</v>
      </c>
      <c r="U18" s="25">
        <f t="shared" ca="1" si="2"/>
        <v>315</v>
      </c>
      <c r="V18" s="88">
        <f>[2]Récolte!$P$87/1000</f>
        <v>272</v>
      </c>
      <c r="W18" s="88">
        <f>[2]Récolte!$Q$87/1000</f>
        <v>0</v>
      </c>
      <c r="X18" s="62">
        <f t="shared" ref="X18:X23" ca="1" si="4">W18/U18</f>
        <v>0</v>
      </c>
      <c r="Y18" s="116">
        <f>V18/GETPIVOTDATA(" nb fag / h",TCD!$A$1,"Vigne","Mondange")</f>
        <v>312.71063838461794</v>
      </c>
      <c r="Z18" s="119">
        <f ca="1">+W18/U18*7</f>
        <v>0</v>
      </c>
      <c r="AB18" s="32" t="s">
        <v>12</v>
      </c>
      <c r="AC18" s="25">
        <f ca="1">[1]!somme_si_couleur(B7:P48,16751052)</f>
        <v>315</v>
      </c>
      <c r="AD18" s="116">
        <f t="shared" si="3"/>
        <v>312.71063838461794</v>
      </c>
      <c r="AE18" s="56"/>
    </row>
    <row r="19" spans="1:31" ht="16.2" customHeight="1" x14ac:dyDescent="0.3">
      <c r="A19" s="38">
        <v>43814</v>
      </c>
      <c r="B19" s="125"/>
      <c r="C19" s="158"/>
      <c r="D19" s="75"/>
      <c r="E19" s="75"/>
      <c r="F19" s="75"/>
      <c r="G19" s="75"/>
      <c r="H19" s="75"/>
      <c r="I19" s="158"/>
      <c r="J19" s="75"/>
      <c r="K19" s="75"/>
      <c r="L19" s="75"/>
      <c r="M19" s="75"/>
      <c r="N19" s="158"/>
      <c r="O19" s="158"/>
      <c r="P19" s="125"/>
      <c r="Q19" s="25">
        <f t="shared" si="0"/>
        <v>194</v>
      </c>
      <c r="R19" s="25">
        <f t="shared" si="1"/>
        <v>145</v>
      </c>
      <c r="T19" s="61" t="s">
        <v>13</v>
      </c>
      <c r="U19" s="25">
        <f t="shared" ca="1" si="2"/>
        <v>0</v>
      </c>
      <c r="V19" s="88">
        <f>[2]Récolte!$S$87/1000</f>
        <v>0</v>
      </c>
      <c r="W19" s="88">
        <f>[2]Récolte!$T$87/1000</f>
        <v>0</v>
      </c>
      <c r="X19" s="62" t="e">
        <f t="shared" ca="1" si="4"/>
        <v>#DIV/0!</v>
      </c>
      <c r="Y19" s="116">
        <f>V19/GETPIVOTDATA(" nb fag / h",TCD!$A$1,"Vigne","JBDP")</f>
        <v>0</v>
      </c>
      <c r="Z19" s="119" t="e">
        <f ca="1">+W19/U19*7</f>
        <v>#DIV/0!</v>
      </c>
      <c r="AB19" s="33" t="s">
        <v>13</v>
      </c>
      <c r="AC19" s="25">
        <f ca="1">[1]!somme_si_couleur(B7:P48,13434828)</f>
        <v>0</v>
      </c>
      <c r="AD19" s="116">
        <f t="shared" si="3"/>
        <v>0</v>
      </c>
      <c r="AE19" s="35"/>
    </row>
    <row r="20" spans="1:31" ht="16.2" customHeight="1" x14ac:dyDescent="0.3">
      <c r="A20" s="38">
        <v>43815</v>
      </c>
      <c r="B20" s="151">
        <v>4</v>
      </c>
      <c r="C20" s="160">
        <v>7</v>
      </c>
      <c r="D20" s="152"/>
      <c r="E20" s="152"/>
      <c r="F20" s="152"/>
      <c r="G20" s="152"/>
      <c r="H20" s="160"/>
      <c r="I20" s="160"/>
      <c r="J20" s="152"/>
      <c r="K20" s="152"/>
      <c r="L20" s="152"/>
      <c r="M20" s="152"/>
      <c r="N20" s="160"/>
      <c r="O20" s="160"/>
      <c r="P20" s="151"/>
      <c r="Q20" s="25">
        <f t="shared" si="0"/>
        <v>205</v>
      </c>
      <c r="R20" s="25">
        <f t="shared" si="1"/>
        <v>152</v>
      </c>
      <c r="T20" s="61" t="s">
        <v>57</v>
      </c>
      <c r="V20" s="88"/>
      <c r="W20" s="88"/>
      <c r="X20" s="121"/>
      <c r="Y20" s="116"/>
      <c r="Z20" s="122"/>
      <c r="AB20" s="30" t="s">
        <v>55</v>
      </c>
      <c r="AC20" s="25">
        <f ca="1">[1]!somme_si_couleur(B7:P48,10092543)</f>
        <v>0</v>
      </c>
      <c r="AD20" s="116">
        <f t="shared" si="3"/>
        <v>0</v>
      </c>
      <c r="AE20" s="35"/>
    </row>
    <row r="21" spans="1:31" ht="16.2" customHeight="1" x14ac:dyDescent="0.3">
      <c r="A21" s="38">
        <v>43816</v>
      </c>
      <c r="B21" s="127"/>
      <c r="C21" s="152">
        <v>7</v>
      </c>
      <c r="D21" s="152"/>
      <c r="E21" s="152"/>
      <c r="F21" s="152"/>
      <c r="G21" s="157"/>
      <c r="H21" s="160"/>
      <c r="I21" s="160"/>
      <c r="J21" s="152"/>
      <c r="K21" s="152"/>
      <c r="L21" s="152"/>
      <c r="M21" s="152"/>
      <c r="N21" s="162"/>
      <c r="O21" s="162"/>
      <c r="P21" s="127"/>
      <c r="Q21" s="25">
        <f t="shared" si="0"/>
        <v>212</v>
      </c>
      <c r="R21" s="25">
        <f t="shared" si="1"/>
        <v>159</v>
      </c>
      <c r="T21" s="61" t="s">
        <v>14</v>
      </c>
      <c r="U21" s="25">
        <f t="shared" ca="1" si="2"/>
        <v>0</v>
      </c>
      <c r="V21" s="88">
        <f>[2]Récolte!$D$87/1000</f>
        <v>0</v>
      </c>
      <c r="W21" s="88">
        <f>[2]Récolte!$E$87/1000</f>
        <v>0</v>
      </c>
      <c r="X21" s="62" t="e">
        <f t="shared" ca="1" si="4"/>
        <v>#DIV/0!</v>
      </c>
      <c r="Y21" s="116">
        <f>V21/GETPIVOTDATA(" nb fag / h",TCD!$A$1,"Vigne","Suzzoni")</f>
        <v>0</v>
      </c>
      <c r="Z21" s="119" t="e">
        <f ca="1">+W21/U21*7</f>
        <v>#DIV/0!</v>
      </c>
      <c r="AB21" s="34" t="s">
        <v>14</v>
      </c>
      <c r="AC21" s="25">
        <f ca="1">[1]!somme_si_couleur(B7:P48,16764057)</f>
        <v>0</v>
      </c>
      <c r="AD21" s="116">
        <f t="shared" si="3"/>
        <v>0</v>
      </c>
      <c r="AE21" s="35"/>
    </row>
    <row r="22" spans="1:31" ht="16.2" customHeight="1" x14ac:dyDescent="0.3">
      <c r="A22" s="146"/>
      <c r="B22" s="150"/>
      <c r="C22" s="161"/>
      <c r="D22" s="147"/>
      <c r="E22" s="147"/>
      <c r="F22" s="147"/>
      <c r="G22" s="149"/>
      <c r="H22" s="161"/>
      <c r="I22" s="161"/>
      <c r="J22" s="147"/>
      <c r="K22" s="147"/>
      <c r="L22" s="147"/>
      <c r="M22" s="147"/>
      <c r="N22" s="161"/>
      <c r="O22" s="161"/>
      <c r="P22" s="150"/>
      <c r="Q22" s="25">
        <f t="shared" si="0"/>
        <v>212</v>
      </c>
      <c r="R22" s="25">
        <f t="shared" si="1"/>
        <v>159</v>
      </c>
      <c r="T22" s="61" t="s">
        <v>11</v>
      </c>
      <c r="U22" s="25">
        <f t="shared" ca="1" si="2"/>
        <v>194</v>
      </c>
      <c r="V22" s="88">
        <f>[2]Récolte!$AB$68/1000</f>
        <v>146</v>
      </c>
      <c r="W22" s="88">
        <f>[2]Récolte!$AC$68/1000</f>
        <v>146</v>
      </c>
      <c r="X22" s="62">
        <f t="shared" ca="1" si="4"/>
        <v>0.75257731958762886</v>
      </c>
      <c r="Y22" s="185">
        <f ca="1">IF(V22/GETPIVOTDATA(" nb fag / h",TCD!$A$1,"Vigne","Renucci")&lt;AC22,AC22,V22/GETPIVOTDATA(" nb fag / h",TCD!$A$1,"Vigne","Renucci"))</f>
        <v>194</v>
      </c>
      <c r="Z22" s="119">
        <f ca="1">+W22/U22*7</f>
        <v>5.268041237113402</v>
      </c>
      <c r="AB22" s="31" t="s">
        <v>11</v>
      </c>
      <c r="AC22" s="25">
        <f ca="1">[1]!somme_si_couleur(B7:P48,16777164)</f>
        <v>194</v>
      </c>
      <c r="AD22" s="116">
        <f t="shared" ca="1" si="3"/>
        <v>194</v>
      </c>
      <c r="AE22" s="35"/>
    </row>
    <row r="23" spans="1:31" ht="16.2" customHeight="1" thickBot="1" x14ac:dyDescent="0.35">
      <c r="A23" s="38">
        <v>43843</v>
      </c>
      <c r="B23" s="151"/>
      <c r="C23" s="186"/>
      <c r="D23" s="152">
        <v>7</v>
      </c>
      <c r="E23" s="152">
        <v>7</v>
      </c>
      <c r="F23" s="152">
        <v>7</v>
      </c>
      <c r="G23" s="152">
        <v>7</v>
      </c>
      <c r="H23" s="152"/>
      <c r="I23" s="152"/>
      <c r="J23" s="152"/>
      <c r="K23" s="152">
        <v>7</v>
      </c>
      <c r="L23" s="152">
        <v>7</v>
      </c>
      <c r="M23" s="152">
        <v>7</v>
      </c>
      <c r="N23" s="152">
        <v>7</v>
      </c>
      <c r="O23" s="152"/>
      <c r="P23" s="151"/>
      <c r="Q23" s="25">
        <f t="shared" si="0"/>
        <v>268</v>
      </c>
      <c r="R23" s="25">
        <f t="shared" si="1"/>
        <v>215</v>
      </c>
      <c r="T23" s="63" t="s">
        <v>58</v>
      </c>
      <c r="U23" s="64">
        <f t="shared" ca="1" si="2"/>
        <v>312</v>
      </c>
      <c r="V23" s="64">
        <f>[2]Récolte!$V$87/1000</f>
        <v>159</v>
      </c>
      <c r="W23" s="64">
        <f>[2]Récolte!$W$87/1000</f>
        <v>0</v>
      </c>
      <c r="X23" s="65">
        <f t="shared" ca="1" si="4"/>
        <v>0</v>
      </c>
      <c r="Y23" s="116">
        <f>V23/GETPIVOTDATA(" nb fag / h",TCD!$A$1,"Vigne","Poli E")</f>
        <v>313.58333333333331</v>
      </c>
      <c r="Z23" s="119">
        <f ca="1">+W23/U23*7</f>
        <v>0</v>
      </c>
      <c r="AB23" s="110" t="s">
        <v>56</v>
      </c>
      <c r="AC23" s="25">
        <f ca="1">[1]!somme_si_couleur(B7:P48,14277081)</f>
        <v>312</v>
      </c>
      <c r="AD23" s="116">
        <f t="shared" si="3"/>
        <v>313.58333333333331</v>
      </c>
    </row>
    <row r="24" spans="1:31" ht="16.2" customHeight="1" thickBot="1" x14ac:dyDescent="0.35">
      <c r="A24" s="38">
        <v>43844</v>
      </c>
      <c r="B24" s="151"/>
      <c r="C24" s="186"/>
      <c r="D24" s="152">
        <v>7</v>
      </c>
      <c r="E24" s="152">
        <v>7</v>
      </c>
      <c r="F24" s="152">
        <v>7</v>
      </c>
      <c r="G24" s="32">
        <v>7</v>
      </c>
      <c r="H24" s="152"/>
      <c r="I24" s="152"/>
      <c r="J24" s="152"/>
      <c r="K24" s="184">
        <v>7</v>
      </c>
      <c r="L24" s="32">
        <v>7</v>
      </c>
      <c r="M24" s="32">
        <v>7</v>
      </c>
      <c r="N24" s="32">
        <v>7</v>
      </c>
      <c r="O24" s="152"/>
      <c r="P24" s="151"/>
      <c r="Q24" s="25">
        <f t="shared" si="0"/>
        <v>324</v>
      </c>
      <c r="R24" s="25">
        <f t="shared" si="1"/>
        <v>271</v>
      </c>
      <c r="T24" s="174" t="s">
        <v>48</v>
      </c>
      <c r="U24" s="175">
        <f t="shared" ref="U24:Y24" ca="1" si="5">SUM(U16:U23)</f>
        <v>1455</v>
      </c>
      <c r="V24" s="175">
        <f t="shared" si="5"/>
        <v>1184</v>
      </c>
      <c r="W24" s="175">
        <f t="shared" si="5"/>
        <v>175</v>
      </c>
      <c r="X24" s="176">
        <f ca="1">W24/U24</f>
        <v>0.12027491408934708</v>
      </c>
      <c r="Y24" s="177">
        <f t="shared" ca="1" si="5"/>
        <v>1450.5322674313909</v>
      </c>
      <c r="Z24" s="119">
        <f t="shared" ref="Z24" ca="1" si="6">+W24/U24*7</f>
        <v>0.84192439862542956</v>
      </c>
      <c r="AB24" s="68" t="s">
        <v>44</v>
      </c>
      <c r="AC24" s="69">
        <f ca="1">SUM(AC16:AC23)</f>
        <v>1455</v>
      </c>
      <c r="AD24" s="118">
        <f ca="1">SUM(AD16:AD23)</f>
        <v>1450.5322674313909</v>
      </c>
    </row>
    <row r="25" spans="1:31" ht="16.2" customHeight="1" x14ac:dyDescent="0.3">
      <c r="A25" s="38">
        <v>43845</v>
      </c>
      <c r="B25" s="151"/>
      <c r="C25" s="186"/>
      <c r="D25" s="152">
        <v>7</v>
      </c>
      <c r="E25" s="152">
        <v>7</v>
      </c>
      <c r="F25" s="152">
        <v>7</v>
      </c>
      <c r="G25" s="32">
        <v>7</v>
      </c>
      <c r="H25" s="152"/>
      <c r="I25" s="152"/>
      <c r="J25" s="152"/>
      <c r="K25" s="184">
        <v>7</v>
      </c>
      <c r="L25" s="32">
        <v>7</v>
      </c>
      <c r="M25" s="32">
        <v>7</v>
      </c>
      <c r="N25" s="32">
        <v>7</v>
      </c>
      <c r="O25" s="152"/>
      <c r="P25" s="151"/>
      <c r="Q25" s="25">
        <f t="shared" si="0"/>
        <v>380</v>
      </c>
      <c r="R25" s="25">
        <f t="shared" si="1"/>
        <v>327</v>
      </c>
      <c r="T25" s="83" t="s">
        <v>28</v>
      </c>
      <c r="U25" s="41">
        <f ca="1">AC25</f>
        <v>36</v>
      </c>
      <c r="V25" s="41"/>
      <c r="W25" s="41"/>
      <c r="X25" s="84"/>
      <c r="Z25" s="178"/>
      <c r="AB25" s="77" t="s">
        <v>42</v>
      </c>
      <c r="AC25" s="25">
        <f ca="1">[1]!somme_si_couleur(B7:P48,65280)</f>
        <v>36</v>
      </c>
      <c r="AD25" s="25">
        <v>36</v>
      </c>
    </row>
    <row r="26" spans="1:31" ht="16.2" customHeight="1" thickBot="1" x14ac:dyDescent="0.35">
      <c r="A26" s="38">
        <v>43846</v>
      </c>
      <c r="B26" s="151"/>
      <c r="C26" s="186"/>
      <c r="D26" s="152">
        <v>7</v>
      </c>
      <c r="E26" s="152">
        <v>7</v>
      </c>
      <c r="F26" s="152">
        <v>7</v>
      </c>
      <c r="G26" s="152">
        <v>7</v>
      </c>
      <c r="H26" s="152"/>
      <c r="I26" s="152"/>
      <c r="J26" s="32">
        <v>7</v>
      </c>
      <c r="K26" s="184">
        <v>7</v>
      </c>
      <c r="L26" s="32">
        <v>7</v>
      </c>
      <c r="M26" s="32">
        <v>7</v>
      </c>
      <c r="N26" s="32">
        <v>7</v>
      </c>
      <c r="O26" s="152"/>
      <c r="P26" s="151"/>
      <c r="Q26" s="25">
        <f t="shared" si="0"/>
        <v>443</v>
      </c>
      <c r="R26" s="25">
        <f t="shared" si="1"/>
        <v>390</v>
      </c>
      <c r="T26" s="63" t="s">
        <v>29</v>
      </c>
      <c r="U26" s="64">
        <f ca="1">AC26</f>
        <v>0</v>
      </c>
      <c r="V26" s="64"/>
      <c r="W26" s="64"/>
      <c r="X26" s="85"/>
      <c r="Y26" s="25"/>
      <c r="Z26" s="25"/>
      <c r="AB26" s="76" t="s">
        <v>43</v>
      </c>
      <c r="AC26" s="25">
        <f ca="1">[1]!somme_si_couleur(B7:P48,13408767)</f>
        <v>0</v>
      </c>
      <c r="AD26" s="25">
        <v>0</v>
      </c>
    </row>
    <row r="27" spans="1:31" ht="16.2" customHeight="1" thickBot="1" x14ac:dyDescent="0.35">
      <c r="A27" s="38">
        <v>43847</v>
      </c>
      <c r="B27" s="151"/>
      <c r="C27" s="186"/>
      <c r="D27" s="152">
        <v>7</v>
      </c>
      <c r="E27" s="152">
        <v>7</v>
      </c>
      <c r="F27" s="152">
        <v>7</v>
      </c>
      <c r="G27" s="152">
        <v>7</v>
      </c>
      <c r="H27" s="152"/>
      <c r="I27" s="152"/>
      <c r="J27" s="32">
        <v>7</v>
      </c>
      <c r="K27" s="184">
        <v>7</v>
      </c>
      <c r="L27" s="32">
        <v>7</v>
      </c>
      <c r="M27" s="32">
        <v>7</v>
      </c>
      <c r="N27" s="32">
        <v>7</v>
      </c>
      <c r="O27" s="152"/>
      <c r="P27" s="151"/>
      <c r="Q27" s="25">
        <f t="shared" si="0"/>
        <v>506</v>
      </c>
      <c r="R27" s="25">
        <f t="shared" si="1"/>
        <v>453</v>
      </c>
      <c r="T27" s="25" t="s">
        <v>30</v>
      </c>
      <c r="U27" s="25">
        <f ca="1">+U24+U25+U26</f>
        <v>1491</v>
      </c>
      <c r="X27" s="25">
        <f>+W24/SUM(B7:N22)</f>
        <v>0.82547169811320753</v>
      </c>
      <c r="Y27" s="25"/>
      <c r="Z27" s="25"/>
    </row>
    <row r="28" spans="1:31" ht="16.2" customHeight="1" thickBot="1" x14ac:dyDescent="0.35">
      <c r="A28" s="38">
        <v>43848</v>
      </c>
      <c r="B28" s="125"/>
      <c r="C28" s="158"/>
      <c r="D28" s="75"/>
      <c r="E28" s="75"/>
      <c r="F28" s="75"/>
      <c r="G28" s="75"/>
      <c r="H28" s="75"/>
      <c r="I28" s="75"/>
      <c r="J28" s="75"/>
      <c r="K28" s="158"/>
      <c r="L28" s="75"/>
      <c r="M28" s="158"/>
      <c r="N28" s="75"/>
      <c r="O28" s="158"/>
      <c r="P28" s="125"/>
      <c r="Q28" s="25">
        <f t="shared" si="0"/>
        <v>506</v>
      </c>
      <c r="R28" s="25">
        <f t="shared" si="1"/>
        <v>453</v>
      </c>
      <c r="T28" s="25" t="s">
        <v>45</v>
      </c>
      <c r="U28" s="25">
        <v>15</v>
      </c>
      <c r="V28" s="88">
        <f>[2]Récolte!$G$87/1000</f>
        <v>70</v>
      </c>
      <c r="W28" s="88">
        <f>[2]Récolte!$H$87/1000</f>
        <v>0</v>
      </c>
      <c r="AB28" s="68" t="s">
        <v>44</v>
      </c>
      <c r="AC28" s="69">
        <f ca="1">SUM(AC24:AC26)</f>
        <v>1491</v>
      </c>
      <c r="AD28" s="118">
        <f ca="1">SUM(AD24:AD26)</f>
        <v>1486.5322674313909</v>
      </c>
    </row>
    <row r="29" spans="1:31" ht="16.2" customHeight="1" x14ac:dyDescent="0.3">
      <c r="A29" s="38">
        <v>43849</v>
      </c>
      <c r="B29" s="125"/>
      <c r="C29" s="158"/>
      <c r="D29" s="75"/>
      <c r="E29" s="75"/>
      <c r="F29" s="75"/>
      <c r="G29" s="75"/>
      <c r="H29" s="75"/>
      <c r="I29" s="75"/>
      <c r="J29" s="75"/>
      <c r="K29" s="158"/>
      <c r="L29" s="75"/>
      <c r="M29" s="158"/>
      <c r="N29" s="75"/>
      <c r="O29" s="158"/>
      <c r="P29" s="125"/>
      <c r="Q29" s="25">
        <f t="shared" si="0"/>
        <v>506</v>
      </c>
      <c r="R29" s="25">
        <f t="shared" si="1"/>
        <v>453</v>
      </c>
    </row>
    <row r="30" spans="1:31" ht="16.2" customHeight="1" x14ac:dyDescent="0.35">
      <c r="A30" s="38">
        <v>43850</v>
      </c>
      <c r="B30" s="151"/>
      <c r="C30" s="186"/>
      <c r="D30" s="152">
        <v>7</v>
      </c>
      <c r="E30" s="152">
        <v>7</v>
      </c>
      <c r="F30" s="152">
        <v>7</v>
      </c>
      <c r="G30" s="152">
        <v>7</v>
      </c>
      <c r="H30" s="152"/>
      <c r="I30" s="152"/>
      <c r="J30" s="32">
        <v>7</v>
      </c>
      <c r="K30" s="184">
        <v>7</v>
      </c>
      <c r="L30" s="32">
        <v>7</v>
      </c>
      <c r="M30" s="32">
        <v>7</v>
      </c>
      <c r="N30" s="32">
        <v>7</v>
      </c>
      <c r="O30" s="152"/>
      <c r="P30" s="151"/>
      <c r="Q30" s="25">
        <f t="shared" si="0"/>
        <v>569</v>
      </c>
      <c r="R30" s="25">
        <f t="shared" si="1"/>
        <v>516</v>
      </c>
      <c r="T30" s="101" t="s">
        <v>47</v>
      </c>
      <c r="U30" s="101"/>
      <c r="V30" s="102">
        <f>+V24+V28+V29</f>
        <v>1254</v>
      </c>
      <c r="W30" s="102"/>
    </row>
    <row r="31" spans="1:31" ht="16.2" customHeight="1" x14ac:dyDescent="0.3">
      <c r="A31" s="38">
        <v>43851</v>
      </c>
      <c r="B31" s="151"/>
      <c r="C31" s="186"/>
      <c r="D31" s="152">
        <v>7</v>
      </c>
      <c r="E31" s="152">
        <v>7</v>
      </c>
      <c r="F31" s="152">
        <v>7</v>
      </c>
      <c r="G31" s="152">
        <v>7</v>
      </c>
      <c r="H31" s="152"/>
      <c r="I31" s="152"/>
      <c r="J31" s="32">
        <v>7</v>
      </c>
      <c r="K31" s="184">
        <v>7</v>
      </c>
      <c r="L31" s="32">
        <v>7</v>
      </c>
      <c r="M31" s="32">
        <v>7</v>
      </c>
      <c r="N31" s="32">
        <v>7</v>
      </c>
      <c r="O31" s="152"/>
      <c r="P31" s="151"/>
      <c r="Q31" s="25">
        <f t="shared" si="0"/>
        <v>632</v>
      </c>
      <c r="R31" s="25">
        <f t="shared" si="1"/>
        <v>579</v>
      </c>
    </row>
    <row r="32" spans="1:31" ht="16.2" customHeight="1" x14ac:dyDescent="0.3">
      <c r="A32" s="38">
        <v>43852</v>
      </c>
      <c r="B32" s="151"/>
      <c r="C32" s="186"/>
      <c r="D32" s="152">
        <v>7</v>
      </c>
      <c r="E32" s="152">
        <v>7</v>
      </c>
      <c r="F32" s="152">
        <v>7</v>
      </c>
      <c r="G32" s="152">
        <v>7</v>
      </c>
      <c r="H32" s="152"/>
      <c r="I32" s="152"/>
      <c r="J32" s="32">
        <v>7</v>
      </c>
      <c r="K32" s="184">
        <v>7</v>
      </c>
      <c r="L32" s="32">
        <v>7</v>
      </c>
      <c r="M32" s="32">
        <v>7</v>
      </c>
      <c r="N32" s="32">
        <v>7</v>
      </c>
      <c r="O32" s="152"/>
      <c r="P32" s="151"/>
      <c r="Q32" s="25">
        <f t="shared" si="0"/>
        <v>695</v>
      </c>
      <c r="R32" s="25">
        <f t="shared" si="1"/>
        <v>642</v>
      </c>
      <c r="X32" s="25"/>
      <c r="Y32" s="25"/>
      <c r="Z32" s="25"/>
    </row>
    <row r="33" spans="1:26" ht="16.2" customHeight="1" x14ac:dyDescent="0.3">
      <c r="A33" s="38">
        <v>43853</v>
      </c>
      <c r="B33" s="151"/>
      <c r="C33" s="186"/>
      <c r="D33" s="152">
        <v>7</v>
      </c>
      <c r="E33" s="152">
        <v>7</v>
      </c>
      <c r="F33" s="152">
        <v>7</v>
      </c>
      <c r="G33" s="152">
        <v>7</v>
      </c>
      <c r="H33" s="152"/>
      <c r="I33" s="152"/>
      <c r="J33" s="32">
        <v>7</v>
      </c>
      <c r="K33" s="184">
        <v>7</v>
      </c>
      <c r="L33" s="32">
        <v>7</v>
      </c>
      <c r="M33" s="32">
        <v>7</v>
      </c>
      <c r="N33" s="32">
        <v>7</v>
      </c>
      <c r="O33" s="152"/>
      <c r="P33" s="151"/>
      <c r="Q33" s="25">
        <f t="shared" si="0"/>
        <v>758</v>
      </c>
      <c r="R33" s="25">
        <f t="shared" si="1"/>
        <v>705</v>
      </c>
      <c r="X33" s="25"/>
      <c r="Y33" s="25"/>
      <c r="Z33" s="25"/>
    </row>
    <row r="34" spans="1:26" ht="16.2" customHeight="1" x14ac:dyDescent="0.3">
      <c r="A34" s="38">
        <v>43854</v>
      </c>
      <c r="B34" s="151"/>
      <c r="C34" s="186"/>
      <c r="D34" s="152">
        <v>7</v>
      </c>
      <c r="E34" s="152">
        <v>7</v>
      </c>
      <c r="F34" s="77">
        <v>9</v>
      </c>
      <c r="G34" s="77">
        <v>9</v>
      </c>
      <c r="H34" s="152"/>
      <c r="I34" s="152"/>
      <c r="J34" s="32">
        <v>7</v>
      </c>
      <c r="K34" s="184">
        <v>7</v>
      </c>
      <c r="L34" s="32">
        <v>7</v>
      </c>
      <c r="M34" s="32">
        <v>7</v>
      </c>
      <c r="N34" s="32">
        <v>7</v>
      </c>
      <c r="O34" s="152"/>
      <c r="P34" s="151"/>
      <c r="Q34" s="25">
        <f t="shared" si="0"/>
        <v>825</v>
      </c>
      <c r="R34" s="25">
        <f t="shared" si="1"/>
        <v>772</v>
      </c>
      <c r="X34" s="25"/>
      <c r="Y34" s="25"/>
      <c r="Z34" s="25"/>
    </row>
    <row r="35" spans="1:26" ht="16.2" customHeight="1" x14ac:dyDescent="0.3">
      <c r="A35" s="38">
        <v>43855</v>
      </c>
      <c r="B35" s="125"/>
      <c r="C35" s="158"/>
      <c r="D35" s="75"/>
      <c r="E35" s="75"/>
      <c r="F35" s="75"/>
      <c r="G35" s="75"/>
      <c r="H35" s="75"/>
      <c r="I35" s="75"/>
      <c r="J35" s="75"/>
      <c r="K35" s="158"/>
      <c r="L35" s="75"/>
      <c r="M35" s="158"/>
      <c r="N35" s="75"/>
      <c r="O35" s="158"/>
      <c r="P35" s="125"/>
      <c r="Q35" s="25">
        <f t="shared" si="0"/>
        <v>825</v>
      </c>
      <c r="R35" s="25">
        <f t="shared" si="1"/>
        <v>772</v>
      </c>
      <c r="X35" s="25"/>
      <c r="Y35" s="25"/>
      <c r="Z35" s="25"/>
    </row>
    <row r="36" spans="1:26" ht="16.2" customHeight="1" x14ac:dyDescent="0.3">
      <c r="A36" s="38">
        <v>43856</v>
      </c>
      <c r="B36" s="75"/>
      <c r="C36" s="124"/>
      <c r="D36" s="75"/>
      <c r="E36" s="75"/>
      <c r="F36" s="75"/>
      <c r="G36" s="75"/>
      <c r="H36" s="75"/>
      <c r="I36" s="75"/>
      <c r="J36" s="75"/>
      <c r="K36" s="158"/>
      <c r="L36" s="75"/>
      <c r="M36" s="158"/>
      <c r="N36" s="75"/>
      <c r="O36" s="158"/>
      <c r="P36" s="125"/>
      <c r="Q36" s="25">
        <f t="shared" si="0"/>
        <v>825</v>
      </c>
      <c r="R36" s="25">
        <f t="shared" si="1"/>
        <v>772</v>
      </c>
      <c r="X36" s="25"/>
      <c r="Y36" s="25"/>
      <c r="Z36" s="25"/>
    </row>
    <row r="37" spans="1:26" ht="16.2" customHeight="1" x14ac:dyDescent="0.3">
      <c r="A37" s="38">
        <v>43857</v>
      </c>
      <c r="B37" s="129">
        <v>18</v>
      </c>
      <c r="C37" s="186"/>
      <c r="D37" s="110">
        <v>9</v>
      </c>
      <c r="E37" s="152">
        <v>7</v>
      </c>
      <c r="F37" s="110">
        <v>9</v>
      </c>
      <c r="G37" s="152">
        <v>7</v>
      </c>
      <c r="H37" s="152"/>
      <c r="I37" s="152"/>
      <c r="J37" s="110">
        <v>9</v>
      </c>
      <c r="K37" s="152">
        <v>7</v>
      </c>
      <c r="L37" s="110">
        <v>9</v>
      </c>
      <c r="M37" s="110">
        <v>9</v>
      </c>
      <c r="N37" s="110">
        <v>9</v>
      </c>
      <c r="O37" s="152"/>
      <c r="P37" s="151"/>
      <c r="Q37" s="25">
        <f t="shared" si="0"/>
        <v>918</v>
      </c>
      <c r="R37" s="25">
        <f t="shared" si="1"/>
        <v>847</v>
      </c>
      <c r="X37" s="25"/>
      <c r="Y37" s="25"/>
      <c r="Z37" s="25"/>
    </row>
    <row r="38" spans="1:26" ht="16.2" customHeight="1" x14ac:dyDescent="0.3">
      <c r="A38" s="38">
        <v>43858</v>
      </c>
      <c r="B38" s="129">
        <v>8</v>
      </c>
      <c r="C38" s="186"/>
      <c r="D38" s="110">
        <v>8</v>
      </c>
      <c r="E38" s="152">
        <v>7</v>
      </c>
      <c r="F38" s="110">
        <v>8</v>
      </c>
      <c r="G38" s="152">
        <v>7</v>
      </c>
      <c r="H38" s="152"/>
      <c r="I38" s="152"/>
      <c r="J38" s="110">
        <v>8</v>
      </c>
      <c r="K38" s="152">
        <v>7</v>
      </c>
      <c r="L38" s="110">
        <v>8</v>
      </c>
      <c r="M38" s="110">
        <v>8</v>
      </c>
      <c r="N38" s="110">
        <v>8</v>
      </c>
      <c r="O38" s="152"/>
      <c r="P38" s="151"/>
      <c r="Q38" s="25">
        <f t="shared" si="0"/>
        <v>995</v>
      </c>
      <c r="R38" s="25">
        <f t="shared" si="1"/>
        <v>916</v>
      </c>
      <c r="X38" s="25"/>
      <c r="Y38" s="25"/>
      <c r="Z38" s="25"/>
    </row>
    <row r="39" spans="1:26" ht="16.2" customHeight="1" x14ac:dyDescent="0.3">
      <c r="A39" s="38">
        <v>43859</v>
      </c>
      <c r="B39" s="129">
        <v>8</v>
      </c>
      <c r="C39" s="186"/>
      <c r="D39" s="110">
        <v>8</v>
      </c>
      <c r="E39" s="152">
        <v>7</v>
      </c>
      <c r="F39" s="110">
        <v>8</v>
      </c>
      <c r="G39" s="152">
        <v>7</v>
      </c>
      <c r="H39" s="152"/>
      <c r="I39" s="152"/>
      <c r="J39" s="110">
        <v>8</v>
      </c>
      <c r="K39" s="152">
        <v>7</v>
      </c>
      <c r="L39" s="110">
        <v>8</v>
      </c>
      <c r="M39" s="110">
        <v>8</v>
      </c>
      <c r="N39" s="110">
        <v>8</v>
      </c>
      <c r="O39" s="152"/>
      <c r="P39" s="151"/>
      <c r="Q39" s="25">
        <f t="shared" si="0"/>
        <v>1072</v>
      </c>
      <c r="R39" s="25">
        <f t="shared" si="1"/>
        <v>985</v>
      </c>
      <c r="X39" s="25"/>
      <c r="Y39" s="25"/>
      <c r="Z39" s="25"/>
    </row>
    <row r="40" spans="1:26" ht="16.2" customHeight="1" x14ac:dyDescent="0.3">
      <c r="A40" s="38">
        <v>43860</v>
      </c>
      <c r="B40" s="129">
        <v>8</v>
      </c>
      <c r="C40" s="186"/>
      <c r="D40" s="110">
        <v>8</v>
      </c>
      <c r="E40" s="152">
        <v>7</v>
      </c>
      <c r="F40" s="110">
        <v>8</v>
      </c>
      <c r="G40" s="152">
        <v>7</v>
      </c>
      <c r="H40" s="152"/>
      <c r="I40" s="152"/>
      <c r="J40" s="110">
        <v>8</v>
      </c>
      <c r="K40" s="152">
        <v>7</v>
      </c>
      <c r="L40" s="110">
        <v>8</v>
      </c>
      <c r="M40" s="110">
        <v>8</v>
      </c>
      <c r="N40" s="110">
        <v>8</v>
      </c>
      <c r="O40" s="152"/>
      <c r="P40" s="151"/>
      <c r="Q40" s="25">
        <f t="shared" ref="Q40:Q59" si="7">SUM(B40:P40)+Q39</f>
        <v>1149</v>
      </c>
      <c r="R40" s="25">
        <f t="shared" ref="R40:R59" si="8">SUM(C40:P40)+R39</f>
        <v>1054</v>
      </c>
      <c r="X40" s="25"/>
      <c r="Y40" s="25"/>
      <c r="Z40" s="25"/>
    </row>
    <row r="41" spans="1:26" ht="15.6" customHeight="1" x14ac:dyDescent="0.3">
      <c r="A41" s="38">
        <v>43861</v>
      </c>
      <c r="B41" s="129">
        <v>18</v>
      </c>
      <c r="C41" s="186"/>
      <c r="D41" s="110">
        <v>9</v>
      </c>
      <c r="E41" s="152">
        <v>7</v>
      </c>
      <c r="F41" s="110">
        <v>9</v>
      </c>
      <c r="G41" s="152">
        <v>7</v>
      </c>
      <c r="H41" s="152"/>
      <c r="I41" s="152"/>
      <c r="J41" s="110">
        <v>9</v>
      </c>
      <c r="K41" s="152">
        <v>7</v>
      </c>
      <c r="L41" s="110">
        <v>9</v>
      </c>
      <c r="M41" s="110">
        <v>9</v>
      </c>
      <c r="N41" s="110">
        <v>9</v>
      </c>
      <c r="O41" s="152"/>
      <c r="P41" s="151"/>
      <c r="Q41" s="25">
        <f t="shared" si="7"/>
        <v>1242</v>
      </c>
      <c r="R41" s="25">
        <f t="shared" si="8"/>
        <v>1129</v>
      </c>
      <c r="X41" s="25"/>
      <c r="Y41" s="25"/>
      <c r="Z41" s="25"/>
    </row>
    <row r="42" spans="1:26" ht="16.2" customHeight="1" x14ac:dyDescent="0.3">
      <c r="A42" s="38">
        <v>43862</v>
      </c>
      <c r="B42" s="75"/>
      <c r="C42" s="124"/>
      <c r="D42" s="75"/>
      <c r="E42" s="75"/>
      <c r="F42" s="75"/>
      <c r="G42" s="75"/>
      <c r="H42" s="75"/>
      <c r="I42" s="75"/>
      <c r="J42" s="158"/>
      <c r="K42" s="75"/>
      <c r="L42" s="75"/>
      <c r="M42" s="75"/>
      <c r="N42" s="158"/>
      <c r="O42" s="158"/>
      <c r="P42" s="125"/>
      <c r="Q42" s="25">
        <f t="shared" si="7"/>
        <v>1242</v>
      </c>
      <c r="R42" s="25">
        <f t="shared" si="8"/>
        <v>1129</v>
      </c>
      <c r="X42" s="25"/>
      <c r="Y42" s="25"/>
      <c r="Z42" s="25"/>
    </row>
    <row r="43" spans="1:26" ht="16.2" customHeight="1" x14ac:dyDescent="0.3">
      <c r="A43" s="38">
        <v>43863</v>
      </c>
      <c r="B43" s="75"/>
      <c r="C43" s="124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158"/>
      <c r="O43" s="158"/>
      <c r="P43" s="125"/>
      <c r="Q43" s="25">
        <f t="shared" si="7"/>
        <v>1242</v>
      </c>
      <c r="R43" s="25">
        <f t="shared" si="8"/>
        <v>1129</v>
      </c>
      <c r="X43" s="25"/>
      <c r="Y43" s="25"/>
      <c r="Z43" s="25"/>
    </row>
    <row r="44" spans="1:26" ht="16.2" customHeight="1" x14ac:dyDescent="0.3">
      <c r="A44" s="38">
        <v>43864</v>
      </c>
      <c r="B44" s="127"/>
      <c r="C44" s="186"/>
      <c r="D44" s="25">
        <v>7</v>
      </c>
      <c r="E44" s="25">
        <v>7</v>
      </c>
      <c r="F44" s="77">
        <v>9</v>
      </c>
      <c r="G44" s="77">
        <v>9</v>
      </c>
      <c r="H44" s="152"/>
      <c r="I44" s="152"/>
      <c r="J44" s="25">
        <v>7</v>
      </c>
      <c r="K44" s="25">
        <v>7</v>
      </c>
      <c r="L44" s="25">
        <v>7</v>
      </c>
      <c r="M44" s="25">
        <v>7</v>
      </c>
      <c r="N44" s="162">
        <v>7</v>
      </c>
      <c r="P44" s="127"/>
      <c r="Q44" s="25">
        <f t="shared" si="7"/>
        <v>1309</v>
      </c>
      <c r="R44" s="25">
        <f t="shared" si="8"/>
        <v>1196</v>
      </c>
      <c r="X44" s="25"/>
      <c r="Y44" s="25"/>
      <c r="Z44" s="25"/>
    </row>
    <row r="45" spans="1:26" ht="16.2" customHeight="1" x14ac:dyDescent="0.3">
      <c r="A45" s="38">
        <v>43865</v>
      </c>
      <c r="B45" s="127"/>
      <c r="C45" s="186"/>
      <c r="D45" s="25">
        <v>7</v>
      </c>
      <c r="E45" s="25">
        <v>7</v>
      </c>
      <c r="F45" s="25">
        <v>7</v>
      </c>
      <c r="G45" s="25">
        <v>7</v>
      </c>
      <c r="H45" s="152"/>
      <c r="I45" s="152"/>
      <c r="J45" s="25">
        <v>7</v>
      </c>
      <c r="K45" s="25">
        <v>7</v>
      </c>
      <c r="L45" s="25">
        <v>7</v>
      </c>
      <c r="M45" s="25">
        <v>7</v>
      </c>
      <c r="N45" s="162">
        <v>7</v>
      </c>
      <c r="P45" s="127"/>
      <c r="Q45" s="25">
        <f t="shared" si="7"/>
        <v>1372</v>
      </c>
      <c r="R45" s="25">
        <f t="shared" si="8"/>
        <v>1259</v>
      </c>
      <c r="X45" s="25"/>
      <c r="Y45" s="25"/>
      <c r="Z45" s="25"/>
    </row>
    <row r="46" spans="1:26" ht="16.2" customHeight="1" x14ac:dyDescent="0.3">
      <c r="A46" s="38">
        <v>43866</v>
      </c>
      <c r="B46" s="127"/>
      <c r="C46" s="186"/>
      <c r="D46" s="25">
        <v>7</v>
      </c>
      <c r="E46" s="25">
        <v>7</v>
      </c>
      <c r="F46" s="25">
        <v>7</v>
      </c>
      <c r="G46" s="25">
        <v>7</v>
      </c>
      <c r="H46" s="152"/>
      <c r="I46" s="152"/>
      <c r="J46" s="25">
        <v>7</v>
      </c>
      <c r="K46" s="25">
        <v>7</v>
      </c>
      <c r="L46" s="25">
        <v>7</v>
      </c>
      <c r="M46" s="25">
        <v>7</v>
      </c>
      <c r="N46" s="162">
        <v>7</v>
      </c>
      <c r="P46" s="127"/>
      <c r="Q46" s="25">
        <f t="shared" si="7"/>
        <v>1435</v>
      </c>
      <c r="R46" s="25">
        <f t="shared" si="8"/>
        <v>1322</v>
      </c>
      <c r="X46" s="25"/>
      <c r="Y46" s="25"/>
      <c r="Z46" s="25"/>
    </row>
    <row r="47" spans="1:26" ht="16.2" customHeight="1" x14ac:dyDescent="0.3">
      <c r="A47" s="38">
        <v>43867</v>
      </c>
      <c r="B47" s="127"/>
      <c r="C47" s="186"/>
      <c r="D47" s="25">
        <v>7</v>
      </c>
      <c r="E47" s="25">
        <v>7</v>
      </c>
      <c r="F47" s="25">
        <v>7</v>
      </c>
      <c r="G47" s="25">
        <v>7</v>
      </c>
      <c r="H47" s="152"/>
      <c r="I47" s="152"/>
      <c r="J47" s="25">
        <v>7</v>
      </c>
      <c r="K47" s="25">
        <v>7</v>
      </c>
      <c r="L47" s="25">
        <v>7</v>
      </c>
      <c r="M47" s="25">
        <v>7</v>
      </c>
      <c r="N47" s="162"/>
      <c r="P47" s="127"/>
      <c r="Q47" s="25">
        <f t="shared" si="7"/>
        <v>1491</v>
      </c>
      <c r="R47" s="25">
        <f t="shared" si="8"/>
        <v>1378</v>
      </c>
      <c r="X47" s="25"/>
      <c r="Y47" s="25"/>
      <c r="Z47" s="25"/>
    </row>
    <row r="48" spans="1:26" ht="16.2" customHeight="1" x14ac:dyDescent="0.3">
      <c r="A48" s="38">
        <v>43868</v>
      </c>
      <c r="B48" s="127"/>
      <c r="C48" s="186"/>
      <c r="I48" s="152"/>
      <c r="N48" s="162"/>
      <c r="P48" s="127"/>
      <c r="Q48" s="25">
        <f t="shared" si="7"/>
        <v>1491</v>
      </c>
      <c r="R48" s="25">
        <f t="shared" si="8"/>
        <v>1378</v>
      </c>
      <c r="X48" s="25"/>
      <c r="Y48" s="25"/>
      <c r="Z48" s="25"/>
    </row>
    <row r="49" spans="1:26" ht="16.2" customHeight="1" x14ac:dyDescent="0.3">
      <c r="A49" s="38">
        <v>43869</v>
      </c>
      <c r="B49" s="75"/>
      <c r="C49" s="124"/>
      <c r="D49" s="75"/>
      <c r="E49" s="75"/>
      <c r="F49" s="75"/>
      <c r="G49" s="75"/>
      <c r="H49" s="75"/>
      <c r="I49" s="158"/>
      <c r="J49" s="75"/>
      <c r="K49" s="75"/>
      <c r="L49" s="75"/>
      <c r="M49" s="75"/>
      <c r="N49" s="158"/>
      <c r="O49" s="158"/>
      <c r="P49" s="125"/>
      <c r="Q49" s="25">
        <f t="shared" si="7"/>
        <v>1491</v>
      </c>
      <c r="R49" s="25">
        <f t="shared" si="8"/>
        <v>1378</v>
      </c>
      <c r="X49" s="25"/>
      <c r="Y49" s="25"/>
      <c r="Z49" s="25"/>
    </row>
    <row r="50" spans="1:26" ht="16.2" customHeight="1" x14ac:dyDescent="0.3">
      <c r="A50" s="38">
        <v>43870</v>
      </c>
      <c r="B50" s="75"/>
      <c r="C50" s="124"/>
      <c r="D50" s="75"/>
      <c r="E50" s="75"/>
      <c r="F50" s="75"/>
      <c r="G50" s="75"/>
      <c r="H50" s="75"/>
      <c r="I50" s="158"/>
      <c r="J50" s="75"/>
      <c r="K50" s="75"/>
      <c r="L50" s="75"/>
      <c r="M50" s="75"/>
      <c r="N50" s="158"/>
      <c r="O50" s="158"/>
      <c r="P50" s="125"/>
      <c r="Q50" s="25">
        <f t="shared" si="7"/>
        <v>1491</v>
      </c>
      <c r="R50" s="25">
        <f t="shared" si="8"/>
        <v>1378</v>
      </c>
      <c r="X50" s="25"/>
      <c r="Y50" s="25"/>
      <c r="Z50" s="25"/>
    </row>
    <row r="51" spans="1:26" ht="16.2" customHeight="1" x14ac:dyDescent="0.3">
      <c r="A51" s="38">
        <v>43871</v>
      </c>
      <c r="B51" s="127"/>
      <c r="H51" s="162"/>
      <c r="I51" s="162"/>
      <c r="N51" s="162"/>
      <c r="P51" s="127"/>
      <c r="Q51" s="25">
        <f t="shared" si="7"/>
        <v>1491</v>
      </c>
      <c r="R51" s="25">
        <f t="shared" si="8"/>
        <v>1378</v>
      </c>
      <c r="X51" s="25"/>
      <c r="Y51" s="25"/>
      <c r="Z51" s="25"/>
    </row>
    <row r="52" spans="1:26" ht="16.2" customHeight="1" x14ac:dyDescent="0.3">
      <c r="A52" s="38">
        <v>43872</v>
      </c>
      <c r="B52" s="127"/>
      <c r="H52" s="162"/>
      <c r="I52" s="162"/>
      <c r="N52" s="162"/>
      <c r="P52" s="127"/>
      <c r="Q52" s="25">
        <f t="shared" si="7"/>
        <v>1491</v>
      </c>
      <c r="R52" s="25">
        <f t="shared" si="8"/>
        <v>1378</v>
      </c>
      <c r="X52" s="25"/>
      <c r="Y52" s="25"/>
      <c r="Z52" s="25"/>
    </row>
    <row r="53" spans="1:26" ht="16.2" customHeight="1" x14ac:dyDescent="0.3">
      <c r="A53" s="38">
        <v>43873</v>
      </c>
      <c r="B53" s="127"/>
      <c r="H53" s="162"/>
      <c r="I53" s="162"/>
      <c r="N53" s="162"/>
      <c r="P53" s="127"/>
      <c r="Q53" s="25">
        <f t="shared" si="7"/>
        <v>1491</v>
      </c>
      <c r="R53" s="25">
        <f t="shared" si="8"/>
        <v>1378</v>
      </c>
      <c r="X53" s="25"/>
      <c r="Y53" s="25"/>
      <c r="Z53" s="25"/>
    </row>
    <row r="54" spans="1:26" ht="16.2" customHeight="1" x14ac:dyDescent="0.3">
      <c r="A54" s="38">
        <v>43874</v>
      </c>
      <c r="B54" s="127"/>
      <c r="H54" s="162"/>
      <c r="I54" s="162"/>
      <c r="N54" s="162"/>
      <c r="P54" s="127"/>
      <c r="Q54" s="25">
        <f t="shared" si="7"/>
        <v>1491</v>
      </c>
      <c r="R54" s="25">
        <f t="shared" si="8"/>
        <v>1378</v>
      </c>
      <c r="X54" s="25"/>
      <c r="Y54" s="25"/>
      <c r="Z54" s="25"/>
    </row>
    <row r="55" spans="1:26" ht="16.2" customHeight="1" x14ac:dyDescent="0.3">
      <c r="A55" s="38">
        <v>43875</v>
      </c>
      <c r="B55" s="127"/>
      <c r="C55" s="152"/>
      <c r="D55" s="152"/>
      <c r="E55" s="152"/>
      <c r="F55" s="152"/>
      <c r="G55" s="152"/>
      <c r="H55" s="162"/>
      <c r="I55" s="162"/>
      <c r="N55" s="162"/>
      <c r="P55" s="127"/>
      <c r="Q55" s="25">
        <f t="shared" si="7"/>
        <v>1491</v>
      </c>
      <c r="R55" s="25">
        <f t="shared" si="8"/>
        <v>1378</v>
      </c>
      <c r="X55" s="25"/>
      <c r="Y55" s="25"/>
      <c r="Z55" s="25"/>
    </row>
    <row r="56" spans="1:26" ht="16.2" customHeight="1" x14ac:dyDescent="0.3">
      <c r="A56" s="38">
        <v>43876</v>
      </c>
      <c r="B56" s="75"/>
      <c r="C56" s="124"/>
      <c r="D56" s="75"/>
      <c r="E56" s="75"/>
      <c r="F56" s="75"/>
      <c r="G56" s="75"/>
      <c r="H56" s="75"/>
      <c r="I56" s="158"/>
      <c r="J56" s="75"/>
      <c r="K56" s="75"/>
      <c r="L56" s="75"/>
      <c r="M56" s="75"/>
      <c r="N56" s="158"/>
      <c r="O56" s="158"/>
      <c r="P56" s="125"/>
      <c r="Q56" s="25">
        <f t="shared" si="7"/>
        <v>1491</v>
      </c>
      <c r="R56" s="25">
        <f t="shared" si="8"/>
        <v>1378</v>
      </c>
      <c r="X56" s="25"/>
      <c r="Y56" s="25"/>
      <c r="Z56" s="25"/>
    </row>
    <row r="57" spans="1:26" ht="16.2" customHeight="1" x14ac:dyDescent="0.3">
      <c r="A57" s="38">
        <v>43877</v>
      </c>
      <c r="B57" s="75"/>
      <c r="C57" s="124"/>
      <c r="D57" s="75"/>
      <c r="E57" s="75"/>
      <c r="F57" s="75"/>
      <c r="G57" s="75"/>
      <c r="H57" s="75"/>
      <c r="I57" s="158"/>
      <c r="J57" s="75"/>
      <c r="K57" s="75"/>
      <c r="L57" s="75"/>
      <c r="M57" s="75"/>
      <c r="N57" s="158"/>
      <c r="O57" s="158"/>
      <c r="P57" s="125"/>
      <c r="Q57" s="25">
        <f t="shared" si="7"/>
        <v>1491</v>
      </c>
      <c r="R57" s="25">
        <f t="shared" si="8"/>
        <v>1378</v>
      </c>
      <c r="X57" s="25"/>
      <c r="Y57" s="25"/>
      <c r="Z57" s="25"/>
    </row>
    <row r="58" spans="1:26" ht="16.2" customHeight="1" x14ac:dyDescent="0.3">
      <c r="A58" s="38">
        <v>43878</v>
      </c>
      <c r="B58" s="127"/>
      <c r="H58" s="162"/>
      <c r="I58" s="162"/>
      <c r="N58" s="162"/>
      <c r="P58" s="127"/>
      <c r="Q58" s="25">
        <f t="shared" si="7"/>
        <v>1491</v>
      </c>
      <c r="R58" s="25">
        <f t="shared" si="8"/>
        <v>1378</v>
      </c>
      <c r="X58" s="25"/>
      <c r="Y58" s="25"/>
      <c r="Z58" s="25"/>
    </row>
    <row r="59" spans="1:26" ht="16.2" customHeight="1" x14ac:dyDescent="0.3">
      <c r="A59" s="38">
        <v>43879</v>
      </c>
      <c r="B59" s="127"/>
      <c r="H59" s="162"/>
      <c r="I59" s="162"/>
      <c r="N59" s="162"/>
      <c r="P59" s="127"/>
      <c r="Q59" s="25">
        <f t="shared" si="7"/>
        <v>1491</v>
      </c>
      <c r="R59" s="25">
        <f t="shared" si="8"/>
        <v>1378</v>
      </c>
      <c r="X59" s="25"/>
      <c r="Y59" s="25"/>
      <c r="Z59" s="25"/>
    </row>
    <row r="60" spans="1:26" ht="16.2" customHeight="1" x14ac:dyDescent="0.3">
      <c r="X60" s="25"/>
      <c r="Y60" s="25"/>
      <c r="Z60" s="25"/>
    </row>
    <row r="61" spans="1:26" ht="16.2" customHeight="1" x14ac:dyDescent="0.3">
      <c r="X61" s="25"/>
      <c r="Y61" s="25"/>
      <c r="Z61" s="25"/>
    </row>
    <row r="62" spans="1:26" ht="16.2" customHeight="1" x14ac:dyDescent="0.3">
      <c r="A62" s="24" t="s">
        <v>36</v>
      </c>
      <c r="B62" s="25">
        <f t="shared" ref="B62:N62" si="9">SUM(B7:B24)</f>
        <v>53</v>
      </c>
      <c r="C62" s="25">
        <f t="shared" si="9"/>
        <v>74</v>
      </c>
      <c r="D62" s="25">
        <f t="shared" si="9"/>
        <v>14</v>
      </c>
      <c r="E62" s="25">
        <f t="shared" si="9"/>
        <v>14</v>
      </c>
      <c r="F62" s="25">
        <f t="shared" si="9"/>
        <v>48</v>
      </c>
      <c r="G62" s="25">
        <f t="shared" si="9"/>
        <v>14</v>
      </c>
      <c r="H62" s="25">
        <f t="shared" si="9"/>
        <v>0</v>
      </c>
      <c r="I62" s="25">
        <f t="shared" si="9"/>
        <v>0</v>
      </c>
      <c r="J62" s="25">
        <f t="shared" si="9"/>
        <v>51</v>
      </c>
      <c r="K62" s="25">
        <f t="shared" si="9"/>
        <v>14</v>
      </c>
      <c r="L62" s="25">
        <f t="shared" si="9"/>
        <v>14</v>
      </c>
      <c r="M62" s="25">
        <f t="shared" si="9"/>
        <v>14</v>
      </c>
      <c r="N62" s="25">
        <f t="shared" si="9"/>
        <v>14</v>
      </c>
      <c r="O62" s="25">
        <f>SUM(O7:O28)</f>
        <v>0</v>
      </c>
      <c r="P62" s="25">
        <f>SUM(P7:P24)</f>
        <v>0</v>
      </c>
      <c r="X62" s="25"/>
      <c r="Y62" s="25"/>
      <c r="Z62" s="25"/>
    </row>
    <row r="63" spans="1:26" ht="15.6" customHeight="1" x14ac:dyDescent="0.3">
      <c r="A63" s="24" t="s">
        <v>37</v>
      </c>
      <c r="B63" s="56">
        <f t="shared" ref="B63:N63" si="10">SUM(B25:B44)</f>
        <v>60</v>
      </c>
      <c r="C63" s="56">
        <f t="shared" si="10"/>
        <v>0</v>
      </c>
      <c r="D63" s="56">
        <f t="shared" si="10"/>
        <v>105</v>
      </c>
      <c r="E63" s="56">
        <f t="shared" si="10"/>
        <v>98</v>
      </c>
      <c r="F63" s="56">
        <f t="shared" si="10"/>
        <v>109</v>
      </c>
      <c r="G63" s="56">
        <f t="shared" si="10"/>
        <v>102</v>
      </c>
      <c r="H63" s="56">
        <f t="shared" si="10"/>
        <v>0</v>
      </c>
      <c r="I63" s="56">
        <f t="shared" si="10"/>
        <v>0</v>
      </c>
      <c r="J63" s="56">
        <f t="shared" si="10"/>
        <v>98</v>
      </c>
      <c r="K63" s="56">
        <f t="shared" si="10"/>
        <v>98</v>
      </c>
      <c r="L63" s="56">
        <f t="shared" si="10"/>
        <v>105</v>
      </c>
      <c r="M63" s="56">
        <f t="shared" si="10"/>
        <v>105</v>
      </c>
      <c r="N63" s="56">
        <f t="shared" si="10"/>
        <v>105</v>
      </c>
      <c r="O63" s="56">
        <f>SUM(O29:O36)</f>
        <v>0</v>
      </c>
      <c r="P63" s="56">
        <f>SUM(P25:P36)</f>
        <v>0</v>
      </c>
      <c r="X63" s="25"/>
      <c r="Y63" s="25"/>
      <c r="Z63" s="25"/>
    </row>
    <row r="64" spans="1:26" x14ac:dyDescent="0.3">
      <c r="X64" s="25"/>
      <c r="Y64" s="25"/>
      <c r="Z64" s="25"/>
    </row>
    <row r="65" spans="1:26" x14ac:dyDescent="0.3">
      <c r="A65" s="24" t="s">
        <v>17</v>
      </c>
      <c r="B65" s="25">
        <f>SUM(B62:B63)</f>
        <v>113</v>
      </c>
      <c r="C65" s="25">
        <f t="shared" ref="C65:P65" si="11">SUM(C62:C63)</f>
        <v>74</v>
      </c>
      <c r="D65" s="25">
        <f t="shared" si="11"/>
        <v>119</v>
      </c>
      <c r="E65" s="25">
        <f t="shared" si="11"/>
        <v>112</v>
      </c>
      <c r="F65" s="25">
        <f t="shared" si="11"/>
        <v>157</v>
      </c>
      <c r="G65" s="25">
        <f t="shared" si="11"/>
        <v>116</v>
      </c>
      <c r="H65" s="25">
        <f t="shared" si="11"/>
        <v>0</v>
      </c>
      <c r="I65" s="25">
        <f t="shared" si="11"/>
        <v>0</v>
      </c>
      <c r="J65" s="25">
        <f t="shared" si="11"/>
        <v>149</v>
      </c>
      <c r="K65" s="25">
        <f t="shared" si="11"/>
        <v>112</v>
      </c>
      <c r="L65" s="25">
        <f t="shared" si="11"/>
        <v>119</v>
      </c>
      <c r="M65" s="25">
        <f t="shared" si="11"/>
        <v>119</v>
      </c>
      <c r="N65" s="25">
        <f t="shared" si="11"/>
        <v>119</v>
      </c>
      <c r="O65" s="25">
        <f t="shared" si="11"/>
        <v>0</v>
      </c>
      <c r="P65" s="25">
        <f t="shared" si="11"/>
        <v>0</v>
      </c>
      <c r="Q65" s="25">
        <f>SUM(B65:P65)</f>
        <v>1309</v>
      </c>
      <c r="R65" s="25">
        <f>SUM(C65:P65)</f>
        <v>1196</v>
      </c>
      <c r="X65" s="25"/>
      <c r="Y65" s="25"/>
      <c r="Z65" s="25"/>
    </row>
    <row r="66" spans="1:26" x14ac:dyDescent="0.3">
      <c r="X66" s="25"/>
      <c r="Y66" s="25"/>
      <c r="Z66" s="25"/>
    </row>
    <row r="67" spans="1:26" x14ac:dyDescent="0.3">
      <c r="X67" s="25"/>
      <c r="Y67" s="25"/>
      <c r="Z67" s="25"/>
    </row>
    <row r="68" spans="1:26" x14ac:dyDescent="0.3">
      <c r="X68" s="25"/>
      <c r="Y68" s="25"/>
      <c r="Z68" s="25"/>
    </row>
    <row r="69" spans="1:26" x14ac:dyDescent="0.3">
      <c r="X69" s="25"/>
      <c r="Y69" s="25"/>
      <c r="Z69" s="25"/>
    </row>
    <row r="70" spans="1:26" x14ac:dyDescent="0.3">
      <c r="X70" s="25"/>
      <c r="Y70" s="25"/>
      <c r="Z70" s="25"/>
    </row>
    <row r="71" spans="1:26" x14ac:dyDescent="0.3">
      <c r="X71" s="25"/>
      <c r="Y71" s="25"/>
      <c r="Z71" s="25"/>
    </row>
    <row r="72" spans="1:26" x14ac:dyDescent="0.3">
      <c r="X72" s="25"/>
      <c r="Y72" s="25"/>
      <c r="Z72" s="25"/>
    </row>
    <row r="73" spans="1:26" x14ac:dyDescent="0.3">
      <c r="X73" s="25"/>
      <c r="Y73" s="25"/>
      <c r="Z73" s="25"/>
    </row>
    <row r="74" spans="1:26" x14ac:dyDescent="0.3">
      <c r="X74" s="25"/>
      <c r="Y74" s="25"/>
      <c r="Z74" s="25"/>
    </row>
    <row r="75" spans="1:26" x14ac:dyDescent="0.3">
      <c r="X75" s="25"/>
      <c r="Y75" s="25"/>
      <c r="Z75" s="25"/>
    </row>
    <row r="76" spans="1:26" x14ac:dyDescent="0.3">
      <c r="X76" s="25"/>
      <c r="Y76" s="25"/>
      <c r="Z76" s="25"/>
    </row>
    <row r="77" spans="1:26" x14ac:dyDescent="0.3">
      <c r="X77" s="25"/>
      <c r="Y77" s="25"/>
      <c r="Z77" s="25"/>
    </row>
    <row r="78" spans="1:26" x14ac:dyDescent="0.3">
      <c r="X78" s="25"/>
      <c r="Y78" s="25"/>
      <c r="Z78" s="25"/>
    </row>
  </sheetData>
  <sheetProtection selectLockedCells="1" selectUnlockedCells="1"/>
  <mergeCells count="1">
    <mergeCell ref="B4:P4"/>
  </mergeCells>
  <pageMargins left="0.70866141732283472" right="0.70866141732283472" top="0.74803149606299213" bottom="0.74803149606299213" header="0.31496062992125984" footer="0.31496062992125984"/>
  <pageSetup paperSize="9" scale="49" firstPageNumber="0" orientation="landscape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2350E-AF7F-4D4C-8CF5-9E54426B79C5}">
  <sheetPr codeName="Feuil9">
    <pageSetUpPr fitToPage="1"/>
  </sheetPr>
  <dimension ref="A1:AE78"/>
  <sheetViews>
    <sheetView zoomScale="60" zoomScaleNormal="60" workbookViewId="0">
      <pane xSplit="1" ySplit="6" topLeftCell="B7" activePane="bottomRight" state="frozen"/>
      <selection pane="topRight" activeCell="B1" sqref="B1"/>
      <selection pane="bottomLeft" activeCell="A24" sqref="A24"/>
      <selection pane="bottomRight" activeCell="H32" sqref="D32:H32"/>
    </sheetView>
  </sheetViews>
  <sheetFormatPr baseColWidth="10" defaultColWidth="11.44140625" defaultRowHeight="13.8" x14ac:dyDescent="0.3"/>
  <cols>
    <col min="1" max="1" width="10.109375" style="24" bestFit="1" customWidth="1"/>
    <col min="2" max="3" width="10.109375" style="25" bestFit="1" customWidth="1"/>
    <col min="4" max="4" width="11" style="25" customWidth="1"/>
    <col min="5" max="6" width="12.33203125" style="25" customWidth="1"/>
    <col min="7" max="7" width="12.88671875" style="25" customWidth="1"/>
    <col min="8" max="8" width="13.33203125" style="25" customWidth="1"/>
    <col min="9" max="9" width="14.109375" style="25" customWidth="1"/>
    <col min="10" max="10" width="12.88671875" style="25" customWidth="1"/>
    <col min="11" max="11" width="13" style="25" customWidth="1"/>
    <col min="12" max="12" width="11.5546875" style="25" customWidth="1"/>
    <col min="13" max="14" width="13.21875" style="25" bestFit="1" customWidth="1"/>
    <col min="15" max="15" width="13.109375" style="25" bestFit="1" customWidth="1"/>
    <col min="16" max="16" width="10.44140625" style="25" customWidth="1"/>
    <col min="17" max="18" width="6.5546875" style="25" customWidth="1"/>
    <col min="19" max="19" width="3" style="25" customWidth="1"/>
    <col min="20" max="20" width="17.88671875" style="25" customWidth="1"/>
    <col min="21" max="21" width="12.6640625" style="25" bestFit="1" customWidth="1"/>
    <col min="22" max="22" width="11.5546875" style="25" customWidth="1"/>
    <col min="23" max="23" width="14.33203125" style="25" bestFit="1" customWidth="1"/>
    <col min="24" max="24" width="10.6640625" style="27" customWidth="1"/>
    <col min="25" max="25" width="12.109375" style="27" bestFit="1" customWidth="1"/>
    <col min="26" max="26" width="16" style="27" customWidth="1"/>
    <col min="27" max="27" width="2.109375" style="25" customWidth="1"/>
    <col min="28" max="28" width="13.33203125" style="25" bestFit="1" customWidth="1"/>
    <col min="29" max="29" width="13.6640625" style="25" bestFit="1" customWidth="1"/>
    <col min="30" max="30" width="12.109375" style="25" bestFit="1" customWidth="1"/>
    <col min="31" max="16384" width="11.44140625" style="25"/>
  </cols>
  <sheetData>
    <row r="1" spans="1:30" ht="31.8" customHeight="1" x14ac:dyDescent="0.3">
      <c r="A1" s="193" t="s">
        <v>8</v>
      </c>
      <c r="B1" s="194" t="s">
        <v>9</v>
      </c>
      <c r="C1" s="195" t="s">
        <v>55</v>
      </c>
      <c r="D1" s="196" t="s">
        <v>11</v>
      </c>
      <c r="E1" s="197" t="s">
        <v>12</v>
      </c>
      <c r="F1" s="198" t="s">
        <v>13</v>
      </c>
      <c r="G1" s="199" t="s">
        <v>14</v>
      </c>
      <c r="H1" s="200" t="s">
        <v>56</v>
      </c>
      <c r="I1" s="204" t="s">
        <v>77</v>
      </c>
      <c r="J1" s="201" t="s">
        <v>76</v>
      </c>
      <c r="X1" s="25"/>
      <c r="Y1" s="25"/>
      <c r="Z1" s="25"/>
    </row>
    <row r="2" spans="1:30" x14ac:dyDescent="0.3">
      <c r="A2" s="25">
        <f ca="1">[1]!NO_COULEUR(A1)</f>
        <v>16777215</v>
      </c>
      <c r="B2" s="25">
        <f ca="1">[1]!NO_COULEUR(B1)</f>
        <v>10079487</v>
      </c>
      <c r="C2" s="25">
        <f ca="1">[1]!NO_COULEUR(C1)</f>
        <v>10092543</v>
      </c>
      <c r="D2" s="25">
        <f ca="1">[1]!NO_COULEUR(D1)</f>
        <v>16777164</v>
      </c>
      <c r="E2" s="25">
        <f ca="1">[1]!NO_COULEUR(E1)</f>
        <v>16751052</v>
      </c>
      <c r="F2" s="25">
        <f ca="1">[1]!NO_COULEUR(F1)</f>
        <v>13434828</v>
      </c>
      <c r="G2" s="25">
        <f ca="1">[1]!NO_COULEUR(G1)</f>
        <v>16764057</v>
      </c>
      <c r="H2" s="25">
        <f ca="1">[1]!NO_COULEUR(H1)</f>
        <v>14277081</v>
      </c>
      <c r="I2" s="25">
        <f ca="1">[1]!NO_COULEUR(I1)</f>
        <v>65280</v>
      </c>
      <c r="J2" s="25">
        <f ca="1">[1]!NO_COULEUR(J1)</f>
        <v>13408767</v>
      </c>
      <c r="X2" s="25"/>
      <c r="Y2" s="25"/>
      <c r="Z2" s="25"/>
    </row>
    <row r="3" spans="1:30" x14ac:dyDescent="0.3">
      <c r="F3" s="35"/>
      <c r="G3" s="35"/>
      <c r="X3" s="25"/>
      <c r="Y3" s="25"/>
      <c r="Z3" s="25"/>
    </row>
    <row r="4" spans="1:30" ht="18" x14ac:dyDescent="0.35">
      <c r="B4" s="190" t="s">
        <v>78</v>
      </c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X4" s="25"/>
      <c r="Y4" s="25"/>
      <c r="Z4" s="25"/>
    </row>
    <row r="5" spans="1:30" ht="14.4" thickBot="1" x14ac:dyDescent="0.35">
      <c r="A5" s="25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V5" s="88"/>
      <c r="W5" s="88"/>
    </row>
    <row r="6" spans="1:30" ht="28.2" thickBot="1" x14ac:dyDescent="0.35">
      <c r="B6" s="36" t="str">
        <f>contacts!A8</f>
        <v>Momo</v>
      </c>
      <c r="C6" s="133" t="str">
        <f>contacts!A9</f>
        <v>Michel Alram</v>
      </c>
      <c r="D6" s="200" t="str">
        <f>contacts!A10</f>
        <v>Agnès Guilland</v>
      </c>
      <c r="E6" s="205" t="str">
        <f>contacts!A11</f>
        <v>Jasmine Rafoni</v>
      </c>
      <c r="F6" s="200" t="str">
        <f>contacts!A12</f>
        <v>Coralie Kasule</v>
      </c>
      <c r="G6" s="205" t="str">
        <f>contacts!A13</f>
        <v>Valérie Ginoux</v>
      </c>
      <c r="H6" s="134">
        <f>contacts!A14</f>
        <v>0</v>
      </c>
      <c r="I6" s="187">
        <f>contacts!A15</f>
        <v>0</v>
      </c>
      <c r="J6" s="200" t="str">
        <f>contacts!F7</f>
        <v>Bertrand Plancke</v>
      </c>
      <c r="K6" s="205" t="str">
        <f>contacts!F8</f>
        <v>Emily Le Berre</v>
      </c>
      <c r="L6" s="202" t="str">
        <f>contacts!F9</f>
        <v>Jan Jerzi Kielban</v>
      </c>
      <c r="M6" s="202" t="str">
        <f>contacts!F10</f>
        <v>Aicha Verdier</v>
      </c>
      <c r="N6" s="205" t="str">
        <f>contacts!F11</f>
        <v>Paul-André Dompietrini</v>
      </c>
      <c r="O6" s="134">
        <f>contacts!F12</f>
        <v>0</v>
      </c>
      <c r="P6" s="135">
        <f>contacts!F13</f>
        <v>0</v>
      </c>
      <c r="Q6" s="37"/>
      <c r="R6" s="37"/>
      <c r="S6" s="37"/>
      <c r="X6" s="25"/>
      <c r="Y6" s="25"/>
      <c r="Z6" s="25"/>
    </row>
    <row r="7" spans="1:30" x14ac:dyDescent="0.3">
      <c r="A7" s="38">
        <v>43802</v>
      </c>
      <c r="B7" s="183">
        <v>7</v>
      </c>
      <c r="C7" s="203">
        <v>7</v>
      </c>
      <c r="D7" s="144"/>
      <c r="E7" s="159"/>
      <c r="F7" s="203">
        <v>7</v>
      </c>
      <c r="G7" s="144"/>
      <c r="H7" s="159"/>
      <c r="I7" s="159"/>
      <c r="J7" s="203">
        <v>7</v>
      </c>
      <c r="K7" s="144"/>
      <c r="L7" s="159"/>
      <c r="M7" s="159"/>
      <c r="N7" s="144"/>
      <c r="O7" s="144"/>
      <c r="P7" s="144"/>
      <c r="Q7" s="61">
        <f>SUM(B7:P7)</f>
        <v>28</v>
      </c>
      <c r="R7" s="25">
        <f>SUM(C7:P7)</f>
        <v>21</v>
      </c>
      <c r="S7" s="37"/>
      <c r="X7" s="25"/>
      <c r="Y7" s="25"/>
      <c r="Z7" s="25"/>
    </row>
    <row r="8" spans="1:30" x14ac:dyDescent="0.3">
      <c r="A8" s="38">
        <v>43803</v>
      </c>
      <c r="B8" s="183">
        <v>7</v>
      </c>
      <c r="C8" s="163">
        <v>7</v>
      </c>
      <c r="D8" s="154"/>
      <c r="E8" s="152"/>
      <c r="F8" s="31">
        <v>4.5</v>
      </c>
      <c r="G8" s="152"/>
      <c r="H8" s="160"/>
      <c r="I8" s="160"/>
      <c r="J8" s="31">
        <v>7</v>
      </c>
      <c r="L8" s="152"/>
      <c r="M8" s="152"/>
      <c r="N8" s="164"/>
      <c r="O8" s="164"/>
      <c r="P8" s="142"/>
      <c r="Q8" s="25">
        <f t="shared" ref="Q8:Q39" si="0">SUM(B8:P8)+Q7</f>
        <v>53.5</v>
      </c>
      <c r="R8" s="25">
        <f t="shared" ref="R8:R39" si="1">SUM(C8:P8)+R7</f>
        <v>39.5</v>
      </c>
      <c r="S8" s="37"/>
      <c r="X8" s="25"/>
      <c r="Y8" s="25"/>
      <c r="Z8" s="25"/>
    </row>
    <row r="9" spans="1:30" x14ac:dyDescent="0.3">
      <c r="A9" s="38">
        <v>43804</v>
      </c>
      <c r="B9" s="183">
        <v>0</v>
      </c>
      <c r="C9" s="163">
        <v>2</v>
      </c>
      <c r="D9" s="154"/>
      <c r="E9" s="152"/>
      <c r="F9" s="31">
        <v>2</v>
      </c>
      <c r="G9" s="152"/>
      <c r="H9" s="160"/>
      <c r="I9" s="160"/>
      <c r="J9" s="31">
        <v>0</v>
      </c>
      <c r="L9" s="152"/>
      <c r="M9" s="152"/>
      <c r="N9" s="164"/>
      <c r="O9" s="164"/>
      <c r="P9" s="142"/>
      <c r="Q9" s="25">
        <f t="shared" si="0"/>
        <v>57.5</v>
      </c>
      <c r="R9" s="25">
        <f t="shared" si="1"/>
        <v>43.5</v>
      </c>
      <c r="S9" s="37"/>
      <c r="X9" s="25"/>
      <c r="Y9" s="25"/>
      <c r="Z9" s="25"/>
    </row>
    <row r="10" spans="1:30" x14ac:dyDescent="0.3">
      <c r="A10" s="38">
        <v>43805</v>
      </c>
      <c r="B10" s="183">
        <v>7</v>
      </c>
      <c r="C10" s="163">
        <v>8</v>
      </c>
      <c r="D10" s="154"/>
      <c r="E10" s="152"/>
      <c r="F10" s="31">
        <v>7</v>
      </c>
      <c r="G10" s="155"/>
      <c r="H10" s="160"/>
      <c r="I10" s="160"/>
      <c r="J10" s="31">
        <v>8</v>
      </c>
      <c r="L10" s="152"/>
      <c r="M10" s="152"/>
      <c r="N10" s="164"/>
      <c r="O10" s="164"/>
      <c r="P10" s="142"/>
      <c r="Q10" s="25">
        <f t="shared" si="0"/>
        <v>87.5</v>
      </c>
      <c r="R10" s="25">
        <f t="shared" si="1"/>
        <v>66.5</v>
      </c>
      <c r="S10" s="37"/>
      <c r="X10" s="25"/>
      <c r="Y10" s="25"/>
      <c r="Z10" s="25"/>
    </row>
    <row r="11" spans="1:30" x14ac:dyDescent="0.3">
      <c r="A11" s="38">
        <v>43806</v>
      </c>
      <c r="B11" s="125"/>
      <c r="C11" s="158"/>
      <c r="D11" s="75"/>
      <c r="E11" s="75"/>
      <c r="F11" s="75"/>
      <c r="G11" s="75"/>
      <c r="H11" s="158"/>
      <c r="I11" s="158"/>
      <c r="J11" s="75"/>
      <c r="K11" s="75"/>
      <c r="L11" s="75"/>
      <c r="M11" s="75"/>
      <c r="N11" s="158"/>
      <c r="O11" s="158"/>
      <c r="P11" s="125"/>
      <c r="Q11" s="25">
        <f t="shared" si="0"/>
        <v>87.5</v>
      </c>
      <c r="R11" s="25">
        <f t="shared" si="1"/>
        <v>66.5</v>
      </c>
      <c r="S11" s="37"/>
      <c r="X11" s="25"/>
      <c r="Y11" s="25"/>
      <c r="Z11" s="25"/>
    </row>
    <row r="12" spans="1:30" x14ac:dyDescent="0.3">
      <c r="A12" s="38">
        <v>43807</v>
      </c>
      <c r="B12" s="125"/>
      <c r="C12" s="158"/>
      <c r="D12" s="75"/>
      <c r="E12" s="75"/>
      <c r="F12" s="75"/>
      <c r="G12" s="75"/>
      <c r="H12" s="158"/>
      <c r="I12" s="158"/>
      <c r="J12" s="75"/>
      <c r="K12" s="75"/>
      <c r="L12" s="75"/>
      <c r="M12" s="75"/>
      <c r="N12" s="158"/>
      <c r="O12" s="158"/>
      <c r="P12" s="125"/>
      <c r="Q12" s="25">
        <f t="shared" si="0"/>
        <v>87.5</v>
      </c>
      <c r="R12" s="25">
        <f t="shared" si="1"/>
        <v>66.5</v>
      </c>
      <c r="S12" s="37"/>
      <c r="X12" s="25"/>
      <c r="Y12" s="25"/>
      <c r="Z12" s="25"/>
    </row>
    <row r="13" spans="1:30" x14ac:dyDescent="0.3">
      <c r="A13" s="38">
        <v>43808</v>
      </c>
      <c r="B13" s="183">
        <v>7</v>
      </c>
      <c r="C13" s="163">
        <v>8</v>
      </c>
      <c r="D13" s="152"/>
      <c r="E13" s="152"/>
      <c r="F13" s="31">
        <v>6.5</v>
      </c>
      <c r="G13" s="152"/>
      <c r="H13" s="160"/>
      <c r="I13" s="160"/>
      <c r="J13" s="31">
        <v>8</v>
      </c>
      <c r="K13" s="152"/>
      <c r="L13" s="152"/>
      <c r="M13" s="152"/>
      <c r="N13" s="160"/>
      <c r="O13" s="160"/>
      <c r="P13" s="151"/>
      <c r="Q13" s="25">
        <f t="shared" si="0"/>
        <v>117</v>
      </c>
      <c r="R13" s="25">
        <f t="shared" si="1"/>
        <v>89</v>
      </c>
      <c r="S13" s="37"/>
      <c r="X13" s="25"/>
      <c r="Y13" s="25"/>
      <c r="Z13" s="25"/>
    </row>
    <row r="14" spans="1:30" ht="16.2" customHeight="1" thickBot="1" x14ac:dyDescent="0.35">
      <c r="A14" s="38">
        <v>43809</v>
      </c>
      <c r="B14" s="183">
        <v>7</v>
      </c>
      <c r="C14" s="163">
        <v>7</v>
      </c>
      <c r="D14" s="152"/>
      <c r="E14" s="152"/>
      <c r="F14" s="31">
        <v>7</v>
      </c>
      <c r="G14" s="156"/>
      <c r="H14" s="160"/>
      <c r="I14" s="160"/>
      <c r="J14" s="31">
        <v>7</v>
      </c>
      <c r="K14" s="152"/>
      <c r="L14" s="152"/>
      <c r="M14" s="152"/>
      <c r="N14" s="160"/>
      <c r="O14" s="162"/>
      <c r="P14" s="127"/>
      <c r="Q14" s="25">
        <f t="shared" si="0"/>
        <v>145</v>
      </c>
      <c r="R14" s="25">
        <f t="shared" si="1"/>
        <v>110</v>
      </c>
      <c r="T14" s="108" t="s">
        <v>82</v>
      </c>
      <c r="U14" s="108"/>
      <c r="V14" s="108"/>
      <c r="W14" s="108"/>
      <c r="X14" s="108"/>
      <c r="Y14" s="108"/>
      <c r="Z14" s="25"/>
    </row>
    <row r="15" spans="1:30" ht="16.2" customHeight="1" thickBot="1" x14ac:dyDescent="0.35">
      <c r="A15" s="38">
        <v>43810</v>
      </c>
      <c r="B15" s="183">
        <v>7</v>
      </c>
      <c r="C15" s="163">
        <v>7</v>
      </c>
      <c r="D15" s="152"/>
      <c r="E15" s="152"/>
      <c r="F15" s="152"/>
      <c r="G15" s="156"/>
      <c r="H15" s="160"/>
      <c r="I15" s="160"/>
      <c r="J15" s="31">
        <v>7</v>
      </c>
      <c r="K15" s="152"/>
      <c r="L15" s="152"/>
      <c r="M15" s="152"/>
      <c r="N15" s="160"/>
      <c r="O15" s="162"/>
      <c r="P15" s="127"/>
      <c r="Q15" s="25">
        <f t="shared" si="0"/>
        <v>166</v>
      </c>
      <c r="R15" s="25">
        <f t="shared" si="1"/>
        <v>124</v>
      </c>
      <c r="T15" s="59"/>
      <c r="U15" s="67" t="s">
        <v>94</v>
      </c>
      <c r="V15" s="67" t="s">
        <v>68</v>
      </c>
      <c r="W15" s="67" t="s">
        <v>67</v>
      </c>
      <c r="X15" s="80" t="s">
        <v>21</v>
      </c>
      <c r="Y15" s="25" t="s">
        <v>59</v>
      </c>
      <c r="Z15" s="75" t="s">
        <v>22</v>
      </c>
      <c r="AC15" s="39" t="s">
        <v>95</v>
      </c>
      <c r="AD15" s="25" t="s">
        <v>59</v>
      </c>
    </row>
    <row r="16" spans="1:30" ht="16.2" customHeight="1" x14ac:dyDescent="0.3">
      <c r="A16" s="38">
        <v>43811</v>
      </c>
      <c r="B16" s="183">
        <v>7</v>
      </c>
      <c r="C16" s="163">
        <v>7</v>
      </c>
      <c r="D16" s="152"/>
      <c r="E16" s="152"/>
      <c r="F16" s="152"/>
      <c r="G16" s="152"/>
      <c r="H16" s="160"/>
      <c r="I16" s="160"/>
      <c r="J16" s="31">
        <v>7</v>
      </c>
      <c r="K16" s="152"/>
      <c r="L16" s="152"/>
      <c r="M16" s="152"/>
      <c r="N16" s="160"/>
      <c r="O16" s="162"/>
      <c r="P16" s="127"/>
      <c r="Q16" s="25">
        <f t="shared" si="0"/>
        <v>187</v>
      </c>
      <c r="R16" s="25">
        <f t="shared" si="1"/>
        <v>138</v>
      </c>
      <c r="T16" s="59" t="s">
        <v>8</v>
      </c>
      <c r="U16" s="67">
        <f t="shared" ref="U16:U23" ca="1" si="2">AC16</f>
        <v>634</v>
      </c>
      <c r="V16" s="87">
        <f>[2]Récolte!$M$87/1000</f>
        <v>607</v>
      </c>
      <c r="W16" s="87">
        <f>[2]Récolte!$N$87/1000</f>
        <v>29</v>
      </c>
      <c r="X16" s="60">
        <f ca="1">W16/U16</f>
        <v>4.5741324921135647E-2</v>
      </c>
      <c r="Y16" s="116">
        <f>V16/GETPIVOTDATA(" nb fag / h",TCD!$A$1,"Vigne","CRVI")</f>
        <v>630.23829571343958</v>
      </c>
      <c r="Z16" s="119">
        <f ca="1">+W16/U16*7</f>
        <v>0.32018927444794953</v>
      </c>
      <c r="AB16" s="28" t="s">
        <v>8</v>
      </c>
      <c r="AC16" s="25">
        <f ca="1">[1]!somme_si_couleur(B7:P48,16777215)</f>
        <v>634</v>
      </c>
      <c r="AD16" s="116">
        <f t="shared" ref="AD16:AD23" si="3">Y16</f>
        <v>630.23829571343958</v>
      </c>
    </row>
    <row r="17" spans="1:31" ht="16.2" customHeight="1" x14ac:dyDescent="0.3">
      <c r="A17" s="38">
        <v>43812</v>
      </c>
      <c r="B17" s="151"/>
      <c r="C17" s="163">
        <v>7</v>
      </c>
      <c r="D17" s="152"/>
      <c r="E17" s="152"/>
      <c r="F17" s="152"/>
      <c r="G17" s="152"/>
      <c r="H17" s="160"/>
      <c r="I17" s="160"/>
      <c r="J17" s="152"/>
      <c r="K17" s="155"/>
      <c r="L17" s="152"/>
      <c r="M17" s="152"/>
      <c r="N17" s="160"/>
      <c r="O17" s="162"/>
      <c r="P17" s="127"/>
      <c r="Q17" s="25">
        <f t="shared" si="0"/>
        <v>194</v>
      </c>
      <c r="R17" s="25">
        <f t="shared" si="1"/>
        <v>145</v>
      </c>
      <c r="T17" s="61" t="s">
        <v>9</v>
      </c>
      <c r="V17" s="88"/>
      <c r="W17" s="88"/>
      <c r="X17" s="121"/>
      <c r="Y17" s="116"/>
      <c r="Z17" s="122" t="e">
        <f>+V17/U17*7</f>
        <v>#DIV/0!</v>
      </c>
      <c r="AB17" s="29" t="s">
        <v>9</v>
      </c>
      <c r="AC17" s="25">
        <f ca="1">[1]!somme_si_couleur(B7:P48,10079487)</f>
        <v>0</v>
      </c>
      <c r="AD17" s="116">
        <f t="shared" si="3"/>
        <v>0</v>
      </c>
    </row>
    <row r="18" spans="1:31" ht="16.2" customHeight="1" x14ac:dyDescent="0.3">
      <c r="A18" s="38">
        <v>43813</v>
      </c>
      <c r="B18" s="125"/>
      <c r="C18" s="158"/>
      <c r="D18" s="75"/>
      <c r="E18" s="75"/>
      <c r="F18" s="75"/>
      <c r="G18" s="75"/>
      <c r="H18" s="75"/>
      <c r="I18" s="158"/>
      <c r="J18" s="75"/>
      <c r="K18" s="75"/>
      <c r="L18" s="75"/>
      <c r="M18" s="75"/>
      <c r="N18" s="158"/>
      <c r="O18" s="158"/>
      <c r="P18" s="125"/>
      <c r="Q18" s="25">
        <f t="shared" si="0"/>
        <v>194</v>
      </c>
      <c r="R18" s="25">
        <f t="shared" si="1"/>
        <v>145</v>
      </c>
      <c r="T18" s="61" t="s">
        <v>12</v>
      </c>
      <c r="U18" s="25">
        <f t="shared" ca="1" si="2"/>
        <v>315</v>
      </c>
      <c r="V18" s="88">
        <f>[2]Récolte!$P$87/1000</f>
        <v>272</v>
      </c>
      <c r="W18" s="88">
        <f>[2]Récolte!$Q$87/1000</f>
        <v>0</v>
      </c>
      <c r="X18" s="62">
        <f t="shared" ref="X18:X23" ca="1" si="4">W18/U18</f>
        <v>0</v>
      </c>
      <c r="Y18" s="116">
        <f>V18/GETPIVOTDATA(" nb fag / h",TCD!$A$1,"Vigne","Mondange")</f>
        <v>312.71063838461794</v>
      </c>
      <c r="Z18" s="119">
        <f ca="1">+W18/U18*7</f>
        <v>0</v>
      </c>
      <c r="AB18" s="32" t="s">
        <v>12</v>
      </c>
      <c r="AC18" s="25">
        <f ca="1">[1]!somme_si_couleur(B7:P48,16751052)</f>
        <v>315</v>
      </c>
      <c r="AD18" s="116">
        <f t="shared" si="3"/>
        <v>312.71063838461794</v>
      </c>
      <c r="AE18" s="56"/>
    </row>
    <row r="19" spans="1:31" ht="16.2" customHeight="1" x14ac:dyDescent="0.3">
      <c r="A19" s="38">
        <v>43814</v>
      </c>
      <c r="B19" s="125"/>
      <c r="C19" s="158"/>
      <c r="D19" s="75"/>
      <c r="E19" s="75"/>
      <c r="F19" s="75"/>
      <c r="G19" s="75"/>
      <c r="H19" s="75"/>
      <c r="I19" s="158"/>
      <c r="J19" s="75"/>
      <c r="K19" s="75"/>
      <c r="L19" s="75"/>
      <c r="M19" s="75"/>
      <c r="N19" s="158"/>
      <c r="O19" s="158"/>
      <c r="P19" s="125"/>
      <c r="Q19" s="25">
        <f t="shared" si="0"/>
        <v>194</v>
      </c>
      <c r="R19" s="25">
        <f t="shared" si="1"/>
        <v>145</v>
      </c>
      <c r="T19" s="61" t="s">
        <v>13</v>
      </c>
      <c r="U19" s="25">
        <f t="shared" ca="1" si="2"/>
        <v>0</v>
      </c>
      <c r="V19" s="88">
        <f>[2]Récolte!$S$87/1000</f>
        <v>0</v>
      </c>
      <c r="W19" s="88">
        <f>[2]Récolte!$T$87/1000</f>
        <v>0</v>
      </c>
      <c r="X19" s="62" t="e">
        <f t="shared" ca="1" si="4"/>
        <v>#DIV/0!</v>
      </c>
      <c r="Y19" s="116">
        <f>V19/GETPIVOTDATA(" nb fag / h",TCD!$A$1,"Vigne","JBDP")</f>
        <v>0</v>
      </c>
      <c r="Z19" s="119" t="e">
        <f ca="1">+W19/U19*7</f>
        <v>#DIV/0!</v>
      </c>
      <c r="AB19" s="33" t="s">
        <v>13</v>
      </c>
      <c r="AC19" s="25">
        <f ca="1">[1]!somme_si_couleur(B7:P48,13434828)</f>
        <v>0</v>
      </c>
      <c r="AD19" s="116">
        <f t="shared" si="3"/>
        <v>0</v>
      </c>
      <c r="AE19" s="35"/>
    </row>
    <row r="20" spans="1:31" ht="16.2" customHeight="1" x14ac:dyDescent="0.3">
      <c r="A20" s="38">
        <v>43815</v>
      </c>
      <c r="B20" s="151">
        <v>4</v>
      </c>
      <c r="C20" s="160">
        <v>7</v>
      </c>
      <c r="D20" s="152"/>
      <c r="E20" s="152"/>
      <c r="F20" s="152"/>
      <c r="G20" s="152"/>
      <c r="H20" s="160"/>
      <c r="I20" s="160"/>
      <c r="J20" s="152"/>
      <c r="K20" s="152"/>
      <c r="L20" s="152"/>
      <c r="M20" s="152"/>
      <c r="N20" s="160"/>
      <c r="O20" s="160"/>
      <c r="P20" s="151"/>
      <c r="Q20" s="25">
        <f t="shared" si="0"/>
        <v>205</v>
      </c>
      <c r="R20" s="25">
        <f t="shared" si="1"/>
        <v>152</v>
      </c>
      <c r="T20" s="61" t="s">
        <v>57</v>
      </c>
      <c r="V20" s="88"/>
      <c r="W20" s="88"/>
      <c r="X20" s="121"/>
      <c r="Y20" s="116"/>
      <c r="Z20" s="122"/>
      <c r="AB20" s="30" t="s">
        <v>55</v>
      </c>
      <c r="AC20" s="25">
        <f ca="1">[1]!somme_si_couleur(B7:P48,10092543)</f>
        <v>0</v>
      </c>
      <c r="AD20" s="116">
        <f t="shared" si="3"/>
        <v>0</v>
      </c>
      <c r="AE20" s="35"/>
    </row>
    <row r="21" spans="1:31" ht="16.2" customHeight="1" x14ac:dyDescent="0.3">
      <c r="A21" s="38">
        <v>43816</v>
      </c>
      <c r="B21" s="127"/>
      <c r="C21" s="152">
        <v>7</v>
      </c>
      <c r="D21" s="152"/>
      <c r="E21" s="152"/>
      <c r="F21" s="152"/>
      <c r="G21" s="157"/>
      <c r="H21" s="160"/>
      <c r="I21" s="160"/>
      <c r="J21" s="152"/>
      <c r="K21" s="152"/>
      <c r="L21" s="152"/>
      <c r="M21" s="152"/>
      <c r="N21" s="162"/>
      <c r="O21" s="162"/>
      <c r="P21" s="127"/>
      <c r="Q21" s="25">
        <f t="shared" si="0"/>
        <v>212</v>
      </c>
      <c r="R21" s="25">
        <f t="shared" si="1"/>
        <v>159</v>
      </c>
      <c r="T21" s="61" t="s">
        <v>14</v>
      </c>
      <c r="U21" s="25">
        <f t="shared" ca="1" si="2"/>
        <v>0</v>
      </c>
      <c r="V21" s="88">
        <f>[2]Récolte!$D$87/1000</f>
        <v>0</v>
      </c>
      <c r="W21" s="88">
        <f>[2]Récolte!$E$87/1000</f>
        <v>0</v>
      </c>
      <c r="X21" s="62" t="e">
        <f t="shared" ca="1" si="4"/>
        <v>#DIV/0!</v>
      </c>
      <c r="Y21" s="116">
        <f>V21/GETPIVOTDATA(" nb fag / h",TCD!$A$1,"Vigne","Suzzoni")</f>
        <v>0</v>
      </c>
      <c r="Z21" s="119" t="e">
        <f ca="1">+W21/U21*7</f>
        <v>#DIV/0!</v>
      </c>
      <c r="AB21" s="34" t="s">
        <v>14</v>
      </c>
      <c r="AC21" s="25">
        <f ca="1">[1]!somme_si_couleur(B7:P48,16764057)</f>
        <v>0</v>
      </c>
      <c r="AD21" s="116">
        <f t="shared" si="3"/>
        <v>0</v>
      </c>
      <c r="AE21" s="35"/>
    </row>
    <row r="22" spans="1:31" ht="16.2" customHeight="1" x14ac:dyDescent="0.3">
      <c r="A22" s="146"/>
      <c r="B22" s="150"/>
      <c r="C22" s="161"/>
      <c r="D22" s="147"/>
      <c r="E22" s="147"/>
      <c r="F22" s="147"/>
      <c r="G22" s="149"/>
      <c r="H22" s="161"/>
      <c r="I22" s="161"/>
      <c r="J22" s="147"/>
      <c r="K22" s="147"/>
      <c r="L22" s="147"/>
      <c r="M22" s="147"/>
      <c r="N22" s="161"/>
      <c r="O22" s="161"/>
      <c r="P22" s="150"/>
      <c r="Q22" s="25">
        <f t="shared" si="0"/>
        <v>212</v>
      </c>
      <c r="R22" s="25">
        <f t="shared" si="1"/>
        <v>159</v>
      </c>
      <c r="T22" s="61" t="s">
        <v>11</v>
      </c>
      <c r="U22" s="25">
        <f t="shared" ca="1" si="2"/>
        <v>194</v>
      </c>
      <c r="V22" s="88">
        <f>[2]Récolte!$AB$68/1000</f>
        <v>146</v>
      </c>
      <c r="W22" s="88">
        <f>[2]Récolte!$AC$68/1000</f>
        <v>146</v>
      </c>
      <c r="X22" s="62">
        <f t="shared" ca="1" si="4"/>
        <v>0.75257731958762886</v>
      </c>
      <c r="Y22" s="185">
        <f ca="1">IF(V22/GETPIVOTDATA(" nb fag / h",TCD!$A$1,"Vigne","Renucci")&lt;AC22,AC22,V22/GETPIVOTDATA(" nb fag / h",TCD!$A$1,"Vigne","Renucci"))</f>
        <v>194</v>
      </c>
      <c r="Z22" s="119">
        <f ca="1">+W22/U22*7</f>
        <v>5.268041237113402</v>
      </c>
      <c r="AB22" s="31" t="s">
        <v>11</v>
      </c>
      <c r="AC22" s="25">
        <f ca="1">[1]!somme_si_couleur(B7:P48,16777164)</f>
        <v>194</v>
      </c>
      <c r="AD22" s="116">
        <f t="shared" ca="1" si="3"/>
        <v>194</v>
      </c>
      <c r="AE22" s="35"/>
    </row>
    <row r="23" spans="1:31" ht="16.2" customHeight="1" thickBot="1" x14ac:dyDescent="0.35">
      <c r="A23" s="38">
        <v>43843</v>
      </c>
      <c r="B23" s="151"/>
      <c r="C23" s="186"/>
      <c r="D23" s="152">
        <v>7</v>
      </c>
      <c r="E23" s="152">
        <v>7</v>
      </c>
      <c r="F23" s="152">
        <v>7</v>
      </c>
      <c r="G23" s="152">
        <v>7</v>
      </c>
      <c r="H23" s="152">
        <v>7</v>
      </c>
      <c r="I23" s="152"/>
      <c r="J23" s="152"/>
      <c r="K23" s="152">
        <v>7</v>
      </c>
      <c r="L23" s="152">
        <v>7</v>
      </c>
      <c r="M23" s="152">
        <v>7</v>
      </c>
      <c r="N23" s="152">
        <v>7</v>
      </c>
      <c r="O23" s="152"/>
      <c r="P23" s="151"/>
      <c r="Q23" s="25">
        <f t="shared" si="0"/>
        <v>275</v>
      </c>
      <c r="R23" s="25">
        <f t="shared" si="1"/>
        <v>222</v>
      </c>
      <c r="T23" s="63" t="s">
        <v>58</v>
      </c>
      <c r="U23" s="64">
        <f t="shared" ca="1" si="2"/>
        <v>312</v>
      </c>
      <c r="V23" s="64">
        <f>[2]Récolte!$V$87/1000</f>
        <v>159</v>
      </c>
      <c r="W23" s="64">
        <f>[2]Récolte!$W$87/1000</f>
        <v>0</v>
      </c>
      <c r="X23" s="65">
        <f t="shared" ca="1" si="4"/>
        <v>0</v>
      </c>
      <c r="Y23" s="116">
        <f>V23/GETPIVOTDATA(" nb fag / h",TCD!$A$1,"Vigne","Poli E")</f>
        <v>313.58333333333331</v>
      </c>
      <c r="Z23" s="119">
        <f ca="1">+W23/U23*7</f>
        <v>0</v>
      </c>
      <c r="AB23" s="110" t="s">
        <v>56</v>
      </c>
      <c r="AC23" s="25">
        <f ca="1">[1]!somme_si_couleur(B7:P48,14277081)</f>
        <v>312</v>
      </c>
      <c r="AD23" s="116">
        <f t="shared" si="3"/>
        <v>313.58333333333331</v>
      </c>
    </row>
    <row r="24" spans="1:31" ht="16.2" customHeight="1" thickBot="1" x14ac:dyDescent="0.35">
      <c r="A24" s="38">
        <v>43844</v>
      </c>
      <c r="B24" s="151"/>
      <c r="C24" s="186"/>
      <c r="D24" s="152">
        <v>7</v>
      </c>
      <c r="E24" s="152">
        <v>7</v>
      </c>
      <c r="F24" s="152">
        <v>7</v>
      </c>
      <c r="G24" s="152">
        <v>7</v>
      </c>
      <c r="H24" s="32">
        <v>7</v>
      </c>
      <c r="I24" s="152"/>
      <c r="J24" s="152"/>
      <c r="K24" s="184">
        <v>7</v>
      </c>
      <c r="L24" s="32">
        <v>7</v>
      </c>
      <c r="M24" s="32">
        <v>7</v>
      </c>
      <c r="N24" s="32">
        <v>7</v>
      </c>
      <c r="O24" s="152"/>
      <c r="P24" s="151"/>
      <c r="Q24" s="25">
        <f t="shared" si="0"/>
        <v>338</v>
      </c>
      <c r="R24" s="25">
        <f t="shared" si="1"/>
        <v>285</v>
      </c>
      <c r="T24" s="174" t="s">
        <v>48</v>
      </c>
      <c r="U24" s="175">
        <f t="shared" ref="U24:Y24" ca="1" si="5">SUM(U16:U23)</f>
        <v>1455</v>
      </c>
      <c r="V24" s="175">
        <f t="shared" si="5"/>
        <v>1184</v>
      </c>
      <c r="W24" s="175">
        <f t="shared" si="5"/>
        <v>175</v>
      </c>
      <c r="X24" s="176">
        <f ca="1">W24/U24</f>
        <v>0.12027491408934708</v>
      </c>
      <c r="Y24" s="177">
        <f t="shared" ca="1" si="5"/>
        <v>1450.5322674313909</v>
      </c>
      <c r="Z24" s="119">
        <f t="shared" ref="Z24" ca="1" si="6">+W24/U24*7</f>
        <v>0.84192439862542956</v>
      </c>
      <c r="AB24" s="68" t="s">
        <v>44</v>
      </c>
      <c r="AC24" s="69">
        <f ca="1">SUM(AC16:AC23)</f>
        <v>1455</v>
      </c>
      <c r="AD24" s="118">
        <f ca="1">SUM(AD16:AD23)</f>
        <v>1450.5322674313909</v>
      </c>
    </row>
    <row r="25" spans="1:31" ht="16.2" customHeight="1" x14ac:dyDescent="0.3">
      <c r="A25" s="38">
        <v>43845</v>
      </c>
      <c r="B25" s="151"/>
      <c r="C25" s="186"/>
      <c r="D25" s="152">
        <v>7</v>
      </c>
      <c r="E25" s="152">
        <v>7</v>
      </c>
      <c r="F25" s="152">
        <v>7</v>
      </c>
      <c r="G25" s="152">
        <v>7</v>
      </c>
      <c r="H25" s="32">
        <v>7</v>
      </c>
      <c r="I25" s="152"/>
      <c r="J25" s="152"/>
      <c r="K25" s="184">
        <v>7</v>
      </c>
      <c r="L25" s="32">
        <v>7</v>
      </c>
      <c r="M25" s="32">
        <v>7</v>
      </c>
      <c r="N25" s="32">
        <v>7</v>
      </c>
      <c r="O25" s="152"/>
      <c r="P25" s="151"/>
      <c r="Q25" s="25">
        <f t="shared" si="0"/>
        <v>401</v>
      </c>
      <c r="R25" s="25">
        <f t="shared" si="1"/>
        <v>348</v>
      </c>
      <c r="T25" s="83" t="s">
        <v>28</v>
      </c>
      <c r="U25" s="41">
        <f ca="1">AC25</f>
        <v>36</v>
      </c>
      <c r="V25" s="41"/>
      <c r="W25" s="41"/>
      <c r="X25" s="84"/>
      <c r="Z25" s="178"/>
      <c r="AB25" s="77" t="s">
        <v>42</v>
      </c>
      <c r="AC25" s="25">
        <f ca="1">[1]!somme_si_couleur(B7:P48,65280)</f>
        <v>36</v>
      </c>
      <c r="AD25" s="25">
        <v>36</v>
      </c>
    </row>
    <row r="26" spans="1:31" ht="16.2" customHeight="1" thickBot="1" x14ac:dyDescent="0.35">
      <c r="A26" s="38">
        <v>43846</v>
      </c>
      <c r="B26" s="151"/>
      <c r="C26" s="186"/>
      <c r="D26" s="152">
        <v>7</v>
      </c>
      <c r="E26" s="152">
        <v>7</v>
      </c>
      <c r="F26" s="152">
        <v>7</v>
      </c>
      <c r="G26" s="152">
        <v>7</v>
      </c>
      <c r="H26" s="152">
        <v>7</v>
      </c>
      <c r="I26" s="152"/>
      <c r="J26" s="32">
        <v>7</v>
      </c>
      <c r="K26" s="184">
        <v>7</v>
      </c>
      <c r="L26" s="32">
        <v>7</v>
      </c>
      <c r="M26" s="32">
        <v>7</v>
      </c>
      <c r="N26" s="32">
        <v>7</v>
      </c>
      <c r="O26" s="152"/>
      <c r="P26" s="151"/>
      <c r="Q26" s="25">
        <f t="shared" si="0"/>
        <v>471</v>
      </c>
      <c r="R26" s="25">
        <f t="shared" si="1"/>
        <v>418</v>
      </c>
      <c r="T26" s="63" t="s">
        <v>29</v>
      </c>
      <c r="U26" s="64">
        <f ca="1">AC26</f>
        <v>0</v>
      </c>
      <c r="V26" s="64"/>
      <c r="W26" s="64"/>
      <c r="X26" s="85"/>
      <c r="Y26" s="25"/>
      <c r="Z26" s="25"/>
      <c r="AB26" s="76" t="s">
        <v>43</v>
      </c>
      <c r="AC26" s="25">
        <f ca="1">[1]!somme_si_couleur(B7:P48,13408767)</f>
        <v>0</v>
      </c>
      <c r="AD26" s="25">
        <v>0</v>
      </c>
    </row>
    <row r="27" spans="1:31" ht="16.2" customHeight="1" thickBot="1" x14ac:dyDescent="0.35">
      <c r="A27" s="38">
        <v>43847</v>
      </c>
      <c r="B27" s="151"/>
      <c r="C27" s="186"/>
      <c r="D27" s="152">
        <v>7</v>
      </c>
      <c r="E27" s="152">
        <v>7</v>
      </c>
      <c r="F27" s="152">
        <v>7</v>
      </c>
      <c r="G27" s="152">
        <v>7</v>
      </c>
      <c r="H27" s="152">
        <v>7</v>
      </c>
      <c r="I27" s="152"/>
      <c r="J27" s="32">
        <v>7</v>
      </c>
      <c r="K27" s="184">
        <v>7</v>
      </c>
      <c r="L27" s="32">
        <v>7</v>
      </c>
      <c r="M27" s="32">
        <v>7</v>
      </c>
      <c r="N27" s="32">
        <v>7</v>
      </c>
      <c r="O27" s="152"/>
      <c r="P27" s="151"/>
      <c r="Q27" s="25">
        <f t="shared" si="0"/>
        <v>541</v>
      </c>
      <c r="R27" s="25">
        <f t="shared" si="1"/>
        <v>488</v>
      </c>
      <c r="T27" s="25" t="s">
        <v>30</v>
      </c>
      <c r="U27" s="25">
        <f ca="1">+U24+U25+U26</f>
        <v>1491</v>
      </c>
      <c r="X27" s="25">
        <f>+W24/SUM(B7:N22)</f>
        <v>0.82547169811320753</v>
      </c>
      <c r="Y27" s="25"/>
      <c r="Z27" s="25"/>
    </row>
    <row r="28" spans="1:31" ht="16.2" customHeight="1" thickBot="1" x14ac:dyDescent="0.35">
      <c r="A28" s="38">
        <v>43848</v>
      </c>
      <c r="B28" s="125"/>
      <c r="C28" s="158"/>
      <c r="D28" s="75"/>
      <c r="E28" s="75"/>
      <c r="F28" s="75"/>
      <c r="G28" s="75"/>
      <c r="H28" s="75"/>
      <c r="I28" s="75"/>
      <c r="J28" s="75"/>
      <c r="K28" s="158"/>
      <c r="L28" s="75"/>
      <c r="M28" s="158"/>
      <c r="N28" s="75"/>
      <c r="O28" s="158"/>
      <c r="P28" s="125"/>
      <c r="Q28" s="25">
        <f t="shared" si="0"/>
        <v>541</v>
      </c>
      <c r="R28" s="25">
        <f t="shared" si="1"/>
        <v>488</v>
      </c>
      <c r="T28" s="25" t="s">
        <v>45</v>
      </c>
      <c r="U28" s="25">
        <v>15</v>
      </c>
      <c r="V28" s="88">
        <f>[2]Récolte!$G$87/1000</f>
        <v>70</v>
      </c>
      <c r="W28" s="88">
        <f>[2]Récolte!$H$87/1000</f>
        <v>0</v>
      </c>
      <c r="AB28" s="68" t="s">
        <v>44</v>
      </c>
      <c r="AC28" s="69">
        <f ca="1">SUM(AC24:AC26)</f>
        <v>1491</v>
      </c>
      <c r="AD28" s="118">
        <f ca="1">SUM(AD24:AD26)</f>
        <v>1486.5322674313909</v>
      </c>
    </row>
    <row r="29" spans="1:31" ht="16.2" customHeight="1" x14ac:dyDescent="0.3">
      <c r="A29" s="38">
        <v>43849</v>
      </c>
      <c r="B29" s="125"/>
      <c r="C29" s="158"/>
      <c r="D29" s="75"/>
      <c r="E29" s="75"/>
      <c r="F29" s="75"/>
      <c r="G29" s="75"/>
      <c r="H29" s="75"/>
      <c r="I29" s="75"/>
      <c r="J29" s="75"/>
      <c r="K29" s="158"/>
      <c r="L29" s="75"/>
      <c r="M29" s="158"/>
      <c r="N29" s="75"/>
      <c r="O29" s="158"/>
      <c r="P29" s="125"/>
      <c r="Q29" s="25">
        <f t="shared" si="0"/>
        <v>541</v>
      </c>
      <c r="R29" s="25">
        <f t="shared" si="1"/>
        <v>488</v>
      </c>
    </row>
    <row r="30" spans="1:31" ht="16.2" customHeight="1" x14ac:dyDescent="0.35">
      <c r="A30" s="38">
        <v>43850</v>
      </c>
      <c r="B30" s="151"/>
      <c r="C30" s="186"/>
      <c r="D30" s="152">
        <v>7</v>
      </c>
      <c r="E30" s="152">
        <v>7</v>
      </c>
      <c r="F30" s="152">
        <v>7</v>
      </c>
      <c r="G30" s="152">
        <v>7</v>
      </c>
      <c r="H30" s="152">
        <v>7</v>
      </c>
      <c r="I30" s="152"/>
      <c r="J30" s="32">
        <v>7</v>
      </c>
      <c r="K30" s="184">
        <v>7</v>
      </c>
      <c r="L30" s="32">
        <v>7</v>
      </c>
      <c r="M30" s="32">
        <v>7</v>
      </c>
      <c r="N30" s="32">
        <v>7</v>
      </c>
      <c r="O30" s="152"/>
      <c r="P30" s="151"/>
      <c r="Q30" s="25">
        <f t="shared" si="0"/>
        <v>611</v>
      </c>
      <c r="R30" s="25">
        <f t="shared" si="1"/>
        <v>558</v>
      </c>
      <c r="T30" s="101" t="s">
        <v>47</v>
      </c>
      <c r="U30" s="101"/>
      <c r="V30" s="102">
        <f>+V24+V28+V29</f>
        <v>1254</v>
      </c>
      <c r="W30" s="102"/>
    </row>
    <row r="31" spans="1:31" ht="16.2" customHeight="1" x14ac:dyDescent="0.3">
      <c r="A31" s="38">
        <v>43851</v>
      </c>
      <c r="B31" s="151"/>
      <c r="C31" s="186"/>
      <c r="D31" s="152">
        <v>7</v>
      </c>
      <c r="E31" s="152">
        <v>7</v>
      </c>
      <c r="F31" s="152">
        <v>7</v>
      </c>
      <c r="G31" s="152">
        <v>7</v>
      </c>
      <c r="H31" s="152">
        <v>7</v>
      </c>
      <c r="I31" s="152"/>
      <c r="J31" s="32">
        <v>7</v>
      </c>
      <c r="K31" s="184">
        <v>7</v>
      </c>
      <c r="L31" s="32">
        <v>7</v>
      </c>
      <c r="M31" s="32">
        <v>7</v>
      </c>
      <c r="N31" s="32">
        <v>7</v>
      </c>
      <c r="O31" s="152"/>
      <c r="P31" s="151"/>
      <c r="Q31" s="25">
        <f t="shared" si="0"/>
        <v>681</v>
      </c>
      <c r="R31" s="25">
        <f t="shared" si="1"/>
        <v>628</v>
      </c>
    </row>
    <row r="32" spans="1:31" ht="16.2" customHeight="1" x14ac:dyDescent="0.3">
      <c r="A32" s="38">
        <v>43852</v>
      </c>
      <c r="B32" s="151"/>
      <c r="C32" s="186"/>
      <c r="D32" s="152">
        <v>7</v>
      </c>
      <c r="E32" s="152">
        <v>7</v>
      </c>
      <c r="F32" s="152">
        <v>7</v>
      </c>
      <c r="G32" s="152">
        <v>7</v>
      </c>
      <c r="H32" s="152">
        <v>7</v>
      </c>
      <c r="I32" s="152"/>
      <c r="J32" s="32">
        <v>7</v>
      </c>
      <c r="K32" s="184">
        <v>7</v>
      </c>
      <c r="L32" s="32">
        <v>7</v>
      </c>
      <c r="M32" s="32">
        <v>7</v>
      </c>
      <c r="N32" s="32">
        <v>7</v>
      </c>
      <c r="O32" s="152"/>
      <c r="P32" s="151"/>
      <c r="Q32" s="25">
        <f t="shared" si="0"/>
        <v>751</v>
      </c>
      <c r="R32" s="25">
        <f t="shared" si="1"/>
        <v>698</v>
      </c>
      <c r="X32" s="25"/>
      <c r="Y32" s="25"/>
      <c r="Z32" s="25"/>
    </row>
    <row r="33" spans="1:26" ht="16.2" customHeight="1" x14ac:dyDescent="0.3">
      <c r="A33" s="38">
        <v>43853</v>
      </c>
      <c r="B33" s="151"/>
      <c r="C33" s="186"/>
      <c r="D33" s="152">
        <v>7</v>
      </c>
      <c r="E33" s="152">
        <v>7</v>
      </c>
      <c r="F33" s="152">
        <v>7</v>
      </c>
      <c r="G33" s="152">
        <v>7</v>
      </c>
      <c r="H33" s="152">
        <v>7</v>
      </c>
      <c r="I33" s="152"/>
      <c r="J33" s="32">
        <v>7</v>
      </c>
      <c r="K33" s="184">
        <v>7</v>
      </c>
      <c r="L33" s="32">
        <v>7</v>
      </c>
      <c r="M33" s="32">
        <v>7</v>
      </c>
      <c r="N33" s="32">
        <v>7</v>
      </c>
      <c r="O33" s="152"/>
      <c r="P33" s="151"/>
      <c r="Q33" s="25">
        <f t="shared" si="0"/>
        <v>821</v>
      </c>
      <c r="R33" s="25">
        <f t="shared" si="1"/>
        <v>768</v>
      </c>
      <c r="X33" s="25"/>
      <c r="Y33" s="25"/>
      <c r="Z33" s="25"/>
    </row>
    <row r="34" spans="1:26" ht="16.2" customHeight="1" x14ac:dyDescent="0.3">
      <c r="A34" s="38">
        <v>43854</v>
      </c>
      <c r="B34" s="151"/>
      <c r="C34" s="186"/>
      <c r="D34" s="152">
        <v>7</v>
      </c>
      <c r="E34" s="152">
        <v>7</v>
      </c>
      <c r="F34" s="152">
        <v>7</v>
      </c>
      <c r="G34" s="77">
        <v>9</v>
      </c>
      <c r="H34" s="77">
        <v>9</v>
      </c>
      <c r="I34" s="152"/>
      <c r="J34" s="32">
        <v>7</v>
      </c>
      <c r="K34" s="184">
        <v>7</v>
      </c>
      <c r="L34" s="32">
        <v>7</v>
      </c>
      <c r="M34" s="32">
        <v>7</v>
      </c>
      <c r="N34" s="32">
        <v>7</v>
      </c>
      <c r="O34" s="152"/>
      <c r="P34" s="151"/>
      <c r="Q34" s="25">
        <f t="shared" si="0"/>
        <v>895</v>
      </c>
      <c r="R34" s="25">
        <f t="shared" si="1"/>
        <v>842</v>
      </c>
      <c r="X34" s="25"/>
      <c r="Y34" s="25"/>
      <c r="Z34" s="25"/>
    </row>
    <row r="35" spans="1:26" ht="16.2" customHeight="1" x14ac:dyDescent="0.3">
      <c r="A35" s="38">
        <v>43855</v>
      </c>
      <c r="B35" s="125"/>
      <c r="C35" s="158"/>
      <c r="D35" s="75"/>
      <c r="E35" s="75"/>
      <c r="F35" s="75"/>
      <c r="G35" s="75"/>
      <c r="H35" s="75"/>
      <c r="I35" s="75"/>
      <c r="J35" s="75"/>
      <c r="K35" s="158"/>
      <c r="L35" s="75"/>
      <c r="M35" s="158"/>
      <c r="N35" s="158"/>
      <c r="O35" s="158"/>
      <c r="P35" s="125"/>
      <c r="Q35" s="25">
        <f t="shared" si="0"/>
        <v>895</v>
      </c>
      <c r="R35" s="25">
        <f t="shared" si="1"/>
        <v>842</v>
      </c>
      <c r="X35" s="25"/>
      <c r="Y35" s="25"/>
      <c r="Z35" s="25"/>
    </row>
    <row r="36" spans="1:26" ht="16.2" customHeight="1" x14ac:dyDescent="0.3">
      <c r="A36" s="38">
        <v>43856</v>
      </c>
      <c r="B36" s="75"/>
      <c r="C36" s="124"/>
      <c r="D36" s="75"/>
      <c r="E36" s="75"/>
      <c r="F36" s="75"/>
      <c r="G36" s="75"/>
      <c r="H36" s="75"/>
      <c r="I36" s="75"/>
      <c r="J36" s="75"/>
      <c r="K36" s="158"/>
      <c r="L36" s="75"/>
      <c r="M36" s="158"/>
      <c r="N36" s="158"/>
      <c r="O36" s="158"/>
      <c r="P36" s="125"/>
      <c r="Q36" s="25">
        <f t="shared" si="0"/>
        <v>895</v>
      </c>
      <c r="R36" s="25">
        <f t="shared" si="1"/>
        <v>842</v>
      </c>
      <c r="X36" s="25"/>
      <c r="Y36" s="25"/>
      <c r="Z36" s="25"/>
    </row>
    <row r="37" spans="1:26" ht="16.2" customHeight="1" x14ac:dyDescent="0.3">
      <c r="A37" s="38">
        <v>43857</v>
      </c>
      <c r="B37" s="129">
        <v>18</v>
      </c>
      <c r="C37" s="186"/>
      <c r="D37" s="110">
        <v>9</v>
      </c>
      <c r="E37" s="152">
        <v>7</v>
      </c>
      <c r="F37" s="110">
        <v>9</v>
      </c>
      <c r="G37" s="152">
        <v>7</v>
      </c>
      <c r="H37" s="152">
        <v>7</v>
      </c>
      <c r="I37" s="152"/>
      <c r="J37" s="110">
        <v>9</v>
      </c>
      <c r="K37" s="152">
        <v>7</v>
      </c>
      <c r="L37" s="110">
        <v>9</v>
      </c>
      <c r="M37" s="110">
        <v>9</v>
      </c>
      <c r="N37" s="110">
        <v>9</v>
      </c>
      <c r="O37" s="152"/>
      <c r="P37" s="151"/>
      <c r="Q37" s="25">
        <f t="shared" si="0"/>
        <v>995</v>
      </c>
      <c r="R37" s="25">
        <f t="shared" si="1"/>
        <v>924</v>
      </c>
      <c r="X37" s="25"/>
      <c r="Y37" s="25"/>
      <c r="Z37" s="25"/>
    </row>
    <row r="38" spans="1:26" ht="16.2" customHeight="1" x14ac:dyDescent="0.3">
      <c r="A38" s="38">
        <v>43858</v>
      </c>
      <c r="B38" s="129">
        <v>8</v>
      </c>
      <c r="C38" s="186"/>
      <c r="D38" s="110">
        <v>8</v>
      </c>
      <c r="E38" s="152">
        <v>7</v>
      </c>
      <c r="F38" s="110">
        <v>8</v>
      </c>
      <c r="G38" s="152">
        <v>7</v>
      </c>
      <c r="H38" s="152">
        <v>7</v>
      </c>
      <c r="I38" s="152"/>
      <c r="J38" s="110">
        <v>8</v>
      </c>
      <c r="K38" s="152">
        <v>7</v>
      </c>
      <c r="L38" s="110">
        <v>8</v>
      </c>
      <c r="M38" s="110">
        <v>8</v>
      </c>
      <c r="N38" s="110">
        <v>8</v>
      </c>
      <c r="O38" s="152"/>
      <c r="P38" s="151"/>
      <c r="Q38" s="25">
        <f t="shared" si="0"/>
        <v>1079</v>
      </c>
      <c r="R38" s="25">
        <f t="shared" si="1"/>
        <v>1000</v>
      </c>
      <c r="X38" s="25"/>
      <c r="Y38" s="25"/>
      <c r="Z38" s="25"/>
    </row>
    <row r="39" spans="1:26" ht="16.2" customHeight="1" x14ac:dyDescent="0.3">
      <c r="A39" s="38">
        <v>43859</v>
      </c>
      <c r="B39" s="129">
        <v>8</v>
      </c>
      <c r="C39" s="186"/>
      <c r="D39" s="110">
        <v>8</v>
      </c>
      <c r="E39" s="152">
        <v>7</v>
      </c>
      <c r="F39" s="110">
        <v>8</v>
      </c>
      <c r="G39" s="152">
        <v>7</v>
      </c>
      <c r="H39" s="152">
        <v>7</v>
      </c>
      <c r="I39" s="152"/>
      <c r="J39" s="110">
        <v>8</v>
      </c>
      <c r="K39" s="152">
        <v>7</v>
      </c>
      <c r="L39" s="110">
        <v>8</v>
      </c>
      <c r="M39" s="110">
        <v>8</v>
      </c>
      <c r="N39" s="110">
        <v>8</v>
      </c>
      <c r="O39" s="152"/>
      <c r="P39" s="151"/>
      <c r="Q39" s="25">
        <f t="shared" si="0"/>
        <v>1163</v>
      </c>
      <c r="R39" s="25">
        <f t="shared" si="1"/>
        <v>1076</v>
      </c>
      <c r="X39" s="25"/>
      <c r="Y39" s="25"/>
      <c r="Z39" s="25"/>
    </row>
    <row r="40" spans="1:26" ht="16.2" customHeight="1" x14ac:dyDescent="0.3">
      <c r="A40" s="38">
        <v>43860</v>
      </c>
      <c r="B40" s="129">
        <v>8</v>
      </c>
      <c r="C40" s="186"/>
      <c r="D40" s="110">
        <v>8</v>
      </c>
      <c r="E40" s="152">
        <v>7</v>
      </c>
      <c r="F40" s="110">
        <v>8</v>
      </c>
      <c r="G40" s="152">
        <v>7</v>
      </c>
      <c r="H40" s="152">
        <v>7</v>
      </c>
      <c r="I40" s="152"/>
      <c r="J40" s="110">
        <v>8</v>
      </c>
      <c r="K40" s="152">
        <v>7</v>
      </c>
      <c r="L40" s="110">
        <v>8</v>
      </c>
      <c r="M40" s="110">
        <v>8</v>
      </c>
      <c r="N40" s="110">
        <v>8</v>
      </c>
      <c r="O40" s="152"/>
      <c r="P40" s="151"/>
      <c r="Q40" s="25">
        <f t="shared" ref="Q40:Q59" si="7">SUM(B40:P40)+Q39</f>
        <v>1247</v>
      </c>
      <c r="R40" s="25">
        <f t="shared" ref="R40:R59" si="8">SUM(C40:P40)+R39</f>
        <v>1152</v>
      </c>
      <c r="X40" s="25"/>
      <c r="Y40" s="25"/>
      <c r="Z40" s="25"/>
    </row>
    <row r="41" spans="1:26" ht="15.6" customHeight="1" x14ac:dyDescent="0.3">
      <c r="A41" s="38">
        <v>43861</v>
      </c>
      <c r="B41" s="129">
        <v>18</v>
      </c>
      <c r="C41" s="186"/>
      <c r="D41" s="110">
        <v>9</v>
      </c>
      <c r="E41" s="152">
        <v>7</v>
      </c>
      <c r="F41" s="110">
        <v>9</v>
      </c>
      <c r="G41" s="152">
        <v>7</v>
      </c>
      <c r="H41" s="152">
        <v>7</v>
      </c>
      <c r="I41" s="152"/>
      <c r="J41" s="110">
        <v>9</v>
      </c>
      <c r="K41" s="152">
        <v>7</v>
      </c>
      <c r="L41" s="110">
        <v>9</v>
      </c>
      <c r="M41" s="110">
        <v>9</v>
      </c>
      <c r="N41" s="110">
        <v>9</v>
      </c>
      <c r="O41" s="152"/>
      <c r="P41" s="151"/>
      <c r="Q41" s="25">
        <f t="shared" si="7"/>
        <v>1347</v>
      </c>
      <c r="R41" s="25">
        <f t="shared" si="8"/>
        <v>1234</v>
      </c>
      <c r="X41" s="25"/>
      <c r="Y41" s="25"/>
      <c r="Z41" s="25"/>
    </row>
    <row r="42" spans="1:26" ht="16.2" customHeight="1" x14ac:dyDescent="0.3">
      <c r="A42" s="38">
        <v>43862</v>
      </c>
      <c r="B42" s="75"/>
      <c r="C42" s="124"/>
      <c r="D42" s="75"/>
      <c r="E42" s="75"/>
      <c r="F42" s="75"/>
      <c r="G42" s="75"/>
      <c r="H42" s="75"/>
      <c r="I42" s="75"/>
      <c r="J42" s="158"/>
      <c r="K42" s="75"/>
      <c r="L42" s="75"/>
      <c r="M42" s="75"/>
      <c r="N42" s="158"/>
      <c r="O42" s="158"/>
      <c r="P42" s="125"/>
      <c r="Q42" s="25">
        <f t="shared" si="7"/>
        <v>1347</v>
      </c>
      <c r="R42" s="25">
        <f t="shared" si="8"/>
        <v>1234</v>
      </c>
      <c r="X42" s="25"/>
      <c r="Y42" s="25"/>
      <c r="Z42" s="25"/>
    </row>
    <row r="43" spans="1:26" ht="16.2" customHeight="1" x14ac:dyDescent="0.3">
      <c r="A43" s="38">
        <v>43863</v>
      </c>
      <c r="B43" s="75"/>
      <c r="C43" s="124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158"/>
      <c r="O43" s="158"/>
      <c r="P43" s="125"/>
      <c r="Q43" s="25">
        <f t="shared" si="7"/>
        <v>1347</v>
      </c>
      <c r="R43" s="25">
        <f t="shared" si="8"/>
        <v>1234</v>
      </c>
      <c r="X43" s="25"/>
      <c r="Y43" s="25"/>
      <c r="Z43" s="25"/>
    </row>
    <row r="44" spans="1:26" ht="16.2" customHeight="1" x14ac:dyDescent="0.3">
      <c r="A44" s="38">
        <v>43864</v>
      </c>
      <c r="B44" s="127"/>
      <c r="C44" s="186"/>
      <c r="D44" s="25">
        <v>7</v>
      </c>
      <c r="E44" s="25">
        <v>7</v>
      </c>
      <c r="F44" s="25">
        <v>7</v>
      </c>
      <c r="G44" s="77">
        <v>9</v>
      </c>
      <c r="H44" s="77">
        <v>9</v>
      </c>
      <c r="I44" s="152"/>
      <c r="J44" s="25">
        <v>7</v>
      </c>
      <c r="K44" s="25">
        <v>7</v>
      </c>
      <c r="L44" s="25">
        <v>7</v>
      </c>
      <c r="M44" s="25">
        <v>7</v>
      </c>
      <c r="N44" s="25">
        <v>7</v>
      </c>
      <c r="P44" s="127"/>
      <c r="Q44" s="25">
        <f t="shared" si="7"/>
        <v>1421</v>
      </c>
      <c r="R44" s="25">
        <f t="shared" si="8"/>
        <v>1308</v>
      </c>
      <c r="X44" s="25"/>
      <c r="Y44" s="25"/>
      <c r="Z44" s="25"/>
    </row>
    <row r="45" spans="1:26" ht="16.2" customHeight="1" x14ac:dyDescent="0.3">
      <c r="A45" s="38">
        <v>43865</v>
      </c>
      <c r="B45" s="127"/>
      <c r="C45" s="186"/>
      <c r="D45" s="25">
        <v>7</v>
      </c>
      <c r="E45" s="25">
        <v>7</v>
      </c>
      <c r="F45" s="25">
        <v>7</v>
      </c>
      <c r="G45" s="25">
        <v>7</v>
      </c>
      <c r="H45" s="25">
        <v>7</v>
      </c>
      <c r="I45" s="152"/>
      <c r="J45" s="25">
        <v>7</v>
      </c>
      <c r="K45" s="25">
        <v>7</v>
      </c>
      <c r="L45" s="25">
        <v>7</v>
      </c>
      <c r="M45" s="25">
        <v>7</v>
      </c>
      <c r="N45" s="25">
        <v>7</v>
      </c>
      <c r="P45" s="127"/>
      <c r="Q45" s="25">
        <f t="shared" si="7"/>
        <v>1491</v>
      </c>
      <c r="R45" s="25">
        <f t="shared" si="8"/>
        <v>1378</v>
      </c>
      <c r="X45" s="25"/>
      <c r="Y45" s="25"/>
      <c r="Z45" s="25"/>
    </row>
    <row r="46" spans="1:26" ht="16.2" customHeight="1" x14ac:dyDescent="0.3">
      <c r="A46" s="38">
        <v>43866</v>
      </c>
      <c r="B46" s="127"/>
      <c r="C46" s="186"/>
      <c r="H46" s="162"/>
      <c r="I46" s="162"/>
      <c r="N46" s="162"/>
      <c r="P46" s="127"/>
      <c r="Q46" s="25">
        <f t="shared" si="7"/>
        <v>1491</v>
      </c>
      <c r="R46" s="25">
        <f t="shared" si="8"/>
        <v>1378</v>
      </c>
      <c r="X46" s="25"/>
      <c r="Y46" s="25"/>
      <c r="Z46" s="25"/>
    </row>
    <row r="47" spans="1:26" ht="16.2" customHeight="1" x14ac:dyDescent="0.3">
      <c r="A47" s="38">
        <v>43867</v>
      </c>
      <c r="B47" s="127"/>
      <c r="C47" s="186"/>
      <c r="H47" s="162"/>
      <c r="I47" s="162"/>
      <c r="N47" s="162"/>
      <c r="P47" s="127"/>
      <c r="Q47" s="25">
        <f t="shared" si="7"/>
        <v>1491</v>
      </c>
      <c r="R47" s="25">
        <f t="shared" si="8"/>
        <v>1378</v>
      </c>
      <c r="X47" s="25"/>
      <c r="Y47" s="25"/>
      <c r="Z47" s="25"/>
    </row>
    <row r="48" spans="1:26" ht="16.2" customHeight="1" x14ac:dyDescent="0.3">
      <c r="A48" s="38">
        <v>43868</v>
      </c>
      <c r="B48" s="127"/>
      <c r="C48" s="186"/>
      <c r="H48" s="162"/>
      <c r="I48" s="162"/>
      <c r="N48" s="162"/>
      <c r="P48" s="127"/>
      <c r="Q48" s="25">
        <f t="shared" si="7"/>
        <v>1491</v>
      </c>
      <c r="R48" s="25">
        <f t="shared" si="8"/>
        <v>1378</v>
      </c>
      <c r="X48" s="25"/>
      <c r="Y48" s="25"/>
      <c r="Z48" s="25"/>
    </row>
    <row r="49" spans="1:26" ht="16.2" customHeight="1" x14ac:dyDescent="0.3">
      <c r="A49" s="38">
        <v>43869</v>
      </c>
      <c r="B49" s="75"/>
      <c r="C49" s="124"/>
      <c r="D49" s="75"/>
      <c r="E49" s="75"/>
      <c r="F49" s="75"/>
      <c r="G49" s="75"/>
      <c r="H49" s="75"/>
      <c r="I49" s="158"/>
      <c r="J49" s="75"/>
      <c r="K49" s="75"/>
      <c r="L49" s="75"/>
      <c r="M49" s="75"/>
      <c r="N49" s="158"/>
      <c r="O49" s="158"/>
      <c r="P49" s="125"/>
      <c r="Q49" s="25">
        <f t="shared" si="7"/>
        <v>1491</v>
      </c>
      <c r="R49" s="25">
        <f t="shared" si="8"/>
        <v>1378</v>
      </c>
      <c r="X49" s="25"/>
      <c r="Y49" s="25"/>
      <c r="Z49" s="25"/>
    </row>
    <row r="50" spans="1:26" ht="16.2" customHeight="1" x14ac:dyDescent="0.3">
      <c r="A50" s="38">
        <v>43870</v>
      </c>
      <c r="B50" s="75"/>
      <c r="C50" s="124"/>
      <c r="D50" s="75"/>
      <c r="E50" s="75"/>
      <c r="F50" s="75"/>
      <c r="G50" s="75"/>
      <c r="H50" s="75"/>
      <c r="I50" s="158"/>
      <c r="J50" s="75"/>
      <c r="K50" s="75"/>
      <c r="L50" s="75"/>
      <c r="M50" s="75"/>
      <c r="N50" s="158"/>
      <c r="O50" s="158"/>
      <c r="P50" s="125"/>
      <c r="Q50" s="25">
        <f t="shared" si="7"/>
        <v>1491</v>
      </c>
      <c r="R50" s="25">
        <f t="shared" si="8"/>
        <v>1378</v>
      </c>
      <c r="X50" s="25"/>
      <c r="Y50" s="25"/>
      <c r="Z50" s="25"/>
    </row>
    <row r="51" spans="1:26" ht="16.2" customHeight="1" x14ac:dyDescent="0.3">
      <c r="A51" s="38">
        <v>43871</v>
      </c>
      <c r="B51" s="127"/>
      <c r="H51" s="162"/>
      <c r="I51" s="162"/>
      <c r="N51" s="162"/>
      <c r="P51" s="127"/>
      <c r="Q51" s="25">
        <f t="shared" si="7"/>
        <v>1491</v>
      </c>
      <c r="R51" s="25">
        <f t="shared" si="8"/>
        <v>1378</v>
      </c>
      <c r="X51" s="25"/>
      <c r="Y51" s="25"/>
      <c r="Z51" s="25"/>
    </row>
    <row r="52" spans="1:26" ht="16.2" customHeight="1" x14ac:dyDescent="0.3">
      <c r="A52" s="38">
        <v>43872</v>
      </c>
      <c r="B52" s="127"/>
      <c r="H52" s="162"/>
      <c r="I52" s="162"/>
      <c r="N52" s="162"/>
      <c r="P52" s="127"/>
      <c r="Q52" s="25">
        <f t="shared" si="7"/>
        <v>1491</v>
      </c>
      <c r="R52" s="25">
        <f t="shared" si="8"/>
        <v>1378</v>
      </c>
      <c r="X52" s="25"/>
      <c r="Y52" s="25"/>
      <c r="Z52" s="25"/>
    </row>
    <row r="53" spans="1:26" ht="16.2" customHeight="1" x14ac:dyDescent="0.3">
      <c r="A53" s="38">
        <v>43873</v>
      </c>
      <c r="B53" s="127"/>
      <c r="H53" s="162"/>
      <c r="I53" s="162"/>
      <c r="N53" s="162"/>
      <c r="P53" s="127"/>
      <c r="Q53" s="25">
        <f t="shared" si="7"/>
        <v>1491</v>
      </c>
      <c r="R53" s="25">
        <f t="shared" si="8"/>
        <v>1378</v>
      </c>
      <c r="X53" s="25"/>
      <c r="Y53" s="25"/>
      <c r="Z53" s="25"/>
    </row>
    <row r="54" spans="1:26" ht="16.2" customHeight="1" x14ac:dyDescent="0.3">
      <c r="A54" s="38">
        <v>43874</v>
      </c>
      <c r="B54" s="127"/>
      <c r="H54" s="162"/>
      <c r="I54" s="162"/>
      <c r="N54" s="162"/>
      <c r="P54" s="127"/>
      <c r="Q54" s="25">
        <f t="shared" si="7"/>
        <v>1491</v>
      </c>
      <c r="R54" s="25">
        <f t="shared" si="8"/>
        <v>1378</v>
      </c>
      <c r="X54" s="25"/>
      <c r="Y54" s="25"/>
      <c r="Z54" s="25"/>
    </row>
    <row r="55" spans="1:26" ht="16.2" customHeight="1" x14ac:dyDescent="0.3">
      <c r="A55" s="38">
        <v>43875</v>
      </c>
      <c r="B55" s="127"/>
      <c r="C55" s="152"/>
      <c r="D55" s="152"/>
      <c r="E55" s="152"/>
      <c r="F55" s="152"/>
      <c r="G55" s="152"/>
      <c r="H55" s="162"/>
      <c r="I55" s="162"/>
      <c r="N55" s="162"/>
      <c r="P55" s="127"/>
      <c r="Q55" s="25">
        <f t="shared" si="7"/>
        <v>1491</v>
      </c>
      <c r="R55" s="25">
        <f t="shared" si="8"/>
        <v>1378</v>
      </c>
      <c r="X55" s="25"/>
      <c r="Y55" s="25"/>
      <c r="Z55" s="25"/>
    </row>
    <row r="56" spans="1:26" ht="16.2" customHeight="1" x14ac:dyDescent="0.3">
      <c r="A56" s="38">
        <v>43876</v>
      </c>
      <c r="B56" s="75"/>
      <c r="C56" s="124"/>
      <c r="D56" s="75"/>
      <c r="E56" s="75"/>
      <c r="F56" s="75"/>
      <c r="G56" s="75"/>
      <c r="H56" s="75"/>
      <c r="I56" s="158"/>
      <c r="J56" s="75"/>
      <c r="K56" s="75"/>
      <c r="L56" s="75"/>
      <c r="M56" s="75"/>
      <c r="N56" s="158"/>
      <c r="O56" s="158"/>
      <c r="P56" s="125"/>
      <c r="Q56" s="25">
        <f t="shared" si="7"/>
        <v>1491</v>
      </c>
      <c r="R56" s="25">
        <f t="shared" si="8"/>
        <v>1378</v>
      </c>
      <c r="X56" s="25"/>
      <c r="Y56" s="25"/>
      <c r="Z56" s="25"/>
    </row>
    <row r="57" spans="1:26" ht="16.2" customHeight="1" x14ac:dyDescent="0.3">
      <c r="A57" s="38">
        <v>43877</v>
      </c>
      <c r="B57" s="75"/>
      <c r="C57" s="124"/>
      <c r="D57" s="75"/>
      <c r="E57" s="75"/>
      <c r="F57" s="75"/>
      <c r="G57" s="75"/>
      <c r="H57" s="75"/>
      <c r="I57" s="158"/>
      <c r="J57" s="75"/>
      <c r="K57" s="75"/>
      <c r="L57" s="75"/>
      <c r="M57" s="75"/>
      <c r="N57" s="158"/>
      <c r="O57" s="158"/>
      <c r="P57" s="125"/>
      <c r="Q57" s="25">
        <f t="shared" si="7"/>
        <v>1491</v>
      </c>
      <c r="R57" s="25">
        <f t="shared" si="8"/>
        <v>1378</v>
      </c>
      <c r="X57" s="25"/>
      <c r="Y57" s="25"/>
      <c r="Z57" s="25"/>
    </row>
    <row r="58" spans="1:26" ht="16.2" customHeight="1" x14ac:dyDescent="0.3">
      <c r="A58" s="38">
        <v>43878</v>
      </c>
      <c r="B58" s="127"/>
      <c r="H58" s="162"/>
      <c r="I58" s="162"/>
      <c r="N58" s="162"/>
      <c r="P58" s="127"/>
      <c r="Q58" s="25">
        <f t="shared" si="7"/>
        <v>1491</v>
      </c>
      <c r="R58" s="25">
        <f t="shared" si="8"/>
        <v>1378</v>
      </c>
      <c r="X58" s="25"/>
      <c r="Y58" s="25"/>
      <c r="Z58" s="25"/>
    </row>
    <row r="59" spans="1:26" ht="16.2" customHeight="1" x14ac:dyDescent="0.3">
      <c r="A59" s="38">
        <v>43879</v>
      </c>
      <c r="B59" s="127"/>
      <c r="H59" s="162"/>
      <c r="I59" s="162"/>
      <c r="N59" s="162"/>
      <c r="P59" s="127"/>
      <c r="Q59" s="25">
        <f t="shared" si="7"/>
        <v>1491</v>
      </c>
      <c r="R59" s="25">
        <f t="shared" si="8"/>
        <v>1378</v>
      </c>
      <c r="X59" s="25"/>
      <c r="Y59" s="25"/>
      <c r="Z59" s="25"/>
    </row>
    <row r="60" spans="1:26" ht="16.2" customHeight="1" x14ac:dyDescent="0.3">
      <c r="X60" s="25"/>
      <c r="Y60" s="25"/>
      <c r="Z60" s="25"/>
    </row>
    <row r="61" spans="1:26" ht="16.2" customHeight="1" x14ac:dyDescent="0.3">
      <c r="X61" s="25"/>
      <c r="Y61" s="25"/>
      <c r="Z61" s="25"/>
    </row>
    <row r="62" spans="1:26" ht="16.2" customHeight="1" x14ac:dyDescent="0.3">
      <c r="A62" s="24" t="s">
        <v>36</v>
      </c>
      <c r="B62" s="25">
        <f t="shared" ref="B62:N62" si="9">SUM(B7:B24)</f>
        <v>53</v>
      </c>
      <c r="C62" s="25">
        <f t="shared" si="9"/>
        <v>74</v>
      </c>
      <c r="D62" s="25">
        <f t="shared" si="9"/>
        <v>14</v>
      </c>
      <c r="E62" s="25">
        <f t="shared" si="9"/>
        <v>14</v>
      </c>
      <c r="F62" s="25">
        <f t="shared" si="9"/>
        <v>48</v>
      </c>
      <c r="G62" s="25">
        <f t="shared" si="9"/>
        <v>14</v>
      </c>
      <c r="H62" s="25">
        <f t="shared" si="9"/>
        <v>14</v>
      </c>
      <c r="I62" s="25">
        <f t="shared" si="9"/>
        <v>0</v>
      </c>
      <c r="J62" s="25">
        <f t="shared" si="9"/>
        <v>51</v>
      </c>
      <c r="K62" s="25">
        <f t="shared" si="9"/>
        <v>14</v>
      </c>
      <c r="L62" s="25">
        <f t="shared" si="9"/>
        <v>14</v>
      </c>
      <c r="M62" s="25">
        <f t="shared" si="9"/>
        <v>14</v>
      </c>
      <c r="N62" s="25">
        <f t="shared" si="9"/>
        <v>14</v>
      </c>
      <c r="O62" s="25">
        <f>SUM(O7:O28)</f>
        <v>0</v>
      </c>
      <c r="P62" s="25">
        <f>SUM(P7:P24)</f>
        <v>0</v>
      </c>
      <c r="X62" s="25"/>
      <c r="Y62" s="25"/>
      <c r="Z62" s="25"/>
    </row>
    <row r="63" spans="1:26" ht="15.6" customHeight="1" x14ac:dyDescent="0.3">
      <c r="A63" s="24" t="s">
        <v>37</v>
      </c>
      <c r="B63" s="56">
        <f t="shared" ref="B63:N63" si="10">SUM(B25:B44)</f>
        <v>60</v>
      </c>
      <c r="C63" s="56">
        <f t="shared" si="10"/>
        <v>0</v>
      </c>
      <c r="D63" s="56">
        <f t="shared" si="10"/>
        <v>105</v>
      </c>
      <c r="E63" s="56">
        <f t="shared" si="10"/>
        <v>98</v>
      </c>
      <c r="F63" s="56">
        <f t="shared" si="10"/>
        <v>105</v>
      </c>
      <c r="G63" s="56">
        <f t="shared" si="10"/>
        <v>102</v>
      </c>
      <c r="H63" s="56">
        <f t="shared" si="10"/>
        <v>102</v>
      </c>
      <c r="I63" s="56">
        <f t="shared" si="10"/>
        <v>0</v>
      </c>
      <c r="J63" s="56">
        <f t="shared" si="10"/>
        <v>98</v>
      </c>
      <c r="K63" s="56">
        <f t="shared" si="10"/>
        <v>98</v>
      </c>
      <c r="L63" s="56">
        <f t="shared" si="10"/>
        <v>105</v>
      </c>
      <c r="M63" s="56">
        <f t="shared" si="10"/>
        <v>105</v>
      </c>
      <c r="N63" s="56">
        <f t="shared" si="10"/>
        <v>105</v>
      </c>
      <c r="O63" s="56">
        <f>SUM(O29:O36)</f>
        <v>0</v>
      </c>
      <c r="P63" s="56">
        <f>SUM(P25:P36)</f>
        <v>0</v>
      </c>
      <c r="X63" s="25"/>
      <c r="Y63" s="25"/>
      <c r="Z63" s="25"/>
    </row>
    <row r="64" spans="1:26" x14ac:dyDescent="0.3">
      <c r="X64" s="25"/>
      <c r="Y64" s="25"/>
      <c r="Z64" s="25"/>
    </row>
    <row r="65" spans="1:26" x14ac:dyDescent="0.3">
      <c r="A65" s="24" t="s">
        <v>17</v>
      </c>
      <c r="B65" s="25">
        <f>SUM(B62:B63)</f>
        <v>113</v>
      </c>
      <c r="C65" s="25">
        <f t="shared" ref="C65:P65" si="11">SUM(C62:C63)</f>
        <v>74</v>
      </c>
      <c r="D65" s="25">
        <f t="shared" si="11"/>
        <v>119</v>
      </c>
      <c r="E65" s="25">
        <f t="shared" si="11"/>
        <v>112</v>
      </c>
      <c r="F65" s="25">
        <f t="shared" si="11"/>
        <v>153</v>
      </c>
      <c r="G65" s="25">
        <f t="shared" si="11"/>
        <v>116</v>
      </c>
      <c r="H65" s="25">
        <f t="shared" si="11"/>
        <v>116</v>
      </c>
      <c r="I65" s="25">
        <f t="shared" si="11"/>
        <v>0</v>
      </c>
      <c r="J65" s="25">
        <f t="shared" si="11"/>
        <v>149</v>
      </c>
      <c r="K65" s="25">
        <f t="shared" si="11"/>
        <v>112</v>
      </c>
      <c r="L65" s="25">
        <f t="shared" si="11"/>
        <v>119</v>
      </c>
      <c r="M65" s="25">
        <f t="shared" si="11"/>
        <v>119</v>
      </c>
      <c r="N65" s="25">
        <f t="shared" si="11"/>
        <v>119</v>
      </c>
      <c r="O65" s="25">
        <f t="shared" si="11"/>
        <v>0</v>
      </c>
      <c r="P65" s="25">
        <f t="shared" si="11"/>
        <v>0</v>
      </c>
      <c r="Q65" s="25">
        <f>SUM(B65:P65)</f>
        <v>1421</v>
      </c>
      <c r="R65" s="25">
        <f>SUM(C65:P65)</f>
        <v>1308</v>
      </c>
      <c r="X65" s="25"/>
      <c r="Y65" s="25"/>
      <c r="Z65" s="25"/>
    </row>
    <row r="66" spans="1:26" x14ac:dyDescent="0.3">
      <c r="X66" s="25"/>
      <c r="Y66" s="25"/>
      <c r="Z66" s="25"/>
    </row>
    <row r="67" spans="1:26" x14ac:dyDescent="0.3">
      <c r="X67" s="25"/>
      <c r="Y67" s="25"/>
      <c r="Z67" s="25"/>
    </row>
    <row r="68" spans="1:26" x14ac:dyDescent="0.3">
      <c r="X68" s="25"/>
      <c r="Y68" s="25"/>
      <c r="Z68" s="25"/>
    </row>
    <row r="69" spans="1:26" x14ac:dyDescent="0.3">
      <c r="X69" s="25"/>
      <c r="Y69" s="25"/>
      <c r="Z69" s="25"/>
    </row>
    <row r="70" spans="1:26" x14ac:dyDescent="0.3">
      <c r="X70" s="25"/>
      <c r="Y70" s="25"/>
      <c r="Z70" s="25"/>
    </row>
    <row r="71" spans="1:26" x14ac:dyDescent="0.3">
      <c r="X71" s="25"/>
      <c r="Y71" s="25"/>
      <c r="Z71" s="25"/>
    </row>
    <row r="72" spans="1:26" x14ac:dyDescent="0.3">
      <c r="X72" s="25"/>
      <c r="Y72" s="25"/>
      <c r="Z72" s="25"/>
    </row>
    <row r="73" spans="1:26" x14ac:dyDescent="0.3">
      <c r="X73" s="25"/>
      <c r="Y73" s="25"/>
      <c r="Z73" s="25"/>
    </row>
    <row r="74" spans="1:26" x14ac:dyDescent="0.3">
      <c r="X74" s="25"/>
      <c r="Y74" s="25"/>
      <c r="Z74" s="25"/>
    </row>
    <row r="75" spans="1:26" x14ac:dyDescent="0.3">
      <c r="X75" s="25"/>
      <c r="Y75" s="25"/>
      <c r="Z75" s="25"/>
    </row>
    <row r="76" spans="1:26" x14ac:dyDescent="0.3">
      <c r="X76" s="25"/>
      <c r="Y76" s="25"/>
      <c r="Z76" s="25"/>
    </row>
    <row r="77" spans="1:26" x14ac:dyDescent="0.3">
      <c r="X77" s="25"/>
      <c r="Y77" s="25"/>
      <c r="Z77" s="25"/>
    </row>
    <row r="78" spans="1:26" x14ac:dyDescent="0.3">
      <c r="X78" s="25"/>
      <c r="Y78" s="25"/>
      <c r="Z78" s="25"/>
    </row>
  </sheetData>
  <sheetProtection selectLockedCells="1" selectUnlockedCells="1"/>
  <mergeCells count="1">
    <mergeCell ref="B4:P4"/>
  </mergeCells>
  <pageMargins left="0.70866141732283472" right="0.70866141732283472" top="0.74803149606299213" bottom="0.74803149606299213" header="0.31496062992125984" footer="0.31496062992125984"/>
  <pageSetup paperSize="9" scale="49" firstPageNumber="0" orientation="landscape" verticalDpi="30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>
    <pageSetUpPr fitToPage="1"/>
  </sheetPr>
  <dimension ref="A1:J25"/>
  <sheetViews>
    <sheetView tabSelected="1" zoomScale="60" zoomScaleNormal="60" workbookViewId="0">
      <pane xSplit="1" ySplit="6" topLeftCell="B7" activePane="bottomRight" state="frozen"/>
      <selection pane="topRight" activeCell="B1" sqref="B1"/>
      <selection pane="bottomLeft" activeCell="A24" sqref="A24"/>
      <selection pane="bottomRight" activeCell="J30" sqref="J30"/>
    </sheetView>
  </sheetViews>
  <sheetFormatPr baseColWidth="10" defaultColWidth="11.44140625" defaultRowHeight="13.8" x14ac:dyDescent="0.3"/>
  <cols>
    <col min="1" max="1" width="22.77734375" style="24" customWidth="1"/>
    <col min="2" max="5" width="22.77734375" style="25" customWidth="1"/>
    <col min="6" max="6" width="13.33203125" style="25" bestFit="1" customWidth="1"/>
    <col min="7" max="7" width="13.33203125" style="25" customWidth="1"/>
    <col min="8" max="8" width="11.44140625" style="25"/>
    <col min="9" max="10" width="13.33203125" style="25" customWidth="1"/>
    <col min="11" max="16384" width="11.44140625" style="25"/>
  </cols>
  <sheetData>
    <row r="1" spans="1:10" ht="32.4" customHeight="1" x14ac:dyDescent="0.3">
      <c r="B1" s="212" t="s">
        <v>100</v>
      </c>
      <c r="C1" s="213" t="s">
        <v>101</v>
      </c>
      <c r="D1" s="214" t="s">
        <v>102</v>
      </c>
      <c r="E1" s="215" t="s">
        <v>103</v>
      </c>
    </row>
    <row r="2" spans="1:10" x14ac:dyDescent="0.3">
      <c r="B2" s="25">
        <f ca="1">[1]!NO_COULEUR(B1)</f>
        <v>16777215</v>
      </c>
      <c r="C2" s="25">
        <f ca="1">[1]!NO_COULEUR(C1)</f>
        <v>10079487</v>
      </c>
      <c r="D2" s="25">
        <f ca="1">[1]!NO_COULEUR(D1)</f>
        <v>10092543</v>
      </c>
      <c r="E2" s="25">
        <f ca="1">[1]!NO_COULEUR(E1)</f>
        <v>16777164</v>
      </c>
    </row>
    <row r="4" spans="1:10" ht="18" x14ac:dyDescent="0.35">
      <c r="B4" s="190"/>
      <c r="C4" s="190"/>
      <c r="D4" s="190"/>
      <c r="E4" s="190"/>
    </row>
    <row r="5" spans="1:10" x14ac:dyDescent="0.3">
      <c r="A5" s="25"/>
      <c r="C5" s="162"/>
      <c r="D5" s="162"/>
      <c r="E5" s="162"/>
    </row>
    <row r="6" spans="1:10" ht="23.4" customHeight="1" x14ac:dyDescent="0.3">
      <c r="B6" s="206" t="s">
        <v>105</v>
      </c>
      <c r="C6" s="207" t="s">
        <v>106</v>
      </c>
      <c r="D6" s="206" t="s">
        <v>107</v>
      </c>
    </row>
    <row r="7" spans="1:10" ht="19.2" customHeight="1" x14ac:dyDescent="0.35">
      <c r="A7" s="38">
        <v>43831</v>
      </c>
      <c r="B7" s="216">
        <v>7</v>
      </c>
      <c r="C7" s="217"/>
      <c r="D7" s="210">
        <v>4</v>
      </c>
    </row>
    <row r="8" spans="1:10" ht="19.2" customHeight="1" x14ac:dyDescent="0.3">
      <c r="A8" s="38">
        <v>43832</v>
      </c>
      <c r="B8" s="208">
        <v>2</v>
      </c>
      <c r="C8" s="209">
        <v>10</v>
      </c>
      <c r="D8" s="210">
        <v>5</v>
      </c>
    </row>
    <row r="9" spans="1:10" ht="19.2" customHeight="1" x14ac:dyDescent="0.35">
      <c r="A9" s="38">
        <v>43833</v>
      </c>
      <c r="B9" s="216">
        <v>8</v>
      </c>
      <c r="C9" s="209">
        <v>12</v>
      </c>
      <c r="D9" s="218">
        <v>4</v>
      </c>
    </row>
    <row r="10" spans="1:10" ht="19.2" customHeight="1" x14ac:dyDescent="0.35">
      <c r="A10" s="38">
        <v>43834</v>
      </c>
      <c r="B10" s="219"/>
      <c r="C10" s="218">
        <v>10</v>
      </c>
      <c r="D10" s="218"/>
    </row>
    <row r="11" spans="1:10" ht="19.2" customHeight="1" x14ac:dyDescent="0.35">
      <c r="A11" s="38">
        <v>43835</v>
      </c>
      <c r="B11" s="219"/>
      <c r="C11" s="218"/>
      <c r="D11" s="218"/>
      <c r="F11" s="220" t="s">
        <v>110</v>
      </c>
      <c r="G11" s="220"/>
      <c r="I11" s="220" t="s">
        <v>111</v>
      </c>
      <c r="J11" s="220"/>
    </row>
    <row r="12" spans="1:10" ht="19.2" customHeight="1" thickBot="1" x14ac:dyDescent="0.4">
      <c r="A12" s="38">
        <v>43836</v>
      </c>
      <c r="B12" s="210">
        <v>8</v>
      </c>
      <c r="C12" s="218"/>
      <c r="D12" s="218">
        <v>5</v>
      </c>
    </row>
    <row r="13" spans="1:10" ht="19.2" customHeight="1" thickBot="1" x14ac:dyDescent="0.4">
      <c r="A13" s="38">
        <v>43837</v>
      </c>
      <c r="B13" s="210">
        <v>7</v>
      </c>
      <c r="C13" s="211">
        <v>5</v>
      </c>
      <c r="D13" s="218">
        <v>4</v>
      </c>
      <c r="F13" s="227" t="s">
        <v>108</v>
      </c>
      <c r="G13" s="228"/>
      <c r="H13" s="221"/>
      <c r="I13" s="227" t="s">
        <v>109</v>
      </c>
      <c r="J13" s="228"/>
    </row>
    <row r="14" spans="1:10" ht="19.2" customHeight="1" x14ac:dyDescent="0.35">
      <c r="A14" s="38">
        <v>43838</v>
      </c>
      <c r="B14" s="210">
        <v>7</v>
      </c>
      <c r="C14" s="211">
        <v>6</v>
      </c>
      <c r="D14" s="218">
        <v>6</v>
      </c>
      <c r="F14" s="61"/>
      <c r="G14" s="222" t="s">
        <v>104</v>
      </c>
      <c r="I14" s="61"/>
      <c r="J14" s="222" t="s">
        <v>104</v>
      </c>
    </row>
    <row r="15" spans="1:10" ht="19.2" customHeight="1" x14ac:dyDescent="0.35">
      <c r="A15" s="38">
        <v>43839</v>
      </c>
      <c r="B15" s="210">
        <v>7</v>
      </c>
      <c r="C15" s="218">
        <v>8</v>
      </c>
      <c r="D15" s="218"/>
      <c r="F15" s="223" t="s">
        <v>100</v>
      </c>
      <c r="G15" s="127">
        <f ca="1">[1]!somme_si_couleur(A7:D14,16777215)</f>
        <v>31</v>
      </c>
      <c r="I15" s="223" t="s">
        <v>100</v>
      </c>
      <c r="J15" s="127">
        <f ca="1">[1]!somme_si_couleur(A7:D16,16777215)</f>
        <v>39</v>
      </c>
    </row>
    <row r="16" spans="1:10" ht="19.2" customHeight="1" x14ac:dyDescent="0.35">
      <c r="A16" s="38">
        <v>43840</v>
      </c>
      <c r="B16" s="210">
        <v>7</v>
      </c>
      <c r="C16" s="218"/>
      <c r="D16" s="218"/>
      <c r="F16" s="224" t="s">
        <v>101</v>
      </c>
      <c r="G16" s="127">
        <f ca="1">[1]!somme_si_couleur(A7:D14,10079487)</f>
        <v>22</v>
      </c>
      <c r="I16" s="224" t="s">
        <v>101</v>
      </c>
      <c r="J16" s="127">
        <f ca="1">[1]!somme_si_couleur(A7:D16,10079487)</f>
        <v>22</v>
      </c>
    </row>
    <row r="17" spans="1:10" ht="19.2" customHeight="1" x14ac:dyDescent="0.35">
      <c r="A17" s="38">
        <v>43841</v>
      </c>
      <c r="B17" s="219"/>
      <c r="C17" s="218"/>
      <c r="D17" s="218"/>
      <c r="F17" s="225" t="s">
        <v>102</v>
      </c>
      <c r="G17" s="127">
        <f ca="1">[1]!somme_si_couleur(A7:D14,10092543)</f>
        <v>31</v>
      </c>
      <c r="I17" s="225" t="s">
        <v>102</v>
      </c>
      <c r="J17" s="127">
        <f ca="1">[1]!somme_si_couleur(A7:D16,10092543)</f>
        <v>45</v>
      </c>
    </row>
    <row r="18" spans="1:10" ht="19.2" customHeight="1" thickBot="1" x14ac:dyDescent="0.4">
      <c r="A18" s="38">
        <v>43842</v>
      </c>
      <c r="B18" s="219"/>
      <c r="C18" s="218"/>
      <c r="D18" s="209">
        <v>13</v>
      </c>
      <c r="F18" s="226" t="s">
        <v>103</v>
      </c>
      <c r="G18" s="85">
        <f ca="1">[1]!somme_si_couleur(A7:D14,16777164)</f>
        <v>26</v>
      </c>
      <c r="I18" s="226" t="s">
        <v>103</v>
      </c>
      <c r="J18" s="85">
        <f ca="1">[1]!somme_si_couleur(A7:D16,16777164)</f>
        <v>26</v>
      </c>
    </row>
    <row r="19" spans="1:10" ht="19.2" customHeight="1" x14ac:dyDescent="0.35">
      <c r="A19" s="38">
        <v>43843</v>
      </c>
      <c r="B19" s="211">
        <v>7</v>
      </c>
      <c r="C19" s="218"/>
      <c r="D19" s="209">
        <v>12</v>
      </c>
      <c r="F19" s="35"/>
    </row>
    <row r="20" spans="1:10" ht="19.2" customHeight="1" x14ac:dyDescent="0.35">
      <c r="A20" s="38">
        <v>43844</v>
      </c>
      <c r="B20" s="211">
        <v>7</v>
      </c>
      <c r="C20" s="218"/>
      <c r="D20" s="218">
        <v>13</v>
      </c>
      <c r="F20" s="35"/>
    </row>
    <row r="22" spans="1:10" ht="14.4" x14ac:dyDescent="0.3">
      <c r="F22" s="229" t="s">
        <v>112</v>
      </c>
    </row>
    <row r="23" spans="1:10" ht="14.4" x14ac:dyDescent="0.3">
      <c r="F23" s="229"/>
    </row>
    <row r="24" spans="1:10" ht="14.4" x14ac:dyDescent="0.3">
      <c r="F24" s="229" t="s">
        <v>114</v>
      </c>
    </row>
    <row r="25" spans="1:10" ht="14.4" x14ac:dyDescent="0.3">
      <c r="F25" s="229" t="s">
        <v>113</v>
      </c>
    </row>
  </sheetData>
  <sheetProtection selectLockedCells="1" selectUnlockedCells="1"/>
  <mergeCells count="5">
    <mergeCell ref="B4:E4"/>
    <mergeCell ref="F13:G13"/>
    <mergeCell ref="I13:J13"/>
    <mergeCell ref="F11:G11"/>
    <mergeCell ref="I11:J11"/>
  </mergeCells>
  <pageMargins left="0.70866141732283472" right="0.70866141732283472" top="0.74803149606299213" bottom="0.74803149606299213" header="0.31496062992125984" footer="0.31496062992125984"/>
  <pageSetup paperSize="9" scale="49" firstPageNumber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AFFBB-DD04-4E7C-A011-8A3589A78FCD}">
  <sheetPr codeName="Feuil8">
    <pageSetUpPr fitToPage="1"/>
  </sheetPr>
  <dimension ref="A1:AE78"/>
  <sheetViews>
    <sheetView zoomScale="60" zoomScaleNormal="60" workbookViewId="0">
      <pane xSplit="1" ySplit="6" topLeftCell="B7" activePane="bottomRight" state="frozen"/>
      <selection pane="topRight" activeCell="B1" sqref="B1"/>
      <selection pane="bottomLeft" activeCell="A24" sqref="A24"/>
      <selection pane="bottomRight" activeCell="AC16" sqref="AC16"/>
    </sheetView>
  </sheetViews>
  <sheetFormatPr baseColWidth="10" defaultColWidth="11.44140625" defaultRowHeight="13.8" x14ac:dyDescent="0.3"/>
  <cols>
    <col min="1" max="1" width="10.109375" style="24" bestFit="1" customWidth="1"/>
    <col min="2" max="3" width="10.109375" style="25" bestFit="1" customWidth="1"/>
    <col min="4" max="4" width="11" style="25" customWidth="1"/>
    <col min="5" max="6" width="12.33203125" style="25" customWidth="1"/>
    <col min="7" max="7" width="12.88671875" style="25" customWidth="1"/>
    <col min="8" max="8" width="13.33203125" style="25" customWidth="1"/>
    <col min="9" max="9" width="14.109375" style="25" customWidth="1"/>
    <col min="10" max="10" width="12.88671875" style="25" customWidth="1"/>
    <col min="11" max="11" width="13" style="25" customWidth="1"/>
    <col min="12" max="12" width="11.5546875" style="25" customWidth="1"/>
    <col min="13" max="14" width="13.21875" style="25" bestFit="1" customWidth="1"/>
    <col min="15" max="15" width="13.109375" style="25" bestFit="1" customWidth="1"/>
    <col min="16" max="16" width="11.5546875" style="25" customWidth="1"/>
    <col min="17" max="18" width="6.5546875" style="25" customWidth="1"/>
    <col min="19" max="19" width="3" style="25" customWidth="1"/>
    <col min="20" max="20" width="17.88671875" style="25" customWidth="1"/>
    <col min="21" max="21" width="12.6640625" style="25" bestFit="1" customWidth="1"/>
    <col min="22" max="22" width="11.5546875" style="25" customWidth="1"/>
    <col min="23" max="23" width="14.33203125" style="25" bestFit="1" customWidth="1"/>
    <col min="24" max="24" width="10.6640625" style="27" customWidth="1"/>
    <col min="25" max="25" width="12.109375" style="27" bestFit="1" customWidth="1"/>
    <col min="26" max="26" width="16" style="27" customWidth="1"/>
    <col min="27" max="27" width="2.109375" style="25" customWidth="1"/>
    <col min="28" max="28" width="13.33203125" style="25" bestFit="1" customWidth="1"/>
    <col min="29" max="29" width="13.6640625" style="25" bestFit="1" customWidth="1"/>
    <col min="30" max="30" width="12.109375" style="25" bestFit="1" customWidth="1"/>
    <col min="31" max="16384" width="11.44140625" style="25"/>
  </cols>
  <sheetData>
    <row r="1" spans="1:30" x14ac:dyDescent="0.3">
      <c r="A1" s="86" t="s">
        <v>8</v>
      </c>
      <c r="B1" s="29" t="s">
        <v>9</v>
      </c>
      <c r="C1" s="30" t="s">
        <v>55</v>
      </c>
      <c r="D1" s="31" t="s">
        <v>11</v>
      </c>
      <c r="E1" s="32" t="s">
        <v>12</v>
      </c>
      <c r="F1" s="33" t="s">
        <v>13</v>
      </c>
      <c r="G1" s="34" t="s">
        <v>14</v>
      </c>
      <c r="H1" s="110" t="s">
        <v>56</v>
      </c>
      <c r="I1" s="77" t="s">
        <v>77</v>
      </c>
      <c r="J1" s="76" t="s">
        <v>76</v>
      </c>
      <c r="X1" s="25"/>
      <c r="Y1" s="25"/>
      <c r="Z1" s="25"/>
    </row>
    <row r="2" spans="1:30" x14ac:dyDescent="0.3">
      <c r="A2" s="25">
        <f ca="1">[1]!NO_COULEUR(A1)</f>
        <v>16777215</v>
      </c>
      <c r="B2" s="25">
        <f ca="1">[1]!NO_COULEUR(B1)</f>
        <v>10079487</v>
      </c>
      <c r="C2" s="25">
        <f ca="1">[1]!NO_COULEUR(C1)</f>
        <v>10092543</v>
      </c>
      <c r="D2" s="25">
        <f ca="1">[1]!NO_COULEUR(D1)</f>
        <v>16777164</v>
      </c>
      <c r="E2" s="25">
        <f ca="1">[1]!NO_COULEUR(E1)</f>
        <v>16751052</v>
      </c>
      <c r="F2" s="25">
        <f ca="1">[1]!NO_COULEUR(F1)</f>
        <v>13434828</v>
      </c>
      <c r="G2" s="25">
        <f ca="1">[1]!NO_COULEUR(G1)</f>
        <v>16764057</v>
      </c>
      <c r="H2" s="25">
        <f ca="1">[1]!NO_COULEUR(H1)</f>
        <v>14277081</v>
      </c>
      <c r="I2" s="25">
        <f ca="1">[1]!NO_COULEUR(I1)</f>
        <v>65280</v>
      </c>
      <c r="J2" s="25">
        <f ca="1">[1]!NO_COULEUR(J1)</f>
        <v>13408767</v>
      </c>
      <c r="X2" s="25"/>
      <c r="Y2" s="25"/>
      <c r="Z2" s="25"/>
    </row>
    <row r="3" spans="1:30" x14ac:dyDescent="0.3">
      <c r="F3" s="35"/>
      <c r="G3" s="35"/>
      <c r="X3" s="25"/>
      <c r="Y3" s="25"/>
      <c r="Z3" s="25"/>
    </row>
    <row r="4" spans="1:30" ht="18" x14ac:dyDescent="0.35">
      <c r="B4" s="190" t="s">
        <v>78</v>
      </c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X4" s="25"/>
      <c r="Y4" s="25"/>
      <c r="Z4" s="25"/>
    </row>
    <row r="5" spans="1:30" ht="14.4" thickBot="1" x14ac:dyDescent="0.35">
      <c r="A5" s="25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V5" s="88"/>
      <c r="W5" s="88"/>
    </row>
    <row r="6" spans="1:30" ht="28.2" thickBot="1" x14ac:dyDescent="0.35">
      <c r="B6" s="36" t="str">
        <f>contacts!A8</f>
        <v>Momo</v>
      </c>
      <c r="C6" s="133" t="str">
        <f>contacts!A9</f>
        <v>Michel Alram</v>
      </c>
      <c r="D6" s="200" t="str">
        <f>contacts!A10</f>
        <v>Agnès Guilland</v>
      </c>
      <c r="E6" s="205" t="str">
        <f>contacts!A11</f>
        <v>Jasmine Rafoni</v>
      </c>
      <c r="F6" s="200" t="str">
        <f>contacts!A12</f>
        <v>Coralie Kasule</v>
      </c>
      <c r="G6" s="205" t="str">
        <f>contacts!A13</f>
        <v>Valérie Ginoux</v>
      </c>
      <c r="H6" s="134">
        <f>contacts!A14</f>
        <v>0</v>
      </c>
      <c r="I6" s="187">
        <f>contacts!A15</f>
        <v>0</v>
      </c>
      <c r="J6" s="200" t="str">
        <f>contacts!F7</f>
        <v>Bertrand Plancke</v>
      </c>
      <c r="K6" s="205" t="str">
        <f>contacts!F8</f>
        <v>Emily Le Berre</v>
      </c>
      <c r="L6" s="202" t="str">
        <f>contacts!F9</f>
        <v>Jan Jerzi Kielban</v>
      </c>
      <c r="M6" s="202" t="str">
        <f>contacts!F10</f>
        <v>Aicha Verdier</v>
      </c>
      <c r="N6" s="205" t="str">
        <f>contacts!F11</f>
        <v>Paul-André Dompietrini</v>
      </c>
      <c r="O6" s="134">
        <f>contacts!F12</f>
        <v>0</v>
      </c>
      <c r="P6" s="135">
        <f>contacts!F13</f>
        <v>0</v>
      </c>
      <c r="Q6" s="37"/>
      <c r="R6" s="37"/>
      <c r="S6" s="37"/>
      <c r="X6" s="25"/>
      <c r="Y6" s="25"/>
      <c r="Z6" s="25"/>
    </row>
    <row r="7" spans="1:30" x14ac:dyDescent="0.3">
      <c r="A7" s="38">
        <v>43802</v>
      </c>
      <c r="B7" s="183">
        <v>7</v>
      </c>
      <c r="C7" s="203">
        <v>7</v>
      </c>
      <c r="D7" s="144"/>
      <c r="E7" s="159"/>
      <c r="F7" s="203">
        <v>7</v>
      </c>
      <c r="G7" s="144"/>
      <c r="H7" s="159"/>
      <c r="I7" s="159"/>
      <c r="J7" s="203">
        <v>7</v>
      </c>
      <c r="K7" s="144"/>
      <c r="L7" s="159"/>
      <c r="M7" s="159"/>
      <c r="N7" s="144"/>
      <c r="O7" s="144"/>
      <c r="P7" s="144"/>
      <c r="Q7" s="61">
        <f>SUM(B7:P7)</f>
        <v>28</v>
      </c>
      <c r="R7" s="25">
        <f>SUM(C7:P7)</f>
        <v>21</v>
      </c>
      <c r="S7" s="37"/>
      <c r="X7" s="25"/>
      <c r="Y7" s="25"/>
      <c r="Z7" s="25"/>
    </row>
    <row r="8" spans="1:30" x14ac:dyDescent="0.3">
      <c r="A8" s="38">
        <v>43803</v>
      </c>
      <c r="B8" s="183">
        <v>7</v>
      </c>
      <c r="C8" s="163">
        <v>7</v>
      </c>
      <c r="D8" s="154"/>
      <c r="E8" s="152"/>
      <c r="F8" s="31">
        <v>4.5</v>
      </c>
      <c r="G8" s="152"/>
      <c r="H8" s="160"/>
      <c r="I8" s="160"/>
      <c r="J8" s="31">
        <v>7</v>
      </c>
      <c r="L8" s="152"/>
      <c r="M8" s="152"/>
      <c r="N8" s="164"/>
      <c r="O8" s="164"/>
      <c r="P8" s="142"/>
      <c r="Q8" s="25">
        <f t="shared" ref="Q8:Q39" si="0">SUM(B8:P8)+Q7</f>
        <v>53.5</v>
      </c>
      <c r="R8" s="25">
        <f t="shared" ref="R8:R39" si="1">SUM(C8:P8)+R7</f>
        <v>39.5</v>
      </c>
      <c r="S8" s="37"/>
      <c r="X8" s="25"/>
      <c r="Y8" s="25"/>
      <c r="Z8" s="25"/>
    </row>
    <row r="9" spans="1:30" x14ac:dyDescent="0.3">
      <c r="A9" s="38">
        <v>43804</v>
      </c>
      <c r="B9" s="183">
        <v>0</v>
      </c>
      <c r="C9" s="163">
        <v>2</v>
      </c>
      <c r="D9" s="154"/>
      <c r="E9" s="152"/>
      <c r="F9" s="31">
        <v>2</v>
      </c>
      <c r="G9" s="152"/>
      <c r="H9" s="160"/>
      <c r="I9" s="160"/>
      <c r="J9" s="31">
        <v>0</v>
      </c>
      <c r="L9" s="152"/>
      <c r="M9" s="152"/>
      <c r="N9" s="164"/>
      <c r="O9" s="164"/>
      <c r="P9" s="142"/>
      <c r="Q9" s="25">
        <f t="shared" si="0"/>
        <v>57.5</v>
      </c>
      <c r="R9" s="25">
        <f t="shared" si="1"/>
        <v>43.5</v>
      </c>
      <c r="S9" s="37"/>
      <c r="X9" s="25"/>
      <c r="Y9" s="25"/>
      <c r="Z9" s="25"/>
    </row>
    <row r="10" spans="1:30" x14ac:dyDescent="0.3">
      <c r="A10" s="38">
        <v>43805</v>
      </c>
      <c r="B10" s="183">
        <v>7</v>
      </c>
      <c r="C10" s="163">
        <v>8</v>
      </c>
      <c r="D10" s="154"/>
      <c r="E10" s="152"/>
      <c r="F10" s="31">
        <v>7</v>
      </c>
      <c r="G10" s="155"/>
      <c r="H10" s="160"/>
      <c r="I10" s="160"/>
      <c r="J10" s="31">
        <v>8</v>
      </c>
      <c r="L10" s="152"/>
      <c r="M10" s="152"/>
      <c r="N10" s="164"/>
      <c r="O10" s="164"/>
      <c r="P10" s="142"/>
      <c r="Q10" s="25">
        <f t="shared" si="0"/>
        <v>87.5</v>
      </c>
      <c r="R10" s="25">
        <f t="shared" si="1"/>
        <v>66.5</v>
      </c>
      <c r="S10" s="37"/>
      <c r="X10" s="25"/>
      <c r="Y10" s="25"/>
      <c r="Z10" s="25"/>
    </row>
    <row r="11" spans="1:30" x14ac:dyDescent="0.3">
      <c r="A11" s="38">
        <v>43806</v>
      </c>
      <c r="B11" s="125"/>
      <c r="C11" s="158"/>
      <c r="D11" s="75"/>
      <c r="E11" s="75"/>
      <c r="F11" s="75"/>
      <c r="G11" s="75"/>
      <c r="H11" s="158"/>
      <c r="I11" s="158"/>
      <c r="J11" s="75"/>
      <c r="K11" s="75"/>
      <c r="L11" s="75"/>
      <c r="M11" s="75"/>
      <c r="N11" s="158"/>
      <c r="O11" s="158"/>
      <c r="P11" s="125"/>
      <c r="Q11" s="25">
        <f t="shared" si="0"/>
        <v>87.5</v>
      </c>
      <c r="R11" s="25">
        <f t="shared" si="1"/>
        <v>66.5</v>
      </c>
      <c r="S11" s="37"/>
      <c r="X11" s="25"/>
      <c r="Y11" s="25"/>
      <c r="Z11" s="25"/>
    </row>
    <row r="12" spans="1:30" x14ac:dyDescent="0.3">
      <c r="A12" s="38">
        <v>43807</v>
      </c>
      <c r="B12" s="125"/>
      <c r="C12" s="158"/>
      <c r="D12" s="75"/>
      <c r="E12" s="75"/>
      <c r="F12" s="75"/>
      <c r="G12" s="75"/>
      <c r="H12" s="158"/>
      <c r="I12" s="158"/>
      <c r="J12" s="75"/>
      <c r="K12" s="75"/>
      <c r="L12" s="75"/>
      <c r="M12" s="75"/>
      <c r="N12" s="158"/>
      <c r="O12" s="158"/>
      <c r="P12" s="125"/>
      <c r="Q12" s="25">
        <f t="shared" si="0"/>
        <v>87.5</v>
      </c>
      <c r="R12" s="25">
        <f t="shared" si="1"/>
        <v>66.5</v>
      </c>
      <c r="S12" s="37"/>
      <c r="X12" s="25"/>
      <c r="Y12" s="25"/>
      <c r="Z12" s="25"/>
    </row>
    <row r="13" spans="1:30" x14ac:dyDescent="0.3">
      <c r="A13" s="38">
        <v>43808</v>
      </c>
      <c r="B13" s="183">
        <v>7</v>
      </c>
      <c r="C13" s="163">
        <v>8</v>
      </c>
      <c r="D13" s="152"/>
      <c r="E13" s="152"/>
      <c r="F13" s="31">
        <v>6.5</v>
      </c>
      <c r="G13" s="152"/>
      <c r="H13" s="160"/>
      <c r="I13" s="160"/>
      <c r="J13" s="31">
        <v>8</v>
      </c>
      <c r="K13" s="152"/>
      <c r="L13" s="152"/>
      <c r="M13" s="152"/>
      <c r="N13" s="160"/>
      <c r="O13" s="160"/>
      <c r="P13" s="151"/>
      <c r="Q13" s="25">
        <f t="shared" si="0"/>
        <v>117</v>
      </c>
      <c r="R13" s="25">
        <f t="shared" si="1"/>
        <v>89</v>
      </c>
      <c r="S13" s="37"/>
      <c r="X13" s="25"/>
      <c r="Y13" s="25"/>
      <c r="Z13" s="25"/>
    </row>
    <row r="14" spans="1:30" ht="16.2" customHeight="1" thickBot="1" x14ac:dyDescent="0.35">
      <c r="A14" s="38">
        <v>43809</v>
      </c>
      <c r="B14" s="183">
        <v>7</v>
      </c>
      <c r="C14" s="163">
        <v>7</v>
      </c>
      <c r="D14" s="152"/>
      <c r="E14" s="152"/>
      <c r="F14" s="31">
        <v>7</v>
      </c>
      <c r="G14" s="156"/>
      <c r="H14" s="160"/>
      <c r="I14" s="160"/>
      <c r="J14" s="31">
        <v>7</v>
      </c>
      <c r="K14" s="152"/>
      <c r="L14" s="152"/>
      <c r="M14" s="152"/>
      <c r="N14" s="160"/>
      <c r="O14" s="162"/>
      <c r="P14" s="127"/>
      <c r="Q14" s="25">
        <f t="shared" si="0"/>
        <v>145</v>
      </c>
      <c r="R14" s="25">
        <f t="shared" si="1"/>
        <v>110</v>
      </c>
      <c r="T14" s="108" t="s">
        <v>82</v>
      </c>
      <c r="U14" s="108"/>
      <c r="V14" s="108"/>
      <c r="W14" s="108"/>
      <c r="X14" s="108"/>
      <c r="Y14" s="108"/>
      <c r="Z14" s="25"/>
    </row>
    <row r="15" spans="1:30" ht="16.2" customHeight="1" thickBot="1" x14ac:dyDescent="0.35">
      <c r="A15" s="38">
        <v>43810</v>
      </c>
      <c r="B15" s="183">
        <v>7</v>
      </c>
      <c r="C15" s="163">
        <v>7</v>
      </c>
      <c r="D15" s="152"/>
      <c r="E15" s="152"/>
      <c r="F15" s="152"/>
      <c r="G15" s="156"/>
      <c r="H15" s="160"/>
      <c r="I15" s="160"/>
      <c r="J15" s="31">
        <v>7</v>
      </c>
      <c r="K15" s="152"/>
      <c r="L15" s="152"/>
      <c r="M15" s="152"/>
      <c r="N15" s="160"/>
      <c r="O15" s="162"/>
      <c r="P15" s="127"/>
      <c r="Q15" s="25">
        <f t="shared" si="0"/>
        <v>166</v>
      </c>
      <c r="R15" s="25">
        <f t="shared" si="1"/>
        <v>124</v>
      </c>
      <c r="T15" s="59"/>
      <c r="U15" s="67" t="s">
        <v>94</v>
      </c>
      <c r="V15" s="67" t="s">
        <v>68</v>
      </c>
      <c r="W15" s="67" t="s">
        <v>67</v>
      </c>
      <c r="X15" s="80" t="s">
        <v>21</v>
      </c>
      <c r="Y15" s="25" t="s">
        <v>59</v>
      </c>
      <c r="Z15" s="75" t="s">
        <v>22</v>
      </c>
      <c r="AC15" s="39" t="s">
        <v>95</v>
      </c>
      <c r="AD15" s="25" t="s">
        <v>59</v>
      </c>
    </row>
    <row r="16" spans="1:30" ht="16.2" customHeight="1" x14ac:dyDescent="0.3">
      <c r="A16" s="38">
        <v>43811</v>
      </c>
      <c r="B16" s="183">
        <v>7</v>
      </c>
      <c r="C16" s="163">
        <v>7</v>
      </c>
      <c r="D16" s="152"/>
      <c r="E16" s="152"/>
      <c r="F16" s="152"/>
      <c r="G16" s="152"/>
      <c r="H16" s="160"/>
      <c r="I16" s="160"/>
      <c r="J16" s="31">
        <v>7</v>
      </c>
      <c r="K16" s="152"/>
      <c r="L16" s="152"/>
      <c r="M16" s="152"/>
      <c r="N16" s="160"/>
      <c r="O16" s="162"/>
      <c r="P16" s="127"/>
      <c r="Q16" s="25">
        <f t="shared" si="0"/>
        <v>187</v>
      </c>
      <c r="R16" s="25">
        <f t="shared" si="1"/>
        <v>138</v>
      </c>
      <c r="T16" s="59" t="s">
        <v>8</v>
      </c>
      <c r="U16" s="67">
        <f t="shared" ref="U16:U23" ca="1" si="2">AC16</f>
        <v>18</v>
      </c>
      <c r="V16" s="87" t="e">
        <f>#REF!/1000</f>
        <v>#REF!</v>
      </c>
      <c r="W16" s="87" t="e">
        <f>#REF!/1000</f>
        <v>#REF!</v>
      </c>
      <c r="X16" s="60" t="e">
        <f ca="1">W16/U16</f>
        <v>#REF!</v>
      </c>
      <c r="Y16" s="116" t="e">
        <f>V16/GETPIVOTDATA(" nb fag / h",TCD!$A$1,"Vigne","CRVI")</f>
        <v>#REF!</v>
      </c>
      <c r="Z16" s="119" t="e">
        <f ca="1">+W16/U16*7</f>
        <v>#REF!</v>
      </c>
      <c r="AB16" s="28" t="s">
        <v>8</v>
      </c>
      <c r="AC16" s="25">
        <f ca="1">[1]!somme_si_couleur(B7:P44,16777215)</f>
        <v>18</v>
      </c>
      <c r="AD16" s="116" t="e">
        <f t="shared" ref="AD16:AD23" si="3">Y16</f>
        <v>#REF!</v>
      </c>
    </row>
    <row r="17" spans="1:31" ht="16.2" customHeight="1" x14ac:dyDescent="0.3">
      <c r="A17" s="38">
        <v>43812</v>
      </c>
      <c r="B17" s="151"/>
      <c r="C17" s="163">
        <v>7</v>
      </c>
      <c r="D17" s="152"/>
      <c r="E17" s="152"/>
      <c r="F17" s="152"/>
      <c r="G17" s="152"/>
      <c r="H17" s="160"/>
      <c r="I17" s="160"/>
      <c r="J17" s="152"/>
      <c r="K17" s="155"/>
      <c r="L17" s="152"/>
      <c r="M17" s="152"/>
      <c r="N17" s="160"/>
      <c r="O17" s="162"/>
      <c r="P17" s="127"/>
      <c r="Q17" s="25">
        <f t="shared" si="0"/>
        <v>194</v>
      </c>
      <c r="R17" s="25">
        <f t="shared" si="1"/>
        <v>145</v>
      </c>
      <c r="T17" s="61" t="s">
        <v>9</v>
      </c>
      <c r="V17" s="88"/>
      <c r="W17" s="88"/>
      <c r="X17" s="121"/>
      <c r="Y17" s="116"/>
      <c r="Z17" s="122" t="e">
        <f>+V17/U17*7</f>
        <v>#DIV/0!</v>
      </c>
      <c r="AB17" s="29" t="s">
        <v>9</v>
      </c>
      <c r="AC17" s="25">
        <f ca="1">[1]!somme_si_couleur(B7:P44,10079487)</f>
        <v>0</v>
      </c>
      <c r="AD17" s="116">
        <f t="shared" si="3"/>
        <v>0</v>
      </c>
    </row>
    <row r="18" spans="1:31" ht="16.2" customHeight="1" x14ac:dyDescent="0.3">
      <c r="A18" s="38">
        <v>43813</v>
      </c>
      <c r="B18" s="75"/>
      <c r="C18" s="124"/>
      <c r="D18" s="75"/>
      <c r="E18" s="75"/>
      <c r="F18" s="75"/>
      <c r="G18" s="75"/>
      <c r="H18" s="75"/>
      <c r="I18" s="158"/>
      <c r="J18" s="158"/>
      <c r="K18" s="75"/>
      <c r="L18" s="75"/>
      <c r="M18" s="75"/>
      <c r="N18" s="158"/>
      <c r="O18" s="158"/>
      <c r="P18" s="125"/>
      <c r="Q18" s="25">
        <f t="shared" si="0"/>
        <v>194</v>
      </c>
      <c r="R18" s="25">
        <f t="shared" si="1"/>
        <v>145</v>
      </c>
      <c r="T18" s="61" t="s">
        <v>12</v>
      </c>
      <c r="U18" s="25">
        <f t="shared" ca="1" si="2"/>
        <v>0</v>
      </c>
      <c r="V18" s="88" t="e">
        <f>#REF!/1000</f>
        <v>#REF!</v>
      </c>
      <c r="W18" s="88" t="e">
        <f>#REF!/1000</f>
        <v>#REF!</v>
      </c>
      <c r="X18" s="62" t="e">
        <f t="shared" ref="X18:X23" ca="1" si="4">W18/U18</f>
        <v>#REF!</v>
      </c>
      <c r="Y18" s="116" t="e">
        <f>V18/GETPIVOTDATA(" nb fag / h",TCD!$A$1,"Vigne","Mondange")</f>
        <v>#REF!</v>
      </c>
      <c r="Z18" s="119" t="e">
        <f ca="1">+W18/U18*7</f>
        <v>#REF!</v>
      </c>
      <c r="AB18" s="32" t="s">
        <v>12</v>
      </c>
      <c r="AC18" s="25">
        <f ca="1">[1]!somme_si_couleur(B7:P44,16751052)</f>
        <v>0</v>
      </c>
      <c r="AD18" s="116" t="e">
        <f t="shared" si="3"/>
        <v>#REF!</v>
      </c>
      <c r="AE18" s="56"/>
    </row>
    <row r="19" spans="1:31" ht="16.2" customHeight="1" x14ac:dyDescent="0.3">
      <c r="A19" s="38">
        <v>43814</v>
      </c>
      <c r="B19" s="75"/>
      <c r="C19" s="124"/>
      <c r="D19" s="75"/>
      <c r="E19" s="75"/>
      <c r="F19" s="75"/>
      <c r="G19" s="75"/>
      <c r="H19" s="75"/>
      <c r="I19" s="158"/>
      <c r="J19" s="158"/>
      <c r="K19" s="75"/>
      <c r="L19" s="75"/>
      <c r="M19" s="75"/>
      <c r="N19" s="158"/>
      <c r="O19" s="158"/>
      <c r="P19" s="125"/>
      <c r="Q19" s="25">
        <f t="shared" si="0"/>
        <v>194</v>
      </c>
      <c r="R19" s="25">
        <f t="shared" si="1"/>
        <v>145</v>
      </c>
      <c r="T19" s="61" t="s">
        <v>13</v>
      </c>
      <c r="U19" s="25">
        <f t="shared" ca="1" si="2"/>
        <v>0</v>
      </c>
      <c r="V19" s="88" t="e">
        <f>#REF!/1000</f>
        <v>#REF!</v>
      </c>
      <c r="W19" s="88" t="e">
        <f>#REF!/1000</f>
        <v>#REF!</v>
      </c>
      <c r="X19" s="62" t="e">
        <f t="shared" ca="1" si="4"/>
        <v>#REF!</v>
      </c>
      <c r="Y19" s="116" t="e">
        <f>V19/GETPIVOTDATA(" nb fag / h",TCD!$A$1,"Vigne","JBDP")</f>
        <v>#REF!</v>
      </c>
      <c r="Z19" s="119" t="e">
        <f ca="1">+W19/U19*7</f>
        <v>#REF!</v>
      </c>
      <c r="AB19" s="33" t="s">
        <v>13</v>
      </c>
      <c r="AC19" s="25">
        <f ca="1">[1]!somme_si_couleur(B7:P44,13434828)</f>
        <v>0</v>
      </c>
      <c r="AD19" s="116" t="e">
        <f t="shared" si="3"/>
        <v>#REF!</v>
      </c>
      <c r="AE19" s="35"/>
    </row>
    <row r="20" spans="1:31" ht="16.2" customHeight="1" x14ac:dyDescent="0.3">
      <c r="A20" s="38">
        <v>43815</v>
      </c>
      <c r="B20" s="152">
        <v>4</v>
      </c>
      <c r="C20" s="153">
        <v>7</v>
      </c>
      <c r="D20" s="152"/>
      <c r="E20" s="152"/>
      <c r="F20" s="152"/>
      <c r="G20" s="152"/>
      <c r="H20" s="160"/>
      <c r="I20" s="160"/>
      <c r="J20" s="160"/>
      <c r="K20" s="152"/>
      <c r="L20" s="152"/>
      <c r="M20" s="152"/>
      <c r="N20" s="160"/>
      <c r="O20" s="160"/>
      <c r="P20" s="151"/>
      <c r="Q20" s="25">
        <f t="shared" si="0"/>
        <v>205</v>
      </c>
      <c r="R20" s="25">
        <f t="shared" si="1"/>
        <v>152</v>
      </c>
      <c r="T20" s="61" t="s">
        <v>57</v>
      </c>
      <c r="V20" s="88"/>
      <c r="W20" s="88"/>
      <c r="X20" s="121"/>
      <c r="Y20" s="116"/>
      <c r="Z20" s="122"/>
      <c r="AB20" s="30" t="s">
        <v>55</v>
      </c>
      <c r="AC20" s="25">
        <f ca="1">[1]!somme_si_couleur(B7:P44,10092543)</f>
        <v>0</v>
      </c>
      <c r="AD20" s="116">
        <f t="shared" si="3"/>
        <v>0</v>
      </c>
      <c r="AE20" s="35"/>
    </row>
    <row r="21" spans="1:31" ht="16.2" customHeight="1" x14ac:dyDescent="0.3">
      <c r="A21" s="38">
        <v>43816</v>
      </c>
      <c r="C21" s="153">
        <v>7</v>
      </c>
      <c r="D21" s="152"/>
      <c r="E21" s="152"/>
      <c r="F21" s="152"/>
      <c r="G21" s="157"/>
      <c r="H21" s="160"/>
      <c r="I21" s="160"/>
      <c r="J21" s="152"/>
      <c r="K21" s="152"/>
      <c r="L21" s="152"/>
      <c r="M21" s="152"/>
      <c r="N21" s="162"/>
      <c r="O21" s="162"/>
      <c r="P21" s="127"/>
      <c r="Q21" s="25">
        <f t="shared" si="0"/>
        <v>212</v>
      </c>
      <c r="R21" s="25">
        <f t="shared" si="1"/>
        <v>159</v>
      </c>
      <c r="T21" s="61" t="s">
        <v>14</v>
      </c>
      <c r="U21" s="25">
        <f t="shared" ca="1" si="2"/>
        <v>0</v>
      </c>
      <c r="V21" s="88" t="e">
        <f>#REF!/1000</f>
        <v>#REF!</v>
      </c>
      <c r="W21" s="88" t="e">
        <f>#REF!/1000</f>
        <v>#REF!</v>
      </c>
      <c r="X21" s="62" t="e">
        <f t="shared" ca="1" si="4"/>
        <v>#REF!</v>
      </c>
      <c r="Y21" s="116" t="e">
        <f>V21/GETPIVOTDATA(" nb fag / h",TCD!$A$1,"Vigne","Suzzoni")</f>
        <v>#REF!</v>
      </c>
      <c r="Z21" s="119" t="e">
        <f ca="1">+W21/U21*7</f>
        <v>#REF!</v>
      </c>
      <c r="AB21" s="34" t="s">
        <v>14</v>
      </c>
      <c r="AC21" s="25">
        <f ca="1">[1]!somme_si_couleur(B7:P44,16764057)</f>
        <v>0</v>
      </c>
      <c r="AD21" s="116" t="e">
        <f t="shared" si="3"/>
        <v>#REF!</v>
      </c>
      <c r="AE21" s="35"/>
    </row>
    <row r="22" spans="1:31" ht="16.2" customHeight="1" x14ac:dyDescent="0.3">
      <c r="A22" s="146"/>
      <c r="B22" s="147"/>
      <c r="C22" s="148"/>
      <c r="D22" s="147"/>
      <c r="E22" s="147"/>
      <c r="F22" s="147"/>
      <c r="G22" s="149"/>
      <c r="H22" s="161"/>
      <c r="I22" s="161"/>
      <c r="J22" s="147"/>
      <c r="K22" s="147"/>
      <c r="L22" s="147"/>
      <c r="M22" s="147"/>
      <c r="N22" s="161"/>
      <c r="O22" s="161"/>
      <c r="P22" s="150"/>
      <c r="Q22" s="25">
        <f t="shared" si="0"/>
        <v>212</v>
      </c>
      <c r="R22" s="25">
        <f t="shared" si="1"/>
        <v>159</v>
      </c>
      <c r="T22" s="61" t="s">
        <v>11</v>
      </c>
      <c r="U22" s="25">
        <f t="shared" ca="1" si="2"/>
        <v>194</v>
      </c>
      <c r="V22" s="88" t="e">
        <f>#REF!/1000</f>
        <v>#REF!</v>
      </c>
      <c r="W22" s="88" t="e">
        <f>#REF!/1000</f>
        <v>#REF!</v>
      </c>
      <c r="X22" s="62" t="e">
        <f t="shared" ca="1" si="4"/>
        <v>#REF!</v>
      </c>
      <c r="Y22" s="185" t="e">
        <f ca="1">IF(V22/GETPIVOTDATA(" nb fag / h",TCD!$A$1,"Vigne","Renucci")&lt;AC22,AC22,V22/GETPIVOTDATA(" nb fag / h",TCD!$A$1,"Vigne","Renucci"))</f>
        <v>#REF!</v>
      </c>
      <c r="Z22" s="119" t="e">
        <f ca="1">+W22/U22*7</f>
        <v>#REF!</v>
      </c>
      <c r="AB22" s="31" t="s">
        <v>11</v>
      </c>
      <c r="AC22" s="25">
        <f ca="1">[1]!somme_si_couleur(B7:P44,16777164)</f>
        <v>194</v>
      </c>
      <c r="AD22" s="116" t="e">
        <f t="shared" ca="1" si="3"/>
        <v>#REF!</v>
      </c>
      <c r="AE22" s="35"/>
    </row>
    <row r="23" spans="1:31" ht="16.2" customHeight="1" thickBot="1" x14ac:dyDescent="0.35">
      <c r="A23" s="38">
        <v>43843</v>
      </c>
      <c r="B23" s="151"/>
      <c r="C23" s="186"/>
      <c r="D23" s="152"/>
      <c r="E23" s="152"/>
      <c r="F23" s="152"/>
      <c r="G23" s="157"/>
      <c r="H23" s="152"/>
      <c r="I23" s="160"/>
      <c r="J23" s="155"/>
      <c r="K23" s="152"/>
      <c r="L23" s="152"/>
      <c r="M23" s="152"/>
      <c r="N23" s="160"/>
      <c r="O23" s="162"/>
      <c r="P23" s="127"/>
      <c r="Q23" s="25">
        <f t="shared" si="0"/>
        <v>212</v>
      </c>
      <c r="R23" s="25">
        <f t="shared" si="1"/>
        <v>159</v>
      </c>
      <c r="T23" s="63" t="s">
        <v>58</v>
      </c>
      <c r="U23" s="64">
        <f t="shared" ca="1" si="2"/>
        <v>0</v>
      </c>
      <c r="V23" s="64" t="e">
        <f>#REF!/1000</f>
        <v>#REF!</v>
      </c>
      <c r="W23" s="64" t="e">
        <f>#REF!/1000</f>
        <v>#REF!</v>
      </c>
      <c r="X23" s="65" t="e">
        <f t="shared" ca="1" si="4"/>
        <v>#REF!</v>
      </c>
      <c r="Y23" s="116" t="e">
        <f>V23/GETPIVOTDATA(" nb fag / h",TCD!$A$1,"Vigne","Poli E")</f>
        <v>#REF!</v>
      </c>
      <c r="Z23" s="119" t="e">
        <f ca="1">+W23/U23*7</f>
        <v>#REF!</v>
      </c>
      <c r="AB23" s="110" t="s">
        <v>56</v>
      </c>
      <c r="AC23" s="25">
        <f ca="1">[1]!somme_si_couleur(B7:P44,14277081)</f>
        <v>0</v>
      </c>
      <c r="AD23" s="116" t="e">
        <f t="shared" si="3"/>
        <v>#REF!</v>
      </c>
    </row>
    <row r="24" spans="1:31" ht="16.2" customHeight="1" thickBot="1" x14ac:dyDescent="0.35">
      <c r="A24" s="38">
        <v>43844</v>
      </c>
      <c r="B24" s="151"/>
      <c r="C24" s="186"/>
      <c r="D24" s="152"/>
      <c r="E24" s="152"/>
      <c r="F24" s="152"/>
      <c r="G24" s="157"/>
      <c r="H24" s="160"/>
      <c r="I24" s="160"/>
      <c r="J24" s="152"/>
      <c r="K24" s="152"/>
      <c r="L24" s="152"/>
      <c r="M24" s="152"/>
      <c r="N24" s="160"/>
      <c r="O24" s="162"/>
      <c r="P24" s="127"/>
      <c r="Q24" s="25">
        <f t="shared" si="0"/>
        <v>212</v>
      </c>
      <c r="R24" s="25">
        <f t="shared" si="1"/>
        <v>159</v>
      </c>
      <c r="T24" s="174" t="s">
        <v>48</v>
      </c>
      <c r="U24" s="175">
        <f ca="1">SUM(U16:U23)</f>
        <v>212</v>
      </c>
      <c r="V24" s="175" t="e">
        <f>SUM(V16:V23)</f>
        <v>#REF!</v>
      </c>
      <c r="W24" s="175" t="e">
        <f>SUM(W16:W23)</f>
        <v>#REF!</v>
      </c>
      <c r="X24" s="176" t="e">
        <f ca="1">+W24/U24</f>
        <v>#REF!</v>
      </c>
      <c r="Y24" s="177" t="e">
        <f>SUM(Y16:Y23)</f>
        <v>#REF!</v>
      </c>
      <c r="Z24" s="120" t="e">
        <f ca="1">+W24/U24*7</f>
        <v>#REF!</v>
      </c>
      <c r="AB24" s="68" t="s">
        <v>44</v>
      </c>
      <c r="AC24" s="69">
        <f ca="1">SUM(AC16:AC23)</f>
        <v>212</v>
      </c>
      <c r="AD24" s="118" t="e">
        <f>SUM(AD16:AD23)</f>
        <v>#REF!</v>
      </c>
    </row>
    <row r="25" spans="1:31" ht="16.2" customHeight="1" x14ac:dyDescent="0.3">
      <c r="A25" s="38">
        <v>43845</v>
      </c>
      <c r="B25" s="151"/>
      <c r="C25" s="186"/>
      <c r="D25" s="152"/>
      <c r="E25" s="152"/>
      <c r="F25" s="152"/>
      <c r="G25" s="157"/>
      <c r="H25" s="152"/>
      <c r="I25" s="160"/>
      <c r="J25" s="152"/>
      <c r="K25" s="152"/>
      <c r="L25" s="152"/>
      <c r="M25" s="152"/>
      <c r="N25" s="160"/>
      <c r="O25" s="162"/>
      <c r="P25" s="127"/>
      <c r="Q25" s="25">
        <f t="shared" si="0"/>
        <v>212</v>
      </c>
      <c r="R25" s="25">
        <f t="shared" si="1"/>
        <v>159</v>
      </c>
      <c r="T25" s="83" t="s">
        <v>28</v>
      </c>
      <c r="U25" s="41">
        <f ca="1">AC24</f>
        <v>212</v>
      </c>
      <c r="V25" s="41"/>
      <c r="W25" s="41"/>
      <c r="X25" s="84"/>
      <c r="Z25" s="25"/>
      <c r="AB25" s="77" t="s">
        <v>42</v>
      </c>
      <c r="AC25" s="25">
        <f ca="1">[1]!somme_si_couleur(B7:P48,65280)</f>
        <v>0</v>
      </c>
      <c r="AD25" s="25">
        <v>36</v>
      </c>
    </row>
    <row r="26" spans="1:31" ht="16.2" customHeight="1" thickBot="1" x14ac:dyDescent="0.35">
      <c r="A26" s="38">
        <v>43846</v>
      </c>
      <c r="B26" s="151"/>
      <c r="C26" s="186"/>
      <c r="D26" s="152"/>
      <c r="E26" s="152"/>
      <c r="F26" s="152"/>
      <c r="G26" s="152"/>
      <c r="H26" s="152"/>
      <c r="I26" s="160"/>
      <c r="J26" s="152"/>
      <c r="K26" s="152"/>
      <c r="L26" s="152"/>
      <c r="M26" s="152"/>
      <c r="N26" s="160"/>
      <c r="O26" s="160"/>
      <c r="P26" s="151"/>
      <c r="Q26" s="25">
        <f t="shared" si="0"/>
        <v>212</v>
      </c>
      <c r="R26" s="25">
        <f t="shared" si="1"/>
        <v>159</v>
      </c>
      <c r="T26" s="63" t="s">
        <v>29</v>
      </c>
      <c r="U26" s="64">
        <f ca="1">AC25</f>
        <v>0</v>
      </c>
      <c r="V26" s="64"/>
      <c r="W26" s="64"/>
      <c r="X26" s="85"/>
      <c r="Y26" s="25"/>
      <c r="Z26" s="25"/>
      <c r="AB26" s="76" t="s">
        <v>43</v>
      </c>
      <c r="AC26" s="25">
        <f ca="1">[1]!somme_si_couleur(B7:P48,13408767)</f>
        <v>0</v>
      </c>
      <c r="AD26" s="25">
        <v>0</v>
      </c>
    </row>
    <row r="27" spans="1:31" ht="16.2" customHeight="1" thickBot="1" x14ac:dyDescent="0.35">
      <c r="A27" s="38">
        <v>43847</v>
      </c>
      <c r="B27" s="151"/>
      <c r="C27" s="186"/>
      <c r="D27" s="152"/>
      <c r="E27" s="152"/>
      <c r="F27" s="152"/>
      <c r="G27" s="152"/>
      <c r="H27" s="152"/>
      <c r="I27" s="160"/>
      <c r="J27" s="152"/>
      <c r="K27" s="152"/>
      <c r="L27" s="152"/>
      <c r="M27" s="152"/>
      <c r="N27" s="160"/>
      <c r="O27" s="160"/>
      <c r="P27" s="151"/>
      <c r="Q27" s="25">
        <f t="shared" si="0"/>
        <v>212</v>
      </c>
      <c r="R27" s="25">
        <f t="shared" si="1"/>
        <v>159</v>
      </c>
      <c r="T27" s="25" t="s">
        <v>30</v>
      </c>
      <c r="U27" s="25">
        <f ca="1">+U24+U25+U26</f>
        <v>424</v>
      </c>
      <c r="X27" s="25" t="e">
        <f>+W24/SUM(B7:N22)</f>
        <v>#REF!</v>
      </c>
      <c r="Y27" s="25"/>
      <c r="Z27" s="25"/>
    </row>
    <row r="28" spans="1:31" ht="16.2" customHeight="1" thickBot="1" x14ac:dyDescent="0.35">
      <c r="A28" s="38">
        <v>43848</v>
      </c>
      <c r="B28" s="125"/>
      <c r="C28" s="158"/>
      <c r="D28" s="75"/>
      <c r="E28" s="75"/>
      <c r="F28" s="75"/>
      <c r="G28" s="75"/>
      <c r="H28" s="75"/>
      <c r="I28" s="158"/>
      <c r="J28" s="75"/>
      <c r="K28" s="75"/>
      <c r="L28" s="75"/>
      <c r="M28" s="75"/>
      <c r="N28" s="158"/>
      <c r="O28" s="158"/>
      <c r="P28" s="125"/>
      <c r="Q28" s="25">
        <f t="shared" si="0"/>
        <v>212</v>
      </c>
      <c r="R28" s="25">
        <f t="shared" si="1"/>
        <v>159</v>
      </c>
      <c r="T28" s="25" t="s">
        <v>45</v>
      </c>
      <c r="U28" s="25">
        <v>15</v>
      </c>
      <c r="V28" s="88" t="e">
        <f>#REF!/1000</f>
        <v>#REF!</v>
      </c>
      <c r="W28" s="88" t="e">
        <f>#REF!/1000</f>
        <v>#REF!</v>
      </c>
      <c r="AB28" s="68" t="s">
        <v>44</v>
      </c>
      <c r="AC28" s="69">
        <f ca="1">SUM(AC24:AC26)</f>
        <v>212</v>
      </c>
      <c r="AD28" s="118" t="e">
        <f>SUM(AD24:AD26)</f>
        <v>#REF!</v>
      </c>
    </row>
    <row r="29" spans="1:31" ht="16.2" customHeight="1" x14ac:dyDescent="0.3">
      <c r="A29" s="38">
        <v>43849</v>
      </c>
      <c r="B29" s="125"/>
      <c r="C29" s="158"/>
      <c r="D29" s="75"/>
      <c r="E29" s="75"/>
      <c r="F29" s="75"/>
      <c r="G29" s="75"/>
      <c r="H29" s="75"/>
      <c r="I29" s="158"/>
      <c r="J29" s="75"/>
      <c r="K29" s="75"/>
      <c r="L29" s="75"/>
      <c r="M29" s="75"/>
      <c r="N29" s="158"/>
      <c r="O29" s="158"/>
      <c r="P29" s="125"/>
      <c r="Q29" s="25">
        <f t="shared" si="0"/>
        <v>212</v>
      </c>
      <c r="R29" s="25">
        <f t="shared" si="1"/>
        <v>159</v>
      </c>
    </row>
    <row r="30" spans="1:31" ht="16.2" customHeight="1" x14ac:dyDescent="0.35">
      <c r="A30" s="38">
        <v>43850</v>
      </c>
      <c r="B30" s="151"/>
      <c r="C30" s="186"/>
      <c r="D30" s="152"/>
      <c r="E30" s="155"/>
      <c r="F30" s="152"/>
      <c r="G30" s="152"/>
      <c r="H30" s="152"/>
      <c r="I30" s="160"/>
      <c r="J30" s="152"/>
      <c r="K30" s="152"/>
      <c r="L30" s="152"/>
      <c r="M30" s="152"/>
      <c r="N30" s="160"/>
      <c r="O30" s="162"/>
      <c r="P30" s="127"/>
      <c r="Q30" s="25">
        <f t="shared" si="0"/>
        <v>212</v>
      </c>
      <c r="R30" s="25">
        <f t="shared" si="1"/>
        <v>159</v>
      </c>
      <c r="T30" s="101" t="s">
        <v>47</v>
      </c>
      <c r="U30" s="101"/>
      <c r="V30" s="102" t="e">
        <f>+V24+V28+V29</f>
        <v>#REF!</v>
      </c>
      <c r="W30" s="102"/>
    </row>
    <row r="31" spans="1:31" ht="16.2" customHeight="1" x14ac:dyDescent="0.3">
      <c r="A31" s="38">
        <v>43851</v>
      </c>
      <c r="B31" s="151"/>
      <c r="C31" s="186"/>
      <c r="D31" s="152"/>
      <c r="E31" s="152"/>
      <c r="F31" s="152"/>
      <c r="G31" s="152"/>
      <c r="H31" s="152"/>
      <c r="I31" s="160"/>
      <c r="J31" s="152"/>
      <c r="K31" s="152"/>
      <c r="L31" s="152"/>
      <c r="M31" s="152"/>
      <c r="N31" s="160"/>
      <c r="O31" s="162"/>
      <c r="P31" s="127"/>
      <c r="Q31" s="25">
        <f t="shared" si="0"/>
        <v>212</v>
      </c>
      <c r="R31" s="25">
        <f t="shared" si="1"/>
        <v>159</v>
      </c>
    </row>
    <row r="32" spans="1:31" ht="16.2" customHeight="1" x14ac:dyDescent="0.3">
      <c r="A32" s="38">
        <v>43852</v>
      </c>
      <c r="B32" s="151"/>
      <c r="C32" s="186"/>
      <c r="D32" s="152"/>
      <c r="E32" s="155"/>
      <c r="F32" s="152"/>
      <c r="G32" s="152"/>
      <c r="H32" s="152"/>
      <c r="I32" s="160"/>
      <c r="J32" s="152"/>
      <c r="K32" s="152"/>
      <c r="L32" s="152"/>
      <c r="M32" s="152"/>
      <c r="N32" s="160"/>
      <c r="O32" s="162"/>
      <c r="P32" s="127"/>
      <c r="Q32" s="25">
        <f t="shared" si="0"/>
        <v>212</v>
      </c>
      <c r="R32" s="25">
        <f t="shared" si="1"/>
        <v>159</v>
      </c>
      <c r="X32" s="25"/>
      <c r="Y32" s="25"/>
      <c r="Z32" s="25"/>
    </row>
    <row r="33" spans="1:26" ht="16.2" customHeight="1" x14ac:dyDescent="0.3">
      <c r="A33" s="38">
        <v>43853</v>
      </c>
      <c r="B33" s="151"/>
      <c r="C33" s="186"/>
      <c r="D33" s="152"/>
      <c r="E33" s="152"/>
      <c r="F33" s="152"/>
      <c r="G33" s="152"/>
      <c r="H33" s="152"/>
      <c r="I33" s="160"/>
      <c r="J33" s="152"/>
      <c r="K33" s="152"/>
      <c r="L33" s="152"/>
      <c r="M33" s="152"/>
      <c r="N33" s="160"/>
      <c r="O33" s="160"/>
      <c r="P33" s="151"/>
      <c r="Q33" s="25">
        <f t="shared" si="0"/>
        <v>212</v>
      </c>
      <c r="R33" s="25">
        <f t="shared" si="1"/>
        <v>159</v>
      </c>
      <c r="X33" s="25"/>
      <c r="Y33" s="25"/>
      <c r="Z33" s="25"/>
    </row>
    <row r="34" spans="1:26" ht="16.2" customHeight="1" x14ac:dyDescent="0.3">
      <c r="A34" s="38">
        <v>43854</v>
      </c>
      <c r="B34" s="151"/>
      <c r="C34" s="186"/>
      <c r="D34" s="152"/>
      <c r="E34" s="152"/>
      <c r="F34" s="152"/>
      <c r="G34" s="152"/>
      <c r="H34" s="152"/>
      <c r="I34" s="160"/>
      <c r="J34" s="152"/>
      <c r="K34" s="152"/>
      <c r="L34" s="152"/>
      <c r="M34" s="152"/>
      <c r="N34" s="160"/>
      <c r="O34" s="160"/>
      <c r="P34" s="151"/>
      <c r="Q34" s="25">
        <f t="shared" si="0"/>
        <v>212</v>
      </c>
      <c r="R34" s="25">
        <f t="shared" si="1"/>
        <v>159</v>
      </c>
      <c r="X34" s="25"/>
      <c r="Y34" s="25"/>
      <c r="Z34" s="25"/>
    </row>
    <row r="35" spans="1:26" ht="16.2" customHeight="1" x14ac:dyDescent="0.3">
      <c r="A35" s="38">
        <v>43855</v>
      </c>
      <c r="B35" s="125"/>
      <c r="C35" s="158"/>
      <c r="D35" s="75"/>
      <c r="E35" s="75"/>
      <c r="F35" s="75"/>
      <c r="G35" s="75"/>
      <c r="H35" s="75"/>
      <c r="I35" s="158"/>
      <c r="J35" s="75"/>
      <c r="K35" s="75"/>
      <c r="L35" s="75"/>
      <c r="M35" s="75"/>
      <c r="N35" s="158"/>
      <c r="O35" s="158"/>
      <c r="P35" s="125"/>
      <c r="Q35" s="25">
        <f t="shared" si="0"/>
        <v>212</v>
      </c>
      <c r="R35" s="25">
        <f t="shared" si="1"/>
        <v>159</v>
      </c>
      <c r="X35" s="25"/>
      <c r="Y35" s="25"/>
      <c r="Z35" s="25"/>
    </row>
    <row r="36" spans="1:26" ht="16.2" customHeight="1" x14ac:dyDescent="0.3">
      <c r="A36" s="38">
        <v>43856</v>
      </c>
      <c r="B36" s="125"/>
      <c r="C36" s="158"/>
      <c r="D36" s="75"/>
      <c r="E36" s="75"/>
      <c r="F36" s="75"/>
      <c r="G36" s="75"/>
      <c r="H36" s="75"/>
      <c r="I36" s="158"/>
      <c r="J36" s="75"/>
      <c r="K36" s="75"/>
      <c r="L36" s="75"/>
      <c r="M36" s="75"/>
      <c r="N36" s="158"/>
      <c r="O36" s="158"/>
      <c r="P36" s="125"/>
      <c r="Q36" s="25">
        <f t="shared" si="0"/>
        <v>212</v>
      </c>
      <c r="R36" s="25">
        <f t="shared" si="1"/>
        <v>159</v>
      </c>
      <c r="X36" s="25"/>
      <c r="Y36" s="25"/>
      <c r="Z36" s="25"/>
    </row>
    <row r="37" spans="1:26" ht="16.2" customHeight="1" x14ac:dyDescent="0.3">
      <c r="A37" s="38">
        <v>43857</v>
      </c>
      <c r="B37" s="151"/>
      <c r="C37" s="186"/>
      <c r="D37" s="152"/>
      <c r="E37" s="152"/>
      <c r="F37" s="152"/>
      <c r="G37" s="152"/>
      <c r="H37" s="152"/>
      <c r="I37" s="160"/>
      <c r="J37" s="152"/>
      <c r="K37" s="152"/>
      <c r="L37" s="152"/>
      <c r="M37" s="152"/>
      <c r="N37" s="160"/>
      <c r="P37" s="127"/>
      <c r="Q37" s="25">
        <f t="shared" si="0"/>
        <v>212</v>
      </c>
      <c r="R37" s="25">
        <f t="shared" si="1"/>
        <v>159</v>
      </c>
      <c r="X37" s="25"/>
      <c r="Y37" s="25"/>
      <c r="Z37" s="25"/>
    </row>
    <row r="38" spans="1:26" ht="16.2" customHeight="1" x14ac:dyDescent="0.3">
      <c r="A38" s="38">
        <v>43858</v>
      </c>
      <c r="B38" s="151"/>
      <c r="C38" s="186"/>
      <c r="D38" s="152"/>
      <c r="E38" s="152"/>
      <c r="F38" s="152"/>
      <c r="G38" s="152"/>
      <c r="H38" s="152"/>
      <c r="I38" s="160"/>
      <c r="J38" s="152"/>
      <c r="K38" s="152"/>
      <c r="L38" s="152"/>
      <c r="M38" s="152"/>
      <c r="N38" s="160"/>
      <c r="P38" s="127"/>
      <c r="Q38" s="25">
        <f t="shared" si="0"/>
        <v>212</v>
      </c>
      <c r="R38" s="25">
        <f t="shared" si="1"/>
        <v>159</v>
      </c>
      <c r="X38" s="25"/>
      <c r="Y38" s="25"/>
      <c r="Z38" s="25"/>
    </row>
    <row r="39" spans="1:26" ht="16.2" customHeight="1" x14ac:dyDescent="0.3">
      <c r="A39" s="38">
        <v>43859</v>
      </c>
      <c r="B39" s="127"/>
      <c r="C39" s="186"/>
      <c r="H39" s="162"/>
      <c r="I39" s="162"/>
      <c r="N39" s="162"/>
      <c r="P39" s="127"/>
      <c r="Q39" s="25">
        <f t="shared" si="0"/>
        <v>212</v>
      </c>
      <c r="R39" s="25">
        <f t="shared" si="1"/>
        <v>159</v>
      </c>
      <c r="X39" s="25"/>
      <c r="Y39" s="25"/>
      <c r="Z39" s="25"/>
    </row>
    <row r="40" spans="1:26" ht="16.2" customHeight="1" x14ac:dyDescent="0.3">
      <c r="A40" s="38">
        <v>43860</v>
      </c>
      <c r="B40" s="151"/>
      <c r="C40" s="186"/>
      <c r="D40" s="152"/>
      <c r="E40" s="152"/>
      <c r="F40" s="152"/>
      <c r="G40" s="152"/>
      <c r="H40" s="160"/>
      <c r="I40" s="160"/>
      <c r="J40" s="152"/>
      <c r="K40" s="152"/>
      <c r="L40" s="152"/>
      <c r="M40" s="152"/>
      <c r="N40" s="160"/>
      <c r="O40" s="152"/>
      <c r="P40" s="151"/>
      <c r="Q40" s="25">
        <f t="shared" ref="Q40:Q59" si="5">SUM(B40:P40)+Q39</f>
        <v>212</v>
      </c>
      <c r="R40" s="25">
        <f t="shared" ref="R40:R59" si="6">SUM(C40:P40)+R39</f>
        <v>159</v>
      </c>
      <c r="X40" s="25"/>
      <c r="Y40" s="25"/>
      <c r="Z40" s="25"/>
    </row>
    <row r="41" spans="1:26" ht="21.6" customHeight="1" x14ac:dyDescent="0.3">
      <c r="A41" s="38">
        <v>43861</v>
      </c>
      <c r="B41" s="151"/>
      <c r="C41" s="186"/>
      <c r="D41" s="152"/>
      <c r="E41" s="152"/>
      <c r="F41" s="152"/>
      <c r="G41" s="152"/>
      <c r="H41" s="160"/>
      <c r="I41" s="160"/>
      <c r="J41" s="152"/>
      <c r="K41" s="152"/>
      <c r="L41" s="152"/>
      <c r="M41" s="152"/>
      <c r="N41" s="160"/>
      <c r="O41" s="152"/>
      <c r="P41" s="151"/>
      <c r="Q41" s="25">
        <f t="shared" si="5"/>
        <v>212</v>
      </c>
      <c r="R41" s="25">
        <f t="shared" si="6"/>
        <v>159</v>
      </c>
      <c r="X41" s="25"/>
      <c r="Y41" s="25"/>
      <c r="Z41" s="25"/>
    </row>
    <row r="42" spans="1:26" ht="16.2" customHeight="1" x14ac:dyDescent="0.3">
      <c r="A42" s="38">
        <v>43862</v>
      </c>
      <c r="B42" s="75"/>
      <c r="C42" s="124"/>
      <c r="D42" s="75"/>
      <c r="E42" s="75"/>
      <c r="F42" s="75"/>
      <c r="G42" s="75"/>
      <c r="H42" s="75"/>
      <c r="I42" s="158"/>
      <c r="J42" s="75"/>
      <c r="K42" s="75"/>
      <c r="L42" s="75"/>
      <c r="M42" s="75"/>
      <c r="N42" s="158"/>
      <c r="O42" s="158"/>
      <c r="P42" s="125"/>
      <c r="Q42" s="25">
        <f t="shared" si="5"/>
        <v>212</v>
      </c>
      <c r="R42" s="25">
        <f t="shared" si="6"/>
        <v>159</v>
      </c>
      <c r="X42" s="25"/>
      <c r="Y42" s="25"/>
      <c r="Z42" s="25"/>
    </row>
    <row r="43" spans="1:26" ht="16.2" customHeight="1" x14ac:dyDescent="0.3">
      <c r="A43" s="38">
        <v>43863</v>
      </c>
      <c r="B43" s="75"/>
      <c r="C43" s="124"/>
      <c r="D43" s="75"/>
      <c r="E43" s="75"/>
      <c r="F43" s="75"/>
      <c r="G43" s="75"/>
      <c r="H43" s="75"/>
      <c r="I43" s="158"/>
      <c r="J43" s="75"/>
      <c r="K43" s="75"/>
      <c r="L43" s="75"/>
      <c r="M43" s="75"/>
      <c r="N43" s="158"/>
      <c r="O43" s="158"/>
      <c r="P43" s="125"/>
      <c r="Q43" s="25">
        <f t="shared" si="5"/>
        <v>212</v>
      </c>
      <c r="R43" s="25">
        <f t="shared" si="6"/>
        <v>159</v>
      </c>
      <c r="X43" s="25"/>
      <c r="Y43" s="25"/>
      <c r="Z43" s="25"/>
    </row>
    <row r="44" spans="1:26" ht="16.2" customHeight="1" x14ac:dyDescent="0.3">
      <c r="A44" s="38">
        <v>43864</v>
      </c>
      <c r="B44" s="127"/>
      <c r="C44" s="186"/>
      <c r="H44" s="162"/>
      <c r="I44" s="162"/>
      <c r="N44" s="162"/>
      <c r="P44" s="127"/>
      <c r="Q44" s="25">
        <f t="shared" si="5"/>
        <v>212</v>
      </c>
      <c r="R44" s="25">
        <f t="shared" si="6"/>
        <v>159</v>
      </c>
      <c r="X44" s="25"/>
      <c r="Y44" s="25"/>
      <c r="Z44" s="25"/>
    </row>
    <row r="45" spans="1:26" ht="16.2" customHeight="1" x14ac:dyDescent="0.3">
      <c r="A45" s="38">
        <v>43865</v>
      </c>
      <c r="B45" s="127"/>
      <c r="C45" s="186"/>
      <c r="H45" s="162"/>
      <c r="I45" s="162"/>
      <c r="N45" s="162"/>
      <c r="P45" s="127"/>
      <c r="Q45" s="25">
        <f t="shared" si="5"/>
        <v>212</v>
      </c>
      <c r="R45" s="25">
        <f t="shared" si="6"/>
        <v>159</v>
      </c>
      <c r="X45" s="25"/>
      <c r="Y45" s="25"/>
      <c r="Z45" s="25"/>
    </row>
    <row r="46" spans="1:26" ht="16.2" customHeight="1" x14ac:dyDescent="0.3">
      <c r="A46" s="38">
        <v>43866</v>
      </c>
      <c r="B46" s="127"/>
      <c r="C46" s="186"/>
      <c r="H46" s="162"/>
      <c r="I46" s="162"/>
      <c r="N46" s="162"/>
      <c r="P46" s="127"/>
      <c r="Q46" s="25">
        <f t="shared" si="5"/>
        <v>212</v>
      </c>
      <c r="R46" s="25">
        <f t="shared" si="6"/>
        <v>159</v>
      </c>
      <c r="X46" s="25"/>
      <c r="Y46" s="25"/>
      <c r="Z46" s="25"/>
    </row>
    <row r="47" spans="1:26" ht="16.2" customHeight="1" x14ac:dyDescent="0.3">
      <c r="A47" s="38">
        <v>43867</v>
      </c>
      <c r="B47" s="127"/>
      <c r="C47" s="186"/>
      <c r="H47" s="162"/>
      <c r="I47" s="162"/>
      <c r="N47" s="162"/>
      <c r="P47" s="127"/>
      <c r="Q47" s="25">
        <f t="shared" si="5"/>
        <v>212</v>
      </c>
      <c r="R47" s="25">
        <f t="shared" si="6"/>
        <v>159</v>
      </c>
      <c r="X47" s="25"/>
      <c r="Y47" s="25"/>
      <c r="Z47" s="25"/>
    </row>
    <row r="48" spans="1:26" ht="16.2" customHeight="1" x14ac:dyDescent="0.3">
      <c r="A48" s="38">
        <v>43868</v>
      </c>
      <c r="B48" s="127"/>
      <c r="C48" s="186"/>
      <c r="H48" s="162"/>
      <c r="I48" s="162"/>
      <c r="N48" s="162"/>
      <c r="P48" s="127"/>
      <c r="Q48" s="25">
        <f t="shared" si="5"/>
        <v>212</v>
      </c>
      <c r="R48" s="25">
        <f t="shared" si="6"/>
        <v>159</v>
      </c>
      <c r="X48" s="25"/>
      <c r="Y48" s="25"/>
      <c r="Z48" s="25"/>
    </row>
    <row r="49" spans="1:26" ht="16.2" customHeight="1" x14ac:dyDescent="0.3">
      <c r="A49" s="38">
        <v>43869</v>
      </c>
      <c r="B49" s="75"/>
      <c r="C49" s="124"/>
      <c r="D49" s="75"/>
      <c r="E49" s="75"/>
      <c r="F49" s="75"/>
      <c r="G49" s="75"/>
      <c r="H49" s="75"/>
      <c r="I49" s="158"/>
      <c r="J49" s="75"/>
      <c r="K49" s="75"/>
      <c r="L49" s="75"/>
      <c r="M49" s="75"/>
      <c r="N49" s="158"/>
      <c r="O49" s="158"/>
      <c r="P49" s="125"/>
      <c r="Q49" s="25">
        <f t="shared" si="5"/>
        <v>212</v>
      </c>
      <c r="R49" s="25">
        <f t="shared" si="6"/>
        <v>159</v>
      </c>
      <c r="X49" s="25"/>
      <c r="Y49" s="25"/>
      <c r="Z49" s="25"/>
    </row>
    <row r="50" spans="1:26" ht="16.2" customHeight="1" x14ac:dyDescent="0.3">
      <c r="A50" s="38">
        <v>43870</v>
      </c>
      <c r="B50" s="75"/>
      <c r="C50" s="124"/>
      <c r="D50" s="75"/>
      <c r="E50" s="75"/>
      <c r="F50" s="75"/>
      <c r="G50" s="75"/>
      <c r="H50" s="75"/>
      <c r="I50" s="158"/>
      <c r="J50" s="75"/>
      <c r="K50" s="75"/>
      <c r="L50" s="75"/>
      <c r="M50" s="75"/>
      <c r="N50" s="158"/>
      <c r="O50" s="158"/>
      <c r="P50" s="125"/>
      <c r="Q50" s="25">
        <f t="shared" si="5"/>
        <v>212</v>
      </c>
      <c r="R50" s="25">
        <f t="shared" si="6"/>
        <v>159</v>
      </c>
      <c r="X50" s="25"/>
      <c r="Y50" s="25"/>
      <c r="Z50" s="25"/>
    </row>
    <row r="51" spans="1:26" ht="16.2" customHeight="1" x14ac:dyDescent="0.3">
      <c r="A51" s="38">
        <v>43871</v>
      </c>
      <c r="B51" s="127"/>
      <c r="H51" s="162"/>
      <c r="I51" s="162"/>
      <c r="N51" s="162"/>
      <c r="P51" s="127"/>
      <c r="Q51" s="25">
        <f t="shared" si="5"/>
        <v>212</v>
      </c>
      <c r="R51" s="25">
        <f t="shared" si="6"/>
        <v>159</v>
      </c>
      <c r="X51" s="25"/>
      <c r="Y51" s="25"/>
      <c r="Z51" s="25"/>
    </row>
    <row r="52" spans="1:26" ht="16.2" customHeight="1" x14ac:dyDescent="0.3">
      <c r="A52" s="38">
        <v>43872</v>
      </c>
      <c r="B52" s="127"/>
      <c r="H52" s="162"/>
      <c r="I52" s="162"/>
      <c r="N52" s="162"/>
      <c r="P52" s="127"/>
      <c r="Q52" s="25">
        <f t="shared" si="5"/>
        <v>212</v>
      </c>
      <c r="R52" s="25">
        <f t="shared" si="6"/>
        <v>159</v>
      </c>
      <c r="X52" s="25"/>
      <c r="Y52" s="25"/>
      <c r="Z52" s="25"/>
    </row>
    <row r="53" spans="1:26" ht="16.2" customHeight="1" x14ac:dyDescent="0.3">
      <c r="A53" s="38">
        <v>43873</v>
      </c>
      <c r="B53" s="127"/>
      <c r="H53" s="162"/>
      <c r="I53" s="162"/>
      <c r="N53" s="162"/>
      <c r="P53" s="127"/>
      <c r="Q53" s="25">
        <f t="shared" si="5"/>
        <v>212</v>
      </c>
      <c r="R53" s="25">
        <f t="shared" si="6"/>
        <v>159</v>
      </c>
      <c r="X53" s="25"/>
      <c r="Y53" s="25"/>
      <c r="Z53" s="25"/>
    </row>
    <row r="54" spans="1:26" ht="16.2" customHeight="1" x14ac:dyDescent="0.3">
      <c r="A54" s="38">
        <v>43874</v>
      </c>
      <c r="B54" s="127"/>
      <c r="H54" s="162"/>
      <c r="I54" s="162"/>
      <c r="N54" s="162"/>
      <c r="P54" s="127"/>
      <c r="Q54" s="25">
        <f t="shared" si="5"/>
        <v>212</v>
      </c>
      <c r="R54" s="25">
        <f t="shared" si="6"/>
        <v>159</v>
      </c>
      <c r="X54" s="25"/>
      <c r="Y54" s="25"/>
      <c r="Z54" s="25"/>
    </row>
    <row r="55" spans="1:26" ht="16.2" customHeight="1" x14ac:dyDescent="0.3">
      <c r="A55" s="38">
        <v>43875</v>
      </c>
      <c r="B55" s="127"/>
      <c r="C55" s="152"/>
      <c r="D55" s="152"/>
      <c r="E55" s="152"/>
      <c r="F55" s="152"/>
      <c r="G55" s="152"/>
      <c r="H55" s="162"/>
      <c r="I55" s="162"/>
      <c r="N55" s="162"/>
      <c r="P55" s="127"/>
      <c r="Q55" s="25">
        <f t="shared" si="5"/>
        <v>212</v>
      </c>
      <c r="R55" s="25">
        <f t="shared" si="6"/>
        <v>159</v>
      </c>
      <c r="X55" s="25"/>
      <c r="Y55" s="25"/>
      <c r="Z55" s="25"/>
    </row>
    <row r="56" spans="1:26" ht="16.2" customHeight="1" x14ac:dyDescent="0.3">
      <c r="A56" s="38">
        <v>43876</v>
      </c>
      <c r="B56" s="75"/>
      <c r="C56" s="124"/>
      <c r="D56" s="75"/>
      <c r="E56" s="75"/>
      <c r="F56" s="75"/>
      <c r="G56" s="75"/>
      <c r="H56" s="75"/>
      <c r="I56" s="158"/>
      <c r="J56" s="75"/>
      <c r="K56" s="75"/>
      <c r="L56" s="75"/>
      <c r="M56" s="75"/>
      <c r="N56" s="158"/>
      <c r="O56" s="158"/>
      <c r="P56" s="125"/>
      <c r="Q56" s="25">
        <f t="shared" si="5"/>
        <v>212</v>
      </c>
      <c r="R56" s="25">
        <f t="shared" si="6"/>
        <v>159</v>
      </c>
      <c r="X56" s="25"/>
      <c r="Y56" s="25"/>
      <c r="Z56" s="25"/>
    </row>
    <row r="57" spans="1:26" ht="16.2" customHeight="1" x14ac:dyDescent="0.3">
      <c r="A57" s="38">
        <v>43877</v>
      </c>
      <c r="B57" s="75"/>
      <c r="C57" s="124"/>
      <c r="D57" s="75"/>
      <c r="E57" s="75"/>
      <c r="F57" s="75"/>
      <c r="G57" s="75"/>
      <c r="H57" s="75"/>
      <c r="I57" s="158"/>
      <c r="J57" s="75"/>
      <c r="K57" s="75"/>
      <c r="L57" s="75"/>
      <c r="M57" s="75"/>
      <c r="N57" s="158"/>
      <c r="O57" s="158"/>
      <c r="P57" s="125"/>
      <c r="Q57" s="25">
        <f t="shared" si="5"/>
        <v>212</v>
      </c>
      <c r="R57" s="25">
        <f t="shared" si="6"/>
        <v>159</v>
      </c>
      <c r="X57" s="25"/>
      <c r="Y57" s="25"/>
      <c r="Z57" s="25"/>
    </row>
    <row r="58" spans="1:26" ht="16.2" customHeight="1" x14ac:dyDescent="0.3">
      <c r="A58" s="38">
        <v>43878</v>
      </c>
      <c r="B58" s="127"/>
      <c r="H58" s="162"/>
      <c r="I58" s="162"/>
      <c r="N58" s="162"/>
      <c r="P58" s="127"/>
      <c r="Q58" s="25">
        <f t="shared" si="5"/>
        <v>212</v>
      </c>
      <c r="R58" s="25">
        <f t="shared" si="6"/>
        <v>159</v>
      </c>
      <c r="X58" s="25"/>
      <c r="Y58" s="25"/>
      <c r="Z58" s="25"/>
    </row>
    <row r="59" spans="1:26" ht="16.2" customHeight="1" x14ac:dyDescent="0.3">
      <c r="A59" s="38">
        <v>43879</v>
      </c>
      <c r="B59" s="127"/>
      <c r="H59" s="162"/>
      <c r="I59" s="162"/>
      <c r="N59" s="162"/>
      <c r="P59" s="127"/>
      <c r="Q59" s="25">
        <f t="shared" si="5"/>
        <v>212</v>
      </c>
      <c r="R59" s="25">
        <f t="shared" si="6"/>
        <v>159</v>
      </c>
      <c r="X59" s="25"/>
      <c r="Y59" s="25"/>
      <c r="Z59" s="25"/>
    </row>
    <row r="60" spans="1:26" ht="16.2" customHeight="1" x14ac:dyDescent="0.3">
      <c r="X60" s="25"/>
      <c r="Y60" s="25"/>
      <c r="Z60" s="25"/>
    </row>
    <row r="61" spans="1:26" ht="16.2" customHeight="1" x14ac:dyDescent="0.3">
      <c r="X61" s="25"/>
      <c r="Y61" s="25"/>
      <c r="Z61" s="25"/>
    </row>
    <row r="62" spans="1:26" ht="16.2" customHeight="1" x14ac:dyDescent="0.3">
      <c r="A62" s="24" t="s">
        <v>36</v>
      </c>
      <c r="B62" s="25">
        <f t="shared" ref="B62:N62" si="7">SUM(B7:B24)</f>
        <v>53</v>
      </c>
      <c r="C62" s="25">
        <f t="shared" si="7"/>
        <v>74</v>
      </c>
      <c r="D62" s="25">
        <f t="shared" si="7"/>
        <v>0</v>
      </c>
      <c r="E62" s="25">
        <f t="shared" si="7"/>
        <v>0</v>
      </c>
      <c r="F62" s="25">
        <f t="shared" si="7"/>
        <v>34</v>
      </c>
      <c r="G62" s="25">
        <f t="shared" si="7"/>
        <v>0</v>
      </c>
      <c r="H62" s="25">
        <f t="shared" si="7"/>
        <v>0</v>
      </c>
      <c r="I62" s="25">
        <f t="shared" si="7"/>
        <v>0</v>
      </c>
      <c r="J62" s="25">
        <f t="shared" si="7"/>
        <v>51</v>
      </c>
      <c r="K62" s="25">
        <f t="shared" si="7"/>
        <v>0</v>
      </c>
      <c r="L62" s="25">
        <f t="shared" si="7"/>
        <v>0</v>
      </c>
      <c r="M62" s="25">
        <f t="shared" si="7"/>
        <v>0</v>
      </c>
      <c r="N62" s="25">
        <f t="shared" si="7"/>
        <v>0</v>
      </c>
      <c r="O62" s="25">
        <f>SUM(O7:O28)</f>
        <v>0</v>
      </c>
      <c r="P62" s="25">
        <f>SUM(P7:P24)</f>
        <v>0</v>
      </c>
      <c r="X62" s="25"/>
      <c r="Y62" s="25"/>
      <c r="Z62" s="25"/>
    </row>
    <row r="63" spans="1:26" ht="15.6" customHeight="1" x14ac:dyDescent="0.3">
      <c r="A63" s="24" t="s">
        <v>37</v>
      </c>
      <c r="B63" s="56">
        <f t="shared" ref="B63:N63" si="8">SUM(B25:B44)</f>
        <v>0</v>
      </c>
      <c r="C63" s="56">
        <f t="shared" si="8"/>
        <v>0</v>
      </c>
      <c r="D63" s="56">
        <f t="shared" si="8"/>
        <v>0</v>
      </c>
      <c r="E63" s="56">
        <f t="shared" si="8"/>
        <v>0</v>
      </c>
      <c r="F63" s="56">
        <f t="shared" si="8"/>
        <v>0</v>
      </c>
      <c r="G63" s="56">
        <f t="shared" si="8"/>
        <v>0</v>
      </c>
      <c r="H63" s="56">
        <f t="shared" si="8"/>
        <v>0</v>
      </c>
      <c r="I63" s="56">
        <f t="shared" si="8"/>
        <v>0</v>
      </c>
      <c r="J63" s="56">
        <f t="shared" si="8"/>
        <v>0</v>
      </c>
      <c r="K63" s="56">
        <f t="shared" si="8"/>
        <v>0</v>
      </c>
      <c r="L63" s="56">
        <f t="shared" si="8"/>
        <v>0</v>
      </c>
      <c r="M63" s="56">
        <f t="shared" si="8"/>
        <v>0</v>
      </c>
      <c r="N63" s="56">
        <f t="shared" si="8"/>
        <v>0</v>
      </c>
      <c r="O63" s="56">
        <f>SUM(O29:O36)</f>
        <v>0</v>
      </c>
      <c r="P63" s="56">
        <f>SUM(P25:P36)</f>
        <v>0</v>
      </c>
      <c r="X63" s="25"/>
      <c r="Y63" s="25"/>
      <c r="Z63" s="25"/>
    </row>
    <row r="64" spans="1:26" x14ac:dyDescent="0.3">
      <c r="X64" s="25"/>
      <c r="Y64" s="25"/>
      <c r="Z64" s="25"/>
    </row>
    <row r="65" spans="1:26" x14ac:dyDescent="0.3">
      <c r="A65" s="24" t="s">
        <v>17</v>
      </c>
      <c r="B65" s="25">
        <f>SUM(B62:B63)</f>
        <v>53</v>
      </c>
      <c r="C65" s="25">
        <f t="shared" ref="C65:P65" si="9">SUM(C62:C63)</f>
        <v>74</v>
      </c>
      <c r="D65" s="25">
        <f t="shared" si="9"/>
        <v>0</v>
      </c>
      <c r="E65" s="25">
        <f t="shared" si="9"/>
        <v>0</v>
      </c>
      <c r="F65" s="25">
        <f t="shared" si="9"/>
        <v>34</v>
      </c>
      <c r="G65" s="25">
        <f t="shared" si="9"/>
        <v>0</v>
      </c>
      <c r="H65" s="25">
        <f t="shared" si="9"/>
        <v>0</v>
      </c>
      <c r="I65" s="25">
        <f t="shared" si="9"/>
        <v>0</v>
      </c>
      <c r="J65" s="25">
        <f t="shared" si="9"/>
        <v>51</v>
      </c>
      <c r="K65" s="25">
        <f t="shared" si="9"/>
        <v>0</v>
      </c>
      <c r="L65" s="25">
        <f t="shared" si="9"/>
        <v>0</v>
      </c>
      <c r="M65" s="25">
        <f t="shared" si="9"/>
        <v>0</v>
      </c>
      <c r="N65" s="25">
        <f t="shared" si="9"/>
        <v>0</v>
      </c>
      <c r="O65" s="25">
        <f t="shared" si="9"/>
        <v>0</v>
      </c>
      <c r="P65" s="25">
        <f t="shared" si="9"/>
        <v>0</v>
      </c>
      <c r="Q65" s="25">
        <f>SUM(B65:P65)</f>
        <v>212</v>
      </c>
      <c r="R65" s="25">
        <f>SUM(C65:P65)</f>
        <v>159</v>
      </c>
      <c r="X65" s="25"/>
      <c r="Y65" s="25"/>
      <c r="Z65" s="25"/>
    </row>
    <row r="66" spans="1:26" x14ac:dyDescent="0.3">
      <c r="X66" s="25"/>
      <c r="Y66" s="25"/>
      <c r="Z66" s="25"/>
    </row>
    <row r="67" spans="1:26" x14ac:dyDescent="0.3">
      <c r="X67" s="25"/>
      <c r="Y67" s="25"/>
      <c r="Z67" s="25"/>
    </row>
    <row r="68" spans="1:26" x14ac:dyDescent="0.3">
      <c r="X68" s="25"/>
      <c r="Y68" s="25"/>
      <c r="Z68" s="25"/>
    </row>
    <row r="69" spans="1:26" x14ac:dyDescent="0.3">
      <c r="X69" s="25"/>
      <c r="Y69" s="25"/>
      <c r="Z69" s="25"/>
    </row>
    <row r="70" spans="1:26" x14ac:dyDescent="0.3">
      <c r="X70" s="25"/>
      <c r="Y70" s="25"/>
      <c r="Z70" s="25"/>
    </row>
    <row r="71" spans="1:26" x14ac:dyDescent="0.3">
      <c r="X71" s="25"/>
      <c r="Y71" s="25"/>
      <c r="Z71" s="25"/>
    </row>
    <row r="72" spans="1:26" x14ac:dyDescent="0.3">
      <c r="X72" s="25"/>
      <c r="Y72" s="25"/>
      <c r="Z72" s="25"/>
    </row>
    <row r="73" spans="1:26" x14ac:dyDescent="0.3">
      <c r="X73" s="25"/>
      <c r="Y73" s="25"/>
      <c r="Z73" s="25"/>
    </row>
    <row r="74" spans="1:26" x14ac:dyDescent="0.3">
      <c r="X74" s="25"/>
      <c r="Y74" s="25"/>
      <c r="Z74" s="25"/>
    </row>
    <row r="75" spans="1:26" x14ac:dyDescent="0.3">
      <c r="X75" s="25"/>
      <c r="Y75" s="25"/>
      <c r="Z75" s="25"/>
    </row>
    <row r="76" spans="1:26" x14ac:dyDescent="0.3">
      <c r="X76" s="25"/>
      <c r="Y76" s="25"/>
      <c r="Z76" s="25"/>
    </row>
    <row r="77" spans="1:26" x14ac:dyDescent="0.3">
      <c r="X77" s="25"/>
      <c r="Y77" s="25"/>
      <c r="Z77" s="25"/>
    </row>
    <row r="78" spans="1:26" x14ac:dyDescent="0.3">
      <c r="X78" s="25"/>
      <c r="Y78" s="25"/>
      <c r="Z78" s="25"/>
    </row>
  </sheetData>
  <sheetProtection selectLockedCells="1" selectUnlockedCells="1"/>
  <mergeCells count="1">
    <mergeCell ref="B4:P4"/>
  </mergeCells>
  <pageMargins left="0.70866141732283472" right="0.70866141732283472" top="0.74803149606299213" bottom="0.74803149606299213" header="0.31496062992125984" footer="0.31496062992125984"/>
  <pageSetup paperSize="9" scale="48" firstPageNumber="0" orientation="landscape" verticalDpi="300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A75A5-9BD0-424A-8F6D-A2530DAECDD8}">
  <sheetPr codeName="Feuil1"/>
  <dimension ref="A1:F48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4" sqref="E4:E8"/>
    </sheetView>
  </sheetViews>
  <sheetFormatPr baseColWidth="10" defaultRowHeight="13.2" x14ac:dyDescent="0.25"/>
  <cols>
    <col min="1" max="1" width="12" style="166" bestFit="1" customWidth="1"/>
    <col min="2" max="2" width="12" style="166" customWidth="1"/>
    <col min="3" max="3" width="9.109375" style="169" bestFit="1" customWidth="1"/>
    <col min="4" max="4" width="8.44140625" style="166" bestFit="1" customWidth="1"/>
    <col min="5" max="5" width="16.88671875" style="167" customWidth="1"/>
    <col min="6" max="6" width="15.109375" style="168" bestFit="1" customWidth="1"/>
    <col min="7" max="16384" width="11.5546875" style="166"/>
  </cols>
  <sheetData>
    <row r="1" spans="1:6" ht="26.4" customHeight="1" x14ac:dyDescent="0.25"/>
    <row r="2" spans="1:6" x14ac:dyDescent="0.25">
      <c r="A2" s="166" t="s">
        <v>86</v>
      </c>
      <c r="B2" s="166" t="s">
        <v>83</v>
      </c>
      <c r="C2" s="169" t="s">
        <v>84</v>
      </c>
      <c r="D2" s="166" t="s">
        <v>2</v>
      </c>
      <c r="E2" s="167" t="s">
        <v>85</v>
      </c>
      <c r="F2" s="168" t="s">
        <v>91</v>
      </c>
    </row>
    <row r="3" spans="1:6" x14ac:dyDescent="0.25">
      <c r="A3" s="166" t="s">
        <v>8</v>
      </c>
      <c r="B3" s="166">
        <v>2020</v>
      </c>
    </row>
    <row r="4" spans="1:6" x14ac:dyDescent="0.25">
      <c r="A4" s="166" t="s">
        <v>8</v>
      </c>
      <c r="B4" s="166">
        <v>2019</v>
      </c>
      <c r="C4" s="169">
        <v>632</v>
      </c>
      <c r="D4" s="166">
        <v>524</v>
      </c>
      <c r="E4" s="167">
        <f>+D4/C4</f>
        <v>0.82911392405063289</v>
      </c>
      <c r="F4" s="168">
        <f>+E4*7</f>
        <v>5.8037974683544302</v>
      </c>
    </row>
    <row r="5" spans="1:6" x14ac:dyDescent="0.25">
      <c r="A5" s="166" t="s">
        <v>8</v>
      </c>
      <c r="B5" s="166">
        <v>2018</v>
      </c>
      <c r="C5" s="169">
        <v>585</v>
      </c>
      <c r="D5" s="166">
        <v>574</v>
      </c>
      <c r="E5" s="167">
        <f>+D5/C5</f>
        <v>0.98119658119658115</v>
      </c>
      <c r="F5" s="168">
        <f t="shared" ref="F5:F44" si="0">+E5*7</f>
        <v>6.868376068376068</v>
      </c>
    </row>
    <row r="6" spans="1:6" x14ac:dyDescent="0.25">
      <c r="A6" s="166" t="s">
        <v>8</v>
      </c>
      <c r="B6" s="166">
        <v>2017</v>
      </c>
      <c r="C6" s="169">
        <v>829</v>
      </c>
      <c r="D6" s="166">
        <v>670</v>
      </c>
      <c r="E6" s="167">
        <f>+D6/C6</f>
        <v>0.80820265379975875</v>
      </c>
      <c r="F6" s="168">
        <f t="shared" si="0"/>
        <v>5.6574185765983112</v>
      </c>
    </row>
    <row r="7" spans="1:6" x14ac:dyDescent="0.25">
      <c r="A7" s="166" t="s">
        <v>8</v>
      </c>
      <c r="B7" s="166">
        <v>2016</v>
      </c>
      <c r="C7" s="169">
        <v>894</v>
      </c>
      <c r="D7" s="166">
        <v>907</v>
      </c>
      <c r="E7" s="167">
        <f>+D7/C7</f>
        <v>1.0145413870246085</v>
      </c>
      <c r="F7" s="168">
        <f t="shared" si="0"/>
        <v>7.1017897091722597</v>
      </c>
    </row>
    <row r="8" spans="1:6" x14ac:dyDescent="0.25">
      <c r="A8" s="166" t="s">
        <v>8</v>
      </c>
      <c r="B8" s="166">
        <v>2015</v>
      </c>
      <c r="C8" s="169">
        <v>712</v>
      </c>
      <c r="D8" s="166">
        <v>842</v>
      </c>
      <c r="E8" s="167">
        <f>+D8/C8</f>
        <v>1.1825842696629214</v>
      </c>
      <c r="F8" s="168">
        <f t="shared" si="0"/>
        <v>8.2780898876404496</v>
      </c>
    </row>
    <row r="9" spans="1:6" x14ac:dyDescent="0.25">
      <c r="A9" s="166" t="s">
        <v>9</v>
      </c>
      <c r="B9" s="166">
        <v>2019</v>
      </c>
    </row>
    <row r="10" spans="1:6" x14ac:dyDescent="0.25">
      <c r="A10" s="166" t="s">
        <v>9</v>
      </c>
      <c r="B10" s="166">
        <v>2018</v>
      </c>
      <c r="C10" s="169">
        <v>147</v>
      </c>
      <c r="D10" s="166">
        <v>153</v>
      </c>
      <c r="E10" s="167">
        <f>+D10/C10</f>
        <v>1.0408163265306123</v>
      </c>
      <c r="F10" s="168">
        <f t="shared" si="0"/>
        <v>7.2857142857142865</v>
      </c>
    </row>
    <row r="11" spans="1:6" x14ac:dyDescent="0.25">
      <c r="A11" s="166" t="s">
        <v>9</v>
      </c>
      <c r="B11" s="166">
        <v>2017</v>
      </c>
      <c r="C11" s="169">
        <v>191</v>
      </c>
      <c r="D11" s="166">
        <v>175</v>
      </c>
      <c r="E11" s="167">
        <f>+D11/C11</f>
        <v>0.91623036649214662</v>
      </c>
      <c r="F11" s="168">
        <f t="shared" si="0"/>
        <v>6.4136125654450264</v>
      </c>
    </row>
    <row r="12" spans="1:6" x14ac:dyDescent="0.25">
      <c r="A12" s="166" t="s">
        <v>9</v>
      </c>
      <c r="B12" s="166">
        <v>2016</v>
      </c>
      <c r="C12" s="169">
        <v>272</v>
      </c>
      <c r="D12" s="166">
        <v>266</v>
      </c>
      <c r="E12" s="167">
        <f>+D12/C12</f>
        <v>0.9779411764705882</v>
      </c>
      <c r="F12" s="168">
        <f t="shared" si="0"/>
        <v>6.8455882352941178</v>
      </c>
    </row>
    <row r="13" spans="1:6" x14ac:dyDescent="0.25">
      <c r="A13" s="166" t="s">
        <v>9</v>
      </c>
      <c r="B13" s="166">
        <v>2015</v>
      </c>
      <c r="C13" s="169">
        <v>469</v>
      </c>
      <c r="D13" s="166">
        <v>379</v>
      </c>
      <c r="E13" s="167">
        <f>+D13/C13</f>
        <v>0.8081023454157783</v>
      </c>
      <c r="F13" s="168">
        <f t="shared" si="0"/>
        <v>5.6567164179104479</v>
      </c>
    </row>
    <row r="14" spans="1:6" x14ac:dyDescent="0.25">
      <c r="A14" s="166" t="s">
        <v>12</v>
      </c>
      <c r="B14" s="166">
        <v>2020</v>
      </c>
    </row>
    <row r="15" spans="1:6" x14ac:dyDescent="0.25">
      <c r="A15" s="166" t="s">
        <v>12</v>
      </c>
      <c r="B15" s="166">
        <v>2019</v>
      </c>
      <c r="C15" s="169">
        <v>405.5</v>
      </c>
      <c r="D15" s="166">
        <v>336</v>
      </c>
      <c r="E15" s="167">
        <f>+D15/C15</f>
        <v>0.8286066584463625</v>
      </c>
      <c r="F15" s="168">
        <f t="shared" si="0"/>
        <v>5.800246609124537</v>
      </c>
    </row>
    <row r="16" spans="1:6" x14ac:dyDescent="0.25">
      <c r="A16" s="166" t="s">
        <v>12</v>
      </c>
      <c r="B16" s="166">
        <v>2018</v>
      </c>
      <c r="C16" s="169">
        <v>222.5</v>
      </c>
      <c r="D16" s="166">
        <v>212</v>
      </c>
      <c r="E16" s="167">
        <f>+D16/C16</f>
        <v>0.95280898876404496</v>
      </c>
      <c r="F16" s="168">
        <f t="shared" si="0"/>
        <v>6.6696629213483147</v>
      </c>
    </row>
    <row r="17" spans="1:6" x14ac:dyDescent="0.25">
      <c r="A17" s="166" t="s">
        <v>12</v>
      </c>
      <c r="B17" s="166">
        <v>2017</v>
      </c>
      <c r="C17" s="169">
        <v>157</v>
      </c>
      <c r="D17" s="166">
        <v>130</v>
      </c>
      <c r="E17" s="167">
        <f>+D17/C17</f>
        <v>0.82802547770700641</v>
      </c>
      <c r="F17" s="168">
        <f t="shared" si="0"/>
        <v>5.7961783439490446</v>
      </c>
    </row>
    <row r="18" spans="1:6" x14ac:dyDescent="0.25">
      <c r="A18" s="166" t="s">
        <v>12</v>
      </c>
      <c r="B18" s="166">
        <v>2016</v>
      </c>
    </row>
    <row r="19" spans="1:6" x14ac:dyDescent="0.25">
      <c r="A19" s="166" t="s">
        <v>12</v>
      </c>
      <c r="B19" s="166">
        <v>2015</v>
      </c>
    </row>
    <row r="20" spans="1:6" x14ac:dyDescent="0.25">
      <c r="A20" s="166" t="s">
        <v>13</v>
      </c>
      <c r="B20" s="166">
        <v>2020</v>
      </c>
    </row>
    <row r="21" spans="1:6" x14ac:dyDescent="0.25">
      <c r="A21" s="166" t="s">
        <v>13</v>
      </c>
      <c r="B21" s="166">
        <v>2019</v>
      </c>
      <c r="C21" s="169">
        <v>112</v>
      </c>
      <c r="D21" s="166">
        <v>98</v>
      </c>
      <c r="E21" s="167">
        <f>+D21/C21</f>
        <v>0.875</v>
      </c>
      <c r="F21" s="168">
        <f t="shared" si="0"/>
        <v>6.125</v>
      </c>
    </row>
    <row r="22" spans="1:6" x14ac:dyDescent="0.25">
      <c r="A22" s="166" t="s">
        <v>13</v>
      </c>
      <c r="B22" s="166">
        <v>2018</v>
      </c>
      <c r="C22" s="169">
        <v>110</v>
      </c>
      <c r="D22" s="166">
        <v>62</v>
      </c>
      <c r="E22" s="167">
        <f>+D22/C22</f>
        <v>0.5636363636363636</v>
      </c>
      <c r="F22" s="168">
        <f t="shared" si="0"/>
        <v>3.9454545454545453</v>
      </c>
    </row>
    <row r="23" spans="1:6" x14ac:dyDescent="0.25">
      <c r="A23" s="166" t="s">
        <v>13</v>
      </c>
      <c r="B23" s="166">
        <v>2017</v>
      </c>
      <c r="C23" s="169">
        <v>67</v>
      </c>
      <c r="D23" s="166">
        <v>27</v>
      </c>
      <c r="E23" s="167">
        <f>+D23/C23</f>
        <v>0.40298507462686567</v>
      </c>
      <c r="F23" s="168">
        <f t="shared" si="0"/>
        <v>2.8208955223880596</v>
      </c>
    </row>
    <row r="24" spans="1:6" x14ac:dyDescent="0.25">
      <c r="A24" s="166" t="s">
        <v>13</v>
      </c>
      <c r="B24" s="166">
        <v>2016</v>
      </c>
    </row>
    <row r="25" spans="1:6" x14ac:dyDescent="0.25">
      <c r="A25" s="166" t="s">
        <v>13</v>
      </c>
      <c r="B25" s="166">
        <v>2015</v>
      </c>
    </row>
    <row r="26" spans="1:6" x14ac:dyDescent="0.25">
      <c r="A26" s="166" t="s">
        <v>57</v>
      </c>
      <c r="B26" s="166">
        <v>2019</v>
      </c>
    </row>
    <row r="27" spans="1:6" x14ac:dyDescent="0.25">
      <c r="A27" s="166" t="s">
        <v>57</v>
      </c>
      <c r="B27" s="166">
        <v>2018</v>
      </c>
      <c r="C27" s="169">
        <v>28</v>
      </c>
      <c r="D27" s="166">
        <v>26</v>
      </c>
      <c r="E27" s="167">
        <f>+D27/C27</f>
        <v>0.9285714285714286</v>
      </c>
      <c r="F27" s="168">
        <f t="shared" si="0"/>
        <v>6.5</v>
      </c>
    </row>
    <row r="28" spans="1:6" x14ac:dyDescent="0.25">
      <c r="A28" s="166" t="s">
        <v>57</v>
      </c>
      <c r="B28" s="166">
        <v>2017</v>
      </c>
      <c r="C28" s="169">
        <v>177</v>
      </c>
      <c r="D28" s="166">
        <v>174</v>
      </c>
      <c r="E28" s="167">
        <f>+D28/C28</f>
        <v>0.98305084745762716</v>
      </c>
      <c r="F28" s="168">
        <f t="shared" si="0"/>
        <v>6.8813559322033901</v>
      </c>
    </row>
    <row r="29" spans="1:6" x14ac:dyDescent="0.25">
      <c r="A29" s="166" t="s">
        <v>57</v>
      </c>
      <c r="B29" s="166">
        <v>2016</v>
      </c>
      <c r="C29" s="169">
        <v>236.5</v>
      </c>
      <c r="D29" s="166">
        <v>215</v>
      </c>
      <c r="E29" s="167">
        <f>+D29/C29</f>
        <v>0.90909090909090906</v>
      </c>
      <c r="F29" s="168">
        <f t="shared" si="0"/>
        <v>6.3636363636363633</v>
      </c>
    </row>
    <row r="30" spans="1:6" x14ac:dyDescent="0.25">
      <c r="A30" s="166" t="s">
        <v>57</v>
      </c>
      <c r="B30" s="166">
        <v>2015</v>
      </c>
      <c r="C30" s="169">
        <v>168</v>
      </c>
      <c r="D30" s="166">
        <v>121</v>
      </c>
      <c r="E30" s="167">
        <f>+D30/C30</f>
        <v>0.72023809523809523</v>
      </c>
      <c r="F30" s="168">
        <f t="shared" si="0"/>
        <v>5.041666666666667</v>
      </c>
    </row>
    <row r="31" spans="1:6" x14ac:dyDescent="0.25">
      <c r="A31" s="166" t="s">
        <v>14</v>
      </c>
      <c r="B31" s="166">
        <v>2020</v>
      </c>
    </row>
    <row r="32" spans="1:6" x14ac:dyDescent="0.25">
      <c r="A32" s="166" t="s">
        <v>14</v>
      </c>
      <c r="B32" s="166">
        <v>2019</v>
      </c>
      <c r="C32" s="169">
        <v>140</v>
      </c>
      <c r="D32" s="166">
        <v>100</v>
      </c>
      <c r="E32" s="167">
        <f>+D32/C32</f>
        <v>0.7142857142857143</v>
      </c>
      <c r="F32" s="168">
        <f t="shared" si="0"/>
        <v>5</v>
      </c>
    </row>
    <row r="33" spans="1:6" x14ac:dyDescent="0.25">
      <c r="A33" s="166" t="s">
        <v>14</v>
      </c>
      <c r="B33" s="166">
        <v>2018</v>
      </c>
      <c r="C33" s="169">
        <v>150</v>
      </c>
      <c r="D33" s="166">
        <v>104</v>
      </c>
      <c r="E33" s="167">
        <f>+D33/C33</f>
        <v>0.69333333333333336</v>
      </c>
      <c r="F33" s="168">
        <f t="shared" si="0"/>
        <v>4.8533333333333335</v>
      </c>
    </row>
    <row r="34" spans="1:6" x14ac:dyDescent="0.25">
      <c r="A34" s="166" t="s">
        <v>14</v>
      </c>
      <c r="B34" s="166">
        <v>2017</v>
      </c>
      <c r="C34" s="169">
        <v>195</v>
      </c>
      <c r="D34" s="166">
        <v>132</v>
      </c>
      <c r="E34" s="167">
        <f>+D34/C34</f>
        <v>0.67692307692307696</v>
      </c>
      <c r="F34" s="168">
        <f t="shared" si="0"/>
        <v>4.7384615384615385</v>
      </c>
    </row>
    <row r="35" spans="1:6" x14ac:dyDescent="0.25">
      <c r="A35" s="166" t="s">
        <v>14</v>
      </c>
      <c r="B35" s="166">
        <v>2016</v>
      </c>
    </row>
    <row r="36" spans="1:6" x14ac:dyDescent="0.25">
      <c r="A36" s="166" t="s">
        <v>14</v>
      </c>
      <c r="B36" s="166">
        <v>2015</v>
      </c>
    </row>
    <row r="37" spans="1:6" x14ac:dyDescent="0.25">
      <c r="A37" s="166" t="s">
        <v>11</v>
      </c>
      <c r="B37" s="166">
        <v>2020</v>
      </c>
      <c r="C37" s="169">
        <v>194</v>
      </c>
      <c r="D37" s="166">
        <v>146</v>
      </c>
      <c r="E37" s="167">
        <f>+D37/C37</f>
        <v>0.75257731958762886</v>
      </c>
      <c r="F37" s="168">
        <f t="shared" ref="F37" si="1">+E37*7</f>
        <v>5.268041237113402</v>
      </c>
    </row>
    <row r="38" spans="1:6" x14ac:dyDescent="0.25">
      <c r="A38" s="166" t="s">
        <v>11</v>
      </c>
      <c r="B38" s="166">
        <v>2019</v>
      </c>
      <c r="C38" s="169">
        <v>70</v>
      </c>
      <c r="D38" s="166">
        <v>68</v>
      </c>
      <c r="E38" s="167">
        <f>+D38/C38</f>
        <v>0.97142857142857142</v>
      </c>
      <c r="F38" s="168">
        <f t="shared" si="0"/>
        <v>6.8</v>
      </c>
    </row>
    <row r="39" spans="1:6" x14ac:dyDescent="0.25">
      <c r="A39" s="166" t="s">
        <v>11</v>
      </c>
      <c r="B39" s="166">
        <v>2018</v>
      </c>
      <c r="C39" s="169">
        <v>171.5</v>
      </c>
      <c r="D39" s="166">
        <v>152</v>
      </c>
      <c r="E39" s="167">
        <f>+D39/C39</f>
        <v>0.88629737609329451</v>
      </c>
      <c r="F39" s="168">
        <f t="shared" si="0"/>
        <v>6.2040816326530619</v>
      </c>
    </row>
    <row r="40" spans="1:6" x14ac:dyDescent="0.25">
      <c r="A40" s="166" t="s">
        <v>11</v>
      </c>
      <c r="B40" s="166">
        <v>2017</v>
      </c>
      <c r="C40" s="169">
        <v>84</v>
      </c>
      <c r="D40" s="166">
        <v>58</v>
      </c>
      <c r="E40" s="167">
        <f>+D40/C40</f>
        <v>0.69047619047619047</v>
      </c>
      <c r="F40" s="168">
        <f t="shared" si="0"/>
        <v>4.833333333333333</v>
      </c>
    </row>
    <row r="41" spans="1:6" x14ac:dyDescent="0.25">
      <c r="A41" s="166" t="s">
        <v>11</v>
      </c>
      <c r="B41" s="166">
        <v>2016</v>
      </c>
    </row>
    <row r="42" spans="1:6" x14ac:dyDescent="0.25">
      <c r="A42" s="166" t="s">
        <v>11</v>
      </c>
      <c r="B42" s="166">
        <v>2015</v>
      </c>
    </row>
    <row r="43" spans="1:6" x14ac:dyDescent="0.25">
      <c r="A43" s="166" t="s">
        <v>58</v>
      </c>
      <c r="B43" s="166">
        <v>2020</v>
      </c>
      <c r="C43" s="179"/>
      <c r="D43" s="180"/>
      <c r="E43" s="181"/>
      <c r="F43" s="182"/>
    </row>
    <row r="44" spans="1:6" x14ac:dyDescent="0.25">
      <c r="A44" s="166" t="s">
        <v>58</v>
      </c>
      <c r="B44" s="166">
        <v>2019</v>
      </c>
      <c r="C44" s="169">
        <v>106.5</v>
      </c>
      <c r="D44" s="166">
        <v>54</v>
      </c>
      <c r="E44" s="167">
        <f>+D44/C44</f>
        <v>0.50704225352112675</v>
      </c>
      <c r="F44" s="168">
        <f t="shared" si="0"/>
        <v>3.549295774647887</v>
      </c>
    </row>
    <row r="45" spans="1:6" x14ac:dyDescent="0.25">
      <c r="A45" s="166" t="s">
        <v>58</v>
      </c>
      <c r="B45" s="166">
        <v>2018</v>
      </c>
    </row>
    <row r="46" spans="1:6" x14ac:dyDescent="0.25">
      <c r="A46" s="166" t="s">
        <v>58</v>
      </c>
      <c r="B46" s="166">
        <v>2017</v>
      </c>
    </row>
    <row r="47" spans="1:6" x14ac:dyDescent="0.25">
      <c r="A47" s="166" t="s">
        <v>58</v>
      </c>
      <c r="B47" s="166">
        <v>2016</v>
      </c>
    </row>
    <row r="48" spans="1:6" x14ac:dyDescent="0.25">
      <c r="A48" s="166" t="s">
        <v>58</v>
      </c>
      <c r="B48" s="166">
        <v>2015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03795-4526-4CF0-8374-8D63518A6011}">
  <sheetPr codeName="Feuil4"/>
  <dimension ref="A1:E56"/>
  <sheetViews>
    <sheetView workbookViewId="0">
      <pane ySplit="1" topLeftCell="A14" activePane="bottomLeft" state="frozen"/>
      <selection pane="bottomLeft" activeCell="D22" sqref="D22"/>
    </sheetView>
  </sheetViews>
  <sheetFormatPr baseColWidth="10" defaultRowHeight="13.2" x14ac:dyDescent="0.25"/>
  <cols>
    <col min="1" max="1" width="22.77734375" style="17" bestFit="1" customWidth="1"/>
    <col min="2" max="2" width="10.33203125" style="17" bestFit="1" customWidth="1"/>
    <col min="3" max="3" width="12.44140625" style="17" bestFit="1" customWidth="1"/>
    <col min="4" max="4" width="9.77734375" style="17" bestFit="1" customWidth="1"/>
    <col min="5" max="5" width="16.88671875" style="17" bestFit="1" customWidth="1"/>
    <col min="6" max="6" width="27.88671875" style="17" bestFit="1" customWidth="1"/>
    <col min="7" max="16384" width="11.5546875" style="17"/>
  </cols>
  <sheetData>
    <row r="1" spans="1:5" x14ac:dyDescent="0.25">
      <c r="A1" s="170" t="s">
        <v>87</v>
      </c>
      <c r="B1" s="17" t="s">
        <v>89</v>
      </c>
      <c r="C1" s="17" t="s">
        <v>93</v>
      </c>
      <c r="D1" s="17" t="s">
        <v>90</v>
      </c>
      <c r="E1" s="17" t="s">
        <v>92</v>
      </c>
    </row>
    <row r="2" spans="1:5" x14ac:dyDescent="0.25">
      <c r="A2" s="17" t="s">
        <v>9</v>
      </c>
      <c r="B2" s="173">
        <v>269.75</v>
      </c>
      <c r="C2" s="173">
        <v>243.25</v>
      </c>
      <c r="D2" s="171">
        <v>0.9357725537272813</v>
      </c>
      <c r="E2" s="172">
        <v>6.5504078760909685</v>
      </c>
    </row>
    <row r="3" spans="1:5" x14ac:dyDescent="0.25">
      <c r="A3" s="17">
        <v>2015</v>
      </c>
      <c r="B3" s="173">
        <v>469</v>
      </c>
      <c r="C3" s="173">
        <v>379</v>
      </c>
      <c r="D3" s="171">
        <v>0.8081023454157783</v>
      </c>
      <c r="E3" s="172">
        <v>5.6567164179104479</v>
      </c>
    </row>
    <row r="4" spans="1:5" x14ac:dyDescent="0.25">
      <c r="A4" s="17">
        <v>2016</v>
      </c>
      <c r="B4" s="173">
        <v>272</v>
      </c>
      <c r="C4" s="173">
        <v>266</v>
      </c>
      <c r="D4" s="171">
        <v>0.9779411764705882</v>
      </c>
      <c r="E4" s="172">
        <v>6.8455882352941178</v>
      </c>
    </row>
    <row r="5" spans="1:5" x14ac:dyDescent="0.25">
      <c r="A5" s="17">
        <v>2017</v>
      </c>
      <c r="B5" s="173">
        <v>191</v>
      </c>
      <c r="C5" s="173">
        <v>175</v>
      </c>
      <c r="D5" s="171">
        <v>0.91623036649214662</v>
      </c>
      <c r="E5" s="172">
        <v>6.4136125654450264</v>
      </c>
    </row>
    <row r="6" spans="1:5" x14ac:dyDescent="0.25">
      <c r="A6" s="17">
        <v>2018</v>
      </c>
      <c r="B6" s="173">
        <v>147</v>
      </c>
      <c r="C6" s="173">
        <v>153</v>
      </c>
      <c r="D6" s="171">
        <v>1.0408163265306123</v>
      </c>
      <c r="E6" s="172">
        <v>7.2857142857142865</v>
      </c>
    </row>
    <row r="7" spans="1:5" x14ac:dyDescent="0.25">
      <c r="A7" s="17">
        <v>2019</v>
      </c>
      <c r="B7" s="173"/>
      <c r="C7" s="173"/>
      <c r="D7" s="171"/>
      <c r="E7" s="172"/>
    </row>
    <row r="8" spans="1:5" x14ac:dyDescent="0.25">
      <c r="A8" s="17" t="s">
        <v>8</v>
      </c>
      <c r="B8" s="173">
        <v>730.4</v>
      </c>
      <c r="C8" s="173">
        <v>703.4</v>
      </c>
      <c r="D8" s="171">
        <v>0.96312776314690063</v>
      </c>
      <c r="E8" s="172">
        <v>6.7418943420283046</v>
      </c>
    </row>
    <row r="9" spans="1:5" x14ac:dyDescent="0.25">
      <c r="A9" s="17">
        <v>2015</v>
      </c>
      <c r="B9" s="173">
        <v>712</v>
      </c>
      <c r="C9" s="173">
        <v>842</v>
      </c>
      <c r="D9" s="171">
        <v>1.1825842696629214</v>
      </c>
      <c r="E9" s="172">
        <v>8.2780898876404496</v>
      </c>
    </row>
    <row r="10" spans="1:5" x14ac:dyDescent="0.25">
      <c r="A10" s="17">
        <v>2016</v>
      </c>
      <c r="B10" s="173">
        <v>894</v>
      </c>
      <c r="C10" s="173">
        <v>907</v>
      </c>
      <c r="D10" s="171">
        <v>1.0145413870246085</v>
      </c>
      <c r="E10" s="172">
        <v>7.1017897091722597</v>
      </c>
    </row>
    <row r="11" spans="1:5" x14ac:dyDescent="0.25">
      <c r="A11" s="17">
        <v>2017</v>
      </c>
      <c r="B11" s="173">
        <v>829</v>
      </c>
      <c r="C11" s="173">
        <v>670</v>
      </c>
      <c r="D11" s="171">
        <v>0.80820265379975875</v>
      </c>
      <c r="E11" s="172">
        <v>5.6574185765983112</v>
      </c>
    </row>
    <row r="12" spans="1:5" x14ac:dyDescent="0.25">
      <c r="A12" s="17">
        <v>2018</v>
      </c>
      <c r="B12" s="173">
        <v>585</v>
      </c>
      <c r="C12" s="173">
        <v>574</v>
      </c>
      <c r="D12" s="171">
        <v>0.98119658119658115</v>
      </c>
      <c r="E12" s="172">
        <v>6.868376068376068</v>
      </c>
    </row>
    <row r="13" spans="1:5" x14ac:dyDescent="0.25">
      <c r="A13" s="17">
        <v>2019</v>
      </c>
      <c r="B13" s="173">
        <v>632</v>
      </c>
      <c r="C13" s="173">
        <v>524</v>
      </c>
      <c r="D13" s="171">
        <v>0.82911392405063289</v>
      </c>
      <c r="E13" s="172">
        <v>5.8037974683544302</v>
      </c>
    </row>
    <row r="14" spans="1:5" x14ac:dyDescent="0.25">
      <c r="A14" s="17">
        <v>2020</v>
      </c>
      <c r="B14" s="173"/>
      <c r="C14" s="173"/>
      <c r="D14" s="171"/>
      <c r="E14" s="172"/>
    </row>
    <row r="15" spans="1:5" x14ac:dyDescent="0.25">
      <c r="A15" s="17" t="s">
        <v>13</v>
      </c>
      <c r="B15" s="173">
        <v>96.333333333333329</v>
      </c>
      <c r="C15" s="173">
        <v>62.333333333333336</v>
      </c>
      <c r="D15" s="171">
        <v>0.61387381275440978</v>
      </c>
      <c r="E15" s="172">
        <v>4.2971166892808688</v>
      </c>
    </row>
    <row r="16" spans="1:5" x14ac:dyDescent="0.25">
      <c r="A16" s="17">
        <v>2015</v>
      </c>
      <c r="B16" s="173"/>
      <c r="C16" s="173"/>
      <c r="D16" s="171"/>
      <c r="E16" s="172"/>
    </row>
    <row r="17" spans="1:5" x14ac:dyDescent="0.25">
      <c r="A17" s="17">
        <v>2016</v>
      </c>
      <c r="B17" s="173"/>
      <c r="C17" s="173"/>
      <c r="D17" s="171"/>
      <c r="E17" s="172"/>
    </row>
    <row r="18" spans="1:5" x14ac:dyDescent="0.25">
      <c r="A18" s="17">
        <v>2017</v>
      </c>
      <c r="B18" s="173">
        <v>67</v>
      </c>
      <c r="C18" s="173">
        <v>27</v>
      </c>
      <c r="D18" s="171">
        <v>0.40298507462686567</v>
      </c>
      <c r="E18" s="172">
        <v>2.8208955223880596</v>
      </c>
    </row>
    <row r="19" spans="1:5" x14ac:dyDescent="0.25">
      <c r="A19" s="17">
        <v>2018</v>
      </c>
      <c r="B19" s="173">
        <v>110</v>
      </c>
      <c r="C19" s="173">
        <v>62</v>
      </c>
      <c r="D19" s="171">
        <v>0.5636363636363636</v>
      </c>
      <c r="E19" s="172">
        <v>3.9454545454545453</v>
      </c>
    </row>
    <row r="20" spans="1:5" x14ac:dyDescent="0.25">
      <c r="A20" s="17">
        <v>2019</v>
      </c>
      <c r="B20" s="173">
        <v>112</v>
      </c>
      <c r="C20" s="173">
        <v>98</v>
      </c>
      <c r="D20" s="171">
        <v>0.875</v>
      </c>
      <c r="E20" s="172">
        <v>6.125</v>
      </c>
    </row>
    <row r="21" spans="1:5" x14ac:dyDescent="0.25">
      <c r="A21" s="17">
        <v>2020</v>
      </c>
      <c r="B21" s="173"/>
      <c r="C21" s="173"/>
      <c r="D21" s="171"/>
      <c r="E21" s="172"/>
    </row>
    <row r="22" spans="1:5" x14ac:dyDescent="0.25">
      <c r="A22" s="17" t="s">
        <v>12</v>
      </c>
      <c r="B22" s="173">
        <v>261.66666666666669</v>
      </c>
      <c r="C22" s="173">
        <v>226</v>
      </c>
      <c r="D22" s="171">
        <v>0.86981370830580451</v>
      </c>
      <c r="E22" s="172">
        <v>6.088695958140633</v>
      </c>
    </row>
    <row r="23" spans="1:5" x14ac:dyDescent="0.25">
      <c r="A23" s="17">
        <v>2015</v>
      </c>
      <c r="B23" s="173"/>
      <c r="C23" s="173"/>
      <c r="D23" s="171"/>
      <c r="E23" s="172"/>
    </row>
    <row r="24" spans="1:5" x14ac:dyDescent="0.25">
      <c r="A24" s="17">
        <v>2016</v>
      </c>
      <c r="B24" s="173"/>
      <c r="C24" s="173"/>
      <c r="D24" s="171"/>
      <c r="E24" s="172"/>
    </row>
    <row r="25" spans="1:5" x14ac:dyDescent="0.25">
      <c r="A25" s="17">
        <v>2017</v>
      </c>
      <c r="B25" s="173">
        <v>157</v>
      </c>
      <c r="C25" s="173">
        <v>130</v>
      </c>
      <c r="D25" s="171">
        <v>0.82802547770700641</v>
      </c>
      <c r="E25" s="172">
        <v>5.7961783439490446</v>
      </c>
    </row>
    <row r="26" spans="1:5" x14ac:dyDescent="0.25">
      <c r="A26" s="17">
        <v>2018</v>
      </c>
      <c r="B26" s="173">
        <v>222.5</v>
      </c>
      <c r="C26" s="173">
        <v>212</v>
      </c>
      <c r="D26" s="171">
        <v>0.95280898876404496</v>
      </c>
      <c r="E26" s="172">
        <v>6.6696629213483147</v>
      </c>
    </row>
    <row r="27" spans="1:5" x14ac:dyDescent="0.25">
      <c r="A27" s="17">
        <v>2019</v>
      </c>
      <c r="B27" s="173">
        <v>405.5</v>
      </c>
      <c r="C27" s="173">
        <v>336</v>
      </c>
      <c r="D27" s="171">
        <v>0.8286066584463625</v>
      </c>
      <c r="E27" s="172">
        <v>5.800246609124537</v>
      </c>
    </row>
    <row r="28" spans="1:5" x14ac:dyDescent="0.25">
      <c r="A28" s="17">
        <v>2020</v>
      </c>
      <c r="B28" s="173"/>
      <c r="C28" s="173"/>
      <c r="D28" s="171"/>
      <c r="E28" s="172"/>
    </row>
    <row r="29" spans="1:5" x14ac:dyDescent="0.25">
      <c r="A29" s="17" t="s">
        <v>58</v>
      </c>
      <c r="B29" s="173">
        <v>106.5</v>
      </c>
      <c r="C29" s="173">
        <v>54</v>
      </c>
      <c r="D29" s="171">
        <v>0.50704225352112675</v>
      </c>
      <c r="E29" s="172">
        <v>3.549295774647887</v>
      </c>
    </row>
    <row r="30" spans="1:5" x14ac:dyDescent="0.25">
      <c r="A30" s="17">
        <v>2015</v>
      </c>
      <c r="B30" s="173"/>
      <c r="C30" s="173"/>
      <c r="D30" s="171"/>
      <c r="E30" s="172"/>
    </row>
    <row r="31" spans="1:5" x14ac:dyDescent="0.25">
      <c r="A31" s="17">
        <v>2016</v>
      </c>
      <c r="B31" s="173"/>
      <c r="C31" s="173"/>
      <c r="D31" s="171"/>
      <c r="E31" s="172"/>
    </row>
    <row r="32" spans="1:5" x14ac:dyDescent="0.25">
      <c r="A32" s="17">
        <v>2017</v>
      </c>
      <c r="B32" s="173"/>
      <c r="C32" s="173"/>
      <c r="D32" s="171"/>
      <c r="E32" s="172"/>
    </row>
    <row r="33" spans="1:5" x14ac:dyDescent="0.25">
      <c r="A33" s="17">
        <v>2018</v>
      </c>
      <c r="B33" s="173"/>
      <c r="C33" s="173"/>
      <c r="D33" s="171"/>
      <c r="E33" s="172"/>
    </row>
    <row r="34" spans="1:5" x14ac:dyDescent="0.25">
      <c r="A34" s="17">
        <v>2019</v>
      </c>
      <c r="B34" s="173">
        <v>106.5</v>
      </c>
      <c r="C34" s="173">
        <v>54</v>
      </c>
      <c r="D34" s="171">
        <v>0.50704225352112675</v>
      </c>
      <c r="E34" s="172">
        <v>3.549295774647887</v>
      </c>
    </row>
    <row r="35" spans="1:5" x14ac:dyDescent="0.25">
      <c r="A35" s="17">
        <v>2020</v>
      </c>
      <c r="B35" s="173"/>
      <c r="C35" s="173"/>
      <c r="D35" s="171"/>
      <c r="E35" s="172"/>
    </row>
    <row r="36" spans="1:5" x14ac:dyDescent="0.25">
      <c r="A36" s="17" t="s">
        <v>57</v>
      </c>
      <c r="B36" s="173">
        <v>152.375</v>
      </c>
      <c r="C36" s="173">
        <v>134</v>
      </c>
      <c r="D36" s="171">
        <v>0.88523782008951502</v>
      </c>
      <c r="E36" s="172">
        <v>6.1966647406266055</v>
      </c>
    </row>
    <row r="37" spans="1:5" x14ac:dyDescent="0.25">
      <c r="A37" s="17">
        <v>2015</v>
      </c>
      <c r="B37" s="173">
        <v>168</v>
      </c>
      <c r="C37" s="173">
        <v>121</v>
      </c>
      <c r="D37" s="171">
        <v>0.72023809523809523</v>
      </c>
      <c r="E37" s="172">
        <v>5.041666666666667</v>
      </c>
    </row>
    <row r="38" spans="1:5" x14ac:dyDescent="0.25">
      <c r="A38" s="17">
        <v>2016</v>
      </c>
      <c r="B38" s="173">
        <v>236.5</v>
      </c>
      <c r="C38" s="173">
        <v>215</v>
      </c>
      <c r="D38" s="171">
        <v>0.90909090909090906</v>
      </c>
      <c r="E38" s="172">
        <v>6.3636363636363633</v>
      </c>
    </row>
    <row r="39" spans="1:5" x14ac:dyDescent="0.25">
      <c r="A39" s="17">
        <v>2017</v>
      </c>
      <c r="B39" s="173">
        <v>177</v>
      </c>
      <c r="C39" s="173">
        <v>174</v>
      </c>
      <c r="D39" s="171">
        <v>0.98305084745762716</v>
      </c>
      <c r="E39" s="172">
        <v>6.8813559322033901</v>
      </c>
    </row>
    <row r="40" spans="1:5" x14ac:dyDescent="0.25">
      <c r="A40" s="17">
        <v>2018</v>
      </c>
      <c r="B40" s="173">
        <v>28</v>
      </c>
      <c r="C40" s="173">
        <v>26</v>
      </c>
      <c r="D40" s="171">
        <v>0.9285714285714286</v>
      </c>
      <c r="E40" s="172">
        <v>6.5</v>
      </c>
    </row>
    <row r="41" spans="1:5" x14ac:dyDescent="0.25">
      <c r="A41" s="17">
        <v>2019</v>
      </c>
      <c r="B41" s="173"/>
      <c r="C41" s="173"/>
      <c r="D41" s="171"/>
      <c r="E41" s="172"/>
    </row>
    <row r="42" spans="1:5" x14ac:dyDescent="0.25">
      <c r="A42" s="17" t="s">
        <v>11</v>
      </c>
      <c r="B42" s="173">
        <v>129.875</v>
      </c>
      <c r="C42" s="173">
        <v>106</v>
      </c>
      <c r="D42" s="171">
        <v>0.82519486439642131</v>
      </c>
      <c r="E42" s="172">
        <v>5.7763640507749487</v>
      </c>
    </row>
    <row r="43" spans="1:5" x14ac:dyDescent="0.25">
      <c r="A43" s="17">
        <v>2015</v>
      </c>
      <c r="B43" s="173"/>
      <c r="C43" s="173"/>
      <c r="D43" s="171"/>
      <c r="E43" s="172"/>
    </row>
    <row r="44" spans="1:5" x14ac:dyDescent="0.25">
      <c r="A44" s="17">
        <v>2016</v>
      </c>
      <c r="B44" s="173"/>
      <c r="C44" s="173"/>
      <c r="D44" s="171"/>
      <c r="E44" s="172"/>
    </row>
    <row r="45" spans="1:5" x14ac:dyDescent="0.25">
      <c r="A45" s="17">
        <v>2017</v>
      </c>
      <c r="B45" s="173">
        <v>84</v>
      </c>
      <c r="C45" s="173">
        <v>58</v>
      </c>
      <c r="D45" s="171">
        <v>0.69047619047619047</v>
      </c>
      <c r="E45" s="172">
        <v>4.833333333333333</v>
      </c>
    </row>
    <row r="46" spans="1:5" x14ac:dyDescent="0.25">
      <c r="A46" s="17">
        <v>2018</v>
      </c>
      <c r="B46" s="173">
        <v>171.5</v>
      </c>
      <c r="C46" s="173">
        <v>152</v>
      </c>
      <c r="D46" s="171">
        <v>0.88629737609329451</v>
      </c>
      <c r="E46" s="172">
        <v>6.2040816326530619</v>
      </c>
    </row>
    <row r="47" spans="1:5" x14ac:dyDescent="0.25">
      <c r="A47" s="17">
        <v>2019</v>
      </c>
      <c r="B47" s="173">
        <v>70</v>
      </c>
      <c r="C47" s="173">
        <v>68</v>
      </c>
      <c r="D47" s="171">
        <v>0.97142857142857142</v>
      </c>
      <c r="E47" s="172">
        <v>6.8</v>
      </c>
    </row>
    <row r="48" spans="1:5" x14ac:dyDescent="0.25">
      <c r="A48" s="17">
        <v>2020</v>
      </c>
      <c r="B48" s="173">
        <v>194</v>
      </c>
      <c r="C48" s="173">
        <v>146</v>
      </c>
      <c r="D48" s="171">
        <v>0.75257731958762886</v>
      </c>
      <c r="E48" s="172">
        <v>5.268041237113402</v>
      </c>
    </row>
    <row r="49" spans="1:5" x14ac:dyDescent="0.25">
      <c r="A49" s="17" t="s">
        <v>14</v>
      </c>
      <c r="B49" s="173">
        <v>161.66666666666666</v>
      </c>
      <c r="C49" s="173">
        <v>112</v>
      </c>
      <c r="D49" s="171">
        <v>0.6948473748473748</v>
      </c>
      <c r="E49" s="172">
        <v>4.8639316239316237</v>
      </c>
    </row>
    <row r="50" spans="1:5" x14ac:dyDescent="0.25">
      <c r="A50" s="17">
        <v>2015</v>
      </c>
      <c r="B50" s="173"/>
      <c r="C50" s="173"/>
      <c r="D50" s="171"/>
      <c r="E50" s="172"/>
    </row>
    <row r="51" spans="1:5" x14ac:dyDescent="0.25">
      <c r="A51" s="17">
        <v>2016</v>
      </c>
      <c r="B51" s="173"/>
      <c r="C51" s="173"/>
      <c r="D51" s="171"/>
      <c r="E51" s="172"/>
    </row>
    <row r="52" spans="1:5" x14ac:dyDescent="0.25">
      <c r="A52" s="17">
        <v>2017</v>
      </c>
      <c r="B52" s="173">
        <v>195</v>
      </c>
      <c r="C52" s="173">
        <v>132</v>
      </c>
      <c r="D52" s="171">
        <v>0.67692307692307696</v>
      </c>
      <c r="E52" s="172">
        <v>4.7384615384615385</v>
      </c>
    </row>
    <row r="53" spans="1:5" x14ac:dyDescent="0.25">
      <c r="A53" s="17">
        <v>2018</v>
      </c>
      <c r="B53" s="173">
        <v>150</v>
      </c>
      <c r="C53" s="173">
        <v>104</v>
      </c>
      <c r="D53" s="171">
        <v>0.69333333333333336</v>
      </c>
      <c r="E53" s="172">
        <v>4.8533333333333335</v>
      </c>
    </row>
    <row r="54" spans="1:5" x14ac:dyDescent="0.25">
      <c r="A54" s="17">
        <v>2019</v>
      </c>
      <c r="B54" s="173">
        <v>140</v>
      </c>
      <c r="C54" s="173">
        <v>100</v>
      </c>
      <c r="D54" s="171">
        <v>0.7142857142857143</v>
      </c>
      <c r="E54" s="172">
        <v>5</v>
      </c>
    </row>
    <row r="55" spans="1:5" x14ac:dyDescent="0.25">
      <c r="A55" s="17">
        <v>2020</v>
      </c>
      <c r="B55" s="173"/>
      <c r="C55" s="173"/>
      <c r="D55" s="171"/>
      <c r="E55" s="172"/>
    </row>
    <row r="56" spans="1:5" x14ac:dyDescent="0.25">
      <c r="A56" s="17" t="s">
        <v>88</v>
      </c>
      <c r="B56" s="173">
        <v>278.72222222222223</v>
      </c>
      <c r="C56" s="173">
        <v>248.33333333333334</v>
      </c>
      <c r="D56" s="171">
        <v>0.83122617443819513</v>
      </c>
      <c r="E56" s="172">
        <v>5.8185832210673656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23</vt:i4>
      </vt:variant>
    </vt:vector>
  </HeadingPairs>
  <TitlesOfParts>
    <vt:vector size="32" baseType="lpstr">
      <vt:lpstr>contacts 14</vt:lpstr>
      <vt:lpstr>Temps de travail 14</vt:lpstr>
      <vt:lpstr>contacts</vt:lpstr>
      <vt:lpstr>Prévisionnel 9</vt:lpstr>
      <vt:lpstr>Prévisionnel 10</vt:lpstr>
      <vt:lpstr>Prévisionnel 11</vt:lpstr>
      <vt:lpstr>Calendrier réél</vt:lpstr>
      <vt:lpstr>Temps de récolte par fagot</vt:lpstr>
      <vt:lpstr>TCD</vt:lpstr>
      <vt:lpstr>'Calendrier réél'!essai</vt:lpstr>
      <vt:lpstr>'Prévisionnel 10'!essai</vt:lpstr>
      <vt:lpstr>'Prévisionnel 11'!essai</vt:lpstr>
      <vt:lpstr>'Prévisionnel 9'!essai</vt:lpstr>
      <vt:lpstr>essai</vt:lpstr>
      <vt:lpstr>'Calendrier réél'!impression</vt:lpstr>
      <vt:lpstr>'Prévisionnel 10'!impression</vt:lpstr>
      <vt:lpstr>'Prévisionnel 11'!impression</vt:lpstr>
      <vt:lpstr>'Prévisionnel 9'!impression</vt:lpstr>
      <vt:lpstr>impression</vt:lpstr>
      <vt:lpstr>'Calendrier réél'!Impression_des_titres</vt:lpstr>
      <vt:lpstr>'Prévisionnel 10'!Impression_des_titres</vt:lpstr>
      <vt:lpstr>'Prévisionnel 11'!Impression_des_titres</vt:lpstr>
      <vt:lpstr>'Prévisionnel 9'!Impression_des_titres</vt:lpstr>
      <vt:lpstr>'Temps de travail 14'!Impression_des_titres</vt:lpstr>
      <vt:lpstr>Tableau</vt:lpstr>
      <vt:lpstr>'Calendrier réél'!Zone_d_impression</vt:lpstr>
      <vt:lpstr>contacts!Zone_d_impression</vt:lpstr>
      <vt:lpstr>'contacts 14'!Zone_d_impression</vt:lpstr>
      <vt:lpstr>'Prévisionnel 10'!Zone_d_impression</vt:lpstr>
      <vt:lpstr>'Prévisionnel 11'!Zone_d_impression</vt:lpstr>
      <vt:lpstr>'Prévisionnel 9'!Zone_d_impression</vt:lpstr>
      <vt:lpstr>'Temps de travail 14'!Zone_d_impression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cp:lastPrinted>2020-01-06T10:17:51Z</cp:lastPrinted>
  <dcterms:created xsi:type="dcterms:W3CDTF">2017-09-27T11:03:07Z</dcterms:created>
  <dcterms:modified xsi:type="dcterms:W3CDTF">2020-01-08T14:55:56Z</dcterms:modified>
</cp:coreProperties>
</file>