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13_ncr:1_{5A85F880-86F6-482F-8829-BE2EADE4BFA8}" xr6:coauthVersionLast="45" xr6:coauthVersionMax="45" xr10:uidLastSave="{00000000-0000-0000-0000-000000000000}"/>
  <bookViews>
    <workbookView xWindow="-120" yWindow="-120" windowWidth="29040" windowHeight="15840" tabRatio="957" activeTab="2" xr2:uid="{0B3BBBE8-AD9B-42C7-BE36-45130093338E}"/>
  </bookViews>
  <sheets>
    <sheet name="PMI" sheetId="53" r:id="rId1"/>
    <sheet name="Australia" sheetId="3" r:id="rId2"/>
    <sheet name="Austria" sheetId="4" r:id="rId3"/>
    <sheet name="Brazil" sheetId="5" r:id="rId4"/>
    <sheet name="Canada" sheetId="6" r:id="rId5"/>
    <sheet name="China" sheetId="7" r:id="rId6"/>
    <sheet name="Colombia" sheetId="8" r:id="rId7"/>
    <sheet name="Czech Republic" sheetId="9" r:id="rId8"/>
    <sheet name="Denmark" sheetId="10" r:id="rId9"/>
    <sheet name="Egypt" sheetId="11" r:id="rId10"/>
    <sheet name="Euro Area" sheetId="12" r:id="rId11"/>
    <sheet name="France" sheetId="13" r:id="rId12"/>
    <sheet name="Germany" sheetId="14" r:id="rId13"/>
    <sheet name="Greece" sheetId="15" r:id="rId14"/>
    <sheet name="Hong Kong" sheetId="16" r:id="rId15"/>
    <sheet name="Hungary" sheetId="17" r:id="rId16"/>
    <sheet name="India" sheetId="18" r:id="rId17"/>
    <sheet name="Indonesia" sheetId="19" r:id="rId18"/>
    <sheet name="Ireland" sheetId="20" r:id="rId19"/>
    <sheet name="Israel" sheetId="21" r:id="rId20"/>
    <sheet name="Italy" sheetId="22" r:id="rId21"/>
    <sheet name="Japan" sheetId="23" r:id="rId22"/>
    <sheet name="Kenya" sheetId="24" r:id="rId23"/>
    <sheet name="Lebanon" sheetId="25" r:id="rId24"/>
    <sheet name="Malaysia" sheetId="26" r:id="rId25"/>
    <sheet name="Mexico" sheetId="27" r:id="rId26"/>
    <sheet name="Myanmar" sheetId="28" r:id="rId27"/>
    <sheet name="Netherlands" sheetId="29" r:id="rId28"/>
    <sheet name="New Zealand" sheetId="30" r:id="rId29"/>
    <sheet name="Nigeria" sheetId="31" r:id="rId30"/>
    <sheet name="Norway" sheetId="32" r:id="rId31"/>
    <sheet name="Philippines" sheetId="33" r:id="rId32"/>
    <sheet name="Poland" sheetId="34" r:id="rId33"/>
    <sheet name="Puerto Rico" sheetId="35" r:id="rId34"/>
    <sheet name="Qatar" sheetId="36" r:id="rId35"/>
    <sheet name="Russia" sheetId="37" r:id="rId36"/>
    <sheet name="Saudi Arabia" sheetId="38" r:id="rId37"/>
    <sheet name="Singapore" sheetId="39" r:id="rId38"/>
    <sheet name="South Africa" sheetId="40" r:id="rId39"/>
    <sheet name="South Korea" sheetId="41" r:id="rId40"/>
    <sheet name="Spain" sheetId="42" r:id="rId41"/>
    <sheet name="Sri Lanka" sheetId="43" r:id="rId42"/>
    <sheet name="Sweden" sheetId="44" r:id="rId43"/>
    <sheet name="Switzerland" sheetId="45" r:id="rId44"/>
    <sheet name="Taiwan" sheetId="46" r:id="rId45"/>
    <sheet name="Thailand" sheetId="47" r:id="rId46"/>
    <sheet name="Turkey" sheetId="48" r:id="rId47"/>
    <sheet name="United Arab Emirates" sheetId="49" r:id="rId48"/>
    <sheet name="United Kingdom" sheetId="50" r:id="rId49"/>
    <sheet name="United States" sheetId="51" r:id="rId50"/>
    <sheet name="Vietnam" sheetId="52" r:id="rId51"/>
  </sheets>
  <definedNames>
    <definedName name="ExternalData_1" localSheetId="0" hidden="1">PMI!$A$1:$D$51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1" i="52" l="1"/>
  <c r="D91" i="52"/>
  <c r="E93" i="51"/>
  <c r="D93" i="51"/>
  <c r="E146" i="50"/>
  <c r="D146" i="50"/>
  <c r="E98" i="49"/>
  <c r="D98" i="49"/>
  <c r="E98" i="48"/>
  <c r="D98" i="48"/>
  <c r="E43" i="47"/>
  <c r="D43" i="47"/>
  <c r="E98" i="46"/>
  <c r="D98" i="46"/>
  <c r="E301" i="45"/>
  <c r="D301" i="45"/>
  <c r="E303" i="44"/>
  <c r="D303" i="44"/>
  <c r="E57" i="43"/>
  <c r="D57" i="43"/>
  <c r="E106" i="42"/>
  <c r="D106" i="42"/>
  <c r="E105" i="41"/>
  <c r="D105" i="41"/>
  <c r="E245" i="40"/>
  <c r="D245" i="40"/>
  <c r="E96" i="39"/>
  <c r="D96" i="39"/>
  <c r="E98" i="38"/>
  <c r="D98" i="38"/>
  <c r="E102" i="37"/>
  <c r="D102" i="37"/>
  <c r="E34" i="36"/>
  <c r="D34" i="36"/>
  <c r="E116" i="35"/>
  <c r="D116" i="35"/>
  <c r="E109" i="34"/>
  <c r="D109" i="34"/>
  <c r="E49" i="33"/>
  <c r="D49" i="33"/>
  <c r="E192" i="32"/>
  <c r="D192" i="32"/>
  <c r="E68" i="31"/>
  <c r="D68" i="31"/>
  <c r="E210" i="30"/>
  <c r="D210" i="30"/>
  <c r="E38" i="29"/>
  <c r="D38" i="29"/>
  <c r="E43" i="28"/>
  <c r="D43" i="28"/>
  <c r="E94" i="27"/>
  <c r="D94" i="27"/>
  <c r="E58" i="26"/>
  <c r="D58" i="26"/>
  <c r="E75" i="25"/>
  <c r="D75" i="25"/>
  <c r="E64" i="24"/>
  <c r="D64" i="24"/>
  <c r="E146" i="23"/>
  <c r="D146" i="23"/>
  <c r="E97" i="22"/>
  <c r="D97" i="22"/>
  <c r="E205" i="21"/>
  <c r="D205" i="21"/>
  <c r="E99" i="20"/>
  <c r="D99" i="20"/>
  <c r="E91" i="19"/>
  <c r="D91" i="19"/>
  <c r="E94" i="18"/>
  <c r="D94" i="18"/>
  <c r="E293" i="17"/>
  <c r="D293" i="17"/>
  <c r="E98" i="16"/>
  <c r="D98" i="16"/>
  <c r="E104" i="15"/>
  <c r="D104" i="15"/>
  <c r="E82" i="14"/>
  <c r="D82" i="14"/>
  <c r="E107" i="13"/>
  <c r="D107" i="13"/>
  <c r="E153" i="12"/>
  <c r="D153" i="12"/>
  <c r="E88" i="11"/>
  <c r="D88" i="11"/>
  <c r="E313" i="10"/>
  <c r="D313" i="10"/>
  <c r="E98" i="9"/>
  <c r="D98" i="9"/>
  <c r="E54" i="8"/>
  <c r="D54" i="8"/>
  <c r="E182" i="7"/>
  <c r="D182" i="7"/>
  <c r="E106" i="6"/>
  <c r="D106" i="6"/>
  <c r="E92" i="5"/>
  <c r="D92" i="5"/>
  <c r="E83" i="4"/>
  <c r="D83" i="4"/>
  <c r="E260" i="3"/>
  <c r="D260" i="3"/>
  <c r="E13" i="9" l="1"/>
  <c r="E2" i="52" l="1"/>
  <c r="E3" i="52"/>
  <c r="E4" i="52"/>
  <c r="E5" i="52"/>
  <c r="E6" i="52"/>
  <c r="E7" i="52"/>
  <c r="E8" i="52"/>
  <c r="E9" i="52"/>
  <c r="E10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E90" i="52"/>
  <c r="G2" i="52" s="1"/>
  <c r="E2" i="51"/>
  <c r="E3" i="51"/>
  <c r="E4" i="51"/>
  <c r="E5" i="51"/>
  <c r="E6" i="51"/>
  <c r="E7" i="51"/>
  <c r="E8" i="51"/>
  <c r="E9" i="51"/>
  <c r="E10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G2" i="51" s="1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G2" i="50" s="1"/>
  <c r="E2" i="49"/>
  <c r="E3" i="49"/>
  <c r="E4" i="49"/>
  <c r="E5" i="49"/>
  <c r="E6" i="49"/>
  <c r="E7" i="49"/>
  <c r="E8" i="49"/>
  <c r="E9" i="49"/>
  <c r="E10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E97" i="49"/>
  <c r="G2" i="49" s="1"/>
  <c r="E2" i="48"/>
  <c r="E3" i="48"/>
  <c r="E4" i="48"/>
  <c r="E5" i="48"/>
  <c r="E6" i="48"/>
  <c r="E7" i="48"/>
  <c r="E8" i="48"/>
  <c r="E9" i="48"/>
  <c r="E10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E97" i="48"/>
  <c r="G2" i="48" s="1"/>
  <c r="E2" i="47"/>
  <c r="E3" i="47"/>
  <c r="E4" i="47"/>
  <c r="E5" i="47"/>
  <c r="E6" i="47"/>
  <c r="E7" i="47"/>
  <c r="E8" i="47"/>
  <c r="E9" i="47"/>
  <c r="E10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E42" i="47"/>
  <c r="G2" i="47" s="1"/>
  <c r="E2" i="46"/>
  <c r="E3" i="46"/>
  <c r="E4" i="46"/>
  <c r="E5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G2" i="46" s="1"/>
  <c r="E2" i="45"/>
  <c r="E3" i="45"/>
  <c r="E4" i="45"/>
  <c r="E5" i="45"/>
  <c r="E6" i="45"/>
  <c r="E7" i="45"/>
  <c r="E8" i="45"/>
  <c r="E9" i="45"/>
  <c r="E10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E300" i="45"/>
  <c r="G2" i="45" s="1"/>
  <c r="E2" i="44"/>
  <c r="E3" i="44"/>
  <c r="E4" i="44"/>
  <c r="E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E302" i="44"/>
  <c r="G2" i="44" s="1"/>
  <c r="E2" i="43"/>
  <c r="E3" i="43"/>
  <c r="E4" i="43"/>
  <c r="E5" i="43"/>
  <c r="E6" i="43"/>
  <c r="E7" i="43"/>
  <c r="E8" i="43"/>
  <c r="E9" i="43"/>
  <c r="E10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G2" i="43" s="1"/>
  <c r="E2" i="42"/>
  <c r="E3" i="42"/>
  <c r="E4" i="42"/>
  <c r="E5" i="42"/>
  <c r="E6" i="42"/>
  <c r="E7" i="42"/>
  <c r="E8" i="42"/>
  <c r="E9" i="42"/>
  <c r="E10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E105" i="42"/>
  <c r="G2" i="42" s="1"/>
  <c r="E2" i="41"/>
  <c r="E3" i="41"/>
  <c r="E4" i="41"/>
  <c r="E5" i="41"/>
  <c r="E6" i="41"/>
  <c r="E7" i="41"/>
  <c r="E8" i="41"/>
  <c r="E9" i="41"/>
  <c r="E10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G2" i="41" s="1"/>
  <c r="E2" i="40"/>
  <c r="E3" i="40"/>
  <c r="E4" i="40"/>
  <c r="E5" i="40"/>
  <c r="E6" i="40"/>
  <c r="E7" i="40"/>
  <c r="E8" i="40"/>
  <c r="E9" i="40"/>
  <c r="E10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E244" i="40"/>
  <c r="G2" i="40" s="1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E95" i="39"/>
  <c r="G2" i="39" s="1"/>
  <c r="E2" i="38"/>
  <c r="E3" i="38"/>
  <c r="E4" i="38"/>
  <c r="E5" i="38"/>
  <c r="E6" i="38"/>
  <c r="E7" i="38"/>
  <c r="E8" i="38"/>
  <c r="E9" i="38"/>
  <c r="E10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E97" i="38"/>
  <c r="G2" i="38" s="1"/>
  <c r="E2" i="37"/>
  <c r="E3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G2" i="37" s="1"/>
  <c r="E2" i="36"/>
  <c r="E3" i="36"/>
  <c r="E4" i="36"/>
  <c r="E5" i="36"/>
  <c r="E6" i="36"/>
  <c r="E7" i="36"/>
  <c r="E8" i="36"/>
  <c r="E9" i="36"/>
  <c r="E10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E33" i="36"/>
  <c r="G2" i="36" s="1"/>
  <c r="E2" i="35"/>
  <c r="E3" i="35"/>
  <c r="E4" i="35"/>
  <c r="E5" i="35"/>
  <c r="E6" i="35"/>
  <c r="E7" i="35"/>
  <c r="E8" i="35"/>
  <c r="E9" i="35"/>
  <c r="E10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115" i="35"/>
  <c r="G2" i="35" s="1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E108" i="34"/>
  <c r="G2" i="34" s="1"/>
  <c r="E2" i="33"/>
  <c r="E3" i="33"/>
  <c r="E4" i="33"/>
  <c r="E5" i="33"/>
  <c r="E6" i="33"/>
  <c r="E7" i="33"/>
  <c r="E8" i="33"/>
  <c r="E9" i="33"/>
  <c r="E10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E48" i="33"/>
  <c r="G2" i="33" s="1"/>
  <c r="E2" i="32"/>
  <c r="E3" i="32"/>
  <c r="E4" i="32"/>
  <c r="E5" i="32"/>
  <c r="E6" i="32"/>
  <c r="E7" i="32"/>
  <c r="E8" i="32"/>
  <c r="E9" i="32"/>
  <c r="E10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G2" i="32" s="1"/>
  <c r="E2" i="31"/>
  <c r="E3" i="31"/>
  <c r="E4" i="31"/>
  <c r="E5" i="31"/>
  <c r="E6" i="31"/>
  <c r="E7" i="31"/>
  <c r="E8" i="31"/>
  <c r="E9" i="31"/>
  <c r="E10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7" i="31"/>
  <c r="G2" i="31" s="1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G2" i="30" s="1"/>
  <c r="E2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G2" i="29" s="1"/>
  <c r="E2" i="28"/>
  <c r="E3" i="28"/>
  <c r="E4" i="28"/>
  <c r="E5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G2" i="28" s="1"/>
  <c r="E2" i="27"/>
  <c r="E3" i="27"/>
  <c r="E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G2" i="27" s="1"/>
  <c r="E2" i="26"/>
  <c r="E3" i="26"/>
  <c r="E4" i="26"/>
  <c r="E5" i="26"/>
  <c r="E6" i="26"/>
  <c r="E7" i="26"/>
  <c r="E8" i="26"/>
  <c r="E9" i="26"/>
  <c r="E10" i="26"/>
  <c r="E11" i="26"/>
  <c r="E12" i="26"/>
  <c r="E13" i="26"/>
  <c r="E14" i="26"/>
  <c r="E15" i="26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G2" i="26" s="1"/>
  <c r="E2" i="25"/>
  <c r="E3" i="25"/>
  <c r="E4" i="25"/>
  <c r="E5" i="25"/>
  <c r="E6" i="25"/>
  <c r="E7" i="25"/>
  <c r="E8" i="25"/>
  <c r="E9" i="25"/>
  <c r="E10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G2" i="25" s="1"/>
  <c r="E2" i="24"/>
  <c r="E3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G2" i="24" s="1"/>
  <c r="E2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G2" i="23" s="1"/>
  <c r="E2" i="22"/>
  <c r="E3" i="22"/>
  <c r="E4" i="22"/>
  <c r="E5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96" i="22"/>
  <c r="G2" i="22" s="1"/>
  <c r="E2" i="21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G2" i="21" s="1"/>
  <c r="E2" i="20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G2" i="20" s="1"/>
  <c r="E2" i="19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G2" i="19" s="1"/>
  <c r="E2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G2" i="18" s="1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G2" i="17" s="1"/>
  <c r="E2" i="16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G2" i="16" s="1"/>
  <c r="E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G2" i="15" s="1"/>
  <c r="E2" i="14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G2" i="13" s="1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G2" i="12" s="1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G2" i="11" s="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G2" i="10" s="1"/>
  <c r="E2" i="9"/>
  <c r="E3" i="9"/>
  <c r="E4" i="9"/>
  <c r="E5" i="9"/>
  <c r="E6" i="9"/>
  <c r="E7" i="9"/>
  <c r="E8" i="9"/>
  <c r="E9" i="9"/>
  <c r="E10" i="9"/>
  <c r="E11" i="9"/>
  <c r="E12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G2" i="9" s="1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G2" i="8" s="1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G2" i="7" s="1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G2" i="6" s="1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G2" i="5" s="1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G2" i="3" s="1"/>
  <c r="G2" i="4" l="1"/>
  <c r="F2" i="9" l="1"/>
  <c r="D90" i="52" l="1"/>
  <c r="F2" i="52" s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10" i="52"/>
  <c r="D9" i="52"/>
  <c r="D8" i="52"/>
  <c r="D7" i="52"/>
  <c r="D6" i="52"/>
  <c r="D5" i="52"/>
  <c r="D4" i="52"/>
  <c r="D3" i="52"/>
  <c r="D92" i="51"/>
  <c r="F2" i="51" s="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10" i="51"/>
  <c r="D9" i="51"/>
  <c r="D8" i="51"/>
  <c r="D7" i="51"/>
  <c r="D6" i="51"/>
  <c r="D5" i="51"/>
  <c r="D4" i="51"/>
  <c r="D3" i="51"/>
  <c r="D145" i="50"/>
  <c r="F2" i="50" s="1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10" i="50"/>
  <c r="D9" i="50"/>
  <c r="D8" i="50"/>
  <c r="D7" i="50"/>
  <c r="D6" i="50"/>
  <c r="D5" i="50"/>
  <c r="D4" i="50"/>
  <c r="D3" i="50"/>
  <c r="D97" i="49"/>
  <c r="F2" i="49" s="1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10" i="49"/>
  <c r="D9" i="49"/>
  <c r="D8" i="49"/>
  <c r="D7" i="49"/>
  <c r="D6" i="49"/>
  <c r="D5" i="49"/>
  <c r="D4" i="49"/>
  <c r="D3" i="49"/>
  <c r="D97" i="48"/>
  <c r="F2" i="48" s="1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10" i="48"/>
  <c r="D9" i="48"/>
  <c r="D8" i="48"/>
  <c r="D7" i="48"/>
  <c r="D6" i="48"/>
  <c r="D5" i="48"/>
  <c r="D4" i="48"/>
  <c r="D3" i="48"/>
  <c r="D42" i="47"/>
  <c r="F2" i="47" s="1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10" i="47"/>
  <c r="D9" i="47"/>
  <c r="D8" i="47"/>
  <c r="D7" i="47"/>
  <c r="D6" i="47"/>
  <c r="D5" i="47"/>
  <c r="D4" i="47"/>
  <c r="D3" i="47"/>
  <c r="D97" i="46"/>
  <c r="F2" i="46" s="1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10" i="46"/>
  <c r="D9" i="46"/>
  <c r="D8" i="46"/>
  <c r="D7" i="46"/>
  <c r="D6" i="46"/>
  <c r="D5" i="46"/>
  <c r="D4" i="46"/>
  <c r="D3" i="46"/>
  <c r="D300" i="45"/>
  <c r="F2" i="45" s="1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D6" i="45"/>
  <c r="D5" i="45"/>
  <c r="D4" i="45"/>
  <c r="D3" i="45"/>
  <c r="D302" i="44"/>
  <c r="F2" i="44" s="1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10" i="44"/>
  <c r="D9" i="44"/>
  <c r="D8" i="44"/>
  <c r="D7" i="44"/>
  <c r="D6" i="44"/>
  <c r="D5" i="44"/>
  <c r="D4" i="44"/>
  <c r="D3" i="44"/>
  <c r="D56" i="43"/>
  <c r="F2" i="43" s="1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10" i="43"/>
  <c r="D9" i="43"/>
  <c r="D8" i="43"/>
  <c r="D7" i="43"/>
  <c r="D6" i="43"/>
  <c r="D5" i="43"/>
  <c r="D4" i="43"/>
  <c r="D3" i="43"/>
  <c r="D105" i="42"/>
  <c r="F2" i="42" s="1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10" i="42"/>
  <c r="D9" i="42"/>
  <c r="D8" i="42"/>
  <c r="D7" i="42"/>
  <c r="D6" i="42"/>
  <c r="D5" i="42"/>
  <c r="D4" i="42"/>
  <c r="D3" i="42"/>
  <c r="D104" i="41"/>
  <c r="F2" i="41" s="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10" i="41"/>
  <c r="D9" i="41"/>
  <c r="D8" i="41"/>
  <c r="D7" i="41"/>
  <c r="D6" i="41"/>
  <c r="D5" i="41"/>
  <c r="D4" i="41"/>
  <c r="D3" i="41"/>
  <c r="D244" i="40"/>
  <c r="F2" i="40" s="1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10" i="40"/>
  <c r="D9" i="40"/>
  <c r="D8" i="40"/>
  <c r="D7" i="40"/>
  <c r="D6" i="40"/>
  <c r="D5" i="40"/>
  <c r="D4" i="40"/>
  <c r="D3" i="40"/>
  <c r="D95" i="39"/>
  <c r="F2" i="39" s="1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6" i="39"/>
  <c r="D5" i="39"/>
  <c r="D4" i="39"/>
  <c r="D3" i="39"/>
  <c r="D97" i="38"/>
  <c r="F2" i="38" s="1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6" i="38"/>
  <c r="D5" i="38"/>
  <c r="D4" i="38"/>
  <c r="D3" i="38"/>
  <c r="D101" i="37"/>
  <c r="F2" i="37" s="1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10" i="37"/>
  <c r="D9" i="37"/>
  <c r="D8" i="37"/>
  <c r="D7" i="37"/>
  <c r="D6" i="37"/>
  <c r="D5" i="37"/>
  <c r="D4" i="37"/>
  <c r="D3" i="37"/>
  <c r="D33" i="36"/>
  <c r="F2" i="36" s="1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10" i="36"/>
  <c r="D9" i="36"/>
  <c r="D8" i="36"/>
  <c r="D7" i="36"/>
  <c r="D6" i="36"/>
  <c r="D5" i="36"/>
  <c r="D4" i="36"/>
  <c r="D3" i="36"/>
  <c r="D115" i="35"/>
  <c r="F2" i="35" s="1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8" i="35"/>
  <c r="D7" i="35"/>
  <c r="D6" i="35"/>
  <c r="D5" i="35"/>
  <c r="D4" i="35"/>
  <c r="D3" i="35"/>
  <c r="D108" i="34"/>
  <c r="F2" i="34" s="1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10" i="34"/>
  <c r="D9" i="34"/>
  <c r="D8" i="34"/>
  <c r="D7" i="34"/>
  <c r="D6" i="34"/>
  <c r="D5" i="34"/>
  <c r="D4" i="34"/>
  <c r="D3" i="34"/>
  <c r="D48" i="33"/>
  <c r="F2" i="33" s="1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10" i="33"/>
  <c r="D9" i="33"/>
  <c r="D8" i="33"/>
  <c r="D7" i="33"/>
  <c r="D6" i="33"/>
  <c r="D5" i="33"/>
  <c r="D4" i="33"/>
  <c r="D3" i="33"/>
  <c r="D191" i="32"/>
  <c r="F2" i="32" s="1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10" i="32"/>
  <c r="D9" i="32"/>
  <c r="D8" i="32"/>
  <c r="D7" i="32"/>
  <c r="D6" i="32"/>
  <c r="D5" i="32"/>
  <c r="D4" i="32"/>
  <c r="D3" i="32"/>
  <c r="D67" i="31"/>
  <c r="F2" i="31" s="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09" i="30"/>
  <c r="F2" i="30" s="1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10" i="30"/>
  <c r="D9" i="30"/>
  <c r="D8" i="30"/>
  <c r="D7" i="30"/>
  <c r="D6" i="30"/>
  <c r="D5" i="30"/>
  <c r="D4" i="30"/>
  <c r="D3" i="30"/>
  <c r="D37" i="29"/>
  <c r="F2" i="29" s="1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10" i="29"/>
  <c r="D9" i="29"/>
  <c r="D8" i="29"/>
  <c r="D7" i="29"/>
  <c r="D6" i="29"/>
  <c r="D5" i="29"/>
  <c r="D4" i="29"/>
  <c r="D3" i="29"/>
  <c r="D42" i="28"/>
  <c r="F2" i="28" s="1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4" i="28"/>
  <c r="D3" i="28"/>
  <c r="D93" i="27"/>
  <c r="F2" i="27" s="1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4" i="27"/>
  <c r="D3" i="27"/>
  <c r="D57" i="26"/>
  <c r="F2" i="26" s="1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4" i="26"/>
  <c r="D3" i="26"/>
  <c r="D74" i="25"/>
  <c r="F2" i="25" s="1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10" i="25"/>
  <c r="D9" i="25"/>
  <c r="D8" i="25"/>
  <c r="D7" i="25"/>
  <c r="D6" i="25"/>
  <c r="D5" i="25"/>
  <c r="D4" i="25"/>
  <c r="D3" i="25"/>
  <c r="D63" i="24"/>
  <c r="F2" i="24" s="1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145" i="23"/>
  <c r="F2" i="23" s="1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10" i="23"/>
  <c r="D9" i="23"/>
  <c r="D8" i="23"/>
  <c r="D7" i="23"/>
  <c r="D6" i="23"/>
  <c r="D5" i="23"/>
  <c r="D4" i="23"/>
  <c r="D3" i="23"/>
  <c r="D96" i="22"/>
  <c r="F2" i="22" s="1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10" i="22"/>
  <c r="D9" i="22"/>
  <c r="D8" i="22"/>
  <c r="D7" i="22"/>
  <c r="D6" i="22"/>
  <c r="D5" i="22"/>
  <c r="D4" i="22"/>
  <c r="D3" i="22"/>
  <c r="D204" i="21"/>
  <c r="F2" i="21" s="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10" i="21"/>
  <c r="D9" i="21"/>
  <c r="D8" i="21"/>
  <c r="D7" i="21"/>
  <c r="D6" i="21"/>
  <c r="D5" i="21"/>
  <c r="D4" i="21"/>
  <c r="D3" i="21"/>
  <c r="D98" i="20"/>
  <c r="F2" i="20" s="1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10" i="20"/>
  <c r="D9" i="20"/>
  <c r="D8" i="20"/>
  <c r="D7" i="20"/>
  <c r="D6" i="20"/>
  <c r="D5" i="20"/>
  <c r="D4" i="20"/>
  <c r="D3" i="20"/>
  <c r="D90" i="19"/>
  <c r="F2" i="19" s="1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D3" i="19"/>
  <c r="D93" i="18"/>
  <c r="F2" i="18" s="1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92" i="17"/>
  <c r="F2" i="17" s="1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4" i="17"/>
  <c r="D3" i="17"/>
  <c r="D97" i="16"/>
  <c r="F2" i="16" s="1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4" i="16"/>
  <c r="D3" i="16"/>
  <c r="D103" i="15"/>
  <c r="F2" i="15" s="1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81" i="14"/>
  <c r="F2" i="14" s="1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D106" i="13"/>
  <c r="F2" i="13" s="1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152" i="12"/>
  <c r="F2" i="12" s="1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87" i="11"/>
  <c r="F2" i="11" s="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312" i="10"/>
  <c r="F2" i="10" s="1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D53" i="8"/>
  <c r="F2" i="8" s="1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D181" i="7"/>
  <c r="F2" i="7" s="1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105" i="6"/>
  <c r="F2" i="6" s="1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91" i="5"/>
  <c r="F2" i="5" s="1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82" i="4"/>
  <c r="F2" i="4" s="1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3C9E81-5474-4F47-B79E-881A2416AEDE}" keepAlive="1" name="Query - PMI (2)" description="Connection to the 'PMI (2)' query in the workbook." type="5" refreshedVersion="6" background="1" saveData="1">
    <dbPr connection="Provider=Microsoft.Mashup.OleDb.1;Data Source=$Workbook$;Location=&quot;PMI (2)&quot;;Extended Properties=&quot;&quot;" command="SELECT * FROM [PMI (2)]"/>
  </connection>
  <connection id="2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<sst xmlns="http://schemas.openxmlformats.org/spreadsheetml/2006/main" count="896" uniqueCount="158">
  <si>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</si>
  <si>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</si>
  <si>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</si>
  <si>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</si>
  <si>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</si>
  <si>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</si>
  <si>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</si>
  <si>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</si>
  <si>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</si>
  <si>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</si>
  <si>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</si>
  <si>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</si>
  <si>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</si>
  <si>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</si>
  <si>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</si>
  <si>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</si>
  <si>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</si>
  <si>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</si>
  <si>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</si>
  <si>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</si>
  <si>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</si>
  <si>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</si>
  <si>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</si>
  <si>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</si>
  <si>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</si>
  <si>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</si>
  <si>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</si>
  <si>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</si>
  <si>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</si>
  <si>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</si>
  <si>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</si>
  <si>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</si>
  <si>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</si>
  <si>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</si>
  <si>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</si>
  <si>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</si>
  <si>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</si>
  <si>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</si>
  <si>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</si>
  <si>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</si>
  <si>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</si>
  <si>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</si>
  <si>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</si>
  <si>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</si>
  <si>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</si>
  <si>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</si>
  <si>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</si>
  <si>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</si>
  <si>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</si>
  <si>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</si>
  <si>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</si>
  <si>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</si>
  <si>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</si>
  <si>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 2011-12-01</t>
  </si>
  <si>
    <t> 2012-01-01</t>
  </si>
  <si>
    <t> 2012-02-01</t>
  </si>
  <si>
    <t> 2012-03-01</t>
  </si>
  <si>
    <t> 2012-04-01</t>
  </si>
  <si>
    <t> 2012-05-01</t>
  </si>
  <si>
    <t> 2012-07-01</t>
  </si>
  <si>
    <t> 2012-08-01</t>
  </si>
  <si>
    <t> 2012-09-01</t>
  </si>
  <si>
    <t> 2012-10-01</t>
  </si>
  <si>
    <t> 2012-11-01</t>
  </si>
  <si>
    <t> 2012-12-01</t>
  </si>
  <si>
    <t> 2013-01-01</t>
  </si>
  <si>
    <t> 2013-02-01</t>
  </si>
  <si>
    <t> 2013-03-01</t>
  </si>
  <si>
    <t> 2013-04-01</t>
  </si>
  <si>
    <t> 2013-05-01</t>
  </si>
  <si>
    <t> 2013-06-01</t>
  </si>
  <si>
    <t> 2013-07-01</t>
  </si>
  <si>
    <t> 2013-08-01</t>
  </si>
  <si>
    <t> 2013-09-01</t>
  </si>
  <si>
    <t> 2013-10-01</t>
  </si>
  <si>
    <t> 2013-11-01</t>
  </si>
  <si>
    <t> 2013-12-01</t>
  </si>
  <si>
    <t> 2014-01-01</t>
  </si>
  <si>
    <t> 2014-02-01</t>
  </si>
  <si>
    <t> 2014-03-01</t>
  </si>
  <si>
    <t> 2014-04-01</t>
  </si>
  <si>
    <t> 2014-05-01</t>
  </si>
  <si>
    <t> 2014-06-01</t>
  </si>
  <si>
    <t> 2014-07-01</t>
  </si>
  <si>
    <t> 2014-08-01</t>
  </si>
  <si>
    <t> 2014-09-01</t>
  </si>
  <si>
    <t> 2014-10-01</t>
  </si>
  <si>
    <t> 2014-11-01</t>
  </si>
  <si>
    <t> 2014-12-01</t>
  </si>
  <si>
    <t> 2015-01-01</t>
  </si>
  <si>
    <t> 2015-02-01</t>
  </si>
  <si>
    <t> 2015-03-01</t>
  </si>
  <si>
    <t> 2015-04-01</t>
  </si>
  <si>
    <t> 2015-05-01</t>
  </si>
  <si>
    <t> 2015-06-01</t>
  </si>
  <si>
    <t> 2015-07-01</t>
  </si>
  <si>
    <t> 2015-08-01</t>
  </si>
  <si>
    <t> 2015-09-01</t>
  </si>
  <si>
    <t> 2015-10-01</t>
  </si>
  <si>
    <t> 2015-11-01</t>
  </si>
  <si>
    <t> 2015-12-01</t>
  </si>
  <si>
    <t> 2016-01-01</t>
  </si>
  <si>
    <t> 2016-02-01</t>
  </si>
  <si>
    <t> 2016-03-01</t>
  </si>
  <si>
    <t> 2016-04-01</t>
  </si>
  <si>
    <t> 2016-05-01</t>
  </si>
  <si>
    <t> 2016-06-01</t>
  </si>
  <si>
    <t> 2016-07-01</t>
  </si>
  <si>
    <t> 2016-08-01</t>
  </si>
  <si>
    <t> 2016-09-01</t>
  </si>
  <si>
    <t> 2016-10-01</t>
  </si>
  <si>
    <t> 2016-11-01</t>
  </si>
  <si>
    <t> 2016-12-01</t>
  </si>
  <si>
    <t> 2017-01-01</t>
  </si>
  <si>
    <t> 2017-02-01</t>
  </si>
  <si>
    <t> 2017-03-01</t>
  </si>
  <si>
    <t> 2017-04-01</t>
  </si>
  <si>
    <t> 2017-05-01</t>
  </si>
  <si>
    <t> 2017-06-01</t>
  </si>
  <si>
    <t> 2017-07-01</t>
  </si>
  <si>
    <t> 2017-08-01</t>
  </si>
  <si>
    <t> 2017-09-01</t>
  </si>
  <si>
    <t> 2017-10-01</t>
  </si>
  <si>
    <t> 2017-11-01</t>
  </si>
  <si>
    <t> 2017-12-01</t>
  </si>
  <si>
    <t> 2018-01-01</t>
  </si>
  <si>
    <t> 2018-02-01</t>
  </si>
  <si>
    <t> 2018-03-01</t>
  </si>
  <si>
    <t> 2018-04-01</t>
  </si>
  <si>
    <t> 2018-05-01</t>
  </si>
  <si>
    <t> 2018-06-01</t>
  </si>
  <si>
    <t> 2018-07-01</t>
  </si>
  <si>
    <t> 2018-08-01</t>
  </si>
  <si>
    <t> 2018-09-01</t>
  </si>
  <si>
    <t> 2018-10-01</t>
  </si>
  <si>
    <t> 2018-11-01</t>
  </si>
  <si>
    <t> 2018-12-01</t>
  </si>
  <si>
    <t> 2019-01-01</t>
  </si>
  <si>
    <t> 2019-02-01</t>
  </si>
  <si>
    <t> 2019-03-01</t>
  </si>
  <si>
    <t> 2019-04-01</t>
  </si>
  <si>
    <t> 2019-05-01</t>
  </si>
  <si>
    <t> 2019-06-01</t>
  </si>
  <si>
    <t> 2019-07-01</t>
  </si>
  <si>
    <t> 2019-08-01</t>
  </si>
  <si>
    <t> 2019-09-01</t>
  </si>
  <si>
    <t> 2019-10-01</t>
  </si>
  <si>
    <t> 2019-11-01</t>
  </si>
  <si>
    <t>% Change</t>
  </si>
  <si>
    <t>Column2</t>
  </si>
  <si>
    <t>Latest Value</t>
  </si>
  <si>
    <t>UnitedArabEmirates</t>
  </si>
  <si>
    <t>Rolling  12 Month Average</t>
  </si>
  <si>
    <t>12 Mth Rolling Avg.</t>
  </si>
  <si>
    <t>Change</t>
  </si>
  <si>
    <t> 2012-06-01</t>
  </si>
  <si>
    <t>=INDEX([12 Mth Rolling Avg.],ROWS( [12 Mth Rolling Avg.]),1)</t>
  </si>
  <si>
    <t>Previous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</si>
</sst>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2" fontId="1" fillId="0" borderId="3" xfId="0" applyNumberFormat="1" applyFont="1" applyFill="1" applyBorder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267"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2" formatCode="0.00"/>
    </dxf>
    <dxf>
      <numFmt numFmtId="19" formatCode="m/d/yyyy"/>
    </dxf>
    <dxf>
      <numFmt numFmtId="2" formatCode="0.00"/>
    </dxf>
    <dxf>
      <numFmt numFmtId="164" formatCode="0.0"/>
    </dxf>
    <dxf>
      <numFmt numFmtId="164" formatCode="0.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2" formatCode="0.00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2" formatCode="0.00"/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m/d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numFmt numFmtId="2" formatCode="0.00"/>
    </dxf>
    <dxf>
      <numFmt numFmtId="19" formatCode="m/d/yyyy"/>
    </dxf>
    <dxf>
      <numFmt numFmtId="0" formatCode="General"/>
    </dxf>
    <dxf>
      <numFmt numFmtId="2" formatCode="0.00"/>
    </dxf>
    <dxf>
      <numFmt numFmtId="19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onnections" Target="connections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Australia!$B$2:$B$260</c:f>
              <c:numCache>
                <c:formatCode>m/d/yyyy</c:formatCode>
                <c:ptCount val="259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</c:numCache>
            </c:numRef>
          </c:cat>
          <c:val>
            <c:numRef>
              <c:f>Australia!$C$2:$C$260</c:f>
              <c:numCache>
                <c:formatCode>General</c:formatCode>
                <c:ptCount val="259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>
                  <c:v>50.375700000000002</c:v>
                </c:pt>
                <c:pt idx="23">
                  <c:v>47.8018</c:v>
                </c:pt>
                <c:pt idx="24">
                  <c:v>51.400599999999997</c:v>
                </c:pt>
                <c:pt idx="25">
                  <c:v>53.628300000000003</c:v>
                </c:pt>
                <c:pt idx="26">
                  <c:v>51.372500000000002</c:v>
                </c:pt>
                <c:pt idx="27">
                  <c:v>56.329300000000003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48.1</c:v>
                </c:pt>
                <c:pt idx="258">
                  <c:v>48.3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Australia!$B$2:$B$260</c:f>
              <c:numCache>
                <c:formatCode>m/d/yyyy</c:formatCode>
                <c:ptCount val="259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</c:numCache>
            </c:numRef>
          </c:cat>
          <c:val>
            <c:numRef>
              <c:f>Australia!$D$2:$D$260</c:f>
              <c:numCache>
                <c:formatCode>0.00</c:formatCode>
                <c:ptCount val="259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2.2757000000000005</c:v>
                </c:pt>
                <c:pt idx="23">
                  <c:v>-2.5739000000000019</c:v>
                </c:pt>
                <c:pt idx="24">
                  <c:v>3.5987999999999971</c:v>
                </c:pt>
                <c:pt idx="25">
                  <c:v>2.2277000000000058</c:v>
                </c:pt>
                <c:pt idx="26">
                  <c:v>-2.2558000000000007</c:v>
                </c:pt>
                <c:pt idx="27">
                  <c:v>4.9568000000000012</c:v>
                </c:pt>
                <c:pt idx="28">
                  <c:v>-0.88350000000000506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-3.5</c:v>
                </c:pt>
                <c:pt idx="258">
                  <c:v>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Australia!$B$2:$B$260</c:f>
              <c:numCache>
                <c:formatCode>m/d/yyyy</c:formatCode>
                <c:ptCount val="259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</c:numCache>
            </c:numRef>
          </c:cat>
          <c:val>
            <c:numRef>
              <c:f>Australia!$E$2:$E$260</c:f>
              <c:numCache>
                <c:formatCode>General</c:formatCode>
                <c:ptCount val="25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48.2</c:v>
                </c:pt>
                <c:pt idx="22">
                  <c:v>50.829266666666662</c:v>
                </c:pt>
                <c:pt idx="23">
                  <c:v>49.60093333333333</c:v>
                </c:pt>
                <c:pt idx="24">
                  <c:v>49.859366666666666</c:v>
                </c:pt>
                <c:pt idx="25">
                  <c:v>50.801600000000001</c:v>
                </c:pt>
                <c:pt idx="26">
                  <c:v>51.050800000000002</c:v>
                </c:pt>
                <c:pt idx="27">
                  <c:v>53.182675000000003</c:v>
                </c:pt>
                <c:pt idx="28">
                  <c:v>54.193975000000002</c:v>
                </c:pt>
                <c:pt idx="29">
                  <c:v>53.630050000000004</c:v>
                </c:pt>
                <c:pt idx="30">
                  <c:v>53.583300000000001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51.938975000000006</c:v>
                </c:pt>
                <c:pt idx="258">
                  <c:v>51.797308333333326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43800</c:v>
                </c:pt>
              </c:numCache>
            </c:numRef>
          </c:cat>
          <c:val>
            <c:numRef>
              <c:f>Austria!$C$2:$C$83</c:f>
              <c:numCache>
                <c:formatCode>General</c:formatCode>
                <c:ptCount val="82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>
                  <c:v>53</c:v>
                </c:pt>
                <c:pt idx="11">
                  <c:v>51</c:v>
                </c:pt>
                <c:pt idx="12">
                  <c:v>51.4</c:v>
                </c:pt>
                <c:pt idx="13">
                  <c:v>50.9</c:v>
                </c:pt>
                <c:pt idx="14">
                  <c:v>50.4</c:v>
                </c:pt>
                <c:pt idx="15">
                  <c:v>50.9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  <c:pt idx="81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43800</c:v>
                </c:pt>
              </c:numCache>
            </c:numRef>
          </c:cat>
          <c:val>
            <c:numRef>
              <c:f>Austria!$D$2:$D$83</c:f>
              <c:numCache>
                <c:formatCode>General</c:formatCode>
                <c:ptCount val="82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7</c:v>
                </c:pt>
                <c:pt idx="11">
                  <c:v>-2</c:v>
                </c:pt>
                <c:pt idx="12">
                  <c:v>0.39999999999999858</c:v>
                </c:pt>
                <c:pt idx="13">
                  <c:v>-0.5</c:v>
                </c:pt>
                <c:pt idx="14">
                  <c:v>-0.5</c:v>
                </c:pt>
                <c:pt idx="15">
                  <c:v>0.5</c:v>
                </c:pt>
                <c:pt idx="16">
                  <c:v>0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  <c:pt idx="8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43800</c:v>
                </c:pt>
              </c:numCache>
            </c:num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51.054545454545455</c:v>
                </c:pt>
                <c:pt idx="11">
                  <c:v>51.381818181818176</c:v>
                </c:pt>
                <c:pt idx="12">
                  <c:v>51.627272727272725</c:v>
                </c:pt>
                <c:pt idx="13">
                  <c:v>51.81818181818182</c:v>
                </c:pt>
                <c:pt idx="14">
                  <c:v>51.981818181818177</c:v>
                </c:pt>
                <c:pt idx="15">
                  <c:v>51.881818181818176</c:v>
                </c:pt>
                <c:pt idx="16">
                  <c:v>51.590909090909079</c:v>
                </c:pt>
                <c:pt idx="17">
                  <c:v>51.063636363636355</c:v>
                </c:pt>
                <c:pt idx="18">
                  <c:v>50.436363636363623</c:v>
                </c:pt>
                <c:pt idx="19">
                  <c:v>49.990909090909078</c:v>
                </c:pt>
                <c:pt idx="20">
                  <c:v>49.866666666666653</c:v>
                </c:pt>
                <c:pt idx="21">
                  <c:v>49.508333333333326</c:v>
                </c:pt>
                <c:pt idx="22">
                  <c:v>49.233333333333327</c:v>
                </c:pt>
                <c:pt idx="23">
                  <c:v>49.125</c:v>
                </c:pt>
                <c:pt idx="24">
                  <c:v>49.074999999999989</c:v>
                </c:pt>
                <c:pt idx="25">
                  <c:v>49.141666666666673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47.92307692307692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1128711</xdr:colOff>
      <xdr:row>3</xdr:row>
      <xdr:rowOff>109537</xdr:rowOff>
    </xdr:from>
    <xdr:to>
      <xdr:col>13</xdr:col>
      <xdr:colOff>581024</xdr:colOff>
      <xdr:row>25</xdr:row>
      <xdr:rowOff>123825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5A5DCACF-F727-4D3F-8048-6CE7EAA68F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147636</xdr:rowOff>
    </xdr:from>
    <xdr:to>
      <xdr:col>12</xdr:col>
      <xdr:colOff>495300</xdr:colOff>
      <xdr:row>20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57F2BDCD-7615-4A99-906B-23D6EC94F9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A51FD20-ABC4-4A6A-A218-510F3969DE0C}" autoFormatId="16" applyNumberFormats="0" applyBorderFormats="0" applyFontFormats="0" applyPatternFormats="0" applyAlignmentFormats="0" applyWidthHeightFormats="0">
  <queryTableRefresh nextId="15">
    <queryTableFields count="4">
      <queryTableField id="1" name="Country" tableColumnId="1"/>
      <queryTableField id="2" name="Column1" tableColumnId="2"/>
      <queryTableField id="3" name="Last" tableColumnId="3"/>
      <queryTableField id="4" name="Previous" tableColumnId="4"/>
    </queryTableFields>
    <queryTableDeletedFields count="1">
      <deletedField name="Replaced Tex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31113B-9AAF-4360-AF4A-897010F3146C}" name="PMI_17" displayName="PMI_17" ref="A1:D51" tableType="queryTable" totalsRowShown="0">
  <autoFilter ref="A1:D51" xr:uid="{F94D8058-D61C-476C-B252-1E85FD43F082}"/>
  <tableColumns count="4">
    <tableColumn id="1" xr3:uid="{4F188C7D-FDCD-4308-AC91-CC28712CFFA7}" uniqueName="1" name="Country" queryTableFieldId="1" dataDxfId="266"/>
    <tableColumn id="2" xr3:uid="{4708B5F1-46F9-4D8C-AA5C-081AA26DF106}" uniqueName="2" name="Column1" queryTableFieldId="2" dataDxfId="265"/>
    <tableColumn id="3" xr3:uid="{652ED053-9105-4FAD-A667-04FB57A9C96E}" uniqueName="3" name="Last" queryTableFieldId="3" dataDxfId="264"/>
    <tableColumn id="4" xr3:uid="{BBBF5C67-D64D-4192-853C-3CF8C84F4FED}" uniqueName="4" name="Previous" queryTableFieldId="4" dataDxfId="26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60" totalsRowShown="0" headerRowBorderDxfId="262" tableBorderDxfId="261">
  <autoFilter ref="B1:E260" xr:uid="{8316C9F3-D331-4C32-8C38-34B98E7AB0A2}"/>
  <tableColumns count="4">
    <tableColumn id="1" xr3:uid="{A8FD421C-E5AB-4297-A21D-39B1B54EF55E}" name="Column1" dataDxfId="260"/>
    <tableColumn id="2" xr3:uid="{A2088469-AAE2-4203-9020-9CE7FC408726}" name="Last"/>
    <tableColumn id="3" xr3:uid="{77730AB6-D147-44F6-B3ED-2ECFD9F2F5A5}" name="% Change" dataDxfId="259">
      <calculatedColumnFormula>C2-C1</calculatedColumnFormula>
    </tableColumn>
    <tableColumn id="4" xr3:uid="{C3471EA8-0A3C-4DBB-A9D7-C2F696164D5C}" name="12 Mth Rolling Avg." dataDxfId="25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3" totalsRowShown="0">
  <autoFilter ref="B1:E83" xr:uid="{4C92F9FB-28B8-418A-A5BC-145D3F1F28FD}"/>
  <tableColumns count="4">
    <tableColumn id="1" xr3:uid="{95CEAAE6-E5D9-4B5C-8EDD-989459C34DE3}" name="Column1" dataDxfId="257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25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2" totalsRowShown="0" tableBorderDxfId="255">
  <autoFilter ref="B1:E92" xr:uid="{4CB4BD86-1377-4E4B-AA08-01E3B08DC570}"/>
  <tableColumns count="4">
    <tableColumn id="1" xr3:uid="{3950C9E3-C9F0-4581-86F6-D6B1499E300E}" name="Column1" dataDxfId="254"/>
    <tableColumn id="2" xr3:uid="{61056078-E1A6-4878-AFDC-3D8808E146D2}" name="Column2" dataDxfId="253"/>
    <tableColumn id="3" xr3:uid="{2F49A48D-71ED-4B17-9391-059CE3C1C387}" name="% Change" dataDxfId="252">
      <calculatedColumnFormula>C2-C1</calculatedColumnFormula>
    </tableColumn>
    <tableColumn id="4" xr3:uid="{3DC2DF0D-E8A7-4395-B57D-781F148C2FEA}" name="12 Mth Rolling Avg." dataDxfId="251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6" totalsRowShown="0">
  <autoFilter ref="B1:E106" xr:uid="{1DE2E5E2-04D5-4A4F-914F-DE3383FD0568}"/>
  <tableColumns count="4">
    <tableColumn id="1" xr3:uid="{14C01718-4F7F-430F-A056-51D1B36884D8}" name="Column1" dataDxfId="250"/>
    <tableColumn id="2" xr3:uid="{5F1B9A30-A6CB-4E60-9DE9-4441A9063F05}" name="Last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24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2" totalsRowShown="0">
  <autoFilter ref="B1:E182" xr:uid="{0C71C72D-E60E-4468-B9C8-CF541F3C770A}"/>
  <tableColumns count="4">
    <tableColumn id="1" xr3:uid="{5407F26C-3E5A-45AC-AE9A-5B1A2975F9A9}" name="Column1" dataDxfId="248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2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4" totalsRowShown="0">
  <autoFilter ref="B1:E54" xr:uid="{890D2CB6-095A-4805-88A8-DD435379A207}"/>
  <tableColumns count="4">
    <tableColumn id="1" xr3:uid="{B31D7873-41D9-4A2A-AAD0-83D182960923}" name="Column1" dataDxfId="246"/>
    <tableColumn id="2" xr3:uid="{588D1E07-735A-4A5F-AF80-50FAA7819DE7}" name="Last" dataDxfId="245"/>
    <tableColumn id="3" xr3:uid="{4C7323CC-297C-4AFA-92EF-764DBC0FA719}" name="Change" dataDxfId="244">
      <calculatedColumnFormula>C2-C1</calculatedColumnFormula>
    </tableColumn>
    <tableColumn id="4" xr3:uid="{61455737-0CAE-4417-AC0E-09BEFD6E50AF}" name="12 Mth Rolling Avg." dataDxfId="2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98" totalsRowShown="0">
  <autoFilter ref="B1:E98" xr:uid="{54683972-BC7C-480F-BD17-897C1B6F1435}"/>
  <tableColumns count="4">
    <tableColumn id="1" xr3:uid="{C0A5B5A0-FDD0-4E80-B928-C2C3052B02AE}" name="Column1" dataDxfId="242"/>
    <tableColumn id="2" xr3:uid="{938882AF-73E5-4E99-9406-A5E4217B9D84}" name="Last" dataDxfId="241"/>
    <tableColumn id="3" xr3:uid="{A4A0E4D6-0C1C-48BA-935C-F33CF6C76B2E}" name="% Change" dataDxfId="240">
      <calculatedColumnFormula>C2-C1</calculatedColumnFormula>
    </tableColumn>
    <tableColumn id="4" xr3:uid="{C36103E7-8D3F-441B-B692-E4ABBE929578}" name="12 Mth Rolling Avg." dataDxfId="2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3" totalsRowShown="0">
  <autoFilter ref="B1:E313" xr:uid="{CFBC595F-14F2-4458-BC50-9393E21680AD}"/>
  <tableColumns count="4">
    <tableColumn id="1" xr3:uid="{0E214168-CAAB-4991-AC6D-FE8566BD646E}" name="Column1" dataDxfId="238"/>
    <tableColumn id="2" xr3:uid="{482695B8-457E-4535-A9C2-D4474EB700F8}" name="Last" dataDxfId="237"/>
    <tableColumn id="3" xr3:uid="{B9938154-CF3B-4C4D-BFCC-7EE814F1EF52}" name="% Change" dataDxfId="236">
      <calculatedColumnFormula>C2-C1</calculatedColumnFormula>
    </tableColumn>
    <tableColumn id="4" xr3:uid="{820D28FB-8DCA-400E-B4B2-8529B6C3ED77}" name="12 Mth Rolling Avg." dataDxfId="2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88" totalsRowShown="0">
  <autoFilter ref="B1:E88" xr:uid="{97C7BC73-6678-437A-8C83-C77D3C4D3520}"/>
  <tableColumns count="4">
    <tableColumn id="1" xr3:uid="{4541A6AC-4180-4661-975B-8D76DFFBC36B}" name="Column1" dataDxfId="234"/>
    <tableColumn id="2" xr3:uid="{05303197-CB1A-4F88-B9BB-EE78CC1080C8}" name="Last" dataDxfId="233"/>
    <tableColumn id="3" xr3:uid="{E5A89961-794F-45E7-B016-A74F8DD6E432}" name="% Change" dataDxfId="232">
      <calculatedColumnFormula>C2-C1</calculatedColumnFormula>
    </tableColumn>
    <tableColumn id="4" xr3:uid="{4B45B23A-60B3-4637-966E-66112718C3A7}" name="12 Mth Rolling Avg." dataDxfId="23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3" totalsRowShown="0">
  <autoFilter ref="B1:E153" xr:uid="{F95D4FE0-9581-4121-86E2-485EC014E909}"/>
  <tableColumns count="4">
    <tableColumn id="1" xr3:uid="{A9C5E764-28F6-4D2A-996C-6A9C02DDA87F}" name="Column1" dataDxfId="230"/>
    <tableColumn id="2" xr3:uid="{B3AEA2BA-F6E6-4D27-9D2A-4071F2C4C628}" name="Last" dataDxfId="229"/>
    <tableColumn id="3" xr3:uid="{C244F290-0AA1-4BFA-BED1-4A735EF61E80}" name="% Change" dataDxfId="228">
      <calculatedColumnFormula>C2-C1</calculatedColumnFormula>
    </tableColumn>
    <tableColumn id="4" xr3:uid="{8F6B423D-AEFE-4C3F-BA54-76CFE6F1A53E}" name="12 Mth Rolling Avg." dataDxfId="2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7" totalsRowShown="0">
  <autoFilter ref="B1:E107" xr:uid="{437EBCA8-5FBA-4E93-A5A4-4D0BB1F061F0}"/>
  <tableColumns count="4">
    <tableColumn id="1" xr3:uid="{73C9F22D-BEC0-4390-AF9F-FA196E1D1F13}" name="Column1" dataDxfId="226"/>
    <tableColumn id="2" xr3:uid="{74A5618B-BB6A-4A50-9A4A-7893DAF3C6A8}" name="Last" dataDxfId="225"/>
    <tableColumn id="3" xr3:uid="{1C03E3B4-8B2C-46A7-AA03-FBF79F53CF22}" name="% Change" dataDxfId="224">
      <calculatedColumnFormula>C2-C1</calculatedColumnFormula>
    </tableColumn>
    <tableColumn id="4" xr3:uid="{B9B84166-E75E-4777-A131-42CBCEA33F61}" name="12 Mth Rolling Avg." dataDxfId="22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2" totalsRowShown="0">
  <autoFilter ref="B1:E82" xr:uid="{6E919705-64DC-4971-8513-EB34FC234DF2}"/>
  <tableColumns count="4">
    <tableColumn id="1" xr3:uid="{C2B4180F-73E7-4C16-A1DB-DCB1841C2FFF}" name="Column1" dataDxfId="222"/>
    <tableColumn id="2" xr3:uid="{C39B7398-8057-4C88-94BB-F4C05BA8D339}" name="Last" dataDxfId="221"/>
    <tableColumn id="3" xr3:uid="{C064C8A5-F831-4226-8D07-12DE3EE2BC73}" name="% Change" dataDxfId="220">
      <calculatedColumnFormula>C2-C1</calculatedColumnFormula>
    </tableColumn>
    <tableColumn id="4" xr3:uid="{5BA9E793-4174-4D97-B980-11FC714F9F69}" name="12 Mth Rolling Avg." dataDxfId="2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4" totalsRowShown="0">
  <autoFilter ref="B1:E104" xr:uid="{DBE6E96D-538A-4C62-A363-58304A749BC5}"/>
  <tableColumns count="4">
    <tableColumn id="1" xr3:uid="{9798C297-56CF-4AFF-B2C8-DD1473029584}" name="Column1" dataDxfId="218"/>
    <tableColumn id="2" xr3:uid="{0E315E72-1D08-4872-A37D-3B0BF120470B}" name="Last" dataDxfId="217"/>
    <tableColumn id="3" xr3:uid="{DE45E4D3-BF3C-4850-AC6B-6C3E3935A890}" name="% Change" dataDxfId="216">
      <calculatedColumnFormula>C2-C1</calculatedColumnFormula>
    </tableColumn>
    <tableColumn id="4" xr3:uid="{F3058DB1-1A5B-46B9-8DA4-F97FDD95B372}" name="12 Mth Rolling Avg." dataDxfId="2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98" totalsRowShown="0">
  <autoFilter ref="B1:E98" xr:uid="{F2995B7E-08B0-46B5-AA05-96E79BBE17F6}"/>
  <tableColumns count="4">
    <tableColumn id="1" xr3:uid="{D8026133-E193-48F9-AAD4-DE0D73AE348A}" name="Column1" dataDxfId="214"/>
    <tableColumn id="2" xr3:uid="{3734F84C-29A0-4649-B080-6DBD4E28A272}" name="Last" dataDxfId="213"/>
    <tableColumn id="3" xr3:uid="{286F579C-1547-40AD-A0FF-4DDEB6E6966F}" name="% Change" dataDxfId="212">
      <calculatedColumnFormula>C2-C1</calculatedColumnFormula>
    </tableColumn>
    <tableColumn id="4" xr3:uid="{7F0380B3-765D-473F-86FC-7848EBD67CE1}" name="12 Mth Rolling Avg." dataDxfId="21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3" totalsRowShown="0">
  <autoFilter ref="B1:E293" xr:uid="{D2F8B1F5-77D1-4931-AA34-93470EAD28F6}"/>
  <tableColumns count="4">
    <tableColumn id="1" xr3:uid="{77670B9C-1027-465F-8CB0-BF05F193085F}" name="Column1" dataDxfId="210"/>
    <tableColumn id="2" xr3:uid="{55F0B162-33B2-4C57-AE59-3B35B8FA340C}" name="Last" dataDxfId="209"/>
    <tableColumn id="3" xr3:uid="{F19919C0-FF25-47D0-B93F-EFA61EB6FD78}" name="% Change" dataDxfId="208">
      <calculatedColumnFormula>C2-C1</calculatedColumnFormula>
    </tableColumn>
    <tableColumn id="4" xr3:uid="{83F1B150-5E17-4DC7-8E5D-49DDF0DE2B5E}" name="12 Mth Rolling Avg." dataDxfId="20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4" totalsRowShown="0">
  <autoFilter ref="B1:E94" xr:uid="{10FC44C1-7C1F-465D-992F-11F474DE2E67}"/>
  <tableColumns count="4">
    <tableColumn id="1" xr3:uid="{9FFBC932-A5FE-4B10-8175-1F9B8175C87F}" name="Column1" dataDxfId="206"/>
    <tableColumn id="2" xr3:uid="{0211535C-CBC0-4099-8CB4-CD56E8BF0E59}" name="Last" dataDxfId="205"/>
    <tableColumn id="3" xr3:uid="{ECF0E7B6-CFF7-4273-BF98-56B08080D46B}" name="% Change" dataDxfId="204">
      <calculatedColumnFormula>C2-C1</calculatedColumnFormula>
    </tableColumn>
    <tableColumn id="4" xr3:uid="{975254B4-CC88-4BCA-A2FB-BC326B62AB92}" name="12 Mth Rolling Avg." dataDxfId="20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1" totalsRowShown="0" headerRowBorderDxfId="202" tableBorderDxfId="201">
  <autoFilter ref="B1:E91" xr:uid="{4C942BF7-6833-481F-B431-8F9CE09CF6C7}"/>
  <tableColumns count="4">
    <tableColumn id="1" xr3:uid="{896CC22A-8491-4DCF-BABD-3F7E4F288A2A}" name="Column1" dataDxfId="200"/>
    <tableColumn id="2" xr3:uid="{E5C3DA3D-6A1C-4406-BC28-1F0EBAB974AF}" name="Last" dataDxfId="199"/>
    <tableColumn id="3" xr3:uid="{3DB89CB7-AFF9-46E3-B2B7-B0D89ABF6B45}" name="% Change" dataDxfId="198">
      <calculatedColumnFormula>C2-C1</calculatedColumnFormula>
    </tableColumn>
    <tableColumn id="4" xr3:uid="{0FDD7F24-A00A-490D-92BD-8D37F8EC47DA}" name="12 Mth Rolling Avg." dataDxfId="19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99" totalsRowShown="0" headerRowBorderDxfId="196" tableBorderDxfId="195">
  <autoFilter ref="B1:E99" xr:uid="{03FBDD68-7A91-42C7-9B54-A20A16DF8038}"/>
  <tableColumns count="4">
    <tableColumn id="1" xr3:uid="{CF0C4083-824B-4C4D-9D11-B2932E18C717}" name="Column1" dataDxfId="194"/>
    <tableColumn id="2" xr3:uid="{E3246C9A-5439-4C7F-B0C8-0743DCAB25D9}" name="Last" dataDxfId="193"/>
    <tableColumn id="3" xr3:uid="{42EB4410-A89B-48B6-B2E9-4A778EEE6CE6}" name="% Change" dataDxfId="192">
      <calculatedColumnFormula>C2-C1</calculatedColumnFormula>
    </tableColumn>
    <tableColumn id="4" xr3:uid="{C032F0AD-812B-4999-BC7F-29B27479C92F}" name="12 Mth Rolling Avg." dataDxfId="19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5" totalsRowShown="0" headerRowBorderDxfId="190" tableBorderDxfId="189">
  <autoFilter ref="B1:E205" xr:uid="{318BE8A9-81F0-4176-8356-1A931A8A2B6A}"/>
  <tableColumns count="4">
    <tableColumn id="1" xr3:uid="{C9E19F99-6619-4125-B06B-30C0557FFBB2}" name="Column1" dataDxfId="188"/>
    <tableColumn id="2" xr3:uid="{6F8FF091-2BB9-4DF3-91FC-776741D0D04F}" name="Last" dataDxfId="187"/>
    <tableColumn id="3" xr3:uid="{3233523C-F395-4869-8543-DDFA852D1360}" name="% Change" dataDxfId="186">
      <calculatedColumnFormula>C2-C1</calculatedColumnFormula>
    </tableColumn>
    <tableColumn id="4" xr3:uid="{CDAFE242-1CA5-4D14-BCCE-3E9C42DE7890}" name="12 Mth Rolling Avg." dataDxfId="18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7" totalsRowShown="0" headerRowBorderDxfId="184" tableBorderDxfId="183">
  <autoFilter ref="B1:E97" xr:uid="{E1E3C845-7AE7-4304-8602-380B83DE1C24}"/>
  <tableColumns count="4">
    <tableColumn id="1" xr3:uid="{284F93A6-033C-4048-A263-57BC499AEB02}" name="Column1" dataDxfId="182"/>
    <tableColumn id="2" xr3:uid="{6F597F4E-C25F-4A3B-B246-592D1733CD28}" name="Last" dataDxfId="181"/>
    <tableColumn id="3" xr3:uid="{20BF967F-5CA6-49CE-B8D0-3333D4479D3B}" name="% Change" dataDxfId="180">
      <calculatedColumnFormula>C2-C1</calculatedColumnFormula>
    </tableColumn>
    <tableColumn id="4" xr3:uid="{8C5845E3-B7BD-402A-9F74-E008DEECE31F}" name="12 Mth Rolling Avg." dataDxfId="17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6" totalsRowShown="0" headerRowBorderDxfId="178" tableBorderDxfId="177">
  <autoFilter ref="B1:E146" xr:uid="{BD798CB8-FB45-4A3C-9F8C-57D8292B435A}"/>
  <tableColumns count="4">
    <tableColumn id="1" xr3:uid="{C3A20D71-62A2-41DE-BDFD-F5F5F2BCA2FB}" name="Column1" dataDxfId="176"/>
    <tableColumn id="2" xr3:uid="{FE72BD26-9285-43FC-BA54-57CC9F1F07E8}" name="Last" dataDxfId="175"/>
    <tableColumn id="3" xr3:uid="{6459E264-1658-46DD-AA27-8C406281C66B}" name="% Change" dataDxfId="174">
      <calculatedColumnFormula>C2-C1</calculatedColumnFormula>
    </tableColumn>
    <tableColumn id="4" xr3:uid="{CC3FAE03-7872-4379-B314-49DB443C8FDF}" name="12 Mth Rolling Avg." dataDxfId="17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4" totalsRowShown="0" headerRowBorderDxfId="172" tableBorderDxfId="171">
  <autoFilter ref="B1:E64" xr:uid="{9CAD2DEC-EBAD-4CCF-805E-DD7DC1126B6B}"/>
  <tableColumns count="4">
    <tableColumn id="1" xr3:uid="{CAFE281B-C552-4C94-8B4F-F3D426D18054}" name="Column1" dataDxfId="170"/>
    <tableColumn id="2" xr3:uid="{7CB498FE-A865-4C42-AD2A-37FEC96EF322}" name="Last" dataDxfId="169"/>
    <tableColumn id="3" xr3:uid="{8853591F-DEC5-4CC3-8B03-393C78E4377A}" name="% Change" dataDxfId="168">
      <calculatedColumnFormula>C2-C1</calculatedColumnFormula>
    </tableColumn>
    <tableColumn id="4" xr3:uid="{022CE319-A239-454C-914A-4D5C549AC4C4}" name="12 Mth Rolling Avg." dataDxfId="16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5" totalsRowShown="0" headerRowBorderDxfId="166" tableBorderDxfId="165">
  <autoFilter ref="B1:E75" xr:uid="{BE8166BB-967E-49A1-A188-66DCF5E49FEE}"/>
  <tableColumns count="4">
    <tableColumn id="1" xr3:uid="{98B6F6D4-3199-4C14-9209-4229894C93C6}" name="Column1" dataDxfId="164"/>
    <tableColumn id="2" xr3:uid="{CE081723-3F5D-4C90-8323-322B3E1797E3}" name="Last" dataDxfId="163"/>
    <tableColumn id="3" xr3:uid="{1728AB29-BAC6-4A1E-8A6E-B9FD1E1FFD19}" name="% Change" dataDxfId="162">
      <calculatedColumnFormula>C2-C1</calculatedColumnFormula>
    </tableColumn>
    <tableColumn id="4" xr3:uid="{97044C31-BBB9-4A0C-8AF3-ADE7F8F8953A}" name="12 Mth Rolling Avg." dataDxfId="16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58" totalsRowShown="0" headerRowBorderDxfId="160" tableBorderDxfId="159">
  <autoFilter ref="B1:E58" xr:uid="{B79711A0-7621-4BA9-BC3A-80A55E5FBBD2}"/>
  <tableColumns count="4">
    <tableColumn id="1" xr3:uid="{D5AFDEA5-2A87-4ED5-AC23-15C2701221C8}" name="Column1" dataDxfId="158"/>
    <tableColumn id="2" xr3:uid="{92AD61F2-F9DE-4EC2-A22E-E8DE0E07DFBC}" name="Last" dataDxfId="157"/>
    <tableColumn id="3" xr3:uid="{ED9C5C07-CB88-4B28-BAC4-033AD9632659}" name="% Change" dataDxfId="156">
      <calculatedColumnFormula>C2-C1</calculatedColumnFormula>
    </tableColumn>
    <tableColumn id="4" xr3:uid="{F9ED07FC-6E04-4D54-9B79-1C62839A215B}" name="12 Mth Rolling Avg." dataDxfId="15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4" totalsRowShown="0" headerRowBorderDxfId="154" tableBorderDxfId="153">
  <autoFilter ref="B1:E94" xr:uid="{BE6296C8-555A-4011-BEDF-8FD62FC8E861}"/>
  <tableColumns count="4">
    <tableColumn id="1" xr3:uid="{776AA829-A2E8-4C57-AFA1-5D42F45D9315}" name="Column1" dataDxfId="152"/>
    <tableColumn id="2" xr3:uid="{E356B39E-B162-4ACF-B018-115F280C01B4}" name="Last" dataDxfId="151"/>
    <tableColumn id="3" xr3:uid="{5A05B9F3-12FC-47E9-84A3-D2B017C43FE4}" name="% Change" dataDxfId="150">
      <calculatedColumnFormula>C2-C1</calculatedColumnFormula>
    </tableColumn>
    <tableColumn id="4" xr3:uid="{A3B09D01-2FDC-4B9F-AEC4-245C86D7828B}" name="12 Mth Rolling Avg." dataDxfId="14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3" totalsRowShown="0" headerRowBorderDxfId="148" tableBorderDxfId="147">
  <autoFilter ref="B1:E43" xr:uid="{C041F1E2-C979-4337-A76A-02E158E19B71}"/>
  <tableColumns count="4">
    <tableColumn id="1" xr3:uid="{8F8DAE23-7A29-404D-A9F7-F0631DAEDE1C}" name="Column1" dataDxfId="146"/>
    <tableColumn id="2" xr3:uid="{F24A433F-7391-4F0D-BE2B-3E985E0D7837}" name="Last" dataDxfId="145"/>
    <tableColumn id="3" xr3:uid="{8DA8B262-4E88-442C-AB1F-F7C12D4BCD5E}" name="% Change" dataDxfId="144">
      <calculatedColumnFormula>C2-C1</calculatedColumnFormula>
    </tableColumn>
    <tableColumn id="4" xr3:uid="{3EA2FAEC-D18D-49A9-AD36-E0B1EC69DFB3}" name="12 Mth Rolling Avg." dataDxfId="1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38" totalsRowShown="0" headerRowBorderDxfId="142" tableBorderDxfId="141">
  <autoFilter ref="B1:E38" xr:uid="{86E9AED5-A82B-480F-9F22-7F1AD7D91872}"/>
  <tableColumns count="4">
    <tableColumn id="1" xr3:uid="{0FE94351-1EB0-4BA6-8084-1CF326B7D2BA}" name="Column1" dataDxfId="140"/>
    <tableColumn id="2" xr3:uid="{98893480-A1C9-461B-AD28-D4CB8A312E24}" name="Last" dataDxfId="139"/>
    <tableColumn id="3" xr3:uid="{E55EB580-65AB-4272-A4F4-EF478B2DEEAF}" name="% Change" dataDxfId="138">
      <calculatedColumnFormula>C2-C1</calculatedColumnFormula>
    </tableColumn>
    <tableColumn id="4" xr3:uid="{94F96B31-C288-4871-A1B6-5438F1EBF68B}" name="12 Mth Rolling Avg." dataDxfId="13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10" totalsRowShown="0" headerRowBorderDxfId="136" tableBorderDxfId="135">
  <autoFilter ref="B1:E210" xr:uid="{526D3D9E-892D-4AAF-8739-98E2CA5BBCFE}"/>
  <tableColumns count="4">
    <tableColumn id="1" xr3:uid="{8D176147-A8F6-490D-B17B-B4CF7E189AC9}" name="Column1" dataDxfId="134"/>
    <tableColumn id="2" xr3:uid="{688FF6D0-3F3C-4143-B849-87084ABDE4FB}" name="Last" dataDxfId="133"/>
    <tableColumn id="3" xr3:uid="{3A64E1B1-BAAE-45E3-9F9E-BEFD9209C154}" name="% Change" dataDxfId="132">
      <calculatedColumnFormula>C2-C1</calculatedColumnFormula>
    </tableColumn>
    <tableColumn id="4" xr3:uid="{6E93C9B2-274D-4CEE-8233-FF559EEE3382}" name="12 Mth Rolling Avg." dataDxfId="13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8" totalsRowShown="0" headerRowBorderDxfId="130" tableBorderDxfId="129">
  <autoFilter ref="B1:E68" xr:uid="{4989F22E-715C-41BB-9318-5274888E3C41}"/>
  <tableColumns count="4">
    <tableColumn id="1" xr3:uid="{CCE3CCAB-1911-4205-B74A-CFFD8B66C898}" name="Column1" dataDxfId="128"/>
    <tableColumn id="2" xr3:uid="{A58C1C3E-04BE-4DEA-9E36-F25334FBC5A0}" name="Last" dataDxfId="127"/>
    <tableColumn id="3" xr3:uid="{F63E92B2-CC0B-4000-8885-9A2B0A80F553}" name="% Change" dataDxfId="126">
      <calculatedColumnFormula>C2-C1</calculatedColumnFormula>
    </tableColumn>
    <tableColumn id="4" xr3:uid="{2067CECD-8855-4C88-93BC-4CE650A1A0CD}" name="12 Mth Rolling Avg." dataDxfId="12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2" totalsRowShown="0" headerRowBorderDxfId="124" tableBorderDxfId="123">
  <autoFilter ref="B1:E192" xr:uid="{499CBFF4-2FDB-41D3-82B4-CFDCBA76900D}"/>
  <tableColumns count="4">
    <tableColumn id="1" xr3:uid="{5664B425-6A67-4D97-9406-18ED7B0089CD}" name="Column1" dataDxfId="122"/>
    <tableColumn id="2" xr3:uid="{9A5A0284-B77D-4F81-BA57-31ADD860E3AE}" name="Last" dataDxfId="121"/>
    <tableColumn id="3" xr3:uid="{4C89BCF9-ED79-4C37-A5F0-E3FBF00E6890}" name="% Change" dataDxfId="120">
      <calculatedColumnFormula>C2-C1</calculatedColumnFormula>
    </tableColumn>
    <tableColumn id="4" xr3:uid="{C270ABA5-FDA9-41B0-8C45-628529E57CFA}" name="12 Mth Rolling Avg." dataDxfId="1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49" totalsRowShown="0" headerRowBorderDxfId="118" tableBorderDxfId="117">
  <autoFilter ref="B1:E49" xr:uid="{C2F29E19-456E-4F6A-A17E-94A7EFDE808B}"/>
  <tableColumns count="4">
    <tableColumn id="1" xr3:uid="{E08D5972-29BA-439C-8E70-C06A0C7EC637}" name="Column1" dataDxfId="116"/>
    <tableColumn id="2" xr3:uid="{C3980FCC-EC5F-45D6-9BCD-F2A48E7B6063}" name="Last" dataDxfId="115"/>
    <tableColumn id="3" xr3:uid="{33C86384-2AA1-4C37-9D4E-D8B562165DFA}" name="% Change" dataDxfId="114">
      <calculatedColumnFormula>C2-C1</calculatedColumnFormula>
    </tableColumn>
    <tableColumn id="4" xr3:uid="{A56BBA47-C7D8-4ABC-AB47-85BC44792B2E}" name="12 Mth Rolling Avg." dataDxfId="11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09" totalsRowShown="0" headerRowBorderDxfId="112" tableBorderDxfId="111">
  <autoFilter ref="B1:E109" xr:uid="{EA3D0107-7446-4A03-8913-0ED04083B402}"/>
  <tableColumns count="4">
    <tableColumn id="1" xr3:uid="{E66FD713-497E-421F-B0A1-2BFE2B386F6E}" name="Column1" dataDxfId="110"/>
    <tableColumn id="2" xr3:uid="{CFCC4C40-78C8-44DB-B0E8-5FDCE82B6F4A}" name="Last" dataDxfId="109"/>
    <tableColumn id="3" xr3:uid="{EB518227-D27F-4093-9EAA-E1ADD7CCA7EE}" name="% Change" dataDxfId="108">
      <calculatedColumnFormula>C2-C1</calculatedColumnFormula>
    </tableColumn>
    <tableColumn id="4" xr3:uid="{C5ADC300-A54A-43DA-B54D-7897667D0E1B}" name="12 Mth Rolling Avg." dataDxfId="10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6" totalsRowShown="0" headerRowBorderDxfId="106" tableBorderDxfId="105">
  <autoFilter ref="B1:E116" xr:uid="{B82C2F83-3033-4BD9-AB32-9E02852286CD}"/>
  <tableColumns count="4">
    <tableColumn id="1" xr3:uid="{DE28DA0B-6479-483D-8C76-163BBB84175B}" name="Column1" dataDxfId="104"/>
    <tableColumn id="2" xr3:uid="{50DD24B1-2862-488D-B7A8-FBFE19704627}" name="Last" dataDxfId="103"/>
    <tableColumn id="3" xr3:uid="{0D6F00D0-000E-44B2-9C1E-5A8ED8B6F4BE}" name="% Change" dataDxfId="102">
      <calculatedColumnFormula>C2-C1</calculatedColumnFormula>
    </tableColumn>
    <tableColumn id="4" xr3:uid="{AD3562F4-74E0-48A1-B5EF-D16B84A67FD5}" name="12 Mth Rolling Avg." dataDxfId="10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4" totalsRowShown="0" headerRowBorderDxfId="100" tableBorderDxfId="99">
  <autoFilter ref="B1:E34" xr:uid="{CEFDDE4B-8C98-4204-AD4C-4BB9B63E6EF8}"/>
  <tableColumns count="4">
    <tableColumn id="1" xr3:uid="{200F2098-2A35-483D-9DE6-40E7C6887C07}" name="Column1" dataDxfId="98"/>
    <tableColumn id="2" xr3:uid="{0A9537A5-1959-47B5-94AB-C2B33DABB3B8}" name="Last" dataDxfId="97"/>
    <tableColumn id="3" xr3:uid="{52215235-65CF-430C-98F6-8E7D355E909E}" name="% Change" dataDxfId="96">
      <calculatedColumnFormula>C2-C1</calculatedColumnFormula>
    </tableColumn>
    <tableColumn id="4" xr3:uid="{0CAF9EA2-C594-46DF-A8EE-85EA03BC064F}" name="12 Mth Rolling Avg." dataDxfId="9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2" totalsRowShown="0" headerRowBorderDxfId="94" tableBorderDxfId="93">
  <autoFilter ref="B1:E102" xr:uid="{3F3258BD-E0D0-41DB-8D1F-882283C3EE50}"/>
  <tableColumns count="4">
    <tableColumn id="1" xr3:uid="{B59E6940-5642-4DB1-A51E-F4AF3F682C19}" name="Column1" dataDxfId="92"/>
    <tableColumn id="2" xr3:uid="{61156158-FFD9-44BA-B64F-6F3226E43FFF}" name="Last" dataDxfId="91"/>
    <tableColumn id="3" xr3:uid="{33B68CB1-59BC-4FB2-8D21-6EDC53DAF9D6}" name="% Change" dataDxfId="90">
      <calculatedColumnFormula>C2-C1</calculatedColumnFormula>
    </tableColumn>
    <tableColumn id="4" xr3:uid="{A36569A4-A843-48DF-8DA7-035FAA96C057}" name="12 Mth Rolling Avg." dataDxfId="8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98" totalsRowShown="0" headerRowBorderDxfId="88" tableBorderDxfId="87">
  <autoFilter ref="B1:E98" xr:uid="{1D9AA30E-E8E2-4AF3-8EF3-669FBB8CBCEE}"/>
  <tableColumns count="4">
    <tableColumn id="1" xr3:uid="{5BF51EA5-392F-4160-A980-CF138480C197}" name="Column1" dataDxfId="86"/>
    <tableColumn id="2" xr3:uid="{D9F8C03E-F057-4907-9168-CAFBCDB3AD88}" name="Last" dataDxfId="85"/>
    <tableColumn id="3" xr3:uid="{50B3BF56-BF01-4E70-A94E-83BDAE351C68}" name="% Change" dataDxfId="84">
      <calculatedColumnFormula>C2-C1</calculatedColumnFormula>
    </tableColumn>
    <tableColumn id="4" xr3:uid="{28225814-5C2A-49FD-A7ED-66A3A67B884F}" name="12 Mth Rolling Avg." dataDxfId="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6" totalsRowShown="0" headerRowBorderDxfId="82" tableBorderDxfId="81">
  <autoFilter ref="B1:E96" xr:uid="{D6157A78-92C6-4D8A-ADED-21257CF18976}"/>
  <tableColumns count="4">
    <tableColumn id="1" xr3:uid="{DC3EAE24-ABEF-40FF-81C2-9F9D3951391B}" name="Column1" dataDxfId="80"/>
    <tableColumn id="2" xr3:uid="{DB4C96E6-20BD-4676-AA84-7FB3D849306F}" name="Last" dataDxfId="79"/>
    <tableColumn id="3" xr3:uid="{29D46022-B384-4CBB-AA4D-B2871907B269}" name="% Change" dataDxfId="78">
      <calculatedColumnFormula>C2-C1</calculatedColumnFormula>
    </tableColumn>
    <tableColumn id="4" xr3:uid="{041B29AB-1C93-4E47-B79C-786BCBC68296}" name="12 Mth Rolling Avg." dataDxfId="7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5" totalsRowShown="0" headerRowBorderDxfId="76" tableBorderDxfId="75">
  <autoFilter ref="B1:E245" xr:uid="{F0F4BCEF-5171-41B9-AA66-AC2FC4370D3F}"/>
  <tableColumns count="4">
    <tableColumn id="1" xr3:uid="{DFBEDDAB-0814-42E8-A031-EE32B419789F}" name="Column1" dataDxfId="74"/>
    <tableColumn id="2" xr3:uid="{054F21B1-71BF-4E8D-815C-63EBD8130694}" name="Last" dataDxfId="73"/>
    <tableColumn id="3" xr3:uid="{AF4296FE-825E-4A04-AE60-CF1D5FE52292}" name="% Change" dataDxfId="72">
      <calculatedColumnFormula>C2-C1</calculatedColumnFormula>
    </tableColumn>
    <tableColumn id="4" xr3:uid="{1EDB97D3-096A-4391-8B77-AC0E0DD0F153}" name="12 Mth Rolling Avg." dataDxfId="7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5" totalsRowShown="0" headerRowBorderDxfId="70" tableBorderDxfId="69">
  <autoFilter ref="B1:E105" xr:uid="{C35E2E77-47E3-468C-84C5-77F37C9D6DEF}"/>
  <tableColumns count="4">
    <tableColumn id="1" xr3:uid="{FBDC355E-99AE-42AF-8888-B715D0552D4D}" name="Column1" dataDxfId="68"/>
    <tableColumn id="2" xr3:uid="{B9DF92BB-0C5F-4509-91E2-9696531BA329}" name="Last" dataDxfId="67"/>
    <tableColumn id="3" xr3:uid="{5870312D-D7F3-4395-9070-E64C324CA39B}" name="% Change" dataDxfId="66">
      <calculatedColumnFormula>C2-C1</calculatedColumnFormula>
    </tableColumn>
    <tableColumn id="4" xr3:uid="{25E106B3-38E2-447F-A0A8-6866E78DE163}" name="12 Mth Rolling Avg." dataDxfId="6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6" totalsRowShown="0" headerRowBorderDxfId="64" tableBorderDxfId="63">
  <autoFilter ref="B1:E106" xr:uid="{4279F674-203C-44BB-9E40-25AF10B64C60}"/>
  <tableColumns count="4">
    <tableColumn id="1" xr3:uid="{F0173F0E-34C2-4E8B-A845-28A5DA925A3C}" name="Column1" dataDxfId="62"/>
    <tableColumn id="2" xr3:uid="{9F9142E8-F1C3-4AE4-987E-D92B100BB712}" name="Last" dataDxfId="61"/>
    <tableColumn id="3" xr3:uid="{3C1468F0-431F-46FB-9FD6-B3D318CE5892}" name="% Change" dataDxfId="60">
      <calculatedColumnFormula>C2-C1</calculatedColumnFormula>
    </tableColumn>
    <tableColumn id="4" xr3:uid="{4DF1461B-7F9F-474F-96AF-A58E89FACCFB}" name="12 Mth Rolling Avg." dataDxfId="5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7" totalsRowShown="0" headerRowBorderDxfId="58" tableBorderDxfId="57">
  <autoFilter ref="B1:E57" xr:uid="{F95A4A0A-3F38-4C49-B6ED-CD72EA912413}"/>
  <tableColumns count="4">
    <tableColumn id="1" xr3:uid="{7D63F312-792A-4B93-8D36-3BB9D633C0DB}" name="Column1" dataDxfId="56"/>
    <tableColumn id="2" xr3:uid="{81EB3340-CCF2-46C5-90B7-D2B83F952231}" name="Last" dataDxfId="55"/>
    <tableColumn id="3" xr3:uid="{5F52328F-732C-4F22-8051-85DB99E70011}" name="% Change" dataDxfId="54">
      <calculatedColumnFormula>C2-C1</calculatedColumnFormula>
    </tableColumn>
    <tableColumn id="4" xr3:uid="{F6B7985E-B4B1-4757-8F81-A0EA433C1B80}" name="12 Mth Rolling Avg." dataDxfId="5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3" totalsRowShown="0" headerRowBorderDxfId="52" tableBorderDxfId="51">
  <autoFilter ref="B1:E303" xr:uid="{704882CC-A409-4C7F-B562-2A0AF86EB2B2}"/>
  <tableColumns count="4">
    <tableColumn id="1" xr3:uid="{ED953B12-5A80-43A4-B059-29A43E350C09}" name="Column1" dataDxfId="50"/>
    <tableColumn id="2" xr3:uid="{0B21D582-884A-47A1-A5D8-6A1185CDED61}" name="Last" dataDxfId="49"/>
    <tableColumn id="3" xr3:uid="{D19DD829-BD0E-44FC-8BC8-EDF29B56FD57}" name="% Change" dataDxfId="48">
      <calculatedColumnFormula>C2-C1</calculatedColumnFormula>
    </tableColumn>
    <tableColumn id="4" xr3:uid="{ADFD1A0E-8C32-49B1-BFB5-52DD5A25ACF1}" name="12 Mth Rolling Avg." dataDxfId="4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1" totalsRowShown="0" headerRowBorderDxfId="46" tableBorderDxfId="45">
  <autoFilter ref="B1:E301" xr:uid="{917743F2-FD88-460E-B0F0-A3B916C4DEEE}"/>
  <tableColumns count="4">
    <tableColumn id="1" xr3:uid="{D029BFCD-70F0-4069-9D64-A75EE9900967}" name="Column1" dataDxfId="44"/>
    <tableColumn id="2" xr3:uid="{B662D8D6-61F8-497A-81CC-5BD083E22EC9}" name="Last" dataDxfId="43"/>
    <tableColumn id="3" xr3:uid="{87B5D535-6A30-46E4-A166-0B337A92E2D2}" name="% Change" dataDxfId="42">
      <calculatedColumnFormula>C2-C1</calculatedColumnFormula>
    </tableColumn>
    <tableColumn id="4" xr3:uid="{24E6411F-961B-478B-8898-9E337F1DBF20}" name="12 Mth Rolling Avg." dataDxfId="4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98" totalsRowShown="0" headerRowBorderDxfId="40" tableBorderDxfId="39">
  <autoFilter ref="B1:E98" xr:uid="{81D24796-9B60-4A84-94BF-657BF7927893}"/>
  <tableColumns count="4">
    <tableColumn id="1" xr3:uid="{15663F12-C32E-45DB-A75B-0A04B34AA3B4}" name="Column1" dataDxfId="38"/>
    <tableColumn id="2" xr3:uid="{7798944E-3A07-40C9-915B-F13CB48CCE8C}" name="Last" dataDxfId="37"/>
    <tableColumn id="3" xr3:uid="{69BCA619-7C80-4D89-A25C-2F66DE902A5F}" name="% Change" dataDxfId="36">
      <calculatedColumnFormula>C2-C1</calculatedColumnFormula>
    </tableColumn>
    <tableColumn id="4" xr3:uid="{69B5981B-0B5D-4F09-9CA9-79AEBF96A516}" name="12 Mth Rolling Avg." dataDxfId="3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3" totalsRowShown="0" headerRowBorderDxfId="34" tableBorderDxfId="33">
  <autoFilter ref="B1:E43" xr:uid="{789FA62E-C402-4D02-AD80-470DBD0B0CF2}"/>
  <tableColumns count="4">
    <tableColumn id="1" xr3:uid="{AABEBF3A-3909-45CC-934C-1BC7DD3DAA04}" name="Column1" dataDxfId="32"/>
    <tableColumn id="2" xr3:uid="{25D5C17D-4198-4805-A1ED-443E5147E59B}" name="Last"/>
    <tableColumn id="3" xr3:uid="{DB78D07D-3E98-483A-B7AB-C2931F3A1908}" name="% Change" dataDxfId="31">
      <calculatedColumnFormula>C2-C1</calculatedColumnFormula>
    </tableColumn>
    <tableColumn id="4" xr3:uid="{A425D1F9-CCB3-454E-8632-D63FD2247C8A}" name="12 Mth Rolling Avg." dataDxfId="3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98" totalsRowShown="0" headerRowBorderDxfId="29" tableBorderDxfId="28">
  <autoFilter ref="B1:E98" xr:uid="{14195193-D250-4C02-BBFF-95AE135C3362}"/>
  <tableColumns count="4">
    <tableColumn id="1" xr3:uid="{A8438F12-B24B-4C3B-8AAE-624B672A706E}" name="Column1" dataDxfId="27"/>
    <tableColumn id="2" xr3:uid="{1104F672-93E9-44DE-9609-E1316C5BB6FA}" name="Last" dataDxfId="26"/>
    <tableColumn id="3" xr3:uid="{90BD2B2E-7631-4621-916D-0F6D0BE3EF95}" name="% Change" dataDxfId="25">
      <calculatedColumnFormula>C2-C1</calculatedColumnFormula>
    </tableColumn>
    <tableColumn id="4" xr3:uid="{D8504953-A05B-40FE-B256-89DCDC149561}" name="12 Mth Rolling Avg." dataDxfId="2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98" totalsRowShown="0" headerRowBorderDxfId="23" tableBorderDxfId="22">
  <autoFilter ref="B1:E98" xr:uid="{1F5BB70B-E3B4-419B-B2B0-9C5029F6C932}"/>
  <tableColumns count="4">
    <tableColumn id="1" xr3:uid="{7390ACF0-9532-4220-BF89-D8346C9B6480}" name="Column1" dataDxfId="21"/>
    <tableColumn id="2" xr3:uid="{A17E7A6A-2594-41EA-AD1A-69811927DCAA}" name="Last" dataDxfId="20"/>
    <tableColumn id="3" xr3:uid="{3114CB0C-906D-4BDB-AFEF-0DBB54E725F1}" name="% Change" dataDxfId="19">
      <calculatedColumnFormula>C2-C1</calculatedColumnFormula>
    </tableColumn>
    <tableColumn id="4" xr3:uid="{BFE4ABB0-F2B4-47A3-8662-4175C159B2CE}" name="12 Mth Rolling Avg." dataDxfId="1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6" totalsRowShown="0" headerRowBorderDxfId="17" tableBorderDxfId="16">
  <autoFilter ref="B1:E146" xr:uid="{5EF93FC5-B642-48C4-968B-D9B83742F3BA}"/>
  <tableColumns count="4">
    <tableColumn id="1" xr3:uid="{E60B2EAF-BA9F-495E-AC84-D93AE0F86FBC}" name="Column1" dataDxfId="15"/>
    <tableColumn id="2" xr3:uid="{D87CE9A1-9CB1-4F22-B3B9-8A2FA1A01653}" name="Last" dataDxfId="14"/>
    <tableColumn id="3" xr3:uid="{67D23FA1-9723-4CD5-94DC-0F7129B17C77}" name="% Change" dataDxfId="13">
      <calculatedColumnFormula>C2-C1</calculatedColumnFormula>
    </tableColumn>
    <tableColumn id="4" xr3:uid="{409A04DF-1944-44B2-AEE3-7A348604D114}" name="12 Mth Rolling Avg." dataDxfId="1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3" totalsRowShown="0" headerRowBorderDxfId="11" tableBorderDxfId="10">
  <autoFilter ref="B1:E93" xr:uid="{D67E0C16-0FE4-4271-A213-EBB0EA52A398}"/>
  <tableColumns count="4">
    <tableColumn id="1" xr3:uid="{CE310A0F-D151-49B1-BFB0-54AD8E0773E0}" name="Column1" dataDxfId="9"/>
    <tableColumn id="2" xr3:uid="{C017358A-10BA-4128-A874-A018EAACCB50}" name="Last" dataDxfId="8"/>
    <tableColumn id="3" xr3:uid="{7C13F6AB-9B15-4C0F-961A-8652E8E33BBA}" name="% Change" dataDxfId="7">
      <calculatedColumnFormula>C2-C1</calculatedColumnFormula>
    </tableColumn>
    <tableColumn id="4" xr3:uid="{636D3B72-FFDF-4E33-A5EA-89B294638900}" name="12 Mth Rolling Avg." dataDxfId="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1" totalsRowShown="0" headerRowBorderDxfId="5" tableBorderDxfId="4">
  <autoFilter ref="B1:E91" xr:uid="{6D448C98-E10D-4920-B781-0D15DA8DB9F6}"/>
  <tableColumns count="4">
    <tableColumn id="1" xr3:uid="{1A17CD3D-E00F-44BF-9430-BD2096402F4A}" name="Column1" dataDxfId="3"/>
    <tableColumn id="2" xr3:uid="{A9F275B7-FCBA-498D-A959-F189FA1ACF7C}" name="Last" dataDxfId="2"/>
    <tableColumn id="3" xr3:uid="{6C55E364-D7AB-4FB9-A97F-F8A7417E3426}" name="% Change" dataDxfId="1">
      <calculatedColumnFormula>C2-C1</calculatedColumnFormula>
    </tableColumn>
    <tableColumn id="4" xr3:uid="{1FB92334-6CC6-4297-B17E-05A0D5426601}" name="12 Mth Rolling Avg." dataDxfId="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3B39D-17A4-4179-A0D9-240E9E4BC66F}">
  <sheetPr codeName="Sheet1">
    <tabColor theme="1"/>
  </sheetPr>
  <dimension ref="A1:D51"/>
  <sheetViews>
    <sheetView topLeftCell="A16" workbookViewId="0">
      <selection activeCell="F19" sqref="F18:F19"/>
    </sheetView>
  </sheetViews>
  <sheetFormatPr defaultRowHeight="15" x14ac:dyDescent="0.25"/>
  <cols>
    <col min="1" max="1" width="20" bestFit="1" customWidth="1"/>
    <col min="2" max="2" width="11.140625" bestFit="1" customWidth="1"/>
    <col min="3" max="3" width="6.7109375" bestFit="1" customWidth="1"/>
    <col min="4" max="4" width="11" bestFit="1" customWidth="1"/>
    <col min="5" max="5" width="11.5703125" bestFit="1" customWidth="1"/>
    <col min="6" max="6" width="6.5703125" bestFit="1" customWidth="1"/>
  </cols>
  <sheetData>
    <row r="1" spans="1:4" x14ac:dyDescent="0.25">
      <c r="A1" t="s">
        <v>0</v>
      </c>
      <c r="B1" t="s">
        <v>2</v>
      </c>
      <c r="C1" t="s">
        <v>1</v>
      </c>
      <c r="D1" t="s">
        <v>157</v>
      </c>
    </row>
    <row r="2" spans="1:4" x14ac:dyDescent="0.25">
      <c r="A2" t="s">
        <v>3</v>
      </c>
      <c r="B2" s="2">
        <v>43800</v>
      </c>
      <c r="C2">
        <v>48.3</v>
      </c>
      <c r="D2">
        <v>48.1</v>
      </c>
    </row>
    <row r="3" spans="1:4" x14ac:dyDescent="0.25">
      <c r="A3" t="s">
        <v>4</v>
      </c>
      <c r="B3" s="2">
        <v>43800</v>
      </c>
      <c r="C3">
        <v>46</v>
      </c>
      <c r="D3">
        <v>46</v>
      </c>
    </row>
    <row r="4" spans="1:4" x14ac:dyDescent="0.25">
      <c r="A4" t="s">
        <v>5</v>
      </c>
      <c r="B4" s="2">
        <v>43800</v>
      </c>
      <c r="C4">
        <v>50.2</v>
      </c>
      <c r="D4">
        <v>52.9</v>
      </c>
    </row>
    <row r="5" spans="1:4" x14ac:dyDescent="0.25">
      <c r="A5" t="s">
        <v>6</v>
      </c>
      <c r="B5" s="2">
        <v>43800</v>
      </c>
      <c r="C5">
        <v>50.4</v>
      </c>
      <c r="D5">
        <v>51.4</v>
      </c>
    </row>
    <row r="6" spans="1:4" x14ac:dyDescent="0.25">
      <c r="A6" t="s">
        <v>7</v>
      </c>
      <c r="B6" s="2">
        <v>43800</v>
      </c>
      <c r="C6">
        <v>51.5</v>
      </c>
      <c r="D6">
        <v>51.8</v>
      </c>
    </row>
    <row r="7" spans="1:4" x14ac:dyDescent="0.25">
      <c r="A7" t="s">
        <v>8</v>
      </c>
      <c r="B7" s="2">
        <v>43800</v>
      </c>
      <c r="C7">
        <v>52.4</v>
      </c>
      <c r="D7">
        <v>52.9</v>
      </c>
    </row>
    <row r="8" spans="1:4" x14ac:dyDescent="0.25">
      <c r="A8" t="s">
        <v>9</v>
      </c>
      <c r="B8" s="2">
        <v>43800</v>
      </c>
      <c r="C8">
        <v>43.6</v>
      </c>
      <c r="D8">
        <v>43.5</v>
      </c>
    </row>
    <row r="9" spans="1:4" x14ac:dyDescent="0.25">
      <c r="A9" t="s">
        <v>10</v>
      </c>
      <c r="B9" s="2">
        <v>43800</v>
      </c>
      <c r="C9">
        <v>50.7</v>
      </c>
      <c r="D9">
        <v>53</v>
      </c>
    </row>
    <row r="10" spans="1:4" x14ac:dyDescent="0.25">
      <c r="A10" t="s">
        <v>11</v>
      </c>
      <c r="B10" s="2">
        <v>43800</v>
      </c>
      <c r="C10">
        <v>48.2</v>
      </c>
      <c r="D10">
        <v>47.9</v>
      </c>
    </row>
    <row r="11" spans="1:4" x14ac:dyDescent="0.25">
      <c r="A11" t="s">
        <v>12</v>
      </c>
      <c r="B11" s="2">
        <v>43800</v>
      </c>
      <c r="C11">
        <v>46.3</v>
      </c>
      <c r="D11">
        <v>46.9</v>
      </c>
    </row>
    <row r="12" spans="1:4" x14ac:dyDescent="0.25">
      <c r="A12" t="s">
        <v>13</v>
      </c>
      <c r="B12" s="2">
        <v>43800</v>
      </c>
      <c r="C12">
        <v>50.4</v>
      </c>
      <c r="D12">
        <v>51.7</v>
      </c>
    </row>
    <row r="13" spans="1:4" x14ac:dyDescent="0.25">
      <c r="A13" t="s">
        <v>14</v>
      </c>
      <c r="B13" s="2">
        <v>43800</v>
      </c>
      <c r="C13">
        <v>43.7</v>
      </c>
      <c r="D13">
        <v>44.1</v>
      </c>
    </row>
    <row r="14" spans="1:4" x14ac:dyDescent="0.25">
      <c r="A14" t="s">
        <v>15</v>
      </c>
      <c r="B14" s="2">
        <v>43800</v>
      </c>
      <c r="C14">
        <v>53.9</v>
      </c>
      <c r="D14">
        <v>54.1</v>
      </c>
    </row>
    <row r="15" spans="1:4" x14ac:dyDescent="0.25">
      <c r="A15" t="s">
        <v>16</v>
      </c>
      <c r="B15" s="2">
        <v>43800</v>
      </c>
      <c r="C15">
        <v>42.1</v>
      </c>
      <c r="D15">
        <v>38.5</v>
      </c>
    </row>
    <row r="16" spans="1:4" x14ac:dyDescent="0.25">
      <c r="A16" t="s">
        <v>17</v>
      </c>
      <c r="B16" s="2">
        <v>43800</v>
      </c>
      <c r="C16">
        <v>53.9</v>
      </c>
      <c r="D16">
        <v>53.1</v>
      </c>
    </row>
    <row r="17" spans="1:4" x14ac:dyDescent="0.25">
      <c r="A17" t="s">
        <v>18</v>
      </c>
      <c r="B17" s="2">
        <v>43800</v>
      </c>
      <c r="C17">
        <v>52.7</v>
      </c>
      <c r="D17">
        <v>51.2</v>
      </c>
    </row>
    <row r="18" spans="1:4" x14ac:dyDescent="0.25">
      <c r="A18" t="s">
        <v>19</v>
      </c>
      <c r="B18" s="2">
        <v>43800</v>
      </c>
      <c r="C18">
        <v>49.5</v>
      </c>
      <c r="D18">
        <v>48.2</v>
      </c>
    </row>
    <row r="19" spans="1:4" x14ac:dyDescent="0.25">
      <c r="A19" t="s">
        <v>20</v>
      </c>
      <c r="B19" s="2">
        <v>43800</v>
      </c>
      <c r="C19">
        <v>49.5</v>
      </c>
      <c r="D19">
        <v>49.7</v>
      </c>
    </row>
    <row r="20" spans="1:4" x14ac:dyDescent="0.25">
      <c r="A20" t="s">
        <v>21</v>
      </c>
      <c r="B20" s="2">
        <v>43770</v>
      </c>
      <c r="C20">
        <v>52.8</v>
      </c>
      <c r="D20">
        <v>51.8</v>
      </c>
    </row>
    <row r="21" spans="1:4" x14ac:dyDescent="0.25">
      <c r="A21" t="s">
        <v>22</v>
      </c>
      <c r="B21" s="2">
        <v>43800</v>
      </c>
      <c r="C21">
        <v>46.2</v>
      </c>
      <c r="D21">
        <v>47.6</v>
      </c>
    </row>
    <row r="22" spans="1:4" x14ac:dyDescent="0.25">
      <c r="A22" t="s">
        <v>23</v>
      </c>
      <c r="B22" s="2">
        <v>43800</v>
      </c>
      <c r="C22">
        <v>48.4</v>
      </c>
      <c r="D22">
        <v>48.9</v>
      </c>
    </row>
    <row r="23" spans="1:4" x14ac:dyDescent="0.25">
      <c r="A23" t="s">
        <v>24</v>
      </c>
      <c r="B23" s="2">
        <v>43800</v>
      </c>
      <c r="C23">
        <v>53.3</v>
      </c>
      <c r="D23">
        <v>53.2</v>
      </c>
    </row>
    <row r="24" spans="1:4" x14ac:dyDescent="0.25">
      <c r="A24" t="s">
        <v>25</v>
      </c>
      <c r="B24" s="2">
        <v>43800</v>
      </c>
      <c r="C24">
        <v>45.1</v>
      </c>
      <c r="D24">
        <v>37</v>
      </c>
    </row>
    <row r="25" spans="1:4" x14ac:dyDescent="0.25">
      <c r="A25" t="s">
        <v>26</v>
      </c>
      <c r="B25" s="2">
        <v>43800</v>
      </c>
      <c r="C25">
        <v>50</v>
      </c>
      <c r="D25">
        <v>49.5</v>
      </c>
    </row>
    <row r="26" spans="1:4" x14ac:dyDescent="0.25">
      <c r="A26" t="s">
        <v>27</v>
      </c>
      <c r="B26" s="2">
        <v>43800</v>
      </c>
      <c r="C26">
        <v>47.1</v>
      </c>
      <c r="D26">
        <v>48</v>
      </c>
    </row>
    <row r="27" spans="1:4" x14ac:dyDescent="0.25">
      <c r="A27" t="s">
        <v>28</v>
      </c>
      <c r="B27" s="2">
        <v>43800</v>
      </c>
      <c r="C27">
        <v>52</v>
      </c>
      <c r="D27">
        <v>52.7</v>
      </c>
    </row>
    <row r="28" spans="1:4" x14ac:dyDescent="0.25">
      <c r="A28" t="s">
        <v>29</v>
      </c>
      <c r="B28" s="2">
        <v>43800</v>
      </c>
      <c r="C28">
        <v>48.3</v>
      </c>
      <c r="D28">
        <v>49.6</v>
      </c>
    </row>
    <row r="29" spans="1:4" x14ac:dyDescent="0.25">
      <c r="A29" t="s">
        <v>30</v>
      </c>
      <c r="B29" s="2">
        <v>43770</v>
      </c>
      <c r="C29">
        <v>51.4</v>
      </c>
      <c r="D29">
        <v>52.6</v>
      </c>
    </row>
    <row r="30" spans="1:4" x14ac:dyDescent="0.25">
      <c r="A30" t="s">
        <v>31</v>
      </c>
      <c r="B30" s="2">
        <v>43800</v>
      </c>
      <c r="C30">
        <v>60.8</v>
      </c>
      <c r="D30">
        <v>59.3</v>
      </c>
    </row>
    <row r="31" spans="1:4" x14ac:dyDescent="0.25">
      <c r="A31" t="s">
        <v>32</v>
      </c>
      <c r="B31" s="2">
        <v>43800</v>
      </c>
      <c r="C31">
        <v>55.5</v>
      </c>
      <c r="D31">
        <v>53.8</v>
      </c>
    </row>
    <row r="32" spans="1:4" x14ac:dyDescent="0.25">
      <c r="A32" t="s">
        <v>33</v>
      </c>
      <c r="B32" s="2">
        <v>43800</v>
      </c>
      <c r="C32">
        <v>51.7</v>
      </c>
      <c r="D32">
        <v>51.4</v>
      </c>
    </row>
    <row r="33" spans="1:4" x14ac:dyDescent="0.25">
      <c r="A33" t="s">
        <v>34</v>
      </c>
      <c r="B33" s="2">
        <v>43800</v>
      </c>
      <c r="C33">
        <v>48</v>
      </c>
      <c r="D33">
        <v>46.7</v>
      </c>
    </row>
    <row r="34" spans="1:4" x14ac:dyDescent="0.25">
      <c r="A34" t="s">
        <v>35</v>
      </c>
      <c r="B34" s="2">
        <v>43739</v>
      </c>
      <c r="C34">
        <v>48.4</v>
      </c>
      <c r="D34">
        <v>43.8</v>
      </c>
    </row>
    <row r="35" spans="1:4" x14ac:dyDescent="0.25">
      <c r="A35" t="s">
        <v>36</v>
      </c>
      <c r="B35" s="2">
        <v>43800</v>
      </c>
      <c r="C35">
        <v>49.4</v>
      </c>
      <c r="D35">
        <v>48.3</v>
      </c>
    </row>
    <row r="36" spans="1:4" x14ac:dyDescent="0.25">
      <c r="A36" t="s">
        <v>37</v>
      </c>
      <c r="B36" s="2">
        <v>43800</v>
      </c>
      <c r="C36">
        <v>47.5</v>
      </c>
      <c r="D36">
        <v>45.6</v>
      </c>
    </row>
    <row r="37" spans="1:4" x14ac:dyDescent="0.25">
      <c r="A37" t="s">
        <v>38</v>
      </c>
      <c r="B37" s="2">
        <v>43800</v>
      </c>
      <c r="C37">
        <v>56.9</v>
      </c>
      <c r="D37">
        <v>58.3</v>
      </c>
    </row>
    <row r="38" spans="1:4" x14ac:dyDescent="0.25">
      <c r="A38" t="s">
        <v>39</v>
      </c>
      <c r="B38" s="2">
        <v>43800</v>
      </c>
      <c r="C38">
        <v>50.1</v>
      </c>
      <c r="D38">
        <v>49.8</v>
      </c>
    </row>
    <row r="39" spans="1:4" x14ac:dyDescent="0.25">
      <c r="A39" t="s">
        <v>40</v>
      </c>
      <c r="B39" s="2">
        <v>43800</v>
      </c>
      <c r="C39">
        <v>47.1</v>
      </c>
      <c r="D39">
        <v>47.7</v>
      </c>
    </row>
    <row r="40" spans="1:4" x14ac:dyDescent="0.25">
      <c r="A40" t="s">
        <v>41</v>
      </c>
      <c r="B40" s="2">
        <v>43800</v>
      </c>
      <c r="C40">
        <v>50.1</v>
      </c>
      <c r="D40">
        <v>49.4</v>
      </c>
    </row>
    <row r="41" spans="1:4" x14ac:dyDescent="0.25">
      <c r="A41" t="s">
        <v>42</v>
      </c>
      <c r="B41" s="2">
        <v>43800</v>
      </c>
      <c r="C41">
        <v>47.4</v>
      </c>
      <c r="D41">
        <v>47.5</v>
      </c>
    </row>
    <row r="42" spans="1:4" x14ac:dyDescent="0.25">
      <c r="A42" t="s">
        <v>43</v>
      </c>
      <c r="B42" s="2">
        <v>43770</v>
      </c>
      <c r="C42">
        <v>56</v>
      </c>
      <c r="D42">
        <v>57.6</v>
      </c>
    </row>
    <row r="43" spans="1:4" x14ac:dyDescent="0.25">
      <c r="A43" t="s">
        <v>44</v>
      </c>
      <c r="B43" s="2">
        <v>43800</v>
      </c>
      <c r="C43">
        <v>47.1</v>
      </c>
      <c r="D43">
        <v>45.7</v>
      </c>
    </row>
    <row r="44" spans="1:4" x14ac:dyDescent="0.25">
      <c r="A44" t="s">
        <v>45</v>
      </c>
      <c r="B44" s="2">
        <v>43800</v>
      </c>
      <c r="C44">
        <v>50.2</v>
      </c>
      <c r="D44">
        <v>48.8</v>
      </c>
    </row>
    <row r="45" spans="1:4" x14ac:dyDescent="0.25">
      <c r="A45" t="s">
        <v>46</v>
      </c>
      <c r="B45" s="2">
        <v>43800</v>
      </c>
      <c r="C45">
        <v>50.8</v>
      </c>
      <c r="D45">
        <v>49.8</v>
      </c>
    </row>
    <row r="46" spans="1:4" x14ac:dyDescent="0.25">
      <c r="A46" t="s">
        <v>47</v>
      </c>
      <c r="B46" s="2">
        <v>43800</v>
      </c>
      <c r="C46">
        <v>50.1</v>
      </c>
      <c r="D46">
        <v>49.3</v>
      </c>
    </row>
    <row r="47" spans="1:4" x14ac:dyDescent="0.25">
      <c r="A47" t="s">
        <v>48</v>
      </c>
      <c r="B47" s="2">
        <v>43800</v>
      </c>
      <c r="C47">
        <v>49.5</v>
      </c>
      <c r="D47">
        <v>49.5</v>
      </c>
    </row>
    <row r="48" spans="1:4" x14ac:dyDescent="0.25">
      <c r="A48" t="s">
        <v>49</v>
      </c>
      <c r="B48" s="2">
        <v>43800</v>
      </c>
      <c r="C48">
        <v>50.2</v>
      </c>
      <c r="D48">
        <v>50.3</v>
      </c>
    </row>
    <row r="49" spans="1:4" x14ac:dyDescent="0.25">
      <c r="A49" t="s">
        <v>50</v>
      </c>
      <c r="B49" s="2">
        <v>43800</v>
      </c>
      <c r="C49">
        <v>47.5</v>
      </c>
      <c r="D49">
        <v>48.9</v>
      </c>
    </row>
    <row r="50" spans="1:4" x14ac:dyDescent="0.25">
      <c r="A50" t="s">
        <v>51</v>
      </c>
      <c r="B50" s="2">
        <v>43800</v>
      </c>
      <c r="C50">
        <v>52.4</v>
      </c>
      <c r="D50">
        <v>52.6</v>
      </c>
    </row>
    <row r="51" spans="1:4" x14ac:dyDescent="0.25">
      <c r="A51" t="s">
        <v>52</v>
      </c>
      <c r="B51" s="2">
        <v>43800</v>
      </c>
      <c r="C51">
        <v>50.8</v>
      </c>
      <c r="D51">
        <v>51</v>
      </c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G265"/>
  <sheetViews>
    <sheetView topLeftCell="A244" workbookViewId="0">
      <selection activeCell="B260" sqref="B260:C260"/>
    </sheetView>
  </sheetViews>
  <sheetFormatPr defaultRowHeight="15" x14ac:dyDescent="0.25"/>
  <cols>
    <col min="1" max="1" width="12.28515625" customWidth="1"/>
    <col min="2" max="2" width="12.28515625" style="2" customWidth="1"/>
    <col min="3" max="3" width="19" style="7" customWidth="1"/>
    <col min="4" max="4" width="11.7109375" customWidth="1"/>
    <col min="5" max="5" width="19.855468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1">
        <f>INDEX(Australia[% Change],ROWS(Australia[% Change]),1)</f>
        <v>0.19999999999999574</v>
      </c>
      <c r="G2" s="43">
        <f>INDEX(Australia[12 Mth Rolling Avg.],ROWS(Australia[12 Mth Rolling Avg.]),1)</f>
        <v>51.797308333333326</v>
      </c>
    </row>
    <row r="3" spans="1:7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</row>
    <row r="4" spans="1:7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</row>
    <row r="5" spans="1:7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</row>
    <row r="6" spans="1:7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</row>
    <row r="7" spans="1:7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</row>
    <row r="8" spans="1:7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</row>
    <row r="9" spans="1:7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</row>
    <row r="10" spans="1:7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</row>
    <row r="11" spans="1:7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</row>
    <row r="12" spans="1:7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</row>
    <row r="13" spans="1:7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</row>
    <row r="14" spans="1:7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</row>
    <row r="15" spans="1:7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</row>
    <row r="16" spans="1:7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</row>
    <row r="17" spans="1:5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</row>
    <row r="18" spans="1:5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</row>
    <row r="19" spans="1:5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</row>
    <row r="20" spans="1:5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</row>
    <row r="21" spans="1:5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</row>
    <row r="22" spans="1:5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</row>
    <row r="23" spans="1:5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48.2</v>
      </c>
    </row>
    <row r="24" spans="1:5" x14ac:dyDescent="0.25">
      <c r="B24" s="2">
        <v>35855</v>
      </c>
      <c r="C24">
        <v>50.375700000000002</v>
      </c>
      <c r="D24" s="7">
        <f t="shared" si="1"/>
        <v>2.2757000000000005</v>
      </c>
      <c r="E24">
        <f t="shared" si="0"/>
        <v>50.829266666666662</v>
      </c>
    </row>
    <row r="25" spans="1:5" x14ac:dyDescent="0.25">
      <c r="B25" s="2">
        <v>35947</v>
      </c>
      <c r="C25">
        <v>47.8018</v>
      </c>
      <c r="D25" s="7">
        <f t="shared" si="1"/>
        <v>-2.5739000000000019</v>
      </c>
      <c r="E25">
        <f t="shared" si="0"/>
        <v>49.60093333333333</v>
      </c>
    </row>
    <row r="26" spans="1:5" x14ac:dyDescent="0.25">
      <c r="B26" s="2">
        <v>36039</v>
      </c>
      <c r="C26">
        <v>51.400599999999997</v>
      </c>
      <c r="D26" s="7">
        <f t="shared" si="1"/>
        <v>3.5987999999999971</v>
      </c>
      <c r="E26">
        <f t="shared" si="0"/>
        <v>49.859366666666666</v>
      </c>
    </row>
    <row r="27" spans="1:5" x14ac:dyDescent="0.25">
      <c r="B27" s="2">
        <v>36130</v>
      </c>
      <c r="C27">
        <v>53.628300000000003</v>
      </c>
      <c r="D27" s="7">
        <f t="shared" si="1"/>
        <v>2.2277000000000058</v>
      </c>
      <c r="E27">
        <f t="shared" si="0"/>
        <v>50.801600000000001</v>
      </c>
    </row>
    <row r="28" spans="1:5" x14ac:dyDescent="0.25">
      <c r="B28" s="2">
        <v>36220</v>
      </c>
      <c r="C28">
        <v>51.372500000000002</v>
      </c>
      <c r="D28" s="7">
        <f t="shared" si="1"/>
        <v>-2.2558000000000007</v>
      </c>
      <c r="E28">
        <f t="shared" si="0"/>
        <v>51.050800000000002</v>
      </c>
    </row>
    <row r="29" spans="1:5" x14ac:dyDescent="0.25">
      <c r="B29" s="2">
        <v>36312</v>
      </c>
      <c r="C29">
        <v>56.329300000000003</v>
      </c>
      <c r="D29" s="7">
        <f t="shared" si="1"/>
        <v>4.9568000000000012</v>
      </c>
      <c r="E29">
        <f t="shared" si="0"/>
        <v>53.182675000000003</v>
      </c>
    </row>
    <row r="30" spans="1:5" x14ac:dyDescent="0.25">
      <c r="B30" s="2">
        <v>36404</v>
      </c>
      <c r="C30">
        <v>55.445799999999998</v>
      </c>
      <c r="D30" s="7">
        <f t="shared" si="1"/>
        <v>-0.88350000000000506</v>
      </c>
      <c r="E30">
        <f t="shared" si="0"/>
        <v>54.193975000000002</v>
      </c>
    </row>
    <row r="31" spans="1:5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53.630050000000004</v>
      </c>
    </row>
    <row r="32" spans="1:5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53.583300000000001</v>
      </c>
    </row>
    <row r="33" spans="2:5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</row>
    <row r="34" spans="2:5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</row>
    <row r="35" spans="2:5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</row>
    <row r="36" spans="2:5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</row>
    <row r="37" spans="2:5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</row>
    <row r="38" spans="2:5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</row>
    <row r="39" spans="2:5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</row>
    <row r="40" spans="2:5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</row>
    <row r="41" spans="2:5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</row>
    <row r="42" spans="2:5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</row>
    <row r="43" spans="2:5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</row>
    <row r="44" spans="2:5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</row>
    <row r="45" spans="2:5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</row>
    <row r="46" spans="2:5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</row>
    <row r="47" spans="2:5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</row>
    <row r="48" spans="2:5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</row>
    <row r="49" spans="2:5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</row>
    <row r="50" spans="2:5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</row>
    <row r="51" spans="2:5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</row>
    <row r="52" spans="2:5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</row>
    <row r="53" spans="2:5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</row>
    <row r="54" spans="2:5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</row>
    <row r="55" spans="2:5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</row>
    <row r="56" spans="2:5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</row>
    <row r="57" spans="2:5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</row>
    <row r="58" spans="2:5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</row>
    <row r="59" spans="2:5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</row>
    <row r="60" spans="2:5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</row>
    <row r="61" spans="2:5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</row>
    <row r="62" spans="2:5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</row>
    <row r="63" spans="2:5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</row>
    <row r="64" spans="2:5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</row>
    <row r="65" spans="2:5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</row>
    <row r="66" spans="2:5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</row>
    <row r="67" spans="2:5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</row>
    <row r="68" spans="2:5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</row>
    <row r="69" spans="2:5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</row>
    <row r="70" spans="2:5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</row>
    <row r="71" spans="2:5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</row>
    <row r="72" spans="2:5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</row>
    <row r="73" spans="2:5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</row>
    <row r="74" spans="2:5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</row>
    <row r="75" spans="2:5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</row>
    <row r="76" spans="2:5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</row>
    <row r="77" spans="2:5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</row>
    <row r="78" spans="2:5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</row>
    <row r="79" spans="2:5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</row>
    <row r="80" spans="2:5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</row>
    <row r="81" spans="2:5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</row>
    <row r="82" spans="2:5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</row>
    <row r="83" spans="2:5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</row>
    <row r="84" spans="2:5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</row>
    <row r="85" spans="2:5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</row>
    <row r="86" spans="2:5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</row>
    <row r="87" spans="2:5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</row>
    <row r="88" spans="2:5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</row>
    <row r="89" spans="2:5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</row>
    <row r="90" spans="2:5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</row>
    <row r="91" spans="2:5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</row>
    <row r="92" spans="2:5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</row>
    <row r="93" spans="2:5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</row>
    <row r="94" spans="2:5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</row>
    <row r="95" spans="2:5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</row>
    <row r="96" spans="2:5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</row>
    <row r="97" spans="2:5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</row>
    <row r="98" spans="2:5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</row>
    <row r="99" spans="2:5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</row>
    <row r="100" spans="2:5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</row>
    <row r="101" spans="2:5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</row>
    <row r="102" spans="2:5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</row>
    <row r="103" spans="2:5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</row>
    <row r="104" spans="2:5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</row>
    <row r="105" spans="2:5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</row>
    <row r="106" spans="2:5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</row>
    <row r="107" spans="2:5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</row>
    <row r="108" spans="2:5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</row>
    <row r="109" spans="2:5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</row>
    <row r="110" spans="2:5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</row>
    <row r="111" spans="2:5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</row>
    <row r="112" spans="2:5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</row>
    <row r="113" spans="2:5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</row>
    <row r="114" spans="2:5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</row>
    <row r="115" spans="2:5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</row>
    <row r="116" spans="2:5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</row>
    <row r="117" spans="2:5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</row>
    <row r="118" spans="2:5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</row>
    <row r="119" spans="2:5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</row>
    <row r="120" spans="2:5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</row>
    <row r="121" spans="2:5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</row>
    <row r="122" spans="2:5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</row>
    <row r="123" spans="2:5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</row>
    <row r="124" spans="2:5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</row>
    <row r="125" spans="2:5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</row>
    <row r="126" spans="2:5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</row>
    <row r="127" spans="2:5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</row>
    <row r="128" spans="2:5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</row>
    <row r="129" spans="2:5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</row>
    <row r="130" spans="2:5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</row>
    <row r="131" spans="2:5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</row>
    <row r="132" spans="2:5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</row>
    <row r="133" spans="2:5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</row>
    <row r="134" spans="2:5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</row>
    <row r="135" spans="2:5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</row>
    <row r="136" spans="2:5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</row>
    <row r="137" spans="2:5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</row>
    <row r="138" spans="2:5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</row>
    <row r="139" spans="2:5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</row>
    <row r="140" spans="2:5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</row>
    <row r="141" spans="2:5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</row>
    <row r="142" spans="2:5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</row>
    <row r="143" spans="2:5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</row>
    <row r="144" spans="2:5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</row>
    <row r="145" spans="2:5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</row>
    <row r="146" spans="2:5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</row>
    <row r="147" spans="2:5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</row>
    <row r="148" spans="2:5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</row>
    <row r="149" spans="2:5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</row>
    <row r="150" spans="2:5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</row>
    <row r="151" spans="2:5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</row>
    <row r="152" spans="2:5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</row>
    <row r="153" spans="2:5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</row>
    <row r="154" spans="2:5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</row>
    <row r="155" spans="2:5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</row>
    <row r="156" spans="2:5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</row>
    <row r="157" spans="2:5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</row>
    <row r="158" spans="2:5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</row>
    <row r="159" spans="2:5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</row>
    <row r="160" spans="2:5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</row>
    <row r="161" spans="2:5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</row>
    <row r="162" spans="2:5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</row>
    <row r="163" spans="2:5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</row>
    <row r="164" spans="2:5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</row>
    <row r="165" spans="2:5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</row>
    <row r="166" spans="2:5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</row>
    <row r="167" spans="2:5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</row>
    <row r="168" spans="2:5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</row>
    <row r="169" spans="2:5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</row>
    <row r="170" spans="2:5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</row>
    <row r="171" spans="2:5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</row>
    <row r="172" spans="2:5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</row>
    <row r="173" spans="2:5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</row>
    <row r="174" spans="2:5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</row>
    <row r="175" spans="2:5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</row>
    <row r="176" spans="2:5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</row>
    <row r="177" spans="2:5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</row>
    <row r="178" spans="2:5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</row>
    <row r="179" spans="2:5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</row>
    <row r="180" spans="2:5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</row>
    <row r="181" spans="2:5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</row>
    <row r="182" spans="2:5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</row>
    <row r="183" spans="2:5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</row>
    <row r="184" spans="2:5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</row>
    <row r="185" spans="2:5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</row>
    <row r="186" spans="2:5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</row>
    <row r="187" spans="2:5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</row>
    <row r="188" spans="2:5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</row>
    <row r="189" spans="2:5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</row>
    <row r="190" spans="2:5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</row>
    <row r="191" spans="2:5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</row>
    <row r="192" spans="2:5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</row>
    <row r="193" spans="2:5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</row>
    <row r="194" spans="2:5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</row>
    <row r="195" spans="2:5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</row>
    <row r="196" spans="2:5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</row>
    <row r="197" spans="2:5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</row>
    <row r="198" spans="2:5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</row>
    <row r="199" spans="2:5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</row>
    <row r="200" spans="2:5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</row>
    <row r="201" spans="2:5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</row>
    <row r="202" spans="2:5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</row>
    <row r="203" spans="2:5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</row>
    <row r="204" spans="2:5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</row>
    <row r="205" spans="2:5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5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5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5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43770</v>
      </c>
      <c r="C259">
        <v>48.1</v>
      </c>
      <c r="D259" s="14">
        <f t="shared" si="8"/>
        <v>-3.5</v>
      </c>
      <c r="E259">
        <f t="shared" si="6"/>
        <v>51.938975000000006</v>
      </c>
    </row>
    <row r="260" spans="2:5" x14ac:dyDescent="0.25">
      <c r="B260" s="2">
        <v>43800</v>
      </c>
      <c r="C260">
        <v>48.3</v>
      </c>
      <c r="D260" s="7">
        <f t="shared" ref="D260" si="9">C260-C259</f>
        <v>0.19999999999999574</v>
      </c>
      <c r="E260">
        <f t="shared" ref="E260" si="10">IF(ROW(A260)&lt;13,"",AVERAGEIFS($C$2:$C$5000,$B$2:$B$5000,"&gt;"&amp;EDATE(B260,-12),$B$2:$B$5000,"&lt;="&amp;B260))</f>
        <v>51.797308333333326</v>
      </c>
    </row>
    <row r="261" spans="2:5" x14ac:dyDescent="0.25">
      <c r="D261" s="7"/>
    </row>
    <row r="262" spans="2:5" x14ac:dyDescent="0.25">
      <c r="D262" s="7"/>
    </row>
    <row r="263" spans="2:5" x14ac:dyDescent="0.25">
      <c r="D263" s="7"/>
    </row>
    <row r="264" spans="2:5" x14ac:dyDescent="0.25">
      <c r="D264" s="7"/>
    </row>
    <row r="265" spans="2:5" x14ac:dyDescent="0.25">
      <c r="D265" s="7"/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H83"/>
  <sheetViews>
    <sheetView tabSelected="1" topLeftCell="A76"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22.140625" customWidth="1"/>
    <col min="6" max="6" width="19.28515625" customWidth="1"/>
    <col min="7" max="7" width="25.42578125" customWidth="1"/>
  </cols>
  <sheetData>
    <row r="1" spans="1:8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8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0</v>
      </c>
      <c r="G2" s="43">
        <f>INDEX(Austria[12 Mth Rolling Avg.],ROWS(Austria[12 Mth Rolling Avg.]),1)</f>
        <v>47.92307692307692</v>
      </c>
    </row>
    <row r="3" spans="1:8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8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8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8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8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8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8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8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  <c r="H10" s="15"/>
    </row>
    <row r="11" spans="1:8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8" x14ac:dyDescent="0.25">
      <c r="B12" s="2">
        <v>41671</v>
      </c>
      <c r="C12">
        <v>53</v>
      </c>
      <c r="D12">
        <f t="shared" si="1"/>
        <v>7</v>
      </c>
      <c r="E12" s="7" t="str">
        <f t="shared" si="0"/>
        <v/>
      </c>
    </row>
    <row r="13" spans="1:8" x14ac:dyDescent="0.25">
      <c r="B13" s="2">
        <v>41699</v>
      </c>
      <c r="C13">
        <v>51</v>
      </c>
      <c r="D13">
        <f t="shared" si="1"/>
        <v>-2</v>
      </c>
      <c r="E13" s="7">
        <f t="shared" si="0"/>
        <v>51.054545454545455</v>
      </c>
    </row>
    <row r="14" spans="1:8" x14ac:dyDescent="0.25">
      <c r="B14" s="2">
        <v>41730</v>
      </c>
      <c r="C14">
        <v>51.4</v>
      </c>
      <c r="D14">
        <f t="shared" si="1"/>
        <v>0.39999999999999858</v>
      </c>
      <c r="E14" s="7">
        <f t="shared" si="0"/>
        <v>51.381818181818176</v>
      </c>
    </row>
    <row r="15" spans="1:8" x14ac:dyDescent="0.25">
      <c r="B15" s="2">
        <v>41760</v>
      </c>
      <c r="C15">
        <v>50.9</v>
      </c>
      <c r="D15">
        <f t="shared" si="1"/>
        <v>-0.5</v>
      </c>
      <c r="E15" s="7">
        <f t="shared" si="0"/>
        <v>51.627272727272725</v>
      </c>
    </row>
    <row r="16" spans="1:8" x14ac:dyDescent="0.25">
      <c r="B16" s="2">
        <v>41791</v>
      </c>
      <c r="C16">
        <v>50.4</v>
      </c>
      <c r="D16">
        <f t="shared" si="1"/>
        <v>-0.5</v>
      </c>
      <c r="E16" s="7">
        <f t="shared" si="0"/>
        <v>51.81818181818182</v>
      </c>
    </row>
    <row r="17" spans="2:5" x14ac:dyDescent="0.25">
      <c r="B17" s="2">
        <v>41821</v>
      </c>
      <c r="C17">
        <v>50.9</v>
      </c>
      <c r="D17">
        <f t="shared" si="1"/>
        <v>0.5</v>
      </c>
      <c r="E17" s="7">
        <f t="shared" si="0"/>
        <v>51.981818181818177</v>
      </c>
    </row>
    <row r="18" spans="2:5" x14ac:dyDescent="0.25">
      <c r="B18" s="2">
        <v>41852</v>
      </c>
      <c r="C18">
        <v>50.9</v>
      </c>
      <c r="D18">
        <f t="shared" si="1"/>
        <v>0</v>
      </c>
      <c r="E18" s="7">
        <f t="shared" si="0"/>
        <v>51.881818181818176</v>
      </c>
    </row>
    <row r="19" spans="2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51.590909090909079</v>
      </c>
    </row>
    <row r="20" spans="2:5" x14ac:dyDescent="0.25">
      <c r="B20" s="2">
        <v>41913</v>
      </c>
      <c r="C20">
        <v>46.9</v>
      </c>
      <c r="D20">
        <f t="shared" si="1"/>
        <v>-1</v>
      </c>
      <c r="E20" s="7">
        <f t="shared" si="0"/>
        <v>51.063636363636355</v>
      </c>
    </row>
    <row r="21" spans="2:5" x14ac:dyDescent="0.25">
      <c r="B21" s="2">
        <v>41944</v>
      </c>
      <c r="C21">
        <v>47.4</v>
      </c>
      <c r="D21">
        <f t="shared" si="1"/>
        <v>0.5</v>
      </c>
      <c r="E21" s="7">
        <f t="shared" si="0"/>
        <v>50.436363636363623</v>
      </c>
    </row>
    <row r="22" spans="2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49.990909090909078</v>
      </c>
    </row>
    <row r="23" spans="2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49.866666666666653</v>
      </c>
    </row>
    <row r="24" spans="2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49.508333333333326</v>
      </c>
    </row>
    <row r="25" spans="2:5" x14ac:dyDescent="0.25">
      <c r="B25" s="2">
        <v>42064</v>
      </c>
      <c r="C25">
        <v>47.7</v>
      </c>
      <c r="D25">
        <f t="shared" si="1"/>
        <v>-1</v>
      </c>
      <c r="E25" s="7">
        <f t="shared" si="0"/>
        <v>49.233333333333327</v>
      </c>
    </row>
    <row r="26" spans="2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49.125</v>
      </c>
    </row>
    <row r="27" spans="2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49.074999999999989</v>
      </c>
    </row>
    <row r="28" spans="2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49.141666666666673</v>
      </c>
    </row>
    <row r="29" spans="2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2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2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2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2">
        <v>43800</v>
      </c>
      <c r="C82">
        <v>46</v>
      </c>
      <c r="D82">
        <f t="shared" si="4"/>
        <v>0</v>
      </c>
      <c r="E82" s="7">
        <f t="shared" si="3"/>
        <v>47.92307692307692</v>
      </c>
    </row>
    <row r="83" spans="2:5" x14ac:dyDescent="0.25">
      <c r="B83" s="2">
        <v>43800</v>
      </c>
      <c r="C83">
        <v>46</v>
      </c>
      <c r="D83">
        <f t="shared" ref="D83" si="5">C83-C82</f>
        <v>0</v>
      </c>
      <c r="E83" s="7">
        <f t="shared" ref="E83" si="6">IF(ROW(A83)&lt;13,"",AVERAGEIFS($C$2:$C$5000,$B$2:$B$5000,"&gt;"&amp;EDATE(B83,-12),$B$2:$B$5000,"&lt;="&amp;B83))</f>
        <v>47.92307692307692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G92"/>
  <sheetViews>
    <sheetView topLeftCell="A85" workbookViewId="0">
      <selection activeCell="B92" sqref="B92:C9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7.28515625" style="7" customWidth="1"/>
    <col min="4" max="4" width="11.7109375" customWidth="1"/>
    <col min="5" max="5" width="17.570312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27" t="s">
        <v>2</v>
      </c>
      <c r="C1" s="28" t="s">
        <v>149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s="4" t="s">
        <v>4</v>
      </c>
      <c r="B2" s="22">
        <v>41061</v>
      </c>
      <c r="C2" s="16">
        <v>48.5</v>
      </c>
      <c r="D2" s="17"/>
      <c r="E2" t="str">
        <f t="shared" ref="E2:E33" si="0">IF(ROW(A2)&lt;13,"",AVERAGEIFS($C$2:$C$4721,$B$2:$B$4721,"&gt;"&amp;EDATE(B2,-12),$B$2:$B$4721,"&lt;="&amp;B2))</f>
        <v/>
      </c>
      <c r="F2" s="13">
        <f>INDEX(Brazil[% Change],ROWS(Brazil[% Change]),1)</f>
        <v>-2.6999999999999957</v>
      </c>
      <c r="G2" s="44">
        <f>INDEX(Brazil[12 Mth Rolling Avg.],ROWS(Brazil[12 Mth Rolling Avg.]),1)</f>
        <v>51.891666666666659</v>
      </c>
    </row>
    <row r="3" spans="1:7" x14ac:dyDescent="0.25">
      <c r="A3" s="4" t="s">
        <v>5</v>
      </c>
      <c r="B3" s="23">
        <v>41091</v>
      </c>
      <c r="C3" s="18">
        <v>48.7</v>
      </c>
      <c r="D3" s="19">
        <f>C3-C2</f>
        <v>0.20000000000000284</v>
      </c>
      <c r="E3" t="str">
        <f t="shared" si="0"/>
        <v/>
      </c>
    </row>
    <row r="4" spans="1:7" x14ac:dyDescent="0.25">
      <c r="A4" s="4" t="s">
        <v>5</v>
      </c>
      <c r="B4" s="24">
        <v>41122</v>
      </c>
      <c r="C4" s="20">
        <v>49.3</v>
      </c>
      <c r="D4" s="17">
        <f t="shared" ref="D4:D67" si="1">C4-C3</f>
        <v>0.59999999999999432</v>
      </c>
      <c r="E4" t="str">
        <f t="shared" si="0"/>
        <v/>
      </c>
    </row>
    <row r="5" spans="1:7" x14ac:dyDescent="0.25">
      <c r="A5" s="4" t="s">
        <v>5</v>
      </c>
      <c r="B5" s="23">
        <v>41153</v>
      </c>
      <c r="C5" s="18">
        <v>49.8</v>
      </c>
      <c r="D5" s="19">
        <f t="shared" si="1"/>
        <v>0.5</v>
      </c>
      <c r="E5" t="str">
        <f t="shared" si="0"/>
        <v/>
      </c>
    </row>
    <row r="6" spans="1:7" x14ac:dyDescent="0.25">
      <c r="A6" s="4" t="s">
        <v>5</v>
      </c>
      <c r="B6" s="24">
        <v>41183</v>
      </c>
      <c r="C6" s="20">
        <v>50.2</v>
      </c>
      <c r="D6" s="17">
        <f t="shared" si="1"/>
        <v>0.40000000000000568</v>
      </c>
      <c r="E6" t="str">
        <f t="shared" si="0"/>
        <v/>
      </c>
    </row>
    <row r="7" spans="1:7" x14ac:dyDescent="0.25">
      <c r="A7" s="4" t="s">
        <v>5</v>
      </c>
      <c r="B7" s="23">
        <v>41214</v>
      </c>
      <c r="C7" s="18">
        <v>52.2</v>
      </c>
      <c r="D7" s="19">
        <f t="shared" si="1"/>
        <v>2</v>
      </c>
      <c r="E7" t="str">
        <f t="shared" si="0"/>
        <v/>
      </c>
    </row>
    <row r="8" spans="1:7" x14ac:dyDescent="0.25">
      <c r="A8" s="4" t="s">
        <v>5</v>
      </c>
      <c r="B8" s="24">
        <v>41244</v>
      </c>
      <c r="C8" s="20">
        <v>51.1</v>
      </c>
      <c r="D8" s="17">
        <f t="shared" si="1"/>
        <v>-1.1000000000000014</v>
      </c>
      <c r="E8" t="str">
        <f t="shared" si="0"/>
        <v/>
      </c>
    </row>
    <row r="9" spans="1:7" x14ac:dyDescent="0.25">
      <c r="A9" s="4" t="s">
        <v>5</v>
      </c>
      <c r="B9" s="23">
        <v>41275</v>
      </c>
      <c r="C9" s="18">
        <v>53.2</v>
      </c>
      <c r="D9" s="19">
        <f t="shared" si="1"/>
        <v>2.1000000000000014</v>
      </c>
      <c r="E9" t="str">
        <f t="shared" si="0"/>
        <v/>
      </c>
    </row>
    <row r="10" spans="1:7" x14ac:dyDescent="0.25">
      <c r="A10" s="4" t="s">
        <v>5</v>
      </c>
      <c r="B10" s="24">
        <v>41306</v>
      </c>
      <c r="C10" s="20">
        <v>52.5</v>
      </c>
      <c r="D10" s="17">
        <f t="shared" si="1"/>
        <v>-0.70000000000000284</v>
      </c>
      <c r="E10" t="str">
        <f t="shared" si="0"/>
        <v/>
      </c>
    </row>
    <row r="11" spans="1:7" x14ac:dyDescent="0.25">
      <c r="A11" s="4" t="s">
        <v>5</v>
      </c>
      <c r="B11" s="23">
        <v>41334</v>
      </c>
      <c r="C11" s="18">
        <v>51.8</v>
      </c>
      <c r="D11" s="19">
        <f t="shared" si="1"/>
        <v>-0.70000000000000284</v>
      </c>
      <c r="E11" t="str">
        <f t="shared" si="0"/>
        <v/>
      </c>
    </row>
    <row r="12" spans="1:7" x14ac:dyDescent="0.25">
      <c r="A12" s="4" t="s">
        <v>5</v>
      </c>
      <c r="B12" s="24">
        <v>41365</v>
      </c>
      <c r="C12" s="20">
        <v>50.8</v>
      </c>
      <c r="D12" s="17">
        <f t="shared" si="1"/>
        <v>-1</v>
      </c>
      <c r="E12" t="str">
        <f t="shared" si="0"/>
        <v/>
      </c>
    </row>
    <row r="13" spans="1:7" x14ac:dyDescent="0.25">
      <c r="A13" s="4" t="s">
        <v>5</v>
      </c>
      <c r="B13" s="23">
        <v>41395</v>
      </c>
      <c r="C13" s="18">
        <v>50.4</v>
      </c>
      <c r="D13" s="19">
        <f t="shared" si="1"/>
        <v>-0.39999999999999858</v>
      </c>
      <c r="E13">
        <f t="shared" si="0"/>
        <v>50.708333333333336</v>
      </c>
    </row>
    <row r="14" spans="1:7" x14ac:dyDescent="0.25">
      <c r="A14" s="4" t="s">
        <v>5</v>
      </c>
      <c r="B14" s="24">
        <v>41426</v>
      </c>
      <c r="C14" s="20">
        <v>50.4</v>
      </c>
      <c r="D14" s="17">
        <f t="shared" si="1"/>
        <v>0</v>
      </c>
      <c r="E14">
        <f t="shared" si="0"/>
        <v>50.866666666666667</v>
      </c>
    </row>
    <row r="15" spans="1:7" x14ac:dyDescent="0.25">
      <c r="A15" s="4" t="s">
        <v>5</v>
      </c>
      <c r="B15" s="23">
        <v>41456</v>
      </c>
      <c r="C15" s="18">
        <v>48.5</v>
      </c>
      <c r="D15" s="19">
        <f t="shared" si="1"/>
        <v>-1.8999999999999986</v>
      </c>
      <c r="E15">
        <f t="shared" si="0"/>
        <v>50.85</v>
      </c>
    </row>
    <row r="16" spans="1:7" x14ac:dyDescent="0.25">
      <c r="A16" s="4" t="s">
        <v>5</v>
      </c>
      <c r="B16" s="24">
        <v>41487</v>
      </c>
      <c r="C16" s="20">
        <v>49.4</v>
      </c>
      <c r="D16" s="17">
        <f t="shared" si="1"/>
        <v>0.89999999999999858</v>
      </c>
      <c r="E16">
        <f t="shared" si="0"/>
        <v>50.858333333333327</v>
      </c>
    </row>
    <row r="17" spans="1:5" x14ac:dyDescent="0.25">
      <c r="A17" s="4" t="s">
        <v>5</v>
      </c>
      <c r="B17" s="23">
        <v>41518</v>
      </c>
      <c r="C17" s="18">
        <v>49.9</v>
      </c>
      <c r="D17" s="19">
        <f t="shared" si="1"/>
        <v>0.5</v>
      </c>
      <c r="E17">
        <f t="shared" si="0"/>
        <v>50.866666666666667</v>
      </c>
    </row>
    <row r="18" spans="1:5" x14ac:dyDescent="0.25">
      <c r="A18" s="4" t="s">
        <v>5</v>
      </c>
      <c r="B18" s="24">
        <v>41548</v>
      </c>
      <c r="C18" s="20">
        <v>50.2</v>
      </c>
      <c r="D18" s="17">
        <f t="shared" si="1"/>
        <v>0.30000000000000426</v>
      </c>
      <c r="E18">
        <f t="shared" si="0"/>
        <v>50.866666666666667</v>
      </c>
    </row>
    <row r="19" spans="1:5" x14ac:dyDescent="0.25">
      <c r="A19" s="4" t="s">
        <v>5</v>
      </c>
      <c r="B19" s="23">
        <v>41579</v>
      </c>
      <c r="C19" s="18">
        <v>49.7</v>
      </c>
      <c r="D19" s="19">
        <f t="shared" si="1"/>
        <v>-0.5</v>
      </c>
      <c r="E19">
        <f t="shared" si="0"/>
        <v>50.658333333333331</v>
      </c>
    </row>
    <row r="20" spans="1:5" x14ac:dyDescent="0.25">
      <c r="A20" s="4" t="s">
        <v>5</v>
      </c>
      <c r="B20" s="24">
        <v>41609</v>
      </c>
      <c r="C20" s="20">
        <v>50.5</v>
      </c>
      <c r="D20" s="17">
        <f t="shared" si="1"/>
        <v>0.79999999999999716</v>
      </c>
      <c r="E20">
        <f t="shared" si="0"/>
        <v>50.608333333333327</v>
      </c>
    </row>
    <row r="21" spans="1:5" x14ac:dyDescent="0.25">
      <c r="A21" s="4" t="s">
        <v>5</v>
      </c>
      <c r="B21" s="23">
        <v>41640</v>
      </c>
      <c r="C21" s="18">
        <v>50.8</v>
      </c>
      <c r="D21" s="19">
        <f t="shared" si="1"/>
        <v>0.29999999999999716</v>
      </c>
      <c r="E21">
        <f t="shared" si="0"/>
        <v>50.408333333333324</v>
      </c>
    </row>
    <row r="22" spans="1:5" x14ac:dyDescent="0.25">
      <c r="A22" s="4" t="s">
        <v>5</v>
      </c>
      <c r="B22" s="24">
        <v>41671</v>
      </c>
      <c r="C22" s="20">
        <v>50.4</v>
      </c>
      <c r="D22" s="17">
        <f t="shared" si="1"/>
        <v>-0.39999999999999858</v>
      </c>
      <c r="E22">
        <f t="shared" si="0"/>
        <v>50.233333333333327</v>
      </c>
    </row>
    <row r="23" spans="1:5" x14ac:dyDescent="0.25">
      <c r="A23" s="4" t="s">
        <v>5</v>
      </c>
      <c r="B23" s="23">
        <v>41699</v>
      </c>
      <c r="C23" s="18">
        <v>50.6</v>
      </c>
      <c r="D23" s="19">
        <f t="shared" si="1"/>
        <v>0.20000000000000284</v>
      </c>
      <c r="E23">
        <f t="shared" si="0"/>
        <v>50.133333333333333</v>
      </c>
    </row>
    <row r="24" spans="1:5" x14ac:dyDescent="0.25">
      <c r="A24" s="4" t="s">
        <v>5</v>
      </c>
      <c r="B24" s="24">
        <v>41730</v>
      </c>
      <c r="C24" s="20">
        <v>49.3</v>
      </c>
      <c r="D24" s="17">
        <f t="shared" si="1"/>
        <v>-1.3000000000000043</v>
      </c>
      <c r="E24">
        <f t="shared" si="0"/>
        <v>50.008333333333326</v>
      </c>
    </row>
    <row r="25" spans="1:5" x14ac:dyDescent="0.25">
      <c r="A25" s="4" t="s">
        <v>5</v>
      </c>
      <c r="B25" s="23">
        <v>41760</v>
      </c>
      <c r="C25" s="18">
        <v>48.8</v>
      </c>
      <c r="D25" s="19">
        <f t="shared" si="1"/>
        <v>-0.5</v>
      </c>
      <c r="E25">
        <f t="shared" si="0"/>
        <v>49.875</v>
      </c>
    </row>
    <row r="26" spans="1:5" x14ac:dyDescent="0.25">
      <c r="A26" s="4" t="s">
        <v>5</v>
      </c>
      <c r="B26" s="24">
        <v>41791</v>
      </c>
      <c r="C26" s="20">
        <v>48.7</v>
      </c>
      <c r="D26" s="17">
        <f t="shared" si="1"/>
        <v>-9.9999999999994316E-2</v>
      </c>
      <c r="E26">
        <f t="shared" si="0"/>
        <v>49.733333333333341</v>
      </c>
    </row>
    <row r="27" spans="1:5" x14ac:dyDescent="0.25">
      <c r="A27" s="4" t="s">
        <v>5</v>
      </c>
      <c r="B27" s="23">
        <v>41821</v>
      </c>
      <c r="C27" s="18">
        <v>49.1</v>
      </c>
      <c r="D27" s="19">
        <f t="shared" si="1"/>
        <v>0.39999999999999858</v>
      </c>
      <c r="E27">
        <f t="shared" si="0"/>
        <v>49.783333333333339</v>
      </c>
    </row>
    <row r="28" spans="1:5" x14ac:dyDescent="0.25">
      <c r="A28" s="4" t="s">
        <v>5</v>
      </c>
      <c r="B28" s="24">
        <v>41852</v>
      </c>
      <c r="C28" s="20">
        <v>50.2</v>
      </c>
      <c r="D28" s="17">
        <f t="shared" si="1"/>
        <v>1.1000000000000014</v>
      </c>
      <c r="E28">
        <f t="shared" si="0"/>
        <v>49.85</v>
      </c>
    </row>
    <row r="29" spans="1:5" x14ac:dyDescent="0.25">
      <c r="A29" s="4" t="s">
        <v>5</v>
      </c>
      <c r="B29" s="23">
        <v>41883</v>
      </c>
      <c r="C29" s="18">
        <v>49.3</v>
      </c>
      <c r="D29" s="19">
        <f t="shared" si="1"/>
        <v>-0.90000000000000568</v>
      </c>
      <c r="E29">
        <f t="shared" si="0"/>
        <v>49.800000000000004</v>
      </c>
    </row>
    <row r="30" spans="1:5" x14ac:dyDescent="0.25">
      <c r="A30" s="4" t="s">
        <v>5</v>
      </c>
      <c r="B30" s="24">
        <v>41913</v>
      </c>
      <c r="C30" s="20">
        <v>49.1</v>
      </c>
      <c r="D30" s="17">
        <f t="shared" si="1"/>
        <v>-0.19999999999999574</v>
      </c>
      <c r="E30">
        <f t="shared" si="0"/>
        <v>49.708333333333336</v>
      </c>
    </row>
    <row r="31" spans="1:5" x14ac:dyDescent="0.25">
      <c r="A31" t="s">
        <v>5</v>
      </c>
      <c r="B31" s="23">
        <v>41944</v>
      </c>
      <c r="C31" s="18">
        <v>48.7</v>
      </c>
      <c r="D31" s="19">
        <f t="shared" si="1"/>
        <v>-0.39999999999999858</v>
      </c>
      <c r="E31">
        <f t="shared" si="0"/>
        <v>49.625</v>
      </c>
    </row>
    <row r="32" spans="1:5" x14ac:dyDescent="0.25">
      <c r="A32" t="s">
        <v>5</v>
      </c>
      <c r="B32" s="24">
        <v>41974</v>
      </c>
      <c r="C32" s="20">
        <v>50.2</v>
      </c>
      <c r="D32" s="17">
        <f t="shared" si="1"/>
        <v>1.5</v>
      </c>
      <c r="E32">
        <f t="shared" si="0"/>
        <v>49.6</v>
      </c>
    </row>
    <row r="33" spans="1:5" x14ac:dyDescent="0.25">
      <c r="A33" t="s">
        <v>5</v>
      </c>
      <c r="B33" s="23">
        <v>42005</v>
      </c>
      <c r="C33" s="18">
        <v>50.7</v>
      </c>
      <c r="D33" s="19">
        <f t="shared" si="1"/>
        <v>0.5</v>
      </c>
      <c r="E33">
        <f t="shared" si="0"/>
        <v>49.591666666666676</v>
      </c>
    </row>
    <row r="34" spans="1:5" x14ac:dyDescent="0.25">
      <c r="A34" t="s">
        <v>5</v>
      </c>
      <c r="B34" s="24">
        <v>42036</v>
      </c>
      <c r="C34" s="20">
        <v>49.6</v>
      </c>
      <c r="D34" s="17">
        <f t="shared" si="1"/>
        <v>-1.1000000000000014</v>
      </c>
      <c r="E34">
        <f t="shared" ref="E34:E65" si="2">IF(ROW(A34)&lt;13,"",AVERAGEIFS($C$2:$C$4721,$B$2:$B$4721,"&gt;"&amp;EDATE(B34,-12),$B$2:$B$4721,"&lt;="&amp;B34))</f>
        <v>49.525000000000006</v>
      </c>
    </row>
    <row r="35" spans="1:5" x14ac:dyDescent="0.25">
      <c r="A35" t="s">
        <v>5</v>
      </c>
      <c r="B35" s="23">
        <v>42064</v>
      </c>
      <c r="C35" s="18">
        <v>46.2</v>
      </c>
      <c r="D35" s="19">
        <f t="shared" si="1"/>
        <v>-3.3999999999999986</v>
      </c>
      <c r="E35">
        <f t="shared" si="2"/>
        <v>49.158333333333339</v>
      </c>
    </row>
    <row r="36" spans="1:5" x14ac:dyDescent="0.25">
      <c r="A36" t="s">
        <v>5</v>
      </c>
      <c r="B36" s="24">
        <v>44154</v>
      </c>
      <c r="C36" s="21">
        <v>52.9</v>
      </c>
      <c r="D36" s="17">
        <f t="shared" si="1"/>
        <v>6.6999999999999957</v>
      </c>
      <c r="E36">
        <f t="shared" si="2"/>
        <v>51.55</v>
      </c>
    </row>
    <row r="37" spans="1:5" x14ac:dyDescent="0.25">
      <c r="B37" s="23">
        <v>42125</v>
      </c>
      <c r="C37" s="18">
        <v>45.9</v>
      </c>
      <c r="D37" s="19">
        <f t="shared" si="1"/>
        <v>-7</v>
      </c>
      <c r="E37">
        <f t="shared" si="2"/>
        <v>48.881818181818183</v>
      </c>
    </row>
    <row r="38" spans="1:5" x14ac:dyDescent="0.25">
      <c r="B38" s="24">
        <v>42156</v>
      </c>
      <c r="C38" s="20">
        <v>46.5</v>
      </c>
      <c r="D38" s="17">
        <f t="shared" si="1"/>
        <v>0.60000000000000142</v>
      </c>
      <c r="E38">
        <f t="shared" si="2"/>
        <v>48.68181818181818</v>
      </c>
    </row>
    <row r="39" spans="1:5" x14ac:dyDescent="0.25">
      <c r="B39" s="23">
        <v>42186</v>
      </c>
      <c r="C39" s="18">
        <v>47.2</v>
      </c>
      <c r="D39" s="19">
        <f t="shared" si="1"/>
        <v>0.70000000000000284</v>
      </c>
      <c r="E39">
        <f t="shared" si="2"/>
        <v>48.509090909090908</v>
      </c>
    </row>
    <row r="40" spans="1:5" x14ac:dyDescent="0.25">
      <c r="B40" s="24">
        <v>42217</v>
      </c>
      <c r="C40" s="20">
        <v>45.8</v>
      </c>
      <c r="D40" s="17">
        <f t="shared" si="1"/>
        <v>-1.4000000000000057</v>
      </c>
      <c r="E40">
        <f t="shared" si="2"/>
        <v>48.109090909090902</v>
      </c>
    </row>
    <row r="41" spans="1:5" x14ac:dyDescent="0.25">
      <c r="B41" s="23">
        <v>42248</v>
      </c>
      <c r="C41" s="18">
        <v>47</v>
      </c>
      <c r="D41" s="19">
        <f t="shared" si="1"/>
        <v>1.2000000000000028</v>
      </c>
      <c r="E41">
        <f t="shared" si="2"/>
        <v>47.9</v>
      </c>
    </row>
    <row r="42" spans="1:5" x14ac:dyDescent="0.25">
      <c r="B42" s="24">
        <v>42278</v>
      </c>
      <c r="C42" s="20">
        <v>44.1</v>
      </c>
      <c r="D42" s="17">
        <f t="shared" si="1"/>
        <v>-2.8999999999999986</v>
      </c>
      <c r="E42">
        <f t="shared" si="2"/>
        <v>47.445454545454545</v>
      </c>
    </row>
    <row r="43" spans="1:5" x14ac:dyDescent="0.25">
      <c r="B43" s="23">
        <v>42309</v>
      </c>
      <c r="C43" s="18">
        <v>43.8</v>
      </c>
      <c r="D43" s="19">
        <f t="shared" si="1"/>
        <v>-0.30000000000000426</v>
      </c>
      <c r="E43">
        <f t="shared" si="2"/>
        <v>47</v>
      </c>
    </row>
    <row r="44" spans="1:5" x14ac:dyDescent="0.25">
      <c r="B44" s="24">
        <v>42339</v>
      </c>
      <c r="C44" s="20">
        <v>45.6</v>
      </c>
      <c r="D44" s="17">
        <f t="shared" si="1"/>
        <v>1.8000000000000043</v>
      </c>
      <c r="E44">
        <f t="shared" si="2"/>
        <v>46.581818181818193</v>
      </c>
    </row>
    <row r="45" spans="1:5" x14ac:dyDescent="0.25">
      <c r="B45" s="23">
        <v>42370</v>
      </c>
      <c r="C45" s="18">
        <v>47.4</v>
      </c>
      <c r="D45" s="19">
        <f t="shared" si="1"/>
        <v>1.7999999999999972</v>
      </c>
      <c r="E45">
        <f t="shared" si="2"/>
        <v>46.281818181818188</v>
      </c>
    </row>
    <row r="46" spans="1:5" x14ac:dyDescent="0.25">
      <c r="B46" s="24">
        <v>42401</v>
      </c>
      <c r="C46" s="20">
        <v>44.5</v>
      </c>
      <c r="D46" s="17">
        <f t="shared" si="1"/>
        <v>-2.8999999999999986</v>
      </c>
      <c r="E46">
        <f t="shared" si="2"/>
        <v>45.81818181818182</v>
      </c>
    </row>
    <row r="47" spans="1:5" x14ac:dyDescent="0.25">
      <c r="B47" s="23">
        <v>42430</v>
      </c>
      <c r="C47" s="18">
        <v>46</v>
      </c>
      <c r="D47" s="19">
        <f t="shared" si="1"/>
        <v>1.5</v>
      </c>
      <c r="E47">
        <f t="shared" si="2"/>
        <v>45.800000000000004</v>
      </c>
    </row>
    <row r="48" spans="1:5" x14ac:dyDescent="0.25">
      <c r="B48" s="24">
        <v>42461</v>
      </c>
      <c r="C48" s="20">
        <v>42.6</v>
      </c>
      <c r="D48" s="17">
        <f t="shared" si="1"/>
        <v>-3.3999999999999986</v>
      </c>
      <c r="E48">
        <f t="shared" si="2"/>
        <v>45.533333333333339</v>
      </c>
    </row>
    <row r="49" spans="2:5" x14ac:dyDescent="0.25">
      <c r="B49" s="23">
        <v>42491</v>
      </c>
      <c r="C49" s="18">
        <v>41.6</v>
      </c>
      <c r="D49" s="19">
        <f t="shared" si="1"/>
        <v>-1</v>
      </c>
      <c r="E49">
        <f t="shared" si="2"/>
        <v>45.175000000000004</v>
      </c>
    </row>
    <row r="50" spans="2:5" x14ac:dyDescent="0.25">
      <c r="B50" s="24">
        <v>42522</v>
      </c>
      <c r="C50" s="20">
        <v>43.2</v>
      </c>
      <c r="D50" s="17">
        <f t="shared" si="1"/>
        <v>1.6000000000000014</v>
      </c>
      <c r="E50">
        <f t="shared" si="2"/>
        <v>44.900000000000006</v>
      </c>
    </row>
    <row r="51" spans="2:5" x14ac:dyDescent="0.25">
      <c r="B51" s="23">
        <v>42552</v>
      </c>
      <c r="C51" s="18">
        <v>46</v>
      </c>
      <c r="D51" s="19">
        <f t="shared" si="1"/>
        <v>2.7999999999999972</v>
      </c>
      <c r="E51">
        <f t="shared" si="2"/>
        <v>44.800000000000004</v>
      </c>
    </row>
    <row r="52" spans="2:5" x14ac:dyDescent="0.25">
      <c r="B52" s="24">
        <v>42583</v>
      </c>
      <c r="C52" s="20">
        <v>45.7</v>
      </c>
      <c r="D52" s="17">
        <f t="shared" si="1"/>
        <v>-0.29999999999999716</v>
      </c>
      <c r="E52">
        <f t="shared" si="2"/>
        <v>44.791666666666664</v>
      </c>
    </row>
    <row r="53" spans="2:5" x14ac:dyDescent="0.25">
      <c r="B53" s="23">
        <v>42614</v>
      </c>
      <c r="C53" s="18">
        <v>46</v>
      </c>
      <c r="D53" s="19">
        <f t="shared" si="1"/>
        <v>0.29999999999999716</v>
      </c>
      <c r="E53">
        <f t="shared" si="2"/>
        <v>44.708333333333336</v>
      </c>
    </row>
    <row r="54" spans="2:5" x14ac:dyDescent="0.25">
      <c r="B54" s="24">
        <v>42644</v>
      </c>
      <c r="C54" s="20">
        <v>46.3</v>
      </c>
      <c r="D54" s="17">
        <f t="shared" si="1"/>
        <v>0.29999999999999716</v>
      </c>
      <c r="E54">
        <f t="shared" si="2"/>
        <v>44.891666666666673</v>
      </c>
    </row>
    <row r="55" spans="2:5" x14ac:dyDescent="0.25">
      <c r="B55" s="23">
        <v>42675</v>
      </c>
      <c r="C55" s="18">
        <v>46.2</v>
      </c>
      <c r="D55" s="19">
        <f t="shared" si="1"/>
        <v>-9.9999999999994316E-2</v>
      </c>
      <c r="E55">
        <f t="shared" si="2"/>
        <v>45.091666666666669</v>
      </c>
    </row>
    <row r="56" spans="2:5" x14ac:dyDescent="0.25">
      <c r="B56" s="24">
        <v>42705</v>
      </c>
      <c r="C56" s="20">
        <v>45.2</v>
      </c>
      <c r="D56" s="17">
        <f t="shared" si="1"/>
        <v>-1</v>
      </c>
      <c r="E56">
        <f t="shared" si="2"/>
        <v>45.058333333333337</v>
      </c>
    </row>
    <row r="57" spans="2:5" x14ac:dyDescent="0.25">
      <c r="B57" s="23">
        <v>42736</v>
      </c>
      <c r="C57" s="18">
        <v>44</v>
      </c>
      <c r="D57" s="19">
        <f t="shared" si="1"/>
        <v>-1.2000000000000028</v>
      </c>
      <c r="E57">
        <f t="shared" si="2"/>
        <v>44.774999999999999</v>
      </c>
    </row>
    <row r="58" spans="2:5" x14ac:dyDescent="0.25">
      <c r="B58" s="24">
        <v>42767</v>
      </c>
      <c r="C58" s="20">
        <v>46.9</v>
      </c>
      <c r="D58" s="17">
        <f t="shared" si="1"/>
        <v>2.8999999999999986</v>
      </c>
      <c r="E58">
        <f t="shared" si="2"/>
        <v>44.974999999999994</v>
      </c>
    </row>
    <row r="59" spans="2:5" x14ac:dyDescent="0.25">
      <c r="B59" s="23">
        <v>42795</v>
      </c>
      <c r="C59" s="18">
        <v>49.6</v>
      </c>
      <c r="D59" s="19">
        <f t="shared" si="1"/>
        <v>2.7000000000000028</v>
      </c>
      <c r="E59">
        <f t="shared" si="2"/>
        <v>45.274999999999999</v>
      </c>
    </row>
    <row r="60" spans="2:5" x14ac:dyDescent="0.25">
      <c r="B60" s="24">
        <v>42826</v>
      </c>
      <c r="C60" s="20">
        <v>50.1</v>
      </c>
      <c r="D60" s="17">
        <f t="shared" si="1"/>
        <v>0.5</v>
      </c>
      <c r="E60">
        <f t="shared" si="2"/>
        <v>45.9</v>
      </c>
    </row>
    <row r="61" spans="2:5" x14ac:dyDescent="0.25">
      <c r="B61" s="23">
        <v>42856</v>
      </c>
      <c r="C61" s="18">
        <v>52</v>
      </c>
      <c r="D61" s="19">
        <f t="shared" si="1"/>
        <v>1.8999999999999986</v>
      </c>
      <c r="E61">
        <f t="shared" si="2"/>
        <v>46.766666666666673</v>
      </c>
    </row>
    <row r="62" spans="2:5" x14ac:dyDescent="0.25">
      <c r="B62" s="24">
        <v>42887</v>
      </c>
      <c r="C62" s="20">
        <v>50.5</v>
      </c>
      <c r="D62" s="17">
        <f t="shared" si="1"/>
        <v>-1.5</v>
      </c>
      <c r="E62">
        <f t="shared" si="2"/>
        <v>47.375</v>
      </c>
    </row>
    <row r="63" spans="2:5" x14ac:dyDescent="0.25">
      <c r="B63" s="23">
        <v>42917</v>
      </c>
      <c r="C63" s="18">
        <v>50</v>
      </c>
      <c r="D63" s="19">
        <f t="shared" si="1"/>
        <v>-0.5</v>
      </c>
      <c r="E63">
        <f t="shared" si="2"/>
        <v>47.708333333333336</v>
      </c>
    </row>
    <row r="64" spans="2:5" x14ac:dyDescent="0.25">
      <c r="B64" s="24">
        <v>42948</v>
      </c>
      <c r="C64" s="20">
        <v>50.9</v>
      </c>
      <c r="D64" s="17">
        <f t="shared" si="1"/>
        <v>0.89999999999999858</v>
      </c>
      <c r="E64">
        <f t="shared" si="2"/>
        <v>48.141666666666659</v>
      </c>
    </row>
    <row r="65" spans="2:5" x14ac:dyDescent="0.25">
      <c r="B65" s="23">
        <v>42979</v>
      </c>
      <c r="C65" s="18">
        <v>50.9</v>
      </c>
      <c r="D65" s="19">
        <f t="shared" si="1"/>
        <v>0</v>
      </c>
      <c r="E65">
        <f t="shared" si="2"/>
        <v>48.550000000000004</v>
      </c>
    </row>
    <row r="66" spans="2:5" x14ac:dyDescent="0.25">
      <c r="B66" s="24">
        <v>43009</v>
      </c>
      <c r="C66" s="20">
        <v>51.2</v>
      </c>
      <c r="D66" s="17">
        <f t="shared" si="1"/>
        <v>0.30000000000000426</v>
      </c>
      <c r="E66">
        <f t="shared" ref="E66:E91" si="3">IF(ROW(A66)&lt;13,"",AVERAGEIFS($C$2:$C$4721,$B$2:$B$4721,"&gt;"&amp;EDATE(B66,-12),$B$2:$B$4721,"&lt;="&amp;B66))</f>
        <v>48.958333333333336</v>
      </c>
    </row>
    <row r="67" spans="2:5" x14ac:dyDescent="0.25">
      <c r="B67" s="23">
        <v>43040</v>
      </c>
      <c r="C67" s="18">
        <v>53.5</v>
      </c>
      <c r="D67" s="19">
        <f t="shared" si="1"/>
        <v>2.2999999999999972</v>
      </c>
      <c r="E67">
        <f t="shared" si="3"/>
        <v>49.566666666666663</v>
      </c>
    </row>
    <row r="68" spans="2:5" x14ac:dyDescent="0.25">
      <c r="B68" s="24">
        <v>43070</v>
      </c>
      <c r="C68" s="20">
        <v>52.4</v>
      </c>
      <c r="D68" s="17">
        <f t="shared" ref="D68:D91" si="4">C68-C67</f>
        <v>-1.1000000000000014</v>
      </c>
      <c r="E68">
        <f t="shared" si="3"/>
        <v>50.166666666666657</v>
      </c>
    </row>
    <row r="69" spans="2:5" x14ac:dyDescent="0.25">
      <c r="B69" s="23">
        <v>43101</v>
      </c>
      <c r="C69" s="18">
        <v>51.2</v>
      </c>
      <c r="D69" s="19">
        <f t="shared" si="4"/>
        <v>-1.1999999999999957</v>
      </c>
      <c r="E69">
        <f t="shared" si="3"/>
        <v>50.766666666666673</v>
      </c>
    </row>
    <row r="70" spans="2:5" x14ac:dyDescent="0.25">
      <c r="B70" s="24">
        <v>43132</v>
      </c>
      <c r="C70" s="20">
        <v>53.2</v>
      </c>
      <c r="D70" s="17">
        <f t="shared" si="4"/>
        <v>2</v>
      </c>
      <c r="E70">
        <f t="shared" si="3"/>
        <v>51.291666666666664</v>
      </c>
    </row>
    <row r="71" spans="2:5" x14ac:dyDescent="0.25">
      <c r="B71" s="23">
        <v>43160</v>
      </c>
      <c r="C71" s="18">
        <v>53.4</v>
      </c>
      <c r="D71" s="19">
        <f t="shared" si="4"/>
        <v>0.19999999999999574</v>
      </c>
      <c r="E71">
        <f t="shared" si="3"/>
        <v>51.608333333333327</v>
      </c>
    </row>
    <row r="72" spans="2:5" x14ac:dyDescent="0.25">
      <c r="B72" s="24">
        <v>43191</v>
      </c>
      <c r="C72" s="20">
        <v>52.3</v>
      </c>
      <c r="D72" s="17">
        <f t="shared" si="4"/>
        <v>-1.1000000000000014</v>
      </c>
      <c r="E72">
        <f t="shared" si="3"/>
        <v>51.791666666666657</v>
      </c>
    </row>
    <row r="73" spans="2:5" x14ac:dyDescent="0.25">
      <c r="B73" s="23">
        <v>43221</v>
      </c>
      <c r="C73" s="18">
        <v>50.7</v>
      </c>
      <c r="D73" s="19">
        <f t="shared" si="4"/>
        <v>-1.5999999999999943</v>
      </c>
      <c r="E73">
        <f t="shared" si="3"/>
        <v>51.68333333333333</v>
      </c>
    </row>
    <row r="74" spans="2:5" x14ac:dyDescent="0.25">
      <c r="B74" s="24">
        <v>43252</v>
      </c>
      <c r="C74" s="20">
        <v>49.8</v>
      </c>
      <c r="D74" s="17">
        <f t="shared" si="4"/>
        <v>-0.90000000000000568</v>
      </c>
      <c r="E74">
        <f t="shared" si="3"/>
        <v>51.624999999999993</v>
      </c>
    </row>
    <row r="75" spans="2:5" x14ac:dyDescent="0.25">
      <c r="B75" s="23">
        <v>43282</v>
      </c>
      <c r="C75" s="18">
        <v>50.5</v>
      </c>
      <c r="D75" s="19">
        <f t="shared" si="4"/>
        <v>0.70000000000000284</v>
      </c>
      <c r="E75">
        <f t="shared" si="3"/>
        <v>51.666666666666657</v>
      </c>
    </row>
    <row r="76" spans="2:5" x14ac:dyDescent="0.25">
      <c r="B76" s="24">
        <v>43313</v>
      </c>
      <c r="C76" s="20">
        <v>51.1</v>
      </c>
      <c r="D76" s="17">
        <f t="shared" si="4"/>
        <v>0.60000000000000142</v>
      </c>
      <c r="E76">
        <f t="shared" si="3"/>
        <v>51.68333333333333</v>
      </c>
    </row>
    <row r="77" spans="2:5" x14ac:dyDescent="0.25">
      <c r="B77" s="23">
        <v>43344</v>
      </c>
      <c r="C77" s="18">
        <v>50.9</v>
      </c>
      <c r="D77" s="19">
        <f t="shared" si="4"/>
        <v>-0.20000000000000284</v>
      </c>
      <c r="E77">
        <f t="shared" si="3"/>
        <v>51.683333333333337</v>
      </c>
    </row>
    <row r="78" spans="2:5" x14ac:dyDescent="0.25">
      <c r="B78" s="24">
        <v>43374</v>
      </c>
      <c r="C78" s="20">
        <v>51.1</v>
      </c>
      <c r="D78" s="17">
        <f t="shared" si="4"/>
        <v>0.20000000000000284</v>
      </c>
      <c r="E78">
        <f t="shared" si="3"/>
        <v>51.675000000000004</v>
      </c>
    </row>
    <row r="79" spans="2:5" x14ac:dyDescent="0.25">
      <c r="B79" s="23">
        <v>43405</v>
      </c>
      <c r="C79" s="18">
        <v>52.7</v>
      </c>
      <c r="D79" s="19">
        <f t="shared" si="4"/>
        <v>1.6000000000000014</v>
      </c>
      <c r="E79">
        <f t="shared" si="3"/>
        <v>51.608333333333341</v>
      </c>
    </row>
    <row r="80" spans="2:5" x14ac:dyDescent="0.25">
      <c r="B80" s="24">
        <v>43435</v>
      </c>
      <c r="C80" s="20">
        <v>52.6</v>
      </c>
      <c r="D80" s="17">
        <f t="shared" si="4"/>
        <v>-0.10000000000000142</v>
      </c>
      <c r="E80">
        <f t="shared" si="3"/>
        <v>51.625000000000007</v>
      </c>
    </row>
    <row r="81" spans="2:5" x14ac:dyDescent="0.25">
      <c r="B81" s="23">
        <v>43466</v>
      </c>
      <c r="C81" s="18">
        <v>52.7</v>
      </c>
      <c r="D81" s="19">
        <f t="shared" si="4"/>
        <v>0.10000000000000142</v>
      </c>
      <c r="E81">
        <f t="shared" si="3"/>
        <v>51.750000000000007</v>
      </c>
    </row>
    <row r="82" spans="2:5" x14ac:dyDescent="0.25">
      <c r="B82" s="24">
        <v>43497</v>
      </c>
      <c r="C82" s="20">
        <v>53.4</v>
      </c>
      <c r="D82" s="17">
        <f t="shared" si="4"/>
        <v>0.69999999999999574</v>
      </c>
      <c r="E82">
        <f t="shared" si="3"/>
        <v>51.766666666666673</v>
      </c>
    </row>
    <row r="83" spans="2:5" x14ac:dyDescent="0.25">
      <c r="B83" s="25">
        <v>43525</v>
      </c>
      <c r="C83" s="18">
        <v>52.8</v>
      </c>
      <c r="D83" s="19">
        <f t="shared" si="4"/>
        <v>-0.60000000000000142</v>
      </c>
      <c r="E83">
        <f t="shared" si="3"/>
        <v>51.716666666666669</v>
      </c>
    </row>
    <row r="84" spans="2:5" x14ac:dyDescent="0.25">
      <c r="B84" s="26">
        <v>43556</v>
      </c>
      <c r="C84" s="20">
        <v>51.5</v>
      </c>
      <c r="D84" s="17">
        <f t="shared" si="4"/>
        <v>-1.2999999999999972</v>
      </c>
      <c r="E84">
        <f t="shared" si="3"/>
        <v>51.65</v>
      </c>
    </row>
    <row r="85" spans="2:5" x14ac:dyDescent="0.25">
      <c r="B85" s="25">
        <v>43586</v>
      </c>
      <c r="C85" s="18">
        <v>50.2</v>
      </c>
      <c r="D85" s="19">
        <f t="shared" si="4"/>
        <v>-1.2999999999999972</v>
      </c>
      <c r="E85">
        <f t="shared" si="3"/>
        <v>51.608333333333341</v>
      </c>
    </row>
    <row r="86" spans="2:5" x14ac:dyDescent="0.25">
      <c r="B86" s="26">
        <v>43617</v>
      </c>
      <c r="C86" s="20">
        <v>51</v>
      </c>
      <c r="D86" s="17">
        <f t="shared" si="4"/>
        <v>0.79999999999999716</v>
      </c>
      <c r="E86">
        <f t="shared" si="3"/>
        <v>51.708333333333336</v>
      </c>
    </row>
    <row r="87" spans="2:5" x14ac:dyDescent="0.25">
      <c r="B87" s="25">
        <v>43647</v>
      </c>
      <c r="C87" s="18">
        <v>49.9</v>
      </c>
      <c r="D87" s="19">
        <f t="shared" si="4"/>
        <v>-1.1000000000000014</v>
      </c>
      <c r="E87">
        <f t="shared" si="3"/>
        <v>51.658333333333331</v>
      </c>
    </row>
    <row r="88" spans="2:5" x14ac:dyDescent="0.25">
      <c r="B88" s="26">
        <v>43678</v>
      </c>
      <c r="C88" s="20">
        <v>52.5</v>
      </c>
      <c r="D88" s="17">
        <f t="shared" si="4"/>
        <v>2.6000000000000014</v>
      </c>
      <c r="E88">
        <f t="shared" si="3"/>
        <v>51.774999999999999</v>
      </c>
    </row>
    <row r="89" spans="2:5" x14ac:dyDescent="0.25">
      <c r="B89" s="25">
        <v>43709</v>
      </c>
      <c r="C89" s="18">
        <v>53.4</v>
      </c>
      <c r="D89" s="19">
        <f t="shared" si="4"/>
        <v>0.89999999999999858</v>
      </c>
      <c r="E89">
        <f t="shared" si="3"/>
        <v>51.983333333333327</v>
      </c>
    </row>
    <row r="90" spans="2:5" x14ac:dyDescent="0.25">
      <c r="B90" s="26">
        <v>43739</v>
      </c>
      <c r="C90" s="20">
        <v>52.2</v>
      </c>
      <c r="D90" s="17">
        <f t="shared" si="4"/>
        <v>-1.1999999999999957</v>
      </c>
      <c r="E90">
        <f t="shared" si="3"/>
        <v>52.074999999999996</v>
      </c>
    </row>
    <row r="91" spans="2:5" x14ac:dyDescent="0.25">
      <c r="B91" s="25">
        <v>43770</v>
      </c>
      <c r="C91" s="18">
        <v>52.9</v>
      </c>
      <c r="D91" s="19">
        <f t="shared" si="4"/>
        <v>0.69999999999999574</v>
      </c>
      <c r="E91">
        <f t="shared" si="3"/>
        <v>52.091666666666669</v>
      </c>
    </row>
    <row r="92" spans="2:5" x14ac:dyDescent="0.25">
      <c r="B92" s="25">
        <v>43800</v>
      </c>
      <c r="C92" s="18">
        <v>50.2</v>
      </c>
      <c r="D92" s="17">
        <f t="shared" ref="D92" si="5">C92-C91</f>
        <v>-2.6999999999999957</v>
      </c>
      <c r="E92">
        <f t="shared" ref="E92" si="6">IF(ROW(A92)&lt;13,"",AVERAGEIFS($C$2:$C$4721,$B$2:$B$4721,"&gt;"&amp;EDATE(B92,-12),$B$2:$B$4721,"&lt;="&amp;B92))</f>
        <v>51.891666666666659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G259"/>
  <sheetViews>
    <sheetView topLeftCell="A100" workbookViewId="0">
      <selection activeCell="B106" sqref="B106:C106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>
        <v>56.3</v>
      </c>
      <c r="E2" s="29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-1</v>
      </c>
      <c r="G2" s="44">
        <f>INDEX(Canada[12 Mth Rolling Avg.],ROWS(Canada[12 Mth Rolling Avg.]),1)</f>
        <v>50.616666666666667</v>
      </c>
    </row>
    <row r="3" spans="1:7" x14ac:dyDescent="0.25">
      <c r="A3" t="s">
        <v>6</v>
      </c>
      <c r="B3" s="2">
        <v>40664</v>
      </c>
      <c r="C3">
        <v>54.8</v>
      </c>
      <c r="D3">
        <f>C3-C2</f>
        <v>-1.5</v>
      </c>
      <c r="E3" s="30" t="str">
        <f t="shared" si="0"/>
        <v/>
      </c>
    </row>
    <row r="4" spans="1:7" x14ac:dyDescent="0.25">
      <c r="A4" t="s">
        <v>6</v>
      </c>
      <c r="B4" s="2">
        <v>40695</v>
      </c>
      <c r="C4">
        <v>52.8</v>
      </c>
      <c r="D4">
        <f t="shared" ref="D4:D67" si="1">C4-C3</f>
        <v>-2</v>
      </c>
      <c r="E4" s="29" t="str">
        <f t="shared" si="0"/>
        <v/>
      </c>
    </row>
    <row r="5" spans="1:7" x14ac:dyDescent="0.25">
      <c r="A5" t="s">
        <v>6</v>
      </c>
      <c r="B5" s="2">
        <v>40725</v>
      </c>
      <c r="C5">
        <v>53.1</v>
      </c>
      <c r="D5">
        <f t="shared" si="1"/>
        <v>0.30000000000000426</v>
      </c>
      <c r="E5" s="30" t="str">
        <f t="shared" si="0"/>
        <v/>
      </c>
    </row>
    <row r="6" spans="1:7" x14ac:dyDescent="0.25">
      <c r="A6" t="s">
        <v>6</v>
      </c>
      <c r="B6" s="2">
        <v>40756</v>
      </c>
      <c r="C6">
        <v>54.9</v>
      </c>
      <c r="D6">
        <f t="shared" si="1"/>
        <v>1.7999999999999972</v>
      </c>
      <c r="E6" s="29" t="str">
        <f t="shared" si="0"/>
        <v/>
      </c>
    </row>
    <row r="7" spans="1:7" x14ac:dyDescent="0.25">
      <c r="A7" t="s">
        <v>6</v>
      </c>
      <c r="B7" s="2">
        <v>40787</v>
      </c>
      <c r="C7">
        <v>55</v>
      </c>
      <c r="D7">
        <f t="shared" si="1"/>
        <v>0.10000000000000142</v>
      </c>
      <c r="E7" s="30" t="str">
        <f t="shared" si="0"/>
        <v/>
      </c>
    </row>
    <row r="8" spans="1:7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9" t="str">
        <f t="shared" si="0"/>
        <v/>
      </c>
    </row>
    <row r="9" spans="1:7" x14ac:dyDescent="0.25">
      <c r="B9" s="2">
        <v>40848</v>
      </c>
      <c r="C9">
        <v>53.3</v>
      </c>
      <c r="D9">
        <f t="shared" si="1"/>
        <v>1.8999999999999986</v>
      </c>
      <c r="E9" s="30" t="str">
        <f t="shared" si="0"/>
        <v/>
      </c>
    </row>
    <row r="10" spans="1:7" x14ac:dyDescent="0.25">
      <c r="B10" s="2">
        <v>40878</v>
      </c>
      <c r="C10">
        <v>54</v>
      </c>
      <c r="D10">
        <f t="shared" si="1"/>
        <v>0.70000000000000284</v>
      </c>
      <c r="E10" s="29" t="str">
        <f t="shared" si="0"/>
        <v/>
      </c>
    </row>
    <row r="11" spans="1:7" x14ac:dyDescent="0.25">
      <c r="B11" s="2">
        <v>40909</v>
      </c>
      <c r="C11">
        <v>50.6</v>
      </c>
      <c r="D11">
        <f t="shared" si="1"/>
        <v>-3.3999999999999986</v>
      </c>
      <c r="E11" s="30" t="str">
        <f t="shared" si="0"/>
        <v/>
      </c>
    </row>
    <row r="12" spans="1:7" x14ac:dyDescent="0.25">
      <c r="B12" s="2">
        <v>40940</v>
      </c>
      <c r="C12">
        <v>51.8</v>
      </c>
      <c r="D12">
        <f t="shared" si="1"/>
        <v>1.1999999999999957</v>
      </c>
      <c r="E12" s="29" t="str">
        <f t="shared" si="0"/>
        <v/>
      </c>
    </row>
    <row r="13" spans="1:7" x14ac:dyDescent="0.25">
      <c r="B13" s="2">
        <v>40969</v>
      </c>
      <c r="C13">
        <v>52.4</v>
      </c>
      <c r="D13">
        <f t="shared" si="1"/>
        <v>0.60000000000000142</v>
      </c>
      <c r="E13" s="30">
        <f t="shared" si="0"/>
        <v>53.545454545454547</v>
      </c>
    </row>
    <row r="14" spans="1:7" x14ac:dyDescent="0.25">
      <c r="B14" s="2">
        <v>41000</v>
      </c>
      <c r="C14">
        <v>53.3</v>
      </c>
      <c r="D14">
        <f t="shared" si="1"/>
        <v>0.89999999999999858</v>
      </c>
      <c r="E14" s="29">
        <f t="shared" si="0"/>
        <v>53.272727272727273</v>
      </c>
    </row>
    <row r="15" spans="1:7" x14ac:dyDescent="0.25">
      <c r="B15" s="2">
        <v>41030</v>
      </c>
      <c r="C15">
        <v>54.7</v>
      </c>
      <c r="D15">
        <f t="shared" si="1"/>
        <v>1.4000000000000057</v>
      </c>
      <c r="E15" s="30">
        <f t="shared" si="0"/>
        <v>53.263636363636373</v>
      </c>
    </row>
    <row r="16" spans="1:7" x14ac:dyDescent="0.25">
      <c r="B16" s="2">
        <v>41061</v>
      </c>
      <c r="C16">
        <v>54.8</v>
      </c>
      <c r="D16">
        <f t="shared" si="1"/>
        <v>9.9999999999994316E-2</v>
      </c>
      <c r="E16" s="29">
        <f t="shared" si="0"/>
        <v>53.445454545454545</v>
      </c>
    </row>
    <row r="17" spans="2:5" x14ac:dyDescent="0.25">
      <c r="B17" s="2">
        <v>41091</v>
      </c>
      <c r="C17">
        <v>53.1</v>
      </c>
      <c r="D17">
        <f t="shared" si="1"/>
        <v>-1.6999999999999957</v>
      </c>
      <c r="E17" s="30">
        <f t="shared" si="0"/>
        <v>53.445454545454545</v>
      </c>
    </row>
    <row r="18" spans="2:5" x14ac:dyDescent="0.25">
      <c r="B18" s="2">
        <v>41122</v>
      </c>
      <c r="C18">
        <v>53</v>
      </c>
      <c r="D18">
        <f t="shared" si="1"/>
        <v>-0.10000000000000142</v>
      </c>
      <c r="E18" s="29">
        <f t="shared" si="0"/>
        <v>53.272727272727273</v>
      </c>
    </row>
    <row r="19" spans="2:5" x14ac:dyDescent="0.25">
      <c r="B19" s="2">
        <v>41153</v>
      </c>
      <c r="C19">
        <v>52.4</v>
      </c>
      <c r="D19">
        <f t="shared" si="1"/>
        <v>-0.60000000000000142</v>
      </c>
      <c r="E19" s="30">
        <f t="shared" si="0"/>
        <v>53.036363636363632</v>
      </c>
    </row>
    <row r="20" spans="2:5" x14ac:dyDescent="0.25">
      <c r="B20" s="2">
        <v>41183</v>
      </c>
      <c r="C20">
        <v>51.4</v>
      </c>
      <c r="D20">
        <f t="shared" si="1"/>
        <v>-1</v>
      </c>
      <c r="E20" s="29">
        <f t="shared" si="0"/>
        <v>52.9</v>
      </c>
    </row>
    <row r="21" spans="2:5" x14ac:dyDescent="0.25">
      <c r="B21" s="2">
        <v>41214</v>
      </c>
      <c r="C21">
        <v>50.4</v>
      </c>
      <c r="D21">
        <f t="shared" si="1"/>
        <v>-1</v>
      </c>
      <c r="E21" s="30">
        <f t="shared" si="0"/>
        <v>52.658333333333331</v>
      </c>
    </row>
    <row r="22" spans="2:5" x14ac:dyDescent="0.25">
      <c r="B22" s="2">
        <v>41244</v>
      </c>
      <c r="C22">
        <v>50.4</v>
      </c>
      <c r="D22">
        <f t="shared" si="1"/>
        <v>0</v>
      </c>
      <c r="E22" s="29">
        <f t="shared" si="0"/>
        <v>52.358333333333327</v>
      </c>
    </row>
    <row r="23" spans="2:5" x14ac:dyDescent="0.25">
      <c r="B23" s="2">
        <v>41275</v>
      </c>
      <c r="C23">
        <v>50.5</v>
      </c>
      <c r="D23">
        <f t="shared" si="1"/>
        <v>0.10000000000000142</v>
      </c>
      <c r="E23" s="30">
        <f t="shared" si="0"/>
        <v>52.349999999999994</v>
      </c>
    </row>
    <row r="24" spans="2:5" x14ac:dyDescent="0.25">
      <c r="B24" s="2">
        <v>41306</v>
      </c>
      <c r="C24">
        <v>51.7</v>
      </c>
      <c r="D24">
        <f t="shared" si="1"/>
        <v>1.2000000000000028</v>
      </c>
      <c r="E24" s="29">
        <f t="shared" si="0"/>
        <v>52.341666666666669</v>
      </c>
    </row>
    <row r="25" spans="2:5" x14ac:dyDescent="0.25">
      <c r="B25" s="2">
        <v>41334</v>
      </c>
      <c r="C25">
        <v>49.3</v>
      </c>
      <c r="D25">
        <f t="shared" si="1"/>
        <v>-2.4000000000000057</v>
      </c>
      <c r="E25" s="30">
        <f t="shared" si="0"/>
        <v>52.083333333333321</v>
      </c>
    </row>
    <row r="26" spans="2:5" x14ac:dyDescent="0.25">
      <c r="B26" s="2">
        <v>41365</v>
      </c>
      <c r="C26">
        <v>50.1</v>
      </c>
      <c r="D26">
        <f t="shared" si="1"/>
        <v>0.80000000000000426</v>
      </c>
      <c r="E26" s="29">
        <f t="shared" si="0"/>
        <v>51.816666666666663</v>
      </c>
    </row>
    <row r="27" spans="2:5" x14ac:dyDescent="0.25">
      <c r="B27" s="2">
        <v>41395</v>
      </c>
      <c r="C27">
        <v>53.2</v>
      </c>
      <c r="D27">
        <f t="shared" si="1"/>
        <v>3.1000000000000014</v>
      </c>
      <c r="E27" s="30">
        <f t="shared" si="0"/>
        <v>51.691666666666663</v>
      </c>
    </row>
    <row r="28" spans="2:5" x14ac:dyDescent="0.25">
      <c r="B28" s="2">
        <v>41426</v>
      </c>
      <c r="C28">
        <v>52.4</v>
      </c>
      <c r="D28">
        <f t="shared" si="1"/>
        <v>-0.80000000000000426</v>
      </c>
      <c r="E28" s="29">
        <f t="shared" si="0"/>
        <v>51.491666666666667</v>
      </c>
    </row>
    <row r="29" spans="2:5" x14ac:dyDescent="0.25">
      <c r="B29" s="2">
        <v>41456</v>
      </c>
      <c r="C29">
        <v>52</v>
      </c>
      <c r="D29">
        <f t="shared" si="1"/>
        <v>-0.39999999999999858</v>
      </c>
      <c r="E29" s="30">
        <f t="shared" si="0"/>
        <v>51.400000000000006</v>
      </c>
    </row>
    <row r="30" spans="2:5" x14ac:dyDescent="0.25">
      <c r="B30" s="2">
        <v>41487</v>
      </c>
      <c r="C30">
        <v>52.1</v>
      </c>
      <c r="D30">
        <f t="shared" si="1"/>
        <v>0.10000000000000142</v>
      </c>
      <c r="E30" s="29">
        <f t="shared" si="0"/>
        <v>51.324999999999996</v>
      </c>
    </row>
    <row r="31" spans="2:5" x14ac:dyDescent="0.25">
      <c r="B31" s="2">
        <v>41518</v>
      </c>
      <c r="C31">
        <v>54.2</v>
      </c>
      <c r="D31">
        <f t="shared" si="1"/>
        <v>2.1000000000000014</v>
      </c>
      <c r="E31" s="30">
        <f t="shared" si="0"/>
        <v>51.475000000000001</v>
      </c>
    </row>
    <row r="32" spans="2:5" x14ac:dyDescent="0.25">
      <c r="B32" s="2">
        <v>41548</v>
      </c>
      <c r="C32">
        <v>55.6</v>
      </c>
      <c r="D32">
        <f t="shared" si="1"/>
        <v>1.3999999999999986</v>
      </c>
      <c r="E32" s="29">
        <f t="shared" si="0"/>
        <v>51.82500000000001</v>
      </c>
    </row>
    <row r="33" spans="2:5" x14ac:dyDescent="0.25">
      <c r="B33" s="2">
        <v>41579</v>
      </c>
      <c r="C33">
        <v>55.3</v>
      </c>
      <c r="D33">
        <f t="shared" si="1"/>
        <v>-0.30000000000000426</v>
      </c>
      <c r="E33" s="30">
        <f t="shared" si="0"/>
        <v>52.233333333333341</v>
      </c>
    </row>
    <row r="34" spans="2:5" x14ac:dyDescent="0.25">
      <c r="B34" s="2">
        <v>41609</v>
      </c>
      <c r="C34">
        <v>53.5</v>
      </c>
      <c r="D34">
        <f t="shared" si="1"/>
        <v>-1.7999999999999972</v>
      </c>
      <c r="E34" s="29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>
        <v>51.7</v>
      </c>
      <c r="D35">
        <f t="shared" si="1"/>
        <v>-1.7999999999999972</v>
      </c>
      <c r="E35" s="30">
        <f t="shared" si="2"/>
        <v>52.591666666666669</v>
      </c>
    </row>
    <row r="36" spans="2:5" x14ac:dyDescent="0.25">
      <c r="B36" s="2">
        <v>41671</v>
      </c>
      <c r="C36">
        <v>52.9</v>
      </c>
      <c r="D36">
        <f t="shared" si="1"/>
        <v>1.1999999999999957</v>
      </c>
      <c r="E36" s="29">
        <f t="shared" si="2"/>
        <v>52.69166666666667</v>
      </c>
    </row>
    <row r="37" spans="2:5" x14ac:dyDescent="0.25">
      <c r="B37" s="2">
        <v>41699</v>
      </c>
      <c r="C37">
        <v>53.3</v>
      </c>
      <c r="D37">
        <f t="shared" si="1"/>
        <v>0.39999999999999858</v>
      </c>
      <c r="E37" s="30">
        <f t="shared" si="2"/>
        <v>53.024999999999999</v>
      </c>
    </row>
    <row r="38" spans="2:5" x14ac:dyDescent="0.25">
      <c r="B38" s="2">
        <v>41730</v>
      </c>
      <c r="C38">
        <v>52.9</v>
      </c>
      <c r="D38">
        <f t="shared" si="1"/>
        <v>-0.39999999999999858</v>
      </c>
      <c r="E38" s="29">
        <f t="shared" si="2"/>
        <v>53.258333333333326</v>
      </c>
    </row>
    <row r="39" spans="2:5" x14ac:dyDescent="0.25">
      <c r="B39" s="2">
        <v>41760</v>
      </c>
      <c r="C39">
        <v>52.2</v>
      </c>
      <c r="D39">
        <f t="shared" si="1"/>
        <v>-0.69999999999999574</v>
      </c>
      <c r="E39" s="30">
        <f t="shared" si="2"/>
        <v>53.175000000000004</v>
      </c>
    </row>
    <row r="40" spans="2:5" x14ac:dyDescent="0.25">
      <c r="B40" s="2">
        <v>41791</v>
      </c>
      <c r="C40">
        <v>53.5</v>
      </c>
      <c r="D40">
        <f t="shared" si="1"/>
        <v>1.2999999999999972</v>
      </c>
      <c r="E40" s="29">
        <f t="shared" si="2"/>
        <v>53.266666666666673</v>
      </c>
    </row>
    <row r="41" spans="2:5" x14ac:dyDescent="0.25">
      <c r="B41" s="2">
        <v>41821</v>
      </c>
      <c r="C41">
        <v>54.3</v>
      </c>
      <c r="D41">
        <f t="shared" si="1"/>
        <v>0.79999999999999716</v>
      </c>
      <c r="E41" s="30">
        <f t="shared" si="2"/>
        <v>53.458333333333321</v>
      </c>
    </row>
    <row r="42" spans="2:5" x14ac:dyDescent="0.25">
      <c r="B42" s="2">
        <v>41852</v>
      </c>
      <c r="C42">
        <v>54.8</v>
      </c>
      <c r="D42">
        <f t="shared" si="1"/>
        <v>0.5</v>
      </c>
      <c r="E42" s="29">
        <f t="shared" si="2"/>
        <v>53.683333333333316</v>
      </c>
    </row>
    <row r="43" spans="2:5" x14ac:dyDescent="0.25">
      <c r="B43" s="2">
        <v>41883</v>
      </c>
      <c r="C43">
        <v>53.5</v>
      </c>
      <c r="D43">
        <f t="shared" si="1"/>
        <v>-1.2999999999999972</v>
      </c>
      <c r="E43" s="30">
        <f t="shared" si="2"/>
        <v>53.624999999999993</v>
      </c>
    </row>
    <row r="44" spans="2:5" x14ac:dyDescent="0.25">
      <c r="B44" s="2">
        <v>41913</v>
      </c>
      <c r="C44">
        <v>55.3</v>
      </c>
      <c r="D44">
        <f t="shared" si="1"/>
        <v>1.7999999999999972</v>
      </c>
      <c r="E44" s="29">
        <f t="shared" si="2"/>
        <v>53.599999999999994</v>
      </c>
    </row>
    <row r="45" spans="2:5" x14ac:dyDescent="0.25">
      <c r="B45" s="2">
        <v>41944</v>
      </c>
      <c r="C45">
        <v>55.3</v>
      </c>
      <c r="D45">
        <f t="shared" si="1"/>
        <v>0</v>
      </c>
      <c r="E45" s="30">
        <f t="shared" si="2"/>
        <v>53.599999999999987</v>
      </c>
    </row>
    <row r="46" spans="2:5" x14ac:dyDescent="0.25">
      <c r="B46" s="2">
        <v>41974</v>
      </c>
      <c r="C46">
        <v>53.9</v>
      </c>
      <c r="D46">
        <f t="shared" si="1"/>
        <v>-1.3999999999999986</v>
      </c>
      <c r="E46" s="29">
        <f t="shared" si="2"/>
        <v>53.633333333333326</v>
      </c>
    </row>
    <row r="47" spans="2:5" x14ac:dyDescent="0.25">
      <c r="B47" s="2">
        <v>42005</v>
      </c>
      <c r="C47">
        <v>51</v>
      </c>
      <c r="D47">
        <f t="shared" si="1"/>
        <v>-2.8999999999999986</v>
      </c>
      <c r="E47" s="30">
        <f t="shared" si="2"/>
        <v>53.574999999999996</v>
      </c>
    </row>
    <row r="48" spans="2:5" x14ac:dyDescent="0.25">
      <c r="B48" s="2">
        <v>42036</v>
      </c>
      <c r="C48">
        <v>48.7</v>
      </c>
      <c r="D48">
        <f t="shared" si="1"/>
        <v>-2.2999999999999972</v>
      </c>
      <c r="E48" s="29">
        <f t="shared" si="2"/>
        <v>53.225000000000001</v>
      </c>
    </row>
    <row r="49" spans="2:5" x14ac:dyDescent="0.25">
      <c r="B49" s="2">
        <v>42064</v>
      </c>
      <c r="C49">
        <v>48.9</v>
      </c>
      <c r="D49">
        <f t="shared" si="1"/>
        <v>0.19999999999999574</v>
      </c>
      <c r="E49" s="30">
        <f t="shared" si="2"/>
        <v>52.858333333333341</v>
      </c>
    </row>
    <row r="50" spans="2:5" x14ac:dyDescent="0.25">
      <c r="B50" s="2">
        <v>42095</v>
      </c>
      <c r="C50">
        <v>49</v>
      </c>
      <c r="D50">
        <f t="shared" si="1"/>
        <v>0.10000000000000142</v>
      </c>
      <c r="E50" s="29">
        <f t="shared" si="2"/>
        <v>52.533333333333331</v>
      </c>
    </row>
    <row r="51" spans="2:5" x14ac:dyDescent="0.25">
      <c r="B51" s="2">
        <v>42125</v>
      </c>
      <c r="C51">
        <v>49.8</v>
      </c>
      <c r="D51">
        <f t="shared" si="1"/>
        <v>0.79999999999999716</v>
      </c>
      <c r="E51" s="30">
        <f t="shared" si="2"/>
        <v>52.333333333333321</v>
      </c>
    </row>
    <row r="52" spans="2:5" x14ac:dyDescent="0.25">
      <c r="B52" s="2">
        <v>42156</v>
      </c>
      <c r="C52">
        <v>51.3</v>
      </c>
      <c r="D52">
        <f t="shared" si="1"/>
        <v>1.5</v>
      </c>
      <c r="E52" s="29">
        <f t="shared" si="2"/>
        <v>52.149999999999984</v>
      </c>
    </row>
    <row r="53" spans="2:5" x14ac:dyDescent="0.25">
      <c r="B53" s="2">
        <v>42186</v>
      </c>
      <c r="C53">
        <v>50.8</v>
      </c>
      <c r="D53">
        <f t="shared" si="1"/>
        <v>-0.5</v>
      </c>
      <c r="E53" s="30">
        <f t="shared" si="2"/>
        <v>51.85833333333332</v>
      </c>
    </row>
    <row r="54" spans="2:5" x14ac:dyDescent="0.25">
      <c r="B54" s="2">
        <v>42217</v>
      </c>
      <c r="C54">
        <v>49.4</v>
      </c>
      <c r="D54">
        <f t="shared" si="1"/>
        <v>-1.3999999999999986</v>
      </c>
      <c r="E54" s="29">
        <f t="shared" si="2"/>
        <v>51.408333333333324</v>
      </c>
    </row>
    <row r="55" spans="2:5" x14ac:dyDescent="0.25">
      <c r="B55" s="2">
        <v>42248</v>
      </c>
      <c r="C55">
        <v>48.6</v>
      </c>
      <c r="D55">
        <f t="shared" si="1"/>
        <v>-0.79999999999999716</v>
      </c>
      <c r="E55" s="30">
        <f t="shared" si="2"/>
        <v>51</v>
      </c>
    </row>
    <row r="56" spans="2:5" x14ac:dyDescent="0.25">
      <c r="B56" s="2">
        <v>42278</v>
      </c>
      <c r="C56">
        <v>48</v>
      </c>
      <c r="D56">
        <f t="shared" si="1"/>
        <v>-0.60000000000000142</v>
      </c>
      <c r="E56" s="29">
        <f t="shared" si="2"/>
        <v>50.391666666666659</v>
      </c>
    </row>
    <row r="57" spans="2:5" x14ac:dyDescent="0.25">
      <c r="B57" s="2">
        <v>42309</v>
      </c>
      <c r="C57">
        <v>48.6</v>
      </c>
      <c r="D57">
        <f t="shared" si="1"/>
        <v>0.60000000000000142</v>
      </c>
      <c r="E57" s="30">
        <f t="shared" si="2"/>
        <v>49.833333333333343</v>
      </c>
    </row>
    <row r="58" spans="2:5" x14ac:dyDescent="0.25">
      <c r="B58" s="2">
        <v>42339</v>
      </c>
      <c r="C58">
        <v>47.5</v>
      </c>
      <c r="D58">
        <f t="shared" si="1"/>
        <v>-1.1000000000000014</v>
      </c>
      <c r="E58" s="29">
        <f t="shared" si="2"/>
        <v>49.300000000000004</v>
      </c>
    </row>
    <row r="59" spans="2:5" x14ac:dyDescent="0.25">
      <c r="B59" s="2">
        <v>42370</v>
      </c>
      <c r="C59">
        <v>49.3</v>
      </c>
      <c r="D59">
        <f t="shared" si="1"/>
        <v>1.7999999999999972</v>
      </c>
      <c r="E59" s="30">
        <f t="shared" si="2"/>
        <v>49.158333333333331</v>
      </c>
    </row>
    <row r="60" spans="2:5" x14ac:dyDescent="0.25">
      <c r="B60" s="2">
        <v>42401</v>
      </c>
      <c r="C60">
        <v>49.4</v>
      </c>
      <c r="D60">
        <f t="shared" si="1"/>
        <v>0.10000000000000142</v>
      </c>
      <c r="E60" s="29">
        <f t="shared" si="2"/>
        <v>49.216666666666669</v>
      </c>
    </row>
    <row r="61" spans="2:5" x14ac:dyDescent="0.25">
      <c r="B61" s="2">
        <v>42430</v>
      </c>
      <c r="C61">
        <v>51.5</v>
      </c>
      <c r="D61">
        <f t="shared" si="1"/>
        <v>2.1000000000000014</v>
      </c>
      <c r="E61" s="30">
        <f t="shared" si="2"/>
        <v>49.433333333333337</v>
      </c>
    </row>
    <row r="62" spans="2:5" x14ac:dyDescent="0.25">
      <c r="B62" s="2">
        <v>42461</v>
      </c>
      <c r="C62">
        <v>52.2</v>
      </c>
      <c r="D62">
        <f t="shared" si="1"/>
        <v>0.70000000000000284</v>
      </c>
      <c r="E62" s="29">
        <f t="shared" si="2"/>
        <v>49.70000000000001</v>
      </c>
    </row>
    <row r="63" spans="2:5" x14ac:dyDescent="0.25">
      <c r="B63" s="2">
        <v>42491</v>
      </c>
      <c r="C63">
        <v>52.1</v>
      </c>
      <c r="D63">
        <f t="shared" si="1"/>
        <v>-0.10000000000000142</v>
      </c>
      <c r="E63" s="30">
        <f t="shared" si="2"/>
        <v>49.891666666666673</v>
      </c>
    </row>
    <row r="64" spans="2:5" x14ac:dyDescent="0.25">
      <c r="B64" s="2">
        <v>42522</v>
      </c>
      <c r="C64">
        <v>51.8</v>
      </c>
      <c r="D64">
        <f t="shared" si="1"/>
        <v>-0.30000000000000426</v>
      </c>
      <c r="E64" s="29">
        <f t="shared" si="2"/>
        <v>49.93333333333333</v>
      </c>
    </row>
    <row r="65" spans="2:5" x14ac:dyDescent="0.25">
      <c r="B65" s="2">
        <v>42552</v>
      </c>
      <c r="C65">
        <v>51.9</v>
      </c>
      <c r="D65">
        <f t="shared" si="1"/>
        <v>0.10000000000000142</v>
      </c>
      <c r="E65" s="30">
        <f t="shared" si="2"/>
        <v>50.024999999999999</v>
      </c>
    </row>
    <row r="66" spans="2:5" x14ac:dyDescent="0.25">
      <c r="B66" s="2">
        <v>42583</v>
      </c>
      <c r="C66">
        <v>51.1</v>
      </c>
      <c r="D66">
        <f t="shared" si="1"/>
        <v>-0.79999999999999716</v>
      </c>
      <c r="E66" s="29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>
        <v>50.3</v>
      </c>
      <c r="D67">
        <f t="shared" si="1"/>
        <v>-0.80000000000000426</v>
      </c>
      <c r="E67" s="30">
        <f t="shared" si="3"/>
        <v>50.30833333333333</v>
      </c>
    </row>
    <row r="68" spans="2:5" x14ac:dyDescent="0.25">
      <c r="B68" s="2">
        <v>42644</v>
      </c>
      <c r="C68">
        <v>51.1</v>
      </c>
      <c r="D68">
        <f t="shared" ref="D68:D105" si="4">C68-C67</f>
        <v>0.80000000000000426</v>
      </c>
      <c r="E68" s="29">
        <f t="shared" si="3"/>
        <v>50.56666666666667</v>
      </c>
    </row>
    <row r="69" spans="2:5" x14ac:dyDescent="0.25">
      <c r="B69" s="2">
        <v>42675</v>
      </c>
      <c r="C69">
        <v>51.5</v>
      </c>
      <c r="D69">
        <f t="shared" si="4"/>
        <v>0.39999999999999858</v>
      </c>
      <c r="E69" s="30">
        <f t="shared" si="3"/>
        <v>50.808333333333337</v>
      </c>
    </row>
    <row r="70" spans="2:5" x14ac:dyDescent="0.25">
      <c r="B70" s="2">
        <v>42705</v>
      </c>
      <c r="C70">
        <v>51.8</v>
      </c>
      <c r="D70">
        <f t="shared" si="4"/>
        <v>0.29999999999999716</v>
      </c>
      <c r="E70" s="29">
        <f t="shared" si="3"/>
        <v>51.166666666666664</v>
      </c>
    </row>
    <row r="71" spans="2:5" x14ac:dyDescent="0.25">
      <c r="B71" s="2">
        <v>42736</v>
      </c>
      <c r="C71">
        <v>53.5</v>
      </c>
      <c r="D71">
        <f t="shared" si="4"/>
        <v>1.7000000000000028</v>
      </c>
      <c r="E71" s="30">
        <f t="shared" si="3"/>
        <v>51.516666666666673</v>
      </c>
    </row>
    <row r="72" spans="2:5" x14ac:dyDescent="0.25">
      <c r="B72" s="2">
        <v>42767</v>
      </c>
      <c r="C72">
        <v>54.7</v>
      </c>
      <c r="D72">
        <f t="shared" si="4"/>
        <v>1.2000000000000028</v>
      </c>
      <c r="E72" s="29">
        <f t="shared" si="3"/>
        <v>51.958333333333343</v>
      </c>
    </row>
    <row r="73" spans="2:5" x14ac:dyDescent="0.25">
      <c r="B73" s="2">
        <v>42795</v>
      </c>
      <c r="C73">
        <v>55.5</v>
      </c>
      <c r="D73">
        <f t="shared" si="4"/>
        <v>0.79999999999999716</v>
      </c>
      <c r="E73" s="30">
        <f t="shared" si="3"/>
        <v>52.291666666666679</v>
      </c>
    </row>
    <row r="74" spans="2:5" x14ac:dyDescent="0.25">
      <c r="B74" s="2">
        <v>42826</v>
      </c>
      <c r="C74">
        <v>55.9</v>
      </c>
      <c r="D74">
        <f t="shared" si="4"/>
        <v>0.39999999999999858</v>
      </c>
      <c r="E74" s="29">
        <f t="shared" si="3"/>
        <v>52.6</v>
      </c>
    </row>
    <row r="75" spans="2:5" x14ac:dyDescent="0.25">
      <c r="B75" s="2">
        <v>42856</v>
      </c>
      <c r="C75">
        <v>55.1</v>
      </c>
      <c r="D75">
        <f t="shared" si="4"/>
        <v>-0.79999999999999716</v>
      </c>
      <c r="E75" s="30">
        <f t="shared" si="3"/>
        <v>52.85</v>
      </c>
    </row>
    <row r="76" spans="2:5" x14ac:dyDescent="0.25">
      <c r="B76" s="2">
        <v>42887</v>
      </c>
      <c r="C76">
        <v>54.7</v>
      </c>
      <c r="D76">
        <f t="shared" si="4"/>
        <v>-0.39999999999999858</v>
      </c>
      <c r="E76" s="29">
        <f t="shared" si="3"/>
        <v>53.091666666666669</v>
      </c>
    </row>
    <row r="77" spans="2:5" x14ac:dyDescent="0.25">
      <c r="B77" s="2">
        <v>42917</v>
      </c>
      <c r="C77">
        <v>55.5</v>
      </c>
      <c r="D77">
        <f t="shared" si="4"/>
        <v>0.79999999999999716</v>
      </c>
      <c r="E77" s="30">
        <f t="shared" si="3"/>
        <v>53.391666666666673</v>
      </c>
    </row>
    <row r="78" spans="2:5" x14ac:dyDescent="0.25">
      <c r="B78" s="2">
        <v>42948</v>
      </c>
      <c r="C78">
        <v>54.6</v>
      </c>
      <c r="D78">
        <f t="shared" si="4"/>
        <v>-0.89999999999999858</v>
      </c>
      <c r="E78" s="29">
        <f t="shared" si="3"/>
        <v>53.683333333333337</v>
      </c>
    </row>
    <row r="79" spans="2:5" x14ac:dyDescent="0.25">
      <c r="B79" s="2">
        <v>42979</v>
      </c>
      <c r="C79">
        <v>55</v>
      </c>
      <c r="D79">
        <f t="shared" si="4"/>
        <v>0.39999999999999858</v>
      </c>
      <c r="E79" s="30">
        <f t="shared" si="3"/>
        <v>54.074999999999996</v>
      </c>
    </row>
    <row r="80" spans="2:5" x14ac:dyDescent="0.25">
      <c r="B80" s="2">
        <v>43009</v>
      </c>
      <c r="C80">
        <v>54.3</v>
      </c>
      <c r="D80">
        <f t="shared" si="4"/>
        <v>-0.70000000000000284</v>
      </c>
      <c r="E80" s="29">
        <f t="shared" si="3"/>
        <v>54.341666666666661</v>
      </c>
    </row>
    <row r="81" spans="2:5" x14ac:dyDescent="0.25">
      <c r="B81" s="2">
        <v>43040</v>
      </c>
      <c r="C81">
        <v>54.4</v>
      </c>
      <c r="D81">
        <f t="shared" si="4"/>
        <v>0.10000000000000142</v>
      </c>
      <c r="E81" s="30">
        <f t="shared" si="3"/>
        <v>54.583333333333321</v>
      </c>
    </row>
    <row r="82" spans="2:5" x14ac:dyDescent="0.25">
      <c r="B82" s="2">
        <v>43070</v>
      </c>
      <c r="C82">
        <v>54.7</v>
      </c>
      <c r="D82">
        <f t="shared" si="4"/>
        <v>0.30000000000000426</v>
      </c>
      <c r="E82" s="29">
        <f t="shared" si="3"/>
        <v>54.824999999999996</v>
      </c>
    </row>
    <row r="83" spans="2:5" x14ac:dyDescent="0.25">
      <c r="B83" s="2">
        <v>43101</v>
      </c>
      <c r="C83">
        <v>55.9</v>
      </c>
      <c r="D83">
        <f t="shared" si="4"/>
        <v>1.1999999999999957</v>
      </c>
      <c r="E83" s="30">
        <f t="shared" si="3"/>
        <v>55.025000000000006</v>
      </c>
    </row>
    <row r="84" spans="2:5" x14ac:dyDescent="0.25">
      <c r="B84" s="2">
        <v>43132</v>
      </c>
      <c r="C84">
        <v>55.6</v>
      </c>
      <c r="D84">
        <f t="shared" si="4"/>
        <v>-0.29999999999999716</v>
      </c>
      <c r="E84" s="29">
        <f t="shared" si="3"/>
        <v>55.1</v>
      </c>
    </row>
    <row r="85" spans="2:5" x14ac:dyDescent="0.25">
      <c r="B85" s="2">
        <v>43160</v>
      </c>
      <c r="C85">
        <v>55.7</v>
      </c>
      <c r="D85">
        <f t="shared" si="4"/>
        <v>0.10000000000000142</v>
      </c>
      <c r="E85" s="30">
        <f t="shared" si="3"/>
        <v>55.116666666666674</v>
      </c>
    </row>
    <row r="86" spans="2:5" x14ac:dyDescent="0.25">
      <c r="B86" s="2">
        <v>43191</v>
      </c>
      <c r="C86">
        <v>55.5</v>
      </c>
      <c r="D86">
        <f t="shared" si="4"/>
        <v>-0.20000000000000284</v>
      </c>
      <c r="E86" s="29">
        <f t="shared" si="3"/>
        <v>55.083333333333336</v>
      </c>
    </row>
    <row r="87" spans="2:5" x14ac:dyDescent="0.25">
      <c r="B87" s="2">
        <v>43221</v>
      </c>
      <c r="C87">
        <v>56.2</v>
      </c>
      <c r="D87">
        <f t="shared" si="4"/>
        <v>0.70000000000000284</v>
      </c>
      <c r="E87" s="30">
        <f t="shared" si="3"/>
        <v>55.175000000000004</v>
      </c>
    </row>
    <row r="88" spans="2:5" x14ac:dyDescent="0.25">
      <c r="B88" s="2">
        <v>43252</v>
      </c>
      <c r="C88">
        <v>57.1</v>
      </c>
      <c r="D88">
        <f t="shared" si="4"/>
        <v>0.89999999999999858</v>
      </c>
      <c r="E88" s="29">
        <f t="shared" si="3"/>
        <v>55.375</v>
      </c>
    </row>
    <row r="89" spans="2:5" x14ac:dyDescent="0.25">
      <c r="B89" s="2">
        <v>43282</v>
      </c>
      <c r="C89">
        <v>56.9</v>
      </c>
      <c r="D89">
        <f t="shared" si="4"/>
        <v>-0.20000000000000284</v>
      </c>
      <c r="E89" s="30">
        <f t="shared" si="3"/>
        <v>55.491666666666667</v>
      </c>
    </row>
    <row r="90" spans="2:5" x14ac:dyDescent="0.25">
      <c r="B90" s="2">
        <v>43313</v>
      </c>
      <c r="C90">
        <v>56.8</v>
      </c>
      <c r="D90">
        <f t="shared" si="4"/>
        <v>-0.10000000000000142</v>
      </c>
      <c r="E90" s="29">
        <f t="shared" si="3"/>
        <v>55.67499999999999</v>
      </c>
    </row>
    <row r="91" spans="2:5" x14ac:dyDescent="0.25">
      <c r="B91" s="2">
        <v>43344</v>
      </c>
      <c r="C91">
        <v>54.8</v>
      </c>
      <c r="D91">
        <f t="shared" si="4"/>
        <v>-2</v>
      </c>
      <c r="E91" s="30">
        <f t="shared" si="3"/>
        <v>55.658333333333324</v>
      </c>
    </row>
    <row r="92" spans="2:5" x14ac:dyDescent="0.25">
      <c r="B92" s="2">
        <v>43374</v>
      </c>
      <c r="C92">
        <v>53.9</v>
      </c>
      <c r="D92">
        <f t="shared" si="4"/>
        <v>-0.89999999999999858</v>
      </c>
      <c r="E92" s="29">
        <f t="shared" si="3"/>
        <v>55.624999999999993</v>
      </c>
    </row>
    <row r="93" spans="2:5" x14ac:dyDescent="0.25">
      <c r="B93" s="2">
        <v>43405</v>
      </c>
      <c r="C93">
        <v>54.9</v>
      </c>
      <c r="D93">
        <f t="shared" si="4"/>
        <v>1</v>
      </c>
      <c r="E93" s="30">
        <f t="shared" si="3"/>
        <v>55.666666666666657</v>
      </c>
    </row>
    <row r="94" spans="2:5" x14ac:dyDescent="0.25">
      <c r="B94" s="2">
        <v>43435</v>
      </c>
      <c r="C94">
        <v>53.6</v>
      </c>
      <c r="D94">
        <f t="shared" si="4"/>
        <v>-1.2999999999999972</v>
      </c>
      <c r="E94" s="29">
        <f t="shared" si="3"/>
        <v>55.574999999999996</v>
      </c>
    </row>
    <row r="95" spans="2:5" x14ac:dyDescent="0.25">
      <c r="B95" s="2">
        <v>43466</v>
      </c>
      <c r="C95">
        <v>53</v>
      </c>
      <c r="D95">
        <f t="shared" si="4"/>
        <v>-0.60000000000000142</v>
      </c>
      <c r="E95" s="30">
        <f t="shared" si="3"/>
        <v>55.333333333333336</v>
      </c>
    </row>
    <row r="96" spans="2:5" x14ac:dyDescent="0.25">
      <c r="B96" s="2">
        <v>43497</v>
      </c>
      <c r="C96">
        <v>52.6</v>
      </c>
      <c r="D96">
        <f t="shared" si="4"/>
        <v>-0.39999999999999858</v>
      </c>
      <c r="E96" s="29">
        <f t="shared" si="3"/>
        <v>55.083333333333336</v>
      </c>
    </row>
    <row r="97" spans="2:5" x14ac:dyDescent="0.25">
      <c r="B97" s="2">
        <v>43525</v>
      </c>
      <c r="C97">
        <v>50.5</v>
      </c>
      <c r="D97">
        <f t="shared" si="4"/>
        <v>-2.1000000000000014</v>
      </c>
      <c r="E97" s="30">
        <f t="shared" si="3"/>
        <v>54.650000000000006</v>
      </c>
    </row>
    <row r="98" spans="2:5" x14ac:dyDescent="0.25">
      <c r="B98" s="2">
        <v>43556</v>
      </c>
      <c r="C98">
        <v>49.7</v>
      </c>
      <c r="D98">
        <f t="shared" si="4"/>
        <v>-0.79999999999999716</v>
      </c>
      <c r="E98" s="29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>
        <v>49.1</v>
      </c>
      <c r="D99">
        <f t="shared" si="4"/>
        <v>-0.60000000000000142</v>
      </c>
      <c r="E99" s="30">
        <f t="shared" si="5"/>
        <v>53.57500000000001</v>
      </c>
    </row>
    <row r="100" spans="2:5" x14ac:dyDescent="0.25">
      <c r="B100" s="2">
        <v>43617</v>
      </c>
      <c r="C100">
        <v>49.2</v>
      </c>
      <c r="D100">
        <f t="shared" si="4"/>
        <v>0.10000000000000142</v>
      </c>
      <c r="E100" s="29">
        <f t="shared" si="5"/>
        <v>52.916666666666679</v>
      </c>
    </row>
    <row r="101" spans="2:5" x14ac:dyDescent="0.25">
      <c r="B101" s="2">
        <v>43647</v>
      </c>
      <c r="C101">
        <v>50.2</v>
      </c>
      <c r="D101">
        <f t="shared" si="4"/>
        <v>1</v>
      </c>
      <c r="E101" s="30">
        <f t="shared" si="5"/>
        <v>52.358333333333341</v>
      </c>
    </row>
    <row r="102" spans="2:5" x14ac:dyDescent="0.25">
      <c r="B102" s="2">
        <v>43678</v>
      </c>
      <c r="C102">
        <v>49.1</v>
      </c>
      <c r="D102">
        <f t="shared" si="4"/>
        <v>-1.1000000000000014</v>
      </c>
      <c r="E102" s="29">
        <f t="shared" si="5"/>
        <v>51.716666666666676</v>
      </c>
    </row>
    <row r="103" spans="2:5" x14ac:dyDescent="0.25">
      <c r="B103" s="2">
        <v>43709</v>
      </c>
      <c r="C103">
        <v>51</v>
      </c>
      <c r="D103">
        <f t="shared" si="4"/>
        <v>1.8999999999999986</v>
      </c>
      <c r="E103" s="30">
        <f t="shared" si="5"/>
        <v>51.400000000000006</v>
      </c>
    </row>
    <row r="104" spans="2:5" x14ac:dyDescent="0.25">
      <c r="B104" s="2">
        <v>43739</v>
      </c>
      <c r="C104">
        <v>51.2</v>
      </c>
      <c r="D104">
        <f t="shared" si="4"/>
        <v>0.20000000000000284</v>
      </c>
      <c r="E104" s="29">
        <f t="shared" si="5"/>
        <v>51.175000000000011</v>
      </c>
    </row>
    <row r="105" spans="2:5" x14ac:dyDescent="0.25">
      <c r="B105" s="2">
        <v>43770</v>
      </c>
      <c r="C105">
        <v>51.4</v>
      </c>
      <c r="D105">
        <f t="shared" si="4"/>
        <v>0.19999999999999574</v>
      </c>
      <c r="E105" s="17">
        <f t="shared" si="5"/>
        <v>50.883333333333333</v>
      </c>
    </row>
    <row r="106" spans="2:5" x14ac:dyDescent="0.25">
      <c r="B106" s="45">
        <v>43800</v>
      </c>
      <c r="C106" s="46">
        <v>50.4</v>
      </c>
      <c r="D106">
        <f t="shared" ref="D106" si="6">C106-C105</f>
        <v>-1</v>
      </c>
      <c r="E106" s="29">
        <f t="shared" ref="E106" si="7">IF(ROW(A106)&lt;13,"",AVERAGEIFS($C$2:$C$5000,$B$2:$B$5000,"&gt;"&amp;EDATE(B106,-12),$B$2:$B$5000,"&lt;="&amp;B106))</f>
        <v>50.616666666666667</v>
      </c>
    </row>
    <row r="107" spans="2:5" x14ac:dyDescent="0.25">
      <c r="E107" s="35"/>
    </row>
    <row r="108" spans="2:5" x14ac:dyDescent="0.25">
      <c r="E108" s="35"/>
    </row>
    <row r="109" spans="2:5" x14ac:dyDescent="0.25">
      <c r="E109" s="35"/>
    </row>
    <row r="110" spans="2:5" x14ac:dyDescent="0.25">
      <c r="E110" s="35"/>
    </row>
    <row r="111" spans="2:5" x14ac:dyDescent="0.25">
      <c r="E111" s="35"/>
    </row>
    <row r="112" spans="2:5" x14ac:dyDescent="0.25">
      <c r="E112" s="35"/>
    </row>
    <row r="113" spans="5:5" x14ac:dyDescent="0.25">
      <c r="E113" s="35"/>
    </row>
    <row r="114" spans="5:5" x14ac:dyDescent="0.25">
      <c r="E114" s="35"/>
    </row>
    <row r="115" spans="5:5" x14ac:dyDescent="0.25">
      <c r="E115" s="35"/>
    </row>
    <row r="116" spans="5:5" x14ac:dyDescent="0.25">
      <c r="E116" s="35"/>
    </row>
    <row r="117" spans="5:5" x14ac:dyDescent="0.25">
      <c r="E117" s="35"/>
    </row>
    <row r="118" spans="5:5" x14ac:dyDescent="0.25">
      <c r="E118" s="35"/>
    </row>
    <row r="119" spans="5:5" x14ac:dyDescent="0.25">
      <c r="E119" s="35"/>
    </row>
    <row r="120" spans="5:5" x14ac:dyDescent="0.25">
      <c r="E120" s="35"/>
    </row>
    <row r="121" spans="5:5" x14ac:dyDescent="0.25">
      <c r="E121" s="35"/>
    </row>
    <row r="122" spans="5:5" x14ac:dyDescent="0.25">
      <c r="E122" s="35"/>
    </row>
    <row r="123" spans="5:5" x14ac:dyDescent="0.25">
      <c r="E123" s="35"/>
    </row>
    <row r="124" spans="5:5" x14ac:dyDescent="0.25">
      <c r="E124" s="35"/>
    </row>
    <row r="125" spans="5:5" x14ac:dyDescent="0.25">
      <c r="E125" s="35"/>
    </row>
    <row r="126" spans="5:5" x14ac:dyDescent="0.25">
      <c r="E126" s="35"/>
    </row>
    <row r="127" spans="5:5" x14ac:dyDescent="0.25">
      <c r="E127" s="35"/>
    </row>
    <row r="128" spans="5:5" x14ac:dyDescent="0.25">
      <c r="E128" s="35"/>
    </row>
    <row r="129" spans="5:5" x14ac:dyDescent="0.25">
      <c r="E129" s="35"/>
    </row>
    <row r="130" spans="5:5" x14ac:dyDescent="0.25">
      <c r="E130" s="35"/>
    </row>
    <row r="131" spans="5:5" x14ac:dyDescent="0.25">
      <c r="E131" s="35"/>
    </row>
    <row r="132" spans="5:5" x14ac:dyDescent="0.25">
      <c r="E132" s="35"/>
    </row>
    <row r="133" spans="5:5" x14ac:dyDescent="0.25">
      <c r="E133" s="35"/>
    </row>
    <row r="134" spans="5:5" x14ac:dyDescent="0.25">
      <c r="E134" s="35"/>
    </row>
    <row r="135" spans="5:5" x14ac:dyDescent="0.25">
      <c r="E135" s="35"/>
    </row>
    <row r="136" spans="5:5" x14ac:dyDescent="0.25">
      <c r="E136" s="35"/>
    </row>
    <row r="137" spans="5:5" x14ac:dyDescent="0.25">
      <c r="E137" s="35"/>
    </row>
    <row r="138" spans="5:5" x14ac:dyDescent="0.25">
      <c r="E138" s="35"/>
    </row>
    <row r="139" spans="5:5" x14ac:dyDescent="0.25">
      <c r="E139" s="35"/>
    </row>
    <row r="140" spans="5:5" x14ac:dyDescent="0.25">
      <c r="E140" s="35"/>
    </row>
    <row r="141" spans="5:5" x14ac:dyDescent="0.25">
      <c r="E141" s="35"/>
    </row>
    <row r="142" spans="5:5" x14ac:dyDescent="0.25">
      <c r="E142" s="35"/>
    </row>
    <row r="143" spans="5:5" x14ac:dyDescent="0.25">
      <c r="E143" s="35"/>
    </row>
    <row r="144" spans="5:5" x14ac:dyDescent="0.25">
      <c r="E144" s="35"/>
    </row>
    <row r="145" spans="5:5" x14ac:dyDescent="0.25">
      <c r="E145" s="35"/>
    </row>
    <row r="146" spans="5:5" x14ac:dyDescent="0.25">
      <c r="E146" s="35"/>
    </row>
    <row r="147" spans="5:5" x14ac:dyDescent="0.25">
      <c r="E147" s="35"/>
    </row>
    <row r="148" spans="5:5" x14ac:dyDescent="0.25">
      <c r="E148" s="35"/>
    </row>
    <row r="149" spans="5:5" x14ac:dyDescent="0.25">
      <c r="E149" s="35"/>
    </row>
    <row r="150" spans="5:5" x14ac:dyDescent="0.25">
      <c r="E150" s="35"/>
    </row>
    <row r="151" spans="5:5" x14ac:dyDescent="0.25">
      <c r="E151" s="35"/>
    </row>
    <row r="152" spans="5:5" x14ac:dyDescent="0.25">
      <c r="E152" s="35"/>
    </row>
    <row r="153" spans="5:5" x14ac:dyDescent="0.25">
      <c r="E153" s="35"/>
    </row>
    <row r="154" spans="5:5" x14ac:dyDescent="0.25">
      <c r="E154" s="35"/>
    </row>
    <row r="155" spans="5:5" x14ac:dyDescent="0.25">
      <c r="E155" s="35"/>
    </row>
    <row r="156" spans="5:5" x14ac:dyDescent="0.25">
      <c r="E156" s="35"/>
    </row>
    <row r="157" spans="5:5" x14ac:dyDescent="0.25">
      <c r="E157" s="35"/>
    </row>
    <row r="158" spans="5:5" x14ac:dyDescent="0.25">
      <c r="E158" s="35"/>
    </row>
    <row r="159" spans="5:5" x14ac:dyDescent="0.25">
      <c r="E159" s="35"/>
    </row>
    <row r="160" spans="5:5" x14ac:dyDescent="0.25">
      <c r="E160" s="35"/>
    </row>
    <row r="161" spans="5:5" x14ac:dyDescent="0.25">
      <c r="E161" s="35"/>
    </row>
    <row r="162" spans="5:5" x14ac:dyDescent="0.25">
      <c r="E162" s="35"/>
    </row>
    <row r="163" spans="5:5" x14ac:dyDescent="0.25">
      <c r="E163" s="35"/>
    </row>
    <row r="164" spans="5:5" x14ac:dyDescent="0.25">
      <c r="E164" s="35"/>
    </row>
    <row r="165" spans="5:5" x14ac:dyDescent="0.25">
      <c r="E165" s="35"/>
    </row>
    <row r="166" spans="5:5" x14ac:dyDescent="0.25">
      <c r="E166" s="35"/>
    </row>
    <row r="167" spans="5:5" x14ac:dyDescent="0.25">
      <c r="E167" s="35"/>
    </row>
    <row r="168" spans="5:5" x14ac:dyDescent="0.25">
      <c r="E168" s="35"/>
    </row>
    <row r="169" spans="5:5" x14ac:dyDescent="0.25">
      <c r="E169" s="35"/>
    </row>
    <row r="170" spans="5:5" x14ac:dyDescent="0.25">
      <c r="E170" s="35"/>
    </row>
    <row r="171" spans="5:5" x14ac:dyDescent="0.25">
      <c r="E171" s="35"/>
    </row>
    <row r="172" spans="5:5" x14ac:dyDescent="0.25">
      <c r="E172" s="35"/>
    </row>
    <row r="173" spans="5:5" x14ac:dyDescent="0.25">
      <c r="E173" s="35"/>
    </row>
    <row r="174" spans="5:5" x14ac:dyDescent="0.25">
      <c r="E174" s="35"/>
    </row>
    <row r="175" spans="5:5" x14ac:dyDescent="0.25">
      <c r="E175" s="35"/>
    </row>
    <row r="176" spans="5:5" x14ac:dyDescent="0.25">
      <c r="E176" s="35"/>
    </row>
    <row r="177" spans="5:5" x14ac:dyDescent="0.25">
      <c r="E177" s="35"/>
    </row>
    <row r="178" spans="5:5" x14ac:dyDescent="0.25">
      <c r="E178" s="35"/>
    </row>
    <row r="179" spans="5:5" x14ac:dyDescent="0.25">
      <c r="E179" s="35"/>
    </row>
    <row r="180" spans="5:5" x14ac:dyDescent="0.25">
      <c r="E180" s="35"/>
    </row>
    <row r="181" spans="5:5" x14ac:dyDescent="0.25">
      <c r="E181" s="35"/>
    </row>
    <row r="182" spans="5:5" x14ac:dyDescent="0.25">
      <c r="E182" s="35"/>
    </row>
    <row r="183" spans="5:5" x14ac:dyDescent="0.25">
      <c r="E183" s="35"/>
    </row>
    <row r="184" spans="5:5" x14ac:dyDescent="0.25">
      <c r="E184" s="35"/>
    </row>
    <row r="185" spans="5:5" x14ac:dyDescent="0.25">
      <c r="E185" s="35"/>
    </row>
    <row r="186" spans="5:5" x14ac:dyDescent="0.25">
      <c r="E186" s="35"/>
    </row>
    <row r="187" spans="5:5" x14ac:dyDescent="0.25">
      <c r="E187" s="35"/>
    </row>
    <row r="188" spans="5:5" x14ac:dyDescent="0.25">
      <c r="E188" s="35"/>
    </row>
    <row r="189" spans="5:5" x14ac:dyDescent="0.25">
      <c r="E189" s="35"/>
    </row>
    <row r="190" spans="5:5" x14ac:dyDescent="0.25">
      <c r="E190" s="35"/>
    </row>
    <row r="191" spans="5:5" x14ac:dyDescent="0.25">
      <c r="E191" s="35"/>
    </row>
    <row r="192" spans="5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G259"/>
  <sheetViews>
    <sheetView topLeftCell="A52" workbookViewId="0">
      <selection activeCell="B182" sqref="B182:C18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9.140625" style="36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38353</v>
      </c>
      <c r="C2">
        <v>54.7</v>
      </c>
      <c r="E2" s="29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1.2999999999999972</v>
      </c>
      <c r="G2" s="44">
        <f>INDEX(China[12 Mth Rolling Avg.],ROWS(China[12 Mth Rolling Avg.]),1)</f>
        <v>49.869230769230775</v>
      </c>
    </row>
    <row r="3" spans="1:7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30" t="str">
        <f t="shared" si="0"/>
        <v/>
      </c>
    </row>
    <row r="4" spans="1:7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9" t="str">
        <f t="shared" si="0"/>
        <v/>
      </c>
    </row>
    <row r="5" spans="1:7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30" t="str">
        <f t="shared" si="0"/>
        <v/>
      </c>
    </row>
    <row r="6" spans="1:7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9" t="str">
        <f t="shared" si="0"/>
        <v/>
      </c>
    </row>
    <row r="7" spans="1:7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30" t="str">
        <f t="shared" si="0"/>
        <v/>
      </c>
    </row>
    <row r="8" spans="1:7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9" t="str">
        <f t="shared" si="0"/>
        <v/>
      </c>
    </row>
    <row r="9" spans="1:7" x14ac:dyDescent="0.25">
      <c r="B9" s="2">
        <v>38565</v>
      </c>
      <c r="C9">
        <v>52.6</v>
      </c>
      <c r="D9">
        <f t="shared" si="1"/>
        <v>0.80000000000000426</v>
      </c>
      <c r="E9" s="30" t="str">
        <f t="shared" si="0"/>
        <v/>
      </c>
    </row>
    <row r="10" spans="1:7" x14ac:dyDescent="0.25">
      <c r="B10" s="2">
        <v>38596</v>
      </c>
      <c r="C10">
        <v>55.1</v>
      </c>
      <c r="D10">
        <f t="shared" si="1"/>
        <v>2.5</v>
      </c>
      <c r="E10" s="29" t="str">
        <f t="shared" si="0"/>
        <v/>
      </c>
    </row>
    <row r="11" spans="1:7" x14ac:dyDescent="0.25">
      <c r="B11" s="2">
        <v>38626</v>
      </c>
      <c r="C11">
        <v>54.1</v>
      </c>
      <c r="D11">
        <f t="shared" si="1"/>
        <v>-1</v>
      </c>
      <c r="E11" s="30" t="str">
        <f t="shared" si="0"/>
        <v/>
      </c>
    </row>
    <row r="12" spans="1:7" x14ac:dyDescent="0.25">
      <c r="B12" s="2">
        <v>38657</v>
      </c>
      <c r="C12">
        <v>54.1</v>
      </c>
      <c r="D12">
        <f t="shared" si="1"/>
        <v>0</v>
      </c>
      <c r="E12" s="29" t="str">
        <f t="shared" si="0"/>
        <v/>
      </c>
    </row>
    <row r="13" spans="1:7" x14ac:dyDescent="0.25">
      <c r="B13" s="2">
        <v>38687</v>
      </c>
      <c r="C13">
        <v>54.3</v>
      </c>
      <c r="D13">
        <f t="shared" si="1"/>
        <v>0.19999999999999574</v>
      </c>
      <c r="E13" s="30">
        <f t="shared" si="0"/>
        <v>54.418181818181822</v>
      </c>
    </row>
    <row r="14" spans="1:7" x14ac:dyDescent="0.25">
      <c r="B14" s="2">
        <v>38718</v>
      </c>
      <c r="C14">
        <v>52.1</v>
      </c>
      <c r="D14">
        <f t="shared" si="1"/>
        <v>-2.1999999999999957</v>
      </c>
      <c r="E14" s="29">
        <f t="shared" si="0"/>
        <v>54.181818181818194</v>
      </c>
    </row>
    <row r="15" spans="1:7" x14ac:dyDescent="0.25">
      <c r="B15" s="2">
        <v>38749</v>
      </c>
      <c r="C15">
        <v>52.1</v>
      </c>
      <c r="D15">
        <f t="shared" si="1"/>
        <v>0</v>
      </c>
      <c r="E15" s="30">
        <f t="shared" si="0"/>
        <v>53.963636363636375</v>
      </c>
    </row>
    <row r="16" spans="1:7" x14ac:dyDescent="0.25">
      <c r="B16" s="2">
        <v>38777</v>
      </c>
      <c r="C16">
        <v>55.3</v>
      </c>
      <c r="D16">
        <f t="shared" si="1"/>
        <v>3.1999999999999957</v>
      </c>
      <c r="E16" s="29">
        <f t="shared" si="0"/>
        <v>53.727272727272727</v>
      </c>
    </row>
    <row r="17" spans="2:5" x14ac:dyDescent="0.25">
      <c r="B17" s="2">
        <v>38808</v>
      </c>
      <c r="C17">
        <v>58.1</v>
      </c>
      <c r="D17">
        <f t="shared" si="1"/>
        <v>2.8000000000000043</v>
      </c>
      <c r="E17" s="30">
        <f t="shared" si="0"/>
        <v>53.854545454545466</v>
      </c>
    </row>
    <row r="18" spans="2:5" x14ac:dyDescent="0.25">
      <c r="B18" s="2">
        <v>38838</v>
      </c>
      <c r="C18">
        <v>54.8</v>
      </c>
      <c r="D18">
        <f t="shared" si="1"/>
        <v>-3.3000000000000043</v>
      </c>
      <c r="E18" s="29">
        <f t="shared" si="0"/>
        <v>54.027272727272731</v>
      </c>
    </row>
    <row r="19" spans="2:5" x14ac:dyDescent="0.25">
      <c r="B19" s="2">
        <v>38869</v>
      </c>
      <c r="C19">
        <v>54.1</v>
      </c>
      <c r="D19">
        <f t="shared" si="1"/>
        <v>-0.69999999999999574</v>
      </c>
      <c r="E19" s="30">
        <f t="shared" si="0"/>
        <v>54.24545454545455</v>
      </c>
    </row>
    <row r="20" spans="2:5" x14ac:dyDescent="0.25">
      <c r="B20" s="2">
        <v>38899</v>
      </c>
      <c r="C20">
        <v>52.4</v>
      </c>
      <c r="D20">
        <f t="shared" si="1"/>
        <v>-1.7000000000000028</v>
      </c>
      <c r="E20" s="29">
        <f t="shared" si="0"/>
        <v>54.091666666666669</v>
      </c>
    </row>
    <row r="21" spans="2:5" x14ac:dyDescent="0.25">
      <c r="B21" s="2">
        <v>38930</v>
      </c>
      <c r="C21">
        <v>53.1</v>
      </c>
      <c r="D21">
        <f t="shared" si="1"/>
        <v>0.70000000000000284</v>
      </c>
      <c r="E21" s="30">
        <f t="shared" si="0"/>
        <v>54.133333333333347</v>
      </c>
    </row>
    <row r="22" spans="2:5" x14ac:dyDescent="0.25">
      <c r="B22" s="2">
        <v>38961</v>
      </c>
      <c r="C22">
        <v>57</v>
      </c>
      <c r="D22">
        <f t="shared" si="1"/>
        <v>3.8999999999999986</v>
      </c>
      <c r="E22" s="29">
        <f t="shared" si="0"/>
        <v>54.291666666666679</v>
      </c>
    </row>
    <row r="23" spans="2:5" x14ac:dyDescent="0.25">
      <c r="B23" s="2">
        <v>38991</v>
      </c>
      <c r="C23">
        <v>54.7</v>
      </c>
      <c r="D23">
        <f t="shared" si="1"/>
        <v>-2.2999999999999972</v>
      </c>
      <c r="E23" s="30">
        <f t="shared" si="0"/>
        <v>54.341666666666669</v>
      </c>
    </row>
    <row r="24" spans="2:5" x14ac:dyDescent="0.25">
      <c r="B24" s="2">
        <v>39022</v>
      </c>
      <c r="C24">
        <v>55.3</v>
      </c>
      <c r="D24">
        <f t="shared" si="1"/>
        <v>0.59999999999999432</v>
      </c>
      <c r="E24" s="29">
        <f t="shared" si="0"/>
        <v>54.44166666666667</v>
      </c>
    </row>
    <row r="25" spans="2:5" x14ac:dyDescent="0.25">
      <c r="B25" s="2">
        <v>39052</v>
      </c>
      <c r="C25">
        <v>54.8</v>
      </c>
      <c r="D25">
        <f t="shared" si="1"/>
        <v>-0.5</v>
      </c>
      <c r="E25" s="30">
        <f t="shared" si="0"/>
        <v>54.483333333333327</v>
      </c>
    </row>
    <row r="26" spans="2:5" x14ac:dyDescent="0.25">
      <c r="B26" s="2">
        <v>39083</v>
      </c>
      <c r="C26">
        <v>55.1</v>
      </c>
      <c r="D26">
        <f t="shared" si="1"/>
        <v>0.30000000000000426</v>
      </c>
      <c r="E26" s="29">
        <f t="shared" si="0"/>
        <v>54.733333333333327</v>
      </c>
    </row>
    <row r="27" spans="2:5" x14ac:dyDescent="0.25">
      <c r="B27" s="2">
        <v>39114</v>
      </c>
      <c r="C27">
        <v>53.1</v>
      </c>
      <c r="D27">
        <f t="shared" si="1"/>
        <v>-2</v>
      </c>
      <c r="E27" s="30">
        <f t="shared" si="0"/>
        <v>54.81666666666667</v>
      </c>
    </row>
    <row r="28" spans="2:5" x14ac:dyDescent="0.25">
      <c r="B28" s="2">
        <v>39142</v>
      </c>
      <c r="C28">
        <v>56.1</v>
      </c>
      <c r="D28">
        <f t="shared" si="1"/>
        <v>3</v>
      </c>
      <c r="E28" s="29">
        <f t="shared" si="0"/>
        <v>54.883333333333333</v>
      </c>
    </row>
    <row r="29" spans="2:5" x14ac:dyDescent="0.25">
      <c r="B29" s="2">
        <v>39173</v>
      </c>
      <c r="C29">
        <v>58.6</v>
      </c>
      <c r="D29">
        <f t="shared" si="1"/>
        <v>2.5</v>
      </c>
      <c r="E29" s="30">
        <f t="shared" si="0"/>
        <v>54.925000000000004</v>
      </c>
    </row>
    <row r="30" spans="2:5" x14ac:dyDescent="0.25">
      <c r="B30" s="2">
        <v>39203</v>
      </c>
      <c r="C30">
        <v>55.7</v>
      </c>
      <c r="D30">
        <f t="shared" si="1"/>
        <v>-2.8999999999999986</v>
      </c>
      <c r="E30" s="29">
        <f t="shared" si="0"/>
        <v>55.000000000000007</v>
      </c>
    </row>
    <row r="31" spans="2:5" x14ac:dyDescent="0.25">
      <c r="B31" s="2">
        <v>39234</v>
      </c>
      <c r="C31">
        <v>54.5</v>
      </c>
      <c r="D31">
        <f t="shared" si="1"/>
        <v>-1.2000000000000028</v>
      </c>
      <c r="E31" s="30">
        <f t="shared" si="0"/>
        <v>55.033333333333339</v>
      </c>
    </row>
    <row r="32" spans="2:5" x14ac:dyDescent="0.25">
      <c r="B32" s="2">
        <v>39264</v>
      </c>
      <c r="C32">
        <v>53.3</v>
      </c>
      <c r="D32">
        <f t="shared" si="1"/>
        <v>-1.2000000000000028</v>
      </c>
      <c r="E32" s="29">
        <f t="shared" si="0"/>
        <v>55.108333333333341</v>
      </c>
    </row>
    <row r="33" spans="2:5" x14ac:dyDescent="0.25">
      <c r="B33" s="2">
        <v>39295</v>
      </c>
      <c r="C33">
        <v>54</v>
      </c>
      <c r="D33">
        <f t="shared" si="1"/>
        <v>0.70000000000000284</v>
      </c>
      <c r="E33" s="30">
        <f t="shared" si="0"/>
        <v>55.183333333333337</v>
      </c>
    </row>
    <row r="34" spans="2:5" x14ac:dyDescent="0.25">
      <c r="B34" s="2">
        <v>39326</v>
      </c>
      <c r="C34">
        <v>56.1</v>
      </c>
      <c r="D34">
        <f t="shared" si="1"/>
        <v>2.1000000000000014</v>
      </c>
      <c r="E34" s="29">
        <f t="shared" ref="E34:E65" si="2">IF(ROW(A34)&lt;13,"",AVERAGEIFS($C$2:$C$5000,$B$2:$B$5000,"&gt;"&amp;EDATE(B34,-12),$B$2:$B$5000,"&lt;="&amp;B34))</f>
        <v>55.108333333333341</v>
      </c>
    </row>
    <row r="35" spans="2:5" x14ac:dyDescent="0.25">
      <c r="B35" s="2">
        <v>39356</v>
      </c>
      <c r="C35">
        <v>53.2</v>
      </c>
      <c r="D35">
        <f t="shared" si="1"/>
        <v>-2.8999999999999986</v>
      </c>
      <c r="E35" s="30">
        <f t="shared" si="2"/>
        <v>54.983333333333341</v>
      </c>
    </row>
    <row r="36" spans="2:5" x14ac:dyDescent="0.25">
      <c r="B36" s="2">
        <v>39387</v>
      </c>
      <c r="C36">
        <v>55.4</v>
      </c>
      <c r="D36">
        <f t="shared" si="1"/>
        <v>2.1999999999999957</v>
      </c>
      <c r="E36" s="29">
        <f t="shared" si="2"/>
        <v>54.991666666666667</v>
      </c>
    </row>
    <row r="37" spans="2:5" x14ac:dyDescent="0.25">
      <c r="B37" s="2">
        <v>39417</v>
      </c>
      <c r="C37">
        <v>55.3</v>
      </c>
      <c r="D37">
        <f t="shared" si="1"/>
        <v>-0.10000000000000142</v>
      </c>
      <c r="E37" s="30">
        <f t="shared" si="2"/>
        <v>55.033333333333331</v>
      </c>
    </row>
    <row r="38" spans="2:5" x14ac:dyDescent="0.25">
      <c r="B38" s="2">
        <v>39448</v>
      </c>
      <c r="C38">
        <v>53</v>
      </c>
      <c r="D38">
        <f t="shared" si="1"/>
        <v>-2.2999999999999972</v>
      </c>
      <c r="E38" s="29">
        <f t="shared" si="2"/>
        <v>54.858333333333327</v>
      </c>
    </row>
    <row r="39" spans="2:5" x14ac:dyDescent="0.25">
      <c r="B39" s="2">
        <v>39479</v>
      </c>
      <c r="C39">
        <v>53.4</v>
      </c>
      <c r="D39">
        <f t="shared" si="1"/>
        <v>0.39999999999999858</v>
      </c>
      <c r="E39" s="30">
        <f t="shared" si="2"/>
        <v>54.883333333333326</v>
      </c>
    </row>
    <row r="40" spans="2:5" x14ac:dyDescent="0.25">
      <c r="B40" s="2">
        <v>39508</v>
      </c>
      <c r="C40">
        <v>58.4</v>
      </c>
      <c r="D40">
        <f t="shared" si="1"/>
        <v>5</v>
      </c>
      <c r="E40" s="29">
        <f t="shared" si="2"/>
        <v>55.074999999999996</v>
      </c>
    </row>
    <row r="41" spans="2:5" x14ac:dyDescent="0.25">
      <c r="B41" s="2">
        <v>39539</v>
      </c>
      <c r="C41">
        <v>59.2</v>
      </c>
      <c r="D41">
        <f t="shared" si="1"/>
        <v>0.80000000000000426</v>
      </c>
      <c r="E41" s="30">
        <f t="shared" si="2"/>
        <v>55.125</v>
      </c>
    </row>
    <row r="42" spans="2:5" x14ac:dyDescent="0.25">
      <c r="B42" s="2">
        <v>39569</v>
      </c>
      <c r="C42">
        <v>53.3</v>
      </c>
      <c r="D42">
        <f t="shared" si="1"/>
        <v>-5.9000000000000057</v>
      </c>
      <c r="E42" s="29">
        <f t="shared" si="2"/>
        <v>54.925000000000004</v>
      </c>
    </row>
    <row r="43" spans="2:5" x14ac:dyDescent="0.25">
      <c r="B43" s="2">
        <v>39600</v>
      </c>
      <c r="C43">
        <v>52</v>
      </c>
      <c r="D43">
        <f t="shared" si="1"/>
        <v>-1.2999999999999972</v>
      </c>
      <c r="E43" s="30">
        <f t="shared" si="2"/>
        <v>54.716666666666661</v>
      </c>
    </row>
    <row r="44" spans="2:5" x14ac:dyDescent="0.25">
      <c r="B44" s="2">
        <v>39630</v>
      </c>
      <c r="C44">
        <v>48.4</v>
      </c>
      <c r="D44">
        <f t="shared" si="1"/>
        <v>-3.6000000000000014</v>
      </c>
      <c r="E44" s="29">
        <f t="shared" si="2"/>
        <v>54.30833333333333</v>
      </c>
    </row>
    <row r="45" spans="2:5" x14ac:dyDescent="0.25">
      <c r="B45" s="2">
        <v>39661</v>
      </c>
      <c r="C45">
        <v>48.4</v>
      </c>
      <c r="D45">
        <f t="shared" si="1"/>
        <v>0</v>
      </c>
      <c r="E45" s="30">
        <f t="shared" si="2"/>
        <v>53.841666666666661</v>
      </c>
    </row>
    <row r="46" spans="2:5" x14ac:dyDescent="0.25">
      <c r="B46" s="2">
        <v>39692</v>
      </c>
      <c r="C46">
        <v>51.2</v>
      </c>
      <c r="D46">
        <f t="shared" si="1"/>
        <v>2.8000000000000043</v>
      </c>
      <c r="E46" s="29">
        <f t="shared" si="2"/>
        <v>53.43333333333333</v>
      </c>
    </row>
    <row r="47" spans="2:5" x14ac:dyDescent="0.25">
      <c r="B47" s="2">
        <v>39722</v>
      </c>
      <c r="C47">
        <v>44.6</v>
      </c>
      <c r="D47">
        <f t="shared" si="1"/>
        <v>-6.6000000000000014</v>
      </c>
      <c r="E47" s="30">
        <f t="shared" si="2"/>
        <v>52.716666666666669</v>
      </c>
    </row>
    <row r="48" spans="2:5" x14ac:dyDescent="0.25">
      <c r="B48" s="2">
        <v>39753</v>
      </c>
      <c r="C48">
        <v>38.799999999999997</v>
      </c>
      <c r="D48">
        <f t="shared" si="1"/>
        <v>-5.8000000000000043</v>
      </c>
      <c r="E48" s="29">
        <f t="shared" si="2"/>
        <v>51.333333333333336</v>
      </c>
    </row>
    <row r="49" spans="2:5" x14ac:dyDescent="0.25">
      <c r="B49" s="2">
        <v>39783</v>
      </c>
      <c r="C49">
        <v>41.2</v>
      </c>
      <c r="D49">
        <f t="shared" si="1"/>
        <v>2.4000000000000057</v>
      </c>
      <c r="E49" s="30">
        <f t="shared" si="2"/>
        <v>50.158333333333331</v>
      </c>
    </row>
    <row r="50" spans="2:5" x14ac:dyDescent="0.25">
      <c r="B50" s="2">
        <v>39814</v>
      </c>
      <c r="C50">
        <v>45.3</v>
      </c>
      <c r="D50">
        <f t="shared" si="1"/>
        <v>4.0999999999999943</v>
      </c>
      <c r="E50" s="29">
        <f t="shared" si="2"/>
        <v>49.516666666666659</v>
      </c>
    </row>
    <row r="51" spans="2:5" x14ac:dyDescent="0.25">
      <c r="B51" s="2">
        <v>39845</v>
      </c>
      <c r="C51">
        <v>49</v>
      </c>
      <c r="D51">
        <f t="shared" si="1"/>
        <v>3.7000000000000028</v>
      </c>
      <c r="E51" s="30">
        <f t="shared" si="2"/>
        <v>49.15</v>
      </c>
    </row>
    <row r="52" spans="2:5" x14ac:dyDescent="0.25">
      <c r="B52" s="2">
        <v>39873</v>
      </c>
      <c r="C52">
        <v>52.4</v>
      </c>
      <c r="D52">
        <f t="shared" si="1"/>
        <v>3.3999999999999986</v>
      </c>
      <c r="E52" s="29">
        <f t="shared" si="2"/>
        <v>48.650000000000006</v>
      </c>
    </row>
    <row r="53" spans="2:5" x14ac:dyDescent="0.25">
      <c r="B53" s="2">
        <v>39904</v>
      </c>
      <c r="C53">
        <v>53.5</v>
      </c>
      <c r="D53">
        <f t="shared" si="1"/>
        <v>1.1000000000000014</v>
      </c>
      <c r="E53" s="30">
        <f t="shared" si="2"/>
        <v>48.175000000000004</v>
      </c>
    </row>
    <row r="54" spans="2:5" x14ac:dyDescent="0.25">
      <c r="B54" s="2">
        <v>39934</v>
      </c>
      <c r="C54">
        <v>53.1</v>
      </c>
      <c r="D54">
        <f t="shared" si="1"/>
        <v>-0.39999999999999858</v>
      </c>
      <c r="E54" s="29">
        <f t="shared" si="2"/>
        <v>48.158333333333331</v>
      </c>
    </row>
    <row r="55" spans="2:5" x14ac:dyDescent="0.25">
      <c r="B55" s="2">
        <v>39965</v>
      </c>
      <c r="C55">
        <v>53.2</v>
      </c>
      <c r="D55">
        <f t="shared" si="1"/>
        <v>0.10000000000000142</v>
      </c>
      <c r="E55" s="30">
        <f t="shared" si="2"/>
        <v>48.258333333333333</v>
      </c>
    </row>
    <row r="56" spans="2:5" x14ac:dyDescent="0.25">
      <c r="B56" s="2">
        <v>39995</v>
      </c>
      <c r="C56">
        <v>53.3</v>
      </c>
      <c r="D56">
        <f t="shared" si="1"/>
        <v>9.9999999999994316E-2</v>
      </c>
      <c r="E56" s="29">
        <f t="shared" si="2"/>
        <v>48.666666666666664</v>
      </c>
    </row>
    <row r="57" spans="2:5" x14ac:dyDescent="0.25">
      <c r="B57" s="2">
        <v>40026</v>
      </c>
      <c r="C57">
        <v>54</v>
      </c>
      <c r="D57">
        <f t="shared" si="1"/>
        <v>0.70000000000000284</v>
      </c>
      <c r="E57" s="30">
        <f t="shared" si="2"/>
        <v>49.133333333333333</v>
      </c>
    </row>
    <row r="58" spans="2:5" x14ac:dyDescent="0.25">
      <c r="B58" s="2">
        <v>40057</v>
      </c>
      <c r="C58">
        <v>54.3</v>
      </c>
      <c r="D58">
        <f t="shared" si="1"/>
        <v>0.29999999999999716</v>
      </c>
      <c r="E58" s="29">
        <f t="shared" si="2"/>
        <v>49.391666666666673</v>
      </c>
    </row>
    <row r="59" spans="2:5" x14ac:dyDescent="0.25">
      <c r="B59" s="2">
        <v>40087</v>
      </c>
      <c r="C59">
        <v>55.2</v>
      </c>
      <c r="D59">
        <f t="shared" si="1"/>
        <v>0.90000000000000568</v>
      </c>
      <c r="E59" s="30">
        <f t="shared" si="2"/>
        <v>50.275000000000006</v>
      </c>
    </row>
    <row r="60" spans="2:5" x14ac:dyDescent="0.25">
      <c r="B60" s="2">
        <v>40118</v>
      </c>
      <c r="C60">
        <v>55.2</v>
      </c>
      <c r="D60">
        <f t="shared" si="1"/>
        <v>0</v>
      </c>
      <c r="E60" s="29">
        <f t="shared" si="2"/>
        <v>51.641666666666673</v>
      </c>
    </row>
    <row r="61" spans="2:5" x14ac:dyDescent="0.25">
      <c r="B61" s="2">
        <v>40148</v>
      </c>
      <c r="C61">
        <v>56.6</v>
      </c>
      <c r="D61">
        <f t="shared" si="1"/>
        <v>1.3999999999999986</v>
      </c>
      <c r="E61" s="30">
        <f t="shared" si="2"/>
        <v>52.925000000000011</v>
      </c>
    </row>
    <row r="62" spans="2:5" x14ac:dyDescent="0.25">
      <c r="B62" s="2">
        <v>40179</v>
      </c>
      <c r="C62">
        <v>55.8</v>
      </c>
      <c r="D62">
        <f t="shared" si="1"/>
        <v>-0.80000000000000426</v>
      </c>
      <c r="E62" s="29">
        <f t="shared" si="2"/>
        <v>53.800000000000004</v>
      </c>
    </row>
    <row r="63" spans="2:5" x14ac:dyDescent="0.25">
      <c r="B63" s="2">
        <v>40210</v>
      </c>
      <c r="C63">
        <v>52</v>
      </c>
      <c r="D63">
        <f t="shared" si="1"/>
        <v>-3.7999999999999972</v>
      </c>
      <c r="E63" s="30">
        <f t="shared" si="2"/>
        <v>54.04999999999999</v>
      </c>
    </row>
    <row r="64" spans="2:5" x14ac:dyDescent="0.25">
      <c r="B64" s="2">
        <v>40238</v>
      </c>
      <c r="C64">
        <v>55.1</v>
      </c>
      <c r="D64">
        <f t="shared" si="1"/>
        <v>3.1000000000000014</v>
      </c>
      <c r="E64" s="29">
        <f t="shared" si="2"/>
        <v>54.275000000000006</v>
      </c>
    </row>
    <row r="65" spans="2:5" x14ac:dyDescent="0.25">
      <c r="B65" s="2">
        <v>40269</v>
      </c>
      <c r="C65">
        <v>55.7</v>
      </c>
      <c r="D65">
        <f t="shared" si="1"/>
        <v>0.60000000000000142</v>
      </c>
      <c r="E65" s="30">
        <f t="shared" si="2"/>
        <v>54.458333333333343</v>
      </c>
    </row>
    <row r="66" spans="2:5" x14ac:dyDescent="0.25">
      <c r="B66" s="2">
        <v>40299</v>
      </c>
      <c r="C66">
        <v>53.9</v>
      </c>
      <c r="D66">
        <f t="shared" si="1"/>
        <v>-1.8000000000000043</v>
      </c>
      <c r="E66" s="29">
        <f t="shared" ref="E66:E97" si="3">IF(ROW(A66)&lt;13,"",AVERAGEIFS($C$2:$C$5000,$B$2:$B$5000,"&gt;"&amp;EDATE(B66,-12),$B$2:$B$5000,"&lt;="&amp;B66))</f>
        <v>54.525000000000006</v>
      </c>
    </row>
    <row r="67" spans="2:5" x14ac:dyDescent="0.25">
      <c r="B67" s="2">
        <v>40330</v>
      </c>
      <c r="C67">
        <v>52.1</v>
      </c>
      <c r="D67">
        <f t="shared" si="1"/>
        <v>-1.7999999999999972</v>
      </c>
      <c r="E67" s="30">
        <f t="shared" si="3"/>
        <v>54.433333333333337</v>
      </c>
    </row>
    <row r="68" spans="2:5" x14ac:dyDescent="0.25">
      <c r="B68" s="2">
        <v>40360</v>
      </c>
      <c r="C68">
        <v>51.2</v>
      </c>
      <c r="D68">
        <f t="shared" ref="D68:D131" si="4">C68-C67</f>
        <v>-0.89999999999999858</v>
      </c>
      <c r="E68" s="29">
        <f t="shared" si="3"/>
        <v>54.258333333333347</v>
      </c>
    </row>
    <row r="69" spans="2:5" x14ac:dyDescent="0.25">
      <c r="B69" s="2">
        <v>40391</v>
      </c>
      <c r="C69">
        <v>51.7</v>
      </c>
      <c r="D69">
        <f t="shared" si="4"/>
        <v>0.5</v>
      </c>
      <c r="E69" s="30">
        <f t="shared" si="3"/>
        <v>54.06666666666667</v>
      </c>
    </row>
    <row r="70" spans="2:5" x14ac:dyDescent="0.25">
      <c r="B70" s="2">
        <v>40422</v>
      </c>
      <c r="C70">
        <v>53.8</v>
      </c>
      <c r="D70">
        <f t="shared" si="4"/>
        <v>2.0999999999999943</v>
      </c>
      <c r="E70" s="29">
        <f t="shared" si="3"/>
        <v>54.025000000000006</v>
      </c>
    </row>
    <row r="71" spans="2:5" x14ac:dyDescent="0.25">
      <c r="B71" s="2">
        <v>40452</v>
      </c>
      <c r="C71">
        <v>54.7</v>
      </c>
      <c r="D71">
        <f t="shared" si="4"/>
        <v>0.90000000000000568</v>
      </c>
      <c r="E71" s="30">
        <f t="shared" si="3"/>
        <v>53.983333333333341</v>
      </c>
    </row>
    <row r="72" spans="2:5" x14ac:dyDescent="0.25">
      <c r="B72" s="2">
        <v>40483</v>
      </c>
      <c r="C72">
        <v>55.2</v>
      </c>
      <c r="D72">
        <f t="shared" si="4"/>
        <v>0.5</v>
      </c>
      <c r="E72" s="29">
        <f t="shared" si="3"/>
        <v>53.983333333333341</v>
      </c>
    </row>
    <row r="73" spans="2:5" x14ac:dyDescent="0.25">
      <c r="B73" s="2">
        <v>40513</v>
      </c>
      <c r="C73">
        <v>53.9</v>
      </c>
      <c r="D73">
        <f t="shared" si="4"/>
        <v>-1.3000000000000043</v>
      </c>
      <c r="E73" s="30">
        <f t="shared" si="3"/>
        <v>53.758333333333333</v>
      </c>
    </row>
    <row r="74" spans="2:5" x14ac:dyDescent="0.25">
      <c r="B74" s="2">
        <v>40544</v>
      </c>
      <c r="C74">
        <v>52.9</v>
      </c>
      <c r="D74">
        <f t="shared" si="4"/>
        <v>-1</v>
      </c>
      <c r="E74" s="29">
        <f t="shared" si="3"/>
        <v>53.516666666666659</v>
      </c>
    </row>
    <row r="75" spans="2:5" x14ac:dyDescent="0.25">
      <c r="B75" s="2">
        <v>40575</v>
      </c>
      <c r="C75">
        <v>52.2</v>
      </c>
      <c r="D75">
        <f t="shared" si="4"/>
        <v>-0.69999999999999574</v>
      </c>
      <c r="E75" s="30">
        <f t="shared" si="3"/>
        <v>53.533333333333331</v>
      </c>
    </row>
    <row r="76" spans="2:5" x14ac:dyDescent="0.25">
      <c r="B76" s="2">
        <v>40603</v>
      </c>
      <c r="C76">
        <v>53.4</v>
      </c>
      <c r="D76">
        <f t="shared" si="4"/>
        <v>1.1999999999999957</v>
      </c>
      <c r="E76" s="29">
        <f t="shared" si="3"/>
        <v>53.391666666666659</v>
      </c>
    </row>
    <row r="77" spans="2:5" x14ac:dyDescent="0.25">
      <c r="B77" s="2">
        <v>40634</v>
      </c>
      <c r="C77">
        <v>52.9</v>
      </c>
      <c r="D77">
        <f t="shared" si="4"/>
        <v>-0.5</v>
      </c>
      <c r="E77" s="30">
        <f t="shared" si="3"/>
        <v>53.158333333333324</v>
      </c>
    </row>
    <row r="78" spans="2:5" x14ac:dyDescent="0.25">
      <c r="B78" s="2">
        <v>40664</v>
      </c>
      <c r="C78">
        <v>52</v>
      </c>
      <c r="D78">
        <f t="shared" si="4"/>
        <v>-0.89999999999999858</v>
      </c>
      <c r="E78" s="29">
        <f t="shared" si="3"/>
        <v>52.999999999999993</v>
      </c>
    </row>
    <row r="79" spans="2:5" x14ac:dyDescent="0.25">
      <c r="B79" s="2">
        <v>40695</v>
      </c>
      <c r="C79">
        <v>50.9</v>
      </c>
      <c r="D79">
        <f t="shared" si="4"/>
        <v>-1.1000000000000014</v>
      </c>
      <c r="E79" s="30">
        <f t="shared" si="3"/>
        <v>52.899999999999984</v>
      </c>
    </row>
    <row r="80" spans="2:5" x14ac:dyDescent="0.25">
      <c r="B80" s="2">
        <v>40725</v>
      </c>
      <c r="C80">
        <v>50.7</v>
      </c>
      <c r="D80">
        <f t="shared" si="4"/>
        <v>-0.19999999999999574</v>
      </c>
      <c r="E80" s="29">
        <f t="shared" si="3"/>
        <v>52.85833333333332</v>
      </c>
    </row>
    <row r="81" spans="2:5" x14ac:dyDescent="0.25">
      <c r="B81" s="2">
        <v>40756</v>
      </c>
      <c r="C81">
        <v>50.9</v>
      </c>
      <c r="D81">
        <f t="shared" si="4"/>
        <v>0.19999999999999574</v>
      </c>
      <c r="E81" s="30">
        <f t="shared" si="3"/>
        <v>52.791666666666664</v>
      </c>
    </row>
    <row r="82" spans="2:5" x14ac:dyDescent="0.25">
      <c r="B82" s="2">
        <v>40787</v>
      </c>
      <c r="C82">
        <v>51.2</v>
      </c>
      <c r="D82">
        <f t="shared" si="4"/>
        <v>0.30000000000000426</v>
      </c>
      <c r="E82" s="29">
        <f t="shared" si="3"/>
        <v>52.574999999999996</v>
      </c>
    </row>
    <row r="83" spans="2:5" x14ac:dyDescent="0.25">
      <c r="B83" s="2">
        <v>40817</v>
      </c>
      <c r="C83">
        <v>50.4</v>
      </c>
      <c r="D83">
        <f t="shared" si="4"/>
        <v>-0.80000000000000426</v>
      </c>
      <c r="E83" s="30">
        <f t="shared" si="3"/>
        <v>52.216666666666661</v>
      </c>
    </row>
    <row r="84" spans="2:5" x14ac:dyDescent="0.25">
      <c r="B84" s="2">
        <v>40848</v>
      </c>
      <c r="C84">
        <v>49</v>
      </c>
      <c r="D84">
        <f t="shared" si="4"/>
        <v>-1.3999999999999986</v>
      </c>
      <c r="E84" s="29">
        <f t="shared" si="3"/>
        <v>51.699999999999996</v>
      </c>
    </row>
    <row r="85" spans="2:5" x14ac:dyDescent="0.25">
      <c r="B85" s="2">
        <v>40878</v>
      </c>
      <c r="C85">
        <v>50.3</v>
      </c>
      <c r="D85">
        <f t="shared" si="4"/>
        <v>1.2999999999999972</v>
      </c>
      <c r="E85" s="30">
        <f t="shared" si="3"/>
        <v>51.399999999999984</v>
      </c>
    </row>
    <row r="86" spans="2:5" x14ac:dyDescent="0.25">
      <c r="B86" s="2">
        <v>40909</v>
      </c>
      <c r="C86">
        <v>50.5</v>
      </c>
      <c r="D86">
        <f t="shared" si="4"/>
        <v>0.20000000000000284</v>
      </c>
      <c r="E86" s="29">
        <f t="shared" si="3"/>
        <v>51.199999999999989</v>
      </c>
    </row>
    <row r="87" spans="2:5" x14ac:dyDescent="0.25">
      <c r="B87" s="2">
        <v>40940</v>
      </c>
      <c r="C87">
        <v>51</v>
      </c>
      <c r="D87">
        <f t="shared" si="4"/>
        <v>0.5</v>
      </c>
      <c r="E87" s="30">
        <f t="shared" si="3"/>
        <v>51.1</v>
      </c>
    </row>
    <row r="88" spans="2:5" x14ac:dyDescent="0.25">
      <c r="B88" s="2">
        <v>40969</v>
      </c>
      <c r="C88">
        <v>53.1</v>
      </c>
      <c r="D88">
        <f t="shared" si="4"/>
        <v>2.1000000000000014</v>
      </c>
      <c r="E88" s="29">
        <f t="shared" si="3"/>
        <v>51.074999999999996</v>
      </c>
    </row>
    <row r="89" spans="2:5" x14ac:dyDescent="0.25">
      <c r="B89" s="2">
        <v>41000</v>
      </c>
      <c r="C89">
        <v>53.3</v>
      </c>
      <c r="D89">
        <f t="shared" si="4"/>
        <v>0.19999999999999574</v>
      </c>
      <c r="E89" s="30">
        <f t="shared" si="3"/>
        <v>51.108333333333327</v>
      </c>
    </row>
    <row r="90" spans="2:5" x14ac:dyDescent="0.25">
      <c r="B90" s="2">
        <v>41030</v>
      </c>
      <c r="C90">
        <v>50.4</v>
      </c>
      <c r="D90">
        <f t="shared" si="4"/>
        <v>-2.8999999999999986</v>
      </c>
      <c r="E90" s="29">
        <f t="shared" si="3"/>
        <v>50.975000000000001</v>
      </c>
    </row>
    <row r="91" spans="2:5" x14ac:dyDescent="0.25">
      <c r="B91" s="2">
        <v>41061</v>
      </c>
      <c r="C91">
        <v>50.2</v>
      </c>
      <c r="D91">
        <f t="shared" si="4"/>
        <v>-0.19999999999999574</v>
      </c>
      <c r="E91" s="30">
        <f t="shared" si="3"/>
        <v>50.916666666666679</v>
      </c>
    </row>
    <row r="92" spans="2:5" x14ac:dyDescent="0.25">
      <c r="B92" s="2">
        <v>41091</v>
      </c>
      <c r="C92">
        <v>50.1</v>
      </c>
      <c r="D92">
        <f t="shared" si="4"/>
        <v>-0.10000000000000142</v>
      </c>
      <c r="E92" s="29">
        <f t="shared" si="3"/>
        <v>50.866666666666674</v>
      </c>
    </row>
    <row r="93" spans="2:5" x14ac:dyDescent="0.25">
      <c r="B93" s="2">
        <v>41122</v>
      </c>
      <c r="C93">
        <v>49.2</v>
      </c>
      <c r="D93">
        <f t="shared" si="4"/>
        <v>-0.89999999999999858</v>
      </c>
      <c r="E93" s="30">
        <f t="shared" si="3"/>
        <v>50.725000000000001</v>
      </c>
    </row>
    <row r="94" spans="2:5" x14ac:dyDescent="0.25">
      <c r="B94" s="2">
        <v>41153</v>
      </c>
      <c r="C94">
        <v>49.8</v>
      </c>
      <c r="D94">
        <f t="shared" si="4"/>
        <v>0.59999999999999432</v>
      </c>
      <c r="E94" s="29">
        <f t="shared" si="3"/>
        <v>50.608333333333327</v>
      </c>
    </row>
    <row r="95" spans="2:5" x14ac:dyDescent="0.25">
      <c r="B95" s="2">
        <v>41183</v>
      </c>
      <c r="C95">
        <v>50.2</v>
      </c>
      <c r="D95">
        <f t="shared" si="4"/>
        <v>0.40000000000000568</v>
      </c>
      <c r="E95" s="30">
        <f t="shared" si="3"/>
        <v>50.591666666666669</v>
      </c>
    </row>
    <row r="96" spans="2:5" x14ac:dyDescent="0.25">
      <c r="B96" s="2">
        <v>41214</v>
      </c>
      <c r="C96">
        <v>50.6</v>
      </c>
      <c r="D96">
        <f t="shared" si="4"/>
        <v>0.39999999999999858</v>
      </c>
      <c r="E96" s="29">
        <f t="shared" si="3"/>
        <v>50.725000000000001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30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9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30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9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30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9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30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9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30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9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30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9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30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9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30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9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30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9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30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9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30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9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30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9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30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9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30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9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30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9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30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9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30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9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30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9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30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9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30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9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30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9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30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9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30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9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30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9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30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9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30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9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30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9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30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9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30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9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30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9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30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9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30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9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30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9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30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9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30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9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30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9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30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9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30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9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30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9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30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9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30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9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30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9">
        <f t="shared" si="8"/>
        <v>49.666666666666664</v>
      </c>
    </row>
    <row r="181" spans="2:5" x14ac:dyDescent="0.25">
      <c r="B181" s="2">
        <v>43800</v>
      </c>
      <c r="C181">
        <v>50.2</v>
      </c>
      <c r="D181">
        <f t="shared" si="7"/>
        <v>0</v>
      </c>
      <c r="E181" s="17">
        <f t="shared" si="8"/>
        <v>49.869230769230775</v>
      </c>
    </row>
    <row r="182" spans="2:5" x14ac:dyDescent="0.25">
      <c r="B182" s="45">
        <v>43800</v>
      </c>
      <c r="C182" s="46">
        <v>51.5</v>
      </c>
      <c r="D182">
        <f t="shared" ref="D182" si="9">C182-C181</f>
        <v>1.2999999999999972</v>
      </c>
      <c r="E182" s="29">
        <f t="shared" ref="E182" si="10">IF(ROW(A182)&lt;13,"",AVERAGEIFS($C$2:$C$5000,$B$2:$B$5000,"&gt;"&amp;EDATE(B182,-12),$B$2:$B$5000,"&lt;="&amp;B182))</f>
        <v>49.869230769230775</v>
      </c>
    </row>
    <row r="183" spans="2:5" x14ac:dyDescent="0.25">
      <c r="E183" s="35"/>
    </row>
    <row r="184" spans="2:5" x14ac:dyDescent="0.25">
      <c r="E184" s="35"/>
    </row>
    <row r="185" spans="2:5" x14ac:dyDescent="0.25">
      <c r="E185" s="35"/>
    </row>
    <row r="186" spans="2:5" x14ac:dyDescent="0.25">
      <c r="E186" s="35"/>
    </row>
    <row r="187" spans="2:5" x14ac:dyDescent="0.25">
      <c r="E187" s="35"/>
    </row>
    <row r="188" spans="2:5" x14ac:dyDescent="0.25">
      <c r="E188" s="35"/>
    </row>
    <row r="189" spans="2:5" x14ac:dyDescent="0.25">
      <c r="E189" s="35"/>
    </row>
    <row r="190" spans="2:5" x14ac:dyDescent="0.25">
      <c r="E190" s="35"/>
    </row>
    <row r="191" spans="2:5" x14ac:dyDescent="0.25">
      <c r="E191" s="35"/>
    </row>
    <row r="192" spans="2:5" x14ac:dyDescent="0.25">
      <c r="E192" s="35"/>
    </row>
    <row r="193" spans="5:5" x14ac:dyDescent="0.25">
      <c r="E193" s="35"/>
    </row>
    <row r="194" spans="5:5" x14ac:dyDescent="0.25">
      <c r="E194" s="35"/>
    </row>
    <row r="195" spans="5:5" x14ac:dyDescent="0.25">
      <c r="E195" s="35"/>
    </row>
    <row r="196" spans="5:5" x14ac:dyDescent="0.25">
      <c r="E196" s="35"/>
    </row>
    <row r="197" spans="5:5" x14ac:dyDescent="0.25">
      <c r="E197" s="35"/>
    </row>
    <row r="198" spans="5:5" x14ac:dyDescent="0.25">
      <c r="E198" s="35"/>
    </row>
    <row r="199" spans="5:5" x14ac:dyDescent="0.25">
      <c r="E199" s="35"/>
    </row>
    <row r="200" spans="5:5" x14ac:dyDescent="0.25">
      <c r="E200" s="35"/>
    </row>
    <row r="201" spans="5:5" x14ac:dyDescent="0.25">
      <c r="E201" s="35"/>
    </row>
    <row r="202" spans="5:5" x14ac:dyDescent="0.25">
      <c r="E202" s="35"/>
    </row>
    <row r="203" spans="5:5" x14ac:dyDescent="0.25">
      <c r="E203" s="35"/>
    </row>
    <row r="204" spans="5:5" x14ac:dyDescent="0.25">
      <c r="E204" s="35"/>
    </row>
    <row r="205" spans="5:5" x14ac:dyDescent="0.25">
      <c r="E205" s="35"/>
    </row>
    <row r="206" spans="5:5" x14ac:dyDescent="0.25">
      <c r="E206" s="35"/>
    </row>
    <row r="207" spans="5:5" x14ac:dyDescent="0.25">
      <c r="E207" s="35"/>
    </row>
    <row r="208" spans="5:5" x14ac:dyDescent="0.25">
      <c r="E208" s="35"/>
    </row>
    <row r="209" spans="5:5" x14ac:dyDescent="0.25">
      <c r="E209" s="35"/>
    </row>
    <row r="210" spans="5:5" x14ac:dyDescent="0.25">
      <c r="E210" s="35"/>
    </row>
    <row r="211" spans="5:5" x14ac:dyDescent="0.25">
      <c r="E211" s="35"/>
    </row>
    <row r="212" spans="5:5" x14ac:dyDescent="0.25">
      <c r="E212" s="35"/>
    </row>
    <row r="213" spans="5:5" x14ac:dyDescent="0.25">
      <c r="E213" s="35"/>
    </row>
    <row r="214" spans="5:5" x14ac:dyDescent="0.25">
      <c r="E214" s="35"/>
    </row>
    <row r="215" spans="5:5" x14ac:dyDescent="0.25">
      <c r="E215" s="35"/>
    </row>
    <row r="216" spans="5:5" x14ac:dyDescent="0.25">
      <c r="E216" s="35"/>
    </row>
    <row r="217" spans="5:5" x14ac:dyDescent="0.25">
      <c r="E217" s="35"/>
    </row>
    <row r="218" spans="5:5" x14ac:dyDescent="0.25">
      <c r="E218" s="35"/>
    </row>
    <row r="219" spans="5:5" x14ac:dyDescent="0.25">
      <c r="E219" s="35"/>
    </row>
    <row r="220" spans="5:5" x14ac:dyDescent="0.25">
      <c r="E220" s="35"/>
    </row>
    <row r="221" spans="5:5" x14ac:dyDescent="0.25">
      <c r="E221" s="35"/>
    </row>
    <row r="222" spans="5:5" x14ac:dyDescent="0.25">
      <c r="E222" s="35"/>
    </row>
    <row r="223" spans="5:5" x14ac:dyDescent="0.25">
      <c r="E223" s="35"/>
    </row>
    <row r="224" spans="5:5" x14ac:dyDescent="0.25">
      <c r="E224" s="35"/>
    </row>
    <row r="225" spans="5:5" x14ac:dyDescent="0.25">
      <c r="E225" s="35"/>
    </row>
    <row r="226" spans="5:5" x14ac:dyDescent="0.25">
      <c r="E226" s="35"/>
    </row>
    <row r="227" spans="5:5" x14ac:dyDescent="0.25">
      <c r="E227" s="35"/>
    </row>
    <row r="228" spans="5:5" x14ac:dyDescent="0.25">
      <c r="E228" s="35"/>
    </row>
    <row r="229" spans="5:5" x14ac:dyDescent="0.25">
      <c r="E229" s="35"/>
    </row>
    <row r="230" spans="5:5" x14ac:dyDescent="0.25">
      <c r="E230" s="35"/>
    </row>
    <row r="231" spans="5:5" x14ac:dyDescent="0.25">
      <c r="E231" s="35"/>
    </row>
    <row r="232" spans="5:5" x14ac:dyDescent="0.25">
      <c r="E232" s="35"/>
    </row>
    <row r="233" spans="5:5" x14ac:dyDescent="0.25">
      <c r="E233" s="35"/>
    </row>
    <row r="234" spans="5:5" x14ac:dyDescent="0.25">
      <c r="E234" s="35"/>
    </row>
    <row r="235" spans="5:5" x14ac:dyDescent="0.25">
      <c r="E235" s="35"/>
    </row>
    <row r="236" spans="5:5" x14ac:dyDescent="0.25">
      <c r="E236" s="35"/>
    </row>
    <row r="237" spans="5:5" x14ac:dyDescent="0.25">
      <c r="E237" s="35"/>
    </row>
    <row r="238" spans="5:5" x14ac:dyDescent="0.25">
      <c r="E238" s="35"/>
    </row>
    <row r="239" spans="5:5" x14ac:dyDescent="0.25">
      <c r="E239" s="35"/>
    </row>
    <row r="240" spans="5:5" x14ac:dyDescent="0.25">
      <c r="E240" s="35"/>
    </row>
    <row r="241" spans="5:5" x14ac:dyDescent="0.25">
      <c r="E241" s="35"/>
    </row>
    <row r="242" spans="5:5" x14ac:dyDescent="0.25">
      <c r="E242" s="35"/>
    </row>
    <row r="243" spans="5:5" x14ac:dyDescent="0.25">
      <c r="E243" s="35"/>
    </row>
    <row r="244" spans="5:5" x14ac:dyDescent="0.25">
      <c r="E244" s="35"/>
    </row>
    <row r="245" spans="5:5" x14ac:dyDescent="0.25">
      <c r="E245" s="35"/>
    </row>
    <row r="246" spans="5:5" x14ac:dyDescent="0.25">
      <c r="E246" s="35"/>
    </row>
    <row r="247" spans="5:5" x14ac:dyDescent="0.25">
      <c r="E247" s="35"/>
    </row>
    <row r="248" spans="5:5" x14ac:dyDescent="0.25">
      <c r="E248" s="35"/>
    </row>
    <row r="249" spans="5:5" x14ac:dyDescent="0.25">
      <c r="E249" s="35"/>
    </row>
    <row r="250" spans="5:5" x14ac:dyDescent="0.25">
      <c r="E250" s="35"/>
    </row>
    <row r="251" spans="5:5" x14ac:dyDescent="0.25">
      <c r="E251" s="35"/>
    </row>
    <row r="252" spans="5:5" x14ac:dyDescent="0.25">
      <c r="E252" s="35"/>
    </row>
    <row r="253" spans="5:5" x14ac:dyDescent="0.25">
      <c r="E253" s="35"/>
    </row>
    <row r="254" spans="5:5" x14ac:dyDescent="0.25">
      <c r="E254" s="35"/>
    </row>
    <row r="255" spans="5:5" x14ac:dyDescent="0.25">
      <c r="E255" s="35"/>
    </row>
    <row r="256" spans="5:5" x14ac:dyDescent="0.25">
      <c r="E256" s="35"/>
    </row>
    <row r="257" spans="5:5" x14ac:dyDescent="0.25">
      <c r="E257" s="35"/>
    </row>
    <row r="258" spans="5:5" x14ac:dyDescent="0.25">
      <c r="E258" s="35"/>
    </row>
    <row r="259" spans="5:5" x14ac:dyDescent="0.25">
      <c r="E259" s="35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H54"/>
  <sheetViews>
    <sheetView topLeftCell="A27" workbookViewId="0">
      <selection activeCell="B54" sqref="B54:C54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3.42578125" customWidth="1"/>
    <col min="5" max="5" width="20.7109375" customWidth="1"/>
    <col min="6" max="6" width="19.28515625" customWidth="1"/>
    <col min="7" max="7" width="25.42578125" customWidth="1"/>
  </cols>
  <sheetData>
    <row r="1" spans="1:7" x14ac:dyDescent="0.25">
      <c r="A1" s="38" t="s">
        <v>0</v>
      </c>
      <c r="B1" s="5" t="s">
        <v>2</v>
      </c>
      <c r="C1" s="6" t="s">
        <v>1</v>
      </c>
      <c r="D1" s="6" t="s">
        <v>154</v>
      </c>
      <c r="E1" s="34" t="s">
        <v>153</v>
      </c>
      <c r="F1" s="33" t="s">
        <v>150</v>
      </c>
      <c r="G1" s="33" t="s">
        <v>152</v>
      </c>
    </row>
    <row r="2" spans="1:7" x14ac:dyDescent="0.25">
      <c r="B2" s="2">
        <v>42217</v>
      </c>
      <c r="C2" s="7">
        <v>50.1</v>
      </c>
      <c r="E2" s="39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-0.5</v>
      </c>
      <c r="G2" s="44">
        <f>INDEX(Colombia[12 Mth Rolling Avg.],ROWS(Colombia[12 Mth Rolling Avg.]),1)</f>
        <v>50.583333333333336</v>
      </c>
    </row>
    <row r="3" spans="1:7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9" t="str">
        <f t="shared" si="0"/>
        <v/>
      </c>
      <c r="F3" s="37"/>
    </row>
    <row r="4" spans="1:7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9" t="str">
        <f t="shared" si="0"/>
        <v/>
      </c>
      <c r="F4" s="37"/>
    </row>
    <row r="5" spans="1:7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9" t="str">
        <f t="shared" si="0"/>
        <v/>
      </c>
      <c r="F5" s="37"/>
    </row>
    <row r="6" spans="1:7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9" t="str">
        <f t="shared" si="0"/>
        <v/>
      </c>
      <c r="F6" s="37"/>
    </row>
    <row r="7" spans="1:7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9" t="str">
        <f t="shared" si="0"/>
        <v/>
      </c>
      <c r="F7" s="37"/>
    </row>
    <row r="8" spans="1:7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9" t="str">
        <f t="shared" si="0"/>
        <v/>
      </c>
      <c r="F8" s="37"/>
    </row>
    <row r="9" spans="1:7" x14ac:dyDescent="0.25">
      <c r="B9" s="2">
        <v>42430</v>
      </c>
      <c r="C9" s="7">
        <v>52.1</v>
      </c>
      <c r="D9" s="7">
        <f t="shared" si="1"/>
        <v>-0.79999999999999716</v>
      </c>
      <c r="E9" s="39" t="str">
        <f t="shared" si="0"/>
        <v/>
      </c>
      <c r="F9" s="37"/>
    </row>
    <row r="10" spans="1:7" x14ac:dyDescent="0.25">
      <c r="B10" s="2">
        <v>42461</v>
      </c>
      <c r="C10" s="7">
        <v>51.2</v>
      </c>
      <c r="D10" s="7">
        <f t="shared" si="1"/>
        <v>-0.89999999999999858</v>
      </c>
      <c r="E10" s="39" t="str">
        <f t="shared" si="0"/>
        <v/>
      </c>
      <c r="F10" s="37"/>
    </row>
    <row r="11" spans="1:7" x14ac:dyDescent="0.25">
      <c r="B11" s="2">
        <v>42491</v>
      </c>
      <c r="C11" s="7">
        <v>50.9</v>
      </c>
      <c r="D11" s="7">
        <f t="shared" si="1"/>
        <v>-0.30000000000000426</v>
      </c>
      <c r="E11" s="39" t="str">
        <f t="shared" si="0"/>
        <v/>
      </c>
      <c r="F11" s="37"/>
    </row>
    <row r="12" spans="1:7" x14ac:dyDescent="0.25">
      <c r="B12" s="2">
        <v>42522</v>
      </c>
      <c r="C12" s="7">
        <v>50.4</v>
      </c>
      <c r="D12" s="7">
        <f t="shared" si="1"/>
        <v>-0.5</v>
      </c>
      <c r="E12" s="39" t="str">
        <f t="shared" si="0"/>
        <v/>
      </c>
      <c r="F12" s="37"/>
    </row>
    <row r="13" spans="1:7" x14ac:dyDescent="0.25">
      <c r="B13" s="2">
        <v>42552</v>
      </c>
      <c r="C13" s="7">
        <v>50.7</v>
      </c>
      <c r="D13" s="7">
        <f t="shared" si="1"/>
        <v>0.30000000000000426</v>
      </c>
      <c r="E13" s="39">
        <f t="shared" si="0"/>
        <v>51.658333333333331</v>
      </c>
      <c r="F13" s="37"/>
    </row>
    <row r="14" spans="1:7" x14ac:dyDescent="0.25">
      <c r="B14" s="2">
        <v>42583</v>
      </c>
      <c r="C14" s="7">
        <v>50.4</v>
      </c>
      <c r="D14" s="7">
        <f t="shared" si="1"/>
        <v>-0.30000000000000426</v>
      </c>
      <c r="E14" s="39">
        <f t="shared" si="0"/>
        <v>51.683333333333337</v>
      </c>
      <c r="F14" s="37"/>
    </row>
    <row r="15" spans="1:7" x14ac:dyDescent="0.25">
      <c r="B15" s="2">
        <v>42614</v>
      </c>
      <c r="C15" s="7">
        <v>52.1</v>
      </c>
      <c r="D15" s="7">
        <f t="shared" si="1"/>
        <v>1.7000000000000028</v>
      </c>
      <c r="E15" s="39">
        <f t="shared" si="0"/>
        <v>51.858333333333327</v>
      </c>
      <c r="F15" s="37"/>
    </row>
    <row r="16" spans="1:7" x14ac:dyDescent="0.25">
      <c r="B16" s="2">
        <v>42644</v>
      </c>
      <c r="C16" s="7">
        <v>50.3</v>
      </c>
      <c r="D16" s="7">
        <f t="shared" si="1"/>
        <v>-1.8000000000000043</v>
      </c>
      <c r="E16" s="39">
        <f t="shared" si="0"/>
        <v>51.749999999999993</v>
      </c>
      <c r="F16" s="37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9">
        <f t="shared" si="0"/>
        <v>51.60833333333332</v>
      </c>
      <c r="F17" s="37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9">
        <f t="shared" si="0"/>
        <v>51.366666666666667</v>
      </c>
      <c r="F18" s="37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9">
        <f t="shared" si="0"/>
        <v>51.050000000000004</v>
      </c>
      <c r="F19" s="37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9">
        <f t="shared" si="0"/>
        <v>50.75</v>
      </c>
      <c r="F20" s="37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9">
        <f t="shared" si="0"/>
        <v>50.508333333333333</v>
      </c>
      <c r="F21" s="37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9">
        <f t="shared" si="0"/>
        <v>50.19166666666667</v>
      </c>
      <c r="F22" s="37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9">
        <f t="shared" si="0"/>
        <v>49.733333333333327</v>
      </c>
      <c r="F23" s="37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9">
        <f t="shared" si="0"/>
        <v>49.375</v>
      </c>
      <c r="F24" s="37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9">
        <f t="shared" si="0"/>
        <v>49</v>
      </c>
      <c r="F25" s="37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9">
        <f t="shared" si="0"/>
        <v>48.633333333333333</v>
      </c>
      <c r="F26" s="37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9">
        <f t="shared" si="0"/>
        <v>48.316666666666663</v>
      </c>
      <c r="F27" s="37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9">
        <f t="shared" si="0"/>
        <v>48.23333333333332</v>
      </c>
      <c r="F28" s="37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9">
        <f t="shared" si="0"/>
        <v>48.033333333333331</v>
      </c>
      <c r="F29" s="37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9">
        <f t="shared" si="0"/>
        <v>47.883333333333333</v>
      </c>
      <c r="F30" s="37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9">
        <f t="shared" si="0"/>
        <v>47.591666666666669</v>
      </c>
      <c r="F31" s="37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9">
        <f t="shared" si="0"/>
        <v>47.625000000000007</v>
      </c>
      <c r="F32" s="37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9">
        <f t="shared" si="0"/>
        <v>47.750000000000007</v>
      </c>
      <c r="F33" s="37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9">
        <f t="shared" ref="E34:E53" si="2">IF(ROW(A34)&lt;13,"",AVERAGEIFS($C$2:$C$5000,$B$2:$B$5000,"&gt;"&amp;EDATE(B34,-12),$B$2:$B$5000,"&lt;="&amp;B34))</f>
        <v>48.141666666666673</v>
      </c>
      <c r="F34" s="37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9">
        <f t="shared" si="2"/>
        <v>48.616666666666674</v>
      </c>
      <c r="F35" s="37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9">
        <f t="shared" si="2"/>
        <v>49.191666666666663</v>
      </c>
      <c r="F36" s="37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9">
        <f t="shared" si="2"/>
        <v>49.800000000000004</v>
      </c>
      <c r="F37" s="37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9">
        <f t="shared" si="2"/>
        <v>50.408333333333331</v>
      </c>
      <c r="F38" s="37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9">
        <f t="shared" si="2"/>
        <v>50.783333333333331</v>
      </c>
      <c r="F39" s="37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9">
        <f t="shared" si="2"/>
        <v>51.008333333333333</v>
      </c>
      <c r="F40" s="37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9">
        <f t="shared" si="2"/>
        <v>51.300000000000004</v>
      </c>
      <c r="F41" s="37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9">
        <f t="shared" si="2"/>
        <v>51.525000000000006</v>
      </c>
      <c r="F42" s="37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9">
        <f t="shared" si="2"/>
        <v>51.650000000000006</v>
      </c>
      <c r="F43" s="37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9">
        <f t="shared" si="2"/>
        <v>51.633333333333333</v>
      </c>
      <c r="F44" s="37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9">
        <f t="shared" si="2"/>
        <v>51.483333333333341</v>
      </c>
      <c r="F45" s="37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9">
        <f t="shared" si="2"/>
        <v>51.391666666666659</v>
      </c>
      <c r="F46" s="37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9">
        <f t="shared" si="2"/>
        <v>51.366666666666667</v>
      </c>
      <c r="F47" s="37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9">
        <f t="shared" si="2"/>
        <v>51.04999999999999</v>
      </c>
      <c r="F48" s="37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9">
        <f t="shared" si="2"/>
        <v>50.883333333333333</v>
      </c>
      <c r="F49" s="37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9">
        <f t="shared" si="2"/>
        <v>50.633333333333326</v>
      </c>
      <c r="F50" s="37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9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9">
        <f t="shared" si="2"/>
        <v>50.400000000000006</v>
      </c>
      <c r="G52" s="40">
        <v>43800</v>
      </c>
      <c r="H52" s="41">
        <v>52.9</v>
      </c>
    </row>
    <row r="53" spans="2:8" x14ac:dyDescent="0.25">
      <c r="B53" s="2">
        <v>43770</v>
      </c>
      <c r="C53" s="7">
        <v>52.9</v>
      </c>
      <c r="D53" s="7">
        <f t="shared" si="3"/>
        <v>1.7999999999999972</v>
      </c>
      <c r="E53" s="39">
        <f t="shared" si="2"/>
        <v>50.508333333333326</v>
      </c>
      <c r="G53" s="7"/>
    </row>
    <row r="54" spans="2:8" x14ac:dyDescent="0.25">
      <c r="B54" s="2">
        <v>43800</v>
      </c>
      <c r="C54" s="7">
        <v>52.4</v>
      </c>
      <c r="D54" s="7">
        <f t="shared" ref="D54" si="4">C54-C53</f>
        <v>-0.5</v>
      </c>
      <c r="E54" s="39">
        <f t="shared" ref="E54" si="5">IF(ROW(A54)&lt;13,"",AVERAGEIFS($C$2:$C$5000,$B$2:$B$5000,"&gt;"&amp;EDATE(B54,-12),$B$2:$B$5000,"&lt;="&amp;B54))</f>
        <v>50.583333333333336</v>
      </c>
    </row>
  </sheetData>
  <phoneticPr fontId="5" type="noConversion"/>
  <pageMargins left="0.7" right="0.7" top="0.75" bottom="0.75" header="0.3" footer="0.3"/>
  <pageSetup orientation="portrait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G98"/>
  <sheetViews>
    <sheetView topLeftCell="A71" workbookViewId="0">
      <selection activeCell="B98" sqref="B98:C9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5" max="5" width="12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 t="s">
        <v>53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>IF(ROW(A2)&lt;13,"",AVERAGEIFS($C$2:$C$5000,$B$2:$B$5000,"&gt;"&amp;EDATE(B2,-12),$B$2:$B$5000,"&lt;="&amp;B2))</f>
        <v/>
      </c>
      <c r="F2" s="13">
        <f>INDEX(CzechRepublic[% Change],ROWS(CzechRepublic[% Change]),1)</f>
        <v>0.10000000000000142</v>
      </c>
      <c r="G2" s="44">
        <f>INDEX(CzechRepublic[12 Mth Rolling Avg.],ROWS(CzechRepublic[12 Mth Rolling Avg.]),1)</f>
        <v>43.6</v>
      </c>
    </row>
    <row r="3" spans="1:7" x14ac:dyDescent="0.25">
      <c r="A3" t="s">
        <v>9</v>
      </c>
      <c r="B3" s="2" t="s">
        <v>54</v>
      </c>
      <c r="C3" s="7">
        <v>48.8</v>
      </c>
      <c r="D3" s="7">
        <f>C3-C2</f>
        <v>-0.40000000000000568</v>
      </c>
      <c r="E3" t="str">
        <f t="shared" ref="E3:E33" si="0">IF(ROW(A3)&lt;13,"",AVERAGEIFS($C$2:$C$5000,$B$2:$B$5000,"&gt;"&amp;EDATE(B3,-12),$B$2:$B$5000,"&lt;="&amp;B3))</f>
        <v/>
      </c>
    </row>
    <row r="4" spans="1:7" x14ac:dyDescent="0.25">
      <c r="A4" t="s">
        <v>9</v>
      </c>
      <c r="B4" s="2" t="s">
        <v>55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7" x14ac:dyDescent="0.25">
      <c r="A5" t="s">
        <v>9</v>
      </c>
      <c r="B5" s="2" t="s">
        <v>56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7" x14ac:dyDescent="0.25">
      <c r="A6" t="s">
        <v>9</v>
      </c>
      <c r="B6" s="2" t="s">
        <v>57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7" x14ac:dyDescent="0.25">
      <c r="A7" t="s">
        <v>9</v>
      </c>
      <c r="B7" s="2" t="s">
        <v>58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7" x14ac:dyDescent="0.25">
      <c r="A8" t="s">
        <v>9</v>
      </c>
      <c r="B8" s="2" t="s">
        <v>155</v>
      </c>
      <c r="C8" s="7">
        <v>43.5</v>
      </c>
      <c r="D8" s="7">
        <f t="shared" si="1"/>
        <v>-4.1000000000000014</v>
      </c>
      <c r="E8" t="str">
        <f t="shared" si="0"/>
        <v/>
      </c>
    </row>
    <row r="9" spans="1:7" x14ac:dyDescent="0.25">
      <c r="B9" s="2" t="s">
        <v>59</v>
      </c>
      <c r="C9" s="7">
        <v>49.5</v>
      </c>
      <c r="D9" s="7">
        <f t="shared" si="1"/>
        <v>6</v>
      </c>
      <c r="E9" t="str">
        <f t="shared" si="0"/>
        <v/>
      </c>
    </row>
    <row r="10" spans="1:7" x14ac:dyDescent="0.25">
      <c r="B10" s="2" t="s">
        <v>60</v>
      </c>
      <c r="C10" s="7">
        <v>48.7</v>
      </c>
      <c r="D10" s="7">
        <f t="shared" si="1"/>
        <v>-0.79999999999999716</v>
      </c>
      <c r="E10" t="str">
        <f t="shared" si="0"/>
        <v/>
      </c>
    </row>
    <row r="11" spans="1:7" x14ac:dyDescent="0.25">
      <c r="B11" s="2" t="s">
        <v>61</v>
      </c>
      <c r="C11" s="7">
        <v>48</v>
      </c>
      <c r="D11" s="7">
        <f t="shared" si="1"/>
        <v>-0.70000000000000284</v>
      </c>
      <c r="E11" t="str">
        <f t="shared" si="0"/>
        <v/>
      </c>
    </row>
    <row r="12" spans="1:7" x14ac:dyDescent="0.25">
      <c r="B12" s="2" t="s">
        <v>62</v>
      </c>
      <c r="C12" s="7">
        <v>47.2</v>
      </c>
      <c r="D12" s="7">
        <f t="shared" si="1"/>
        <v>-0.79999999999999716</v>
      </c>
      <c r="E12" t="str">
        <f t="shared" si="0"/>
        <v/>
      </c>
    </row>
    <row r="13" spans="1:7" x14ac:dyDescent="0.25">
      <c r="B13" s="2" t="s">
        <v>63</v>
      </c>
      <c r="C13" s="7">
        <v>48.2</v>
      </c>
      <c r="D13" s="7">
        <f t="shared" si="1"/>
        <v>1</v>
      </c>
      <c r="E13" t="e">
        <f t="shared" si="0"/>
        <v>#DIV/0!</v>
      </c>
    </row>
    <row r="14" spans="1:7" x14ac:dyDescent="0.25">
      <c r="B14" s="2" t="s">
        <v>64</v>
      </c>
      <c r="C14" s="7">
        <v>46</v>
      </c>
      <c r="D14" s="7">
        <f t="shared" si="1"/>
        <v>-2.2000000000000028</v>
      </c>
      <c r="E14" t="e">
        <f t="shared" si="0"/>
        <v>#DIV/0!</v>
      </c>
    </row>
    <row r="15" spans="1:7" x14ac:dyDescent="0.25">
      <c r="B15" s="2" t="s">
        <v>65</v>
      </c>
      <c r="C15" s="7">
        <v>48.3</v>
      </c>
      <c r="D15" s="7">
        <f t="shared" si="1"/>
        <v>2.2999999999999972</v>
      </c>
      <c r="E15" t="e">
        <f t="shared" si="0"/>
        <v>#DIV/0!</v>
      </c>
    </row>
    <row r="16" spans="1:7" x14ac:dyDescent="0.25">
      <c r="B16" s="2" t="s">
        <v>66</v>
      </c>
      <c r="C16" s="7">
        <v>49.9</v>
      </c>
      <c r="D16" s="7">
        <f t="shared" si="1"/>
        <v>1.6000000000000014</v>
      </c>
      <c r="E16" t="e">
        <f t="shared" si="0"/>
        <v>#DIV/0!</v>
      </c>
    </row>
    <row r="17" spans="2:5" x14ac:dyDescent="0.25">
      <c r="B17" s="2" t="s">
        <v>67</v>
      </c>
      <c r="C17" s="7">
        <v>49.1</v>
      </c>
      <c r="D17" s="7">
        <f t="shared" si="1"/>
        <v>-0.79999999999999716</v>
      </c>
      <c r="E17" t="e">
        <f t="shared" si="0"/>
        <v>#DIV/0!</v>
      </c>
    </row>
    <row r="18" spans="2:5" x14ac:dyDescent="0.25">
      <c r="B18" s="2" t="s">
        <v>68</v>
      </c>
      <c r="C18" s="7">
        <v>49.5</v>
      </c>
      <c r="D18" s="7">
        <f t="shared" si="1"/>
        <v>0.39999999999999858</v>
      </c>
      <c r="E18" t="e">
        <f t="shared" si="0"/>
        <v>#DIV/0!</v>
      </c>
    </row>
    <row r="19" spans="2:5" x14ac:dyDescent="0.25">
      <c r="B19" s="2" t="s">
        <v>69</v>
      </c>
      <c r="C19" s="7">
        <v>50.1</v>
      </c>
      <c r="D19" s="7">
        <f t="shared" si="1"/>
        <v>0.60000000000000142</v>
      </c>
      <c r="E19" t="e">
        <f t="shared" si="0"/>
        <v>#DIV/0!</v>
      </c>
    </row>
    <row r="20" spans="2:5" x14ac:dyDescent="0.25">
      <c r="B20" s="2" t="s">
        <v>70</v>
      </c>
      <c r="C20" s="7">
        <v>51</v>
      </c>
      <c r="D20" s="7">
        <f t="shared" si="1"/>
        <v>0.89999999999999858</v>
      </c>
      <c r="E20" t="e">
        <f t="shared" si="0"/>
        <v>#DIV/0!</v>
      </c>
    </row>
    <row r="21" spans="2:5" x14ac:dyDescent="0.25">
      <c r="B21" s="2" t="s">
        <v>71</v>
      </c>
      <c r="C21" s="7">
        <v>52</v>
      </c>
      <c r="D21" s="7">
        <f t="shared" si="1"/>
        <v>1</v>
      </c>
      <c r="E21" t="e">
        <f t="shared" si="0"/>
        <v>#DIV/0!</v>
      </c>
    </row>
    <row r="22" spans="2:5" x14ac:dyDescent="0.25">
      <c r="B22" s="2" t="s">
        <v>72</v>
      </c>
      <c r="C22" s="7">
        <v>53.9</v>
      </c>
      <c r="D22" s="7">
        <f t="shared" si="1"/>
        <v>1.8999999999999986</v>
      </c>
      <c r="E22" t="e">
        <f t="shared" si="0"/>
        <v>#DIV/0!</v>
      </c>
    </row>
    <row r="23" spans="2:5" x14ac:dyDescent="0.25">
      <c r="B23" s="2" t="s">
        <v>73</v>
      </c>
      <c r="C23" s="7">
        <v>53.4</v>
      </c>
      <c r="D23" s="7">
        <f t="shared" si="1"/>
        <v>-0.5</v>
      </c>
      <c r="E23" t="e">
        <f t="shared" si="0"/>
        <v>#DIV/0!</v>
      </c>
    </row>
    <row r="24" spans="2:5" x14ac:dyDescent="0.25">
      <c r="B24" s="2" t="s">
        <v>74</v>
      </c>
      <c r="C24" s="7">
        <v>54.5</v>
      </c>
      <c r="D24" s="7">
        <f t="shared" si="1"/>
        <v>1.1000000000000014</v>
      </c>
      <c r="E24" t="e">
        <f t="shared" si="0"/>
        <v>#DIV/0!</v>
      </c>
    </row>
    <row r="25" spans="2:5" x14ac:dyDescent="0.25">
      <c r="B25" s="2" t="s">
        <v>75</v>
      </c>
      <c r="C25" s="7">
        <v>55.4</v>
      </c>
      <c r="D25" s="7">
        <f t="shared" si="1"/>
        <v>0.89999999999999858</v>
      </c>
      <c r="E25" t="e">
        <f t="shared" si="0"/>
        <v>#DIV/0!</v>
      </c>
    </row>
    <row r="26" spans="2:5" x14ac:dyDescent="0.25">
      <c r="B26" s="2" t="s">
        <v>76</v>
      </c>
      <c r="C26" s="7">
        <v>54.7</v>
      </c>
      <c r="D26" s="7">
        <f t="shared" si="1"/>
        <v>-0.69999999999999574</v>
      </c>
      <c r="E26" t="e">
        <f t="shared" si="0"/>
        <v>#DIV/0!</v>
      </c>
    </row>
    <row r="27" spans="2:5" x14ac:dyDescent="0.25">
      <c r="B27" s="2" t="s">
        <v>77</v>
      </c>
      <c r="C27" s="7">
        <v>55.9</v>
      </c>
      <c r="D27" s="7">
        <f t="shared" si="1"/>
        <v>1.1999999999999957</v>
      </c>
      <c r="E27" t="e">
        <f t="shared" si="0"/>
        <v>#DIV/0!</v>
      </c>
    </row>
    <row r="28" spans="2:5" x14ac:dyDescent="0.25">
      <c r="B28" s="2" t="s">
        <v>78</v>
      </c>
      <c r="C28" s="7">
        <v>56.5</v>
      </c>
      <c r="D28" s="7">
        <f t="shared" si="1"/>
        <v>0.60000000000000142</v>
      </c>
      <c r="E28" t="e">
        <f t="shared" si="0"/>
        <v>#DIV/0!</v>
      </c>
    </row>
    <row r="29" spans="2:5" x14ac:dyDescent="0.25">
      <c r="B29" s="2" t="s">
        <v>79</v>
      </c>
      <c r="C29" s="7">
        <v>55.5</v>
      </c>
      <c r="D29" s="7">
        <f t="shared" si="1"/>
        <v>-1</v>
      </c>
      <c r="E29" t="e">
        <f t="shared" si="0"/>
        <v>#DIV/0!</v>
      </c>
    </row>
    <row r="30" spans="2:5" x14ac:dyDescent="0.25">
      <c r="B30" s="2" t="s">
        <v>80</v>
      </c>
      <c r="C30" s="7">
        <v>56.5</v>
      </c>
      <c r="D30" s="7">
        <f t="shared" si="1"/>
        <v>1</v>
      </c>
      <c r="E30" t="e">
        <f t="shared" si="0"/>
        <v>#DIV/0!</v>
      </c>
    </row>
    <row r="31" spans="2:5" x14ac:dyDescent="0.25">
      <c r="B31" s="2" t="s">
        <v>81</v>
      </c>
      <c r="C31" s="7">
        <v>57.3</v>
      </c>
      <c r="D31" s="7">
        <f t="shared" si="1"/>
        <v>0.79999999999999716</v>
      </c>
      <c r="E31" t="e">
        <f t="shared" si="0"/>
        <v>#DIV/0!</v>
      </c>
    </row>
    <row r="32" spans="2:5" x14ac:dyDescent="0.25">
      <c r="B32" s="2" t="s">
        <v>82</v>
      </c>
      <c r="C32" s="7">
        <v>54.7</v>
      </c>
      <c r="D32" s="7">
        <f t="shared" si="1"/>
        <v>-2.5999999999999943</v>
      </c>
      <c r="E32" t="e">
        <f t="shared" si="0"/>
        <v>#DIV/0!</v>
      </c>
    </row>
    <row r="33" spans="2:5" x14ac:dyDescent="0.25">
      <c r="B33" s="2" t="s">
        <v>83</v>
      </c>
      <c r="C33" s="7">
        <v>56.5</v>
      </c>
      <c r="D33" s="7">
        <f t="shared" si="1"/>
        <v>1.7999999999999972</v>
      </c>
      <c r="E33" t="e">
        <f t="shared" si="0"/>
        <v>#DIV/0!</v>
      </c>
    </row>
    <row r="34" spans="2:5" x14ac:dyDescent="0.25">
      <c r="B34" s="2" t="s">
        <v>84</v>
      </c>
      <c r="C34" s="7">
        <v>54.3</v>
      </c>
      <c r="D34" s="7">
        <f t="shared" si="1"/>
        <v>-2.2000000000000028</v>
      </c>
      <c r="E34" t="e">
        <f t="shared" ref="E34:E65" si="2">IF(ROW(A34)&lt;13,"",AVERAGEIFS($C$2:$C$5000,$B$2:$B$5000,"&gt;"&amp;EDATE(B34,-12),$B$2:$B$5000,"&lt;="&amp;B34))</f>
        <v>#DIV/0!</v>
      </c>
    </row>
    <row r="35" spans="2:5" x14ac:dyDescent="0.25">
      <c r="B35" s="2" t="s">
        <v>85</v>
      </c>
      <c r="C35" s="7">
        <v>55.6</v>
      </c>
      <c r="D35" s="7">
        <f t="shared" si="1"/>
        <v>1.3000000000000043</v>
      </c>
      <c r="E35" t="e">
        <f t="shared" si="2"/>
        <v>#DIV/0!</v>
      </c>
    </row>
    <row r="36" spans="2:5" x14ac:dyDescent="0.25">
      <c r="B36" s="2" t="s">
        <v>86</v>
      </c>
      <c r="C36" s="7">
        <v>54.4</v>
      </c>
      <c r="D36" s="7">
        <f t="shared" si="1"/>
        <v>-1.2000000000000028</v>
      </c>
      <c r="E36" t="e">
        <f t="shared" si="2"/>
        <v>#DIV/0!</v>
      </c>
    </row>
    <row r="37" spans="2:5" x14ac:dyDescent="0.25">
      <c r="B37" s="2" t="s">
        <v>87</v>
      </c>
      <c r="C37" s="7">
        <v>55.6</v>
      </c>
      <c r="D37" s="7">
        <f t="shared" si="1"/>
        <v>1.2000000000000028</v>
      </c>
      <c r="E37" t="e">
        <f t="shared" si="2"/>
        <v>#DIV/0!</v>
      </c>
    </row>
    <row r="38" spans="2:5" x14ac:dyDescent="0.25">
      <c r="B38" s="2" t="s">
        <v>88</v>
      </c>
      <c r="C38" s="7">
        <v>53.3</v>
      </c>
      <c r="D38" s="7">
        <f t="shared" si="1"/>
        <v>-2.3000000000000043</v>
      </c>
      <c r="E38" t="e">
        <f t="shared" si="2"/>
        <v>#DIV/0!</v>
      </c>
    </row>
    <row r="39" spans="2:5" x14ac:dyDescent="0.25">
      <c r="B39" s="2" t="s">
        <v>89</v>
      </c>
      <c r="C39" s="7">
        <v>56.1</v>
      </c>
      <c r="D39" s="7">
        <f t="shared" si="1"/>
        <v>2.8000000000000043</v>
      </c>
      <c r="E39" t="e">
        <f t="shared" si="2"/>
        <v>#DIV/0!</v>
      </c>
    </row>
    <row r="40" spans="2:5" x14ac:dyDescent="0.25">
      <c r="B40" s="2" t="s">
        <v>90</v>
      </c>
      <c r="C40" s="7">
        <v>55.6</v>
      </c>
      <c r="D40" s="7">
        <f t="shared" si="1"/>
        <v>-0.5</v>
      </c>
      <c r="E40" t="e">
        <f t="shared" si="2"/>
        <v>#DIV/0!</v>
      </c>
    </row>
    <row r="41" spans="2:5" x14ac:dyDescent="0.25">
      <c r="B41" s="2" t="s">
        <v>91</v>
      </c>
      <c r="C41" s="7">
        <v>56.1</v>
      </c>
      <c r="D41" s="7">
        <f t="shared" si="1"/>
        <v>0.5</v>
      </c>
      <c r="E41" t="e">
        <f t="shared" si="2"/>
        <v>#DIV/0!</v>
      </c>
    </row>
    <row r="42" spans="2:5" x14ac:dyDescent="0.25">
      <c r="B42" s="2" t="s">
        <v>92</v>
      </c>
      <c r="C42" s="7">
        <v>54.7</v>
      </c>
      <c r="D42" s="7">
        <f t="shared" si="1"/>
        <v>-1.3999999999999986</v>
      </c>
      <c r="E42" t="e">
        <f t="shared" si="2"/>
        <v>#DIV/0!</v>
      </c>
    </row>
    <row r="43" spans="2:5" x14ac:dyDescent="0.25">
      <c r="B43" s="2" t="s">
        <v>93</v>
      </c>
      <c r="C43" s="7">
        <v>55.5</v>
      </c>
      <c r="D43" s="7">
        <f t="shared" si="1"/>
        <v>0.79999999999999716</v>
      </c>
      <c r="E43" t="e">
        <f t="shared" si="2"/>
        <v>#DIV/0!</v>
      </c>
    </row>
    <row r="44" spans="2:5" x14ac:dyDescent="0.25">
      <c r="B44" s="2" t="s">
        <v>94</v>
      </c>
      <c r="C44" s="7">
        <v>56.9</v>
      </c>
      <c r="D44" s="7">
        <f t="shared" si="1"/>
        <v>1.3999999999999986</v>
      </c>
      <c r="E44" t="e">
        <f t="shared" si="2"/>
        <v>#DIV/0!</v>
      </c>
    </row>
    <row r="45" spans="2:5" x14ac:dyDescent="0.25">
      <c r="B45" s="2" t="s">
        <v>95</v>
      </c>
      <c r="C45" s="7">
        <v>57.5</v>
      </c>
      <c r="D45" s="7">
        <f t="shared" si="1"/>
        <v>0.60000000000000142</v>
      </c>
      <c r="E45" t="e">
        <f t="shared" si="2"/>
        <v>#DIV/0!</v>
      </c>
    </row>
    <row r="46" spans="2:5" x14ac:dyDescent="0.25">
      <c r="B46" s="2" t="s">
        <v>96</v>
      </c>
      <c r="C46" s="7">
        <v>56.6</v>
      </c>
      <c r="D46" s="7">
        <f t="shared" si="1"/>
        <v>-0.89999999999999858</v>
      </c>
      <c r="E46" t="e">
        <f t="shared" si="2"/>
        <v>#DIV/0!</v>
      </c>
    </row>
    <row r="47" spans="2:5" x14ac:dyDescent="0.25">
      <c r="B47" s="2" t="s">
        <v>97</v>
      </c>
      <c r="C47" s="7">
        <v>55.5</v>
      </c>
      <c r="D47" s="7">
        <f t="shared" si="1"/>
        <v>-1.1000000000000014</v>
      </c>
      <c r="E47" t="e">
        <f t="shared" si="2"/>
        <v>#DIV/0!</v>
      </c>
    </row>
    <row r="48" spans="2:5" x14ac:dyDescent="0.25">
      <c r="B48" s="2" t="s">
        <v>98</v>
      </c>
      <c r="C48" s="7">
        <v>54</v>
      </c>
      <c r="D48" s="7">
        <f t="shared" si="1"/>
        <v>-1.5</v>
      </c>
      <c r="E48" t="e">
        <f t="shared" si="2"/>
        <v>#DIV/0!</v>
      </c>
    </row>
    <row r="49" spans="2:5" x14ac:dyDescent="0.25">
      <c r="B49" s="2" t="s">
        <v>99</v>
      </c>
      <c r="C49" s="7">
        <v>54.2</v>
      </c>
      <c r="D49" s="7">
        <f t="shared" si="1"/>
        <v>0.20000000000000284</v>
      </c>
      <c r="E49" t="e">
        <f t="shared" si="2"/>
        <v>#DIV/0!</v>
      </c>
    </row>
    <row r="50" spans="2:5" x14ac:dyDescent="0.25">
      <c r="B50" s="2" t="s">
        <v>100</v>
      </c>
      <c r="C50" s="7">
        <v>55.6</v>
      </c>
      <c r="D50" s="7">
        <f t="shared" si="1"/>
        <v>1.3999999999999986</v>
      </c>
      <c r="E50" t="e">
        <f t="shared" si="2"/>
        <v>#DIV/0!</v>
      </c>
    </row>
    <row r="51" spans="2:5" x14ac:dyDescent="0.25">
      <c r="B51" s="2" t="s">
        <v>101</v>
      </c>
      <c r="C51" s="7">
        <v>56.9</v>
      </c>
      <c r="D51" s="7">
        <f t="shared" si="1"/>
        <v>1.2999999999999972</v>
      </c>
      <c r="E51" t="e">
        <f t="shared" si="2"/>
        <v>#DIV/0!</v>
      </c>
    </row>
    <row r="52" spans="2:5" x14ac:dyDescent="0.25">
      <c r="B52" s="2" t="s">
        <v>102</v>
      </c>
      <c r="C52" s="7">
        <v>55.5</v>
      </c>
      <c r="D52" s="7">
        <f t="shared" si="1"/>
        <v>-1.3999999999999986</v>
      </c>
      <c r="E52" t="e">
        <f t="shared" si="2"/>
        <v>#DIV/0!</v>
      </c>
    </row>
    <row r="53" spans="2:5" x14ac:dyDescent="0.25">
      <c r="B53" s="2" t="s">
        <v>103</v>
      </c>
      <c r="C53" s="7">
        <v>54.3</v>
      </c>
      <c r="D53" s="7">
        <f t="shared" si="1"/>
        <v>-1.2000000000000028</v>
      </c>
      <c r="E53" t="e">
        <f t="shared" si="2"/>
        <v>#DIV/0!</v>
      </c>
    </row>
    <row r="54" spans="2:5" x14ac:dyDescent="0.25">
      <c r="B54" s="2" t="s">
        <v>104</v>
      </c>
      <c r="C54" s="7">
        <v>53.6</v>
      </c>
      <c r="D54" s="7">
        <f t="shared" si="1"/>
        <v>-0.69999999999999574</v>
      </c>
      <c r="E54" t="e">
        <f t="shared" si="2"/>
        <v>#DIV/0!</v>
      </c>
    </row>
    <row r="55" spans="2:5" x14ac:dyDescent="0.25">
      <c r="B55" s="2" t="s">
        <v>105</v>
      </c>
      <c r="C55" s="7">
        <v>53.3</v>
      </c>
      <c r="D55" s="7">
        <f t="shared" si="1"/>
        <v>-0.30000000000000426</v>
      </c>
      <c r="E55" t="e">
        <f t="shared" si="2"/>
        <v>#DIV/0!</v>
      </c>
    </row>
    <row r="56" spans="2:5" x14ac:dyDescent="0.25">
      <c r="B56" s="2" t="s">
        <v>106</v>
      </c>
      <c r="C56" s="7">
        <v>51.8</v>
      </c>
      <c r="D56" s="7">
        <f t="shared" si="1"/>
        <v>-1.5</v>
      </c>
      <c r="E56" t="e">
        <f t="shared" si="2"/>
        <v>#DIV/0!</v>
      </c>
    </row>
    <row r="57" spans="2:5" x14ac:dyDescent="0.25">
      <c r="B57" s="2" t="s">
        <v>107</v>
      </c>
      <c r="C57" s="7">
        <v>49.3</v>
      </c>
      <c r="D57" s="7">
        <f t="shared" si="1"/>
        <v>-2.5</v>
      </c>
      <c r="E57" t="e">
        <f t="shared" si="2"/>
        <v>#DIV/0!</v>
      </c>
    </row>
    <row r="58" spans="2:5" x14ac:dyDescent="0.25">
      <c r="B58" s="2" t="s">
        <v>108</v>
      </c>
      <c r="C58" s="7">
        <v>50.1</v>
      </c>
      <c r="D58" s="7">
        <f t="shared" si="1"/>
        <v>0.80000000000000426</v>
      </c>
      <c r="E58" t="e">
        <f t="shared" si="2"/>
        <v>#DIV/0!</v>
      </c>
    </row>
    <row r="59" spans="2:5" x14ac:dyDescent="0.25">
      <c r="B59" s="2" t="s">
        <v>109</v>
      </c>
      <c r="C59" s="7">
        <v>52</v>
      </c>
      <c r="D59" s="7">
        <f t="shared" si="1"/>
        <v>1.8999999999999986</v>
      </c>
      <c r="E59" t="e">
        <f t="shared" si="2"/>
        <v>#DIV/0!</v>
      </c>
    </row>
    <row r="60" spans="2:5" x14ac:dyDescent="0.25">
      <c r="B60" s="2" t="s">
        <v>110</v>
      </c>
      <c r="C60" s="7">
        <v>53.3</v>
      </c>
      <c r="D60" s="7">
        <f t="shared" si="1"/>
        <v>1.2999999999999972</v>
      </c>
      <c r="E60" t="e">
        <f t="shared" si="2"/>
        <v>#DIV/0!</v>
      </c>
    </row>
    <row r="61" spans="2:5" x14ac:dyDescent="0.25">
      <c r="B61" s="2" t="s">
        <v>111</v>
      </c>
      <c r="C61" s="7">
        <v>52.2</v>
      </c>
      <c r="D61" s="7">
        <f t="shared" si="1"/>
        <v>-1.0999999999999943</v>
      </c>
      <c r="E61" t="e">
        <f t="shared" si="2"/>
        <v>#DIV/0!</v>
      </c>
    </row>
    <row r="62" spans="2:5" x14ac:dyDescent="0.25">
      <c r="B62" s="2" t="s">
        <v>112</v>
      </c>
      <c r="C62" s="7">
        <v>53.8</v>
      </c>
      <c r="D62" s="7">
        <f t="shared" si="1"/>
        <v>1.5999999999999943</v>
      </c>
      <c r="E62" t="e">
        <f t="shared" si="2"/>
        <v>#DIV/0!</v>
      </c>
    </row>
    <row r="63" spans="2:5" x14ac:dyDescent="0.25">
      <c r="B63" s="2" t="s">
        <v>113</v>
      </c>
      <c r="C63" s="7">
        <v>55.7</v>
      </c>
      <c r="D63" s="7">
        <f t="shared" si="1"/>
        <v>1.9000000000000057</v>
      </c>
      <c r="E63" t="e">
        <f t="shared" si="2"/>
        <v>#DIV/0!</v>
      </c>
    </row>
    <row r="64" spans="2:5" x14ac:dyDescent="0.25">
      <c r="B64" s="2" t="s">
        <v>114</v>
      </c>
      <c r="C64" s="7">
        <v>57.6</v>
      </c>
      <c r="D64" s="7">
        <f t="shared" si="1"/>
        <v>1.8999999999999986</v>
      </c>
      <c r="E64" t="e">
        <f t="shared" si="2"/>
        <v>#DIV/0!</v>
      </c>
    </row>
    <row r="65" spans="2:5" x14ac:dyDescent="0.25">
      <c r="B65" s="2" t="s">
        <v>115</v>
      </c>
      <c r="C65" s="7">
        <v>57.5</v>
      </c>
      <c r="D65" s="7">
        <f t="shared" si="1"/>
        <v>-0.10000000000000142</v>
      </c>
      <c r="E65" t="e">
        <f t="shared" si="2"/>
        <v>#DIV/0!</v>
      </c>
    </row>
    <row r="66" spans="2:5" x14ac:dyDescent="0.25">
      <c r="B66" s="2" t="s">
        <v>116</v>
      </c>
      <c r="C66" s="7">
        <v>57.5</v>
      </c>
      <c r="D66" s="7">
        <f t="shared" si="1"/>
        <v>0</v>
      </c>
      <c r="E66" t="e">
        <f t="shared" ref="E66:E97" si="3">IF(ROW(A66)&lt;13,"",AVERAGEIFS($C$2:$C$5000,$B$2:$B$5000,"&gt;"&amp;EDATE(B66,-12),$B$2:$B$5000,"&lt;="&amp;B66))</f>
        <v>#DIV/0!</v>
      </c>
    </row>
    <row r="67" spans="2:5" x14ac:dyDescent="0.25">
      <c r="B67" s="2" t="s">
        <v>117</v>
      </c>
      <c r="C67" s="7">
        <v>56.4</v>
      </c>
      <c r="D67" s="7">
        <f t="shared" si="1"/>
        <v>-1.1000000000000014</v>
      </c>
      <c r="E67" t="e">
        <f t="shared" si="3"/>
        <v>#DIV/0!</v>
      </c>
    </row>
    <row r="68" spans="2:5" x14ac:dyDescent="0.25">
      <c r="B68" s="2" t="s">
        <v>118</v>
      </c>
      <c r="C68" s="7">
        <v>56.4</v>
      </c>
      <c r="D68" s="7">
        <f t="shared" ref="D68:D97" si="4">C68-C67</f>
        <v>0</v>
      </c>
      <c r="E68" t="e">
        <f t="shared" si="3"/>
        <v>#DIV/0!</v>
      </c>
    </row>
    <row r="69" spans="2:5" x14ac:dyDescent="0.25">
      <c r="B69" s="2" t="s">
        <v>119</v>
      </c>
      <c r="C69" s="7">
        <v>55.3</v>
      </c>
      <c r="D69" s="7">
        <f t="shared" si="4"/>
        <v>-1.1000000000000014</v>
      </c>
      <c r="E69" t="e">
        <f t="shared" si="3"/>
        <v>#DIV/0!</v>
      </c>
    </row>
    <row r="70" spans="2:5" x14ac:dyDescent="0.25">
      <c r="B70" s="2" t="s">
        <v>120</v>
      </c>
      <c r="C70" s="7">
        <v>54.9</v>
      </c>
      <c r="D70" s="7">
        <f t="shared" si="4"/>
        <v>-0.39999999999999858</v>
      </c>
      <c r="E70" t="e">
        <f t="shared" si="3"/>
        <v>#DIV/0!</v>
      </c>
    </row>
    <row r="71" spans="2:5" x14ac:dyDescent="0.25">
      <c r="B71" s="2" t="s">
        <v>121</v>
      </c>
      <c r="C71" s="7">
        <v>56.6</v>
      </c>
      <c r="D71" s="7">
        <f t="shared" si="4"/>
        <v>1.7000000000000028</v>
      </c>
      <c r="E71" t="e">
        <f t="shared" si="3"/>
        <v>#DIV/0!</v>
      </c>
    </row>
    <row r="72" spans="2:5" x14ac:dyDescent="0.25">
      <c r="B72" s="2" t="s">
        <v>122</v>
      </c>
      <c r="C72" s="7">
        <v>58.5</v>
      </c>
      <c r="D72" s="7">
        <f t="shared" si="4"/>
        <v>1.8999999999999986</v>
      </c>
      <c r="E72" t="e">
        <f t="shared" si="3"/>
        <v>#DIV/0!</v>
      </c>
    </row>
    <row r="73" spans="2:5" x14ac:dyDescent="0.25">
      <c r="B73" s="2" t="s">
        <v>123</v>
      </c>
      <c r="C73" s="7">
        <v>58.7</v>
      </c>
      <c r="D73" s="7">
        <f t="shared" si="4"/>
        <v>0.20000000000000284</v>
      </c>
      <c r="E73" t="e">
        <f t="shared" si="3"/>
        <v>#DIV/0!</v>
      </c>
    </row>
    <row r="74" spans="2:5" x14ac:dyDescent="0.25">
      <c r="B74" s="2" t="s">
        <v>124</v>
      </c>
      <c r="C74" s="7">
        <v>59.8</v>
      </c>
      <c r="D74" s="7">
        <f t="shared" si="4"/>
        <v>1.0999999999999943</v>
      </c>
      <c r="E74" t="e">
        <f t="shared" si="3"/>
        <v>#DIV/0!</v>
      </c>
    </row>
    <row r="75" spans="2:5" x14ac:dyDescent="0.25">
      <c r="B75" s="2" t="s">
        <v>125</v>
      </c>
      <c r="C75" s="7">
        <v>59.8</v>
      </c>
      <c r="D75" s="7">
        <f t="shared" si="4"/>
        <v>0</v>
      </c>
      <c r="E75" t="e">
        <f t="shared" si="3"/>
        <v>#DIV/0!</v>
      </c>
    </row>
    <row r="76" spans="2:5" x14ac:dyDescent="0.25">
      <c r="B76" s="2" t="s">
        <v>126</v>
      </c>
      <c r="C76" s="7">
        <v>58.8</v>
      </c>
      <c r="D76" s="7">
        <f t="shared" si="4"/>
        <v>-1</v>
      </c>
      <c r="E76" t="e">
        <f t="shared" si="3"/>
        <v>#DIV/0!</v>
      </c>
    </row>
    <row r="77" spans="2:5" x14ac:dyDescent="0.25">
      <c r="B77" s="2" t="s">
        <v>127</v>
      </c>
      <c r="C77" s="7">
        <v>57.3</v>
      </c>
      <c r="D77" s="7">
        <f t="shared" si="4"/>
        <v>-1.5</v>
      </c>
      <c r="E77" t="e">
        <f t="shared" si="3"/>
        <v>#DIV/0!</v>
      </c>
    </row>
    <row r="78" spans="2:5" x14ac:dyDescent="0.25">
      <c r="B78" s="2" t="s">
        <v>128</v>
      </c>
      <c r="C78" s="7">
        <v>57.2</v>
      </c>
      <c r="D78" s="7">
        <f t="shared" si="4"/>
        <v>-9.9999999999994316E-2</v>
      </c>
      <c r="E78" t="e">
        <f t="shared" si="3"/>
        <v>#DIV/0!</v>
      </c>
    </row>
    <row r="79" spans="2:5" x14ac:dyDescent="0.25">
      <c r="B79" s="2" t="s">
        <v>129</v>
      </c>
      <c r="C79" s="7">
        <v>56.5</v>
      </c>
      <c r="D79" s="7">
        <f t="shared" si="4"/>
        <v>-0.70000000000000284</v>
      </c>
      <c r="E79" t="e">
        <f t="shared" si="3"/>
        <v>#DIV/0!</v>
      </c>
    </row>
    <row r="80" spans="2:5" x14ac:dyDescent="0.25">
      <c r="B80" s="2" t="s">
        <v>130</v>
      </c>
      <c r="C80" s="7">
        <v>56.8</v>
      </c>
      <c r="D80" s="7">
        <f t="shared" si="4"/>
        <v>0.29999999999999716</v>
      </c>
      <c r="E80" t="e">
        <f t="shared" si="3"/>
        <v>#DIV/0!</v>
      </c>
    </row>
    <row r="81" spans="2:5" x14ac:dyDescent="0.25">
      <c r="B81" s="2" t="s">
        <v>131</v>
      </c>
      <c r="C81" s="7">
        <v>55.4</v>
      </c>
      <c r="D81" s="7">
        <f t="shared" si="4"/>
        <v>-1.3999999999999986</v>
      </c>
      <c r="E81" t="e">
        <f t="shared" si="3"/>
        <v>#DIV/0!</v>
      </c>
    </row>
    <row r="82" spans="2:5" x14ac:dyDescent="0.25">
      <c r="B82" s="2" t="s">
        <v>132</v>
      </c>
      <c r="C82" s="7">
        <v>54.9</v>
      </c>
      <c r="D82" s="7">
        <f t="shared" si="4"/>
        <v>-0.5</v>
      </c>
      <c r="E82" t="e">
        <f t="shared" si="3"/>
        <v>#DIV/0!</v>
      </c>
    </row>
    <row r="83" spans="2:5" x14ac:dyDescent="0.25">
      <c r="B83" s="2" t="s">
        <v>133</v>
      </c>
      <c r="C83" s="7">
        <v>53.4</v>
      </c>
      <c r="D83" s="7">
        <f t="shared" si="4"/>
        <v>-1.5</v>
      </c>
      <c r="E83" t="e">
        <f t="shared" si="3"/>
        <v>#DIV/0!</v>
      </c>
    </row>
    <row r="84" spans="2:5" x14ac:dyDescent="0.25">
      <c r="B84" s="2" t="s">
        <v>134</v>
      </c>
      <c r="C84" s="7">
        <v>52.5</v>
      </c>
      <c r="D84" s="7">
        <f t="shared" si="4"/>
        <v>-0.89999999999999858</v>
      </c>
      <c r="E84" t="e">
        <f t="shared" si="3"/>
        <v>#DIV/0!</v>
      </c>
    </row>
    <row r="85" spans="2:5" x14ac:dyDescent="0.25">
      <c r="B85" s="2" t="s">
        <v>135</v>
      </c>
      <c r="C85" s="7">
        <v>51.8</v>
      </c>
      <c r="D85" s="7">
        <f t="shared" si="4"/>
        <v>-0.70000000000000284</v>
      </c>
      <c r="E85" t="e">
        <f t="shared" si="3"/>
        <v>#DIV/0!</v>
      </c>
    </row>
    <row r="86" spans="2:5" x14ac:dyDescent="0.25">
      <c r="B86" s="2" t="s">
        <v>136</v>
      </c>
      <c r="C86" s="7">
        <v>49.7</v>
      </c>
      <c r="D86" s="7">
        <f t="shared" si="4"/>
        <v>-2.0999999999999943</v>
      </c>
      <c r="E86" t="e">
        <f t="shared" si="3"/>
        <v>#DIV/0!</v>
      </c>
    </row>
    <row r="87" spans="2:5" x14ac:dyDescent="0.25">
      <c r="B87" s="2" t="s">
        <v>137</v>
      </c>
      <c r="C87" s="7">
        <v>49</v>
      </c>
      <c r="D87" s="7">
        <f t="shared" si="4"/>
        <v>-0.70000000000000284</v>
      </c>
      <c r="E87" t="e">
        <f t="shared" si="3"/>
        <v>#DIV/0!</v>
      </c>
    </row>
    <row r="88" spans="2:5" x14ac:dyDescent="0.25">
      <c r="B88" s="2" t="s">
        <v>138</v>
      </c>
      <c r="C88" s="7">
        <v>48.6</v>
      </c>
      <c r="D88" s="7">
        <f t="shared" si="4"/>
        <v>-0.39999999999999858</v>
      </c>
      <c r="E88" t="e">
        <f t="shared" si="3"/>
        <v>#DIV/0!</v>
      </c>
    </row>
    <row r="89" spans="2:5" x14ac:dyDescent="0.25">
      <c r="B89" s="2" t="s">
        <v>139</v>
      </c>
      <c r="C89" s="7">
        <v>47.3</v>
      </c>
      <c r="D89" s="7">
        <f t="shared" si="4"/>
        <v>-1.3000000000000043</v>
      </c>
      <c r="E89" t="e">
        <f t="shared" si="3"/>
        <v>#DIV/0!</v>
      </c>
    </row>
    <row r="90" spans="2:5" x14ac:dyDescent="0.25">
      <c r="B90" s="2" t="s">
        <v>140</v>
      </c>
      <c r="C90" s="7">
        <v>46.6</v>
      </c>
      <c r="D90" s="7">
        <f t="shared" si="4"/>
        <v>-0.69999999999999574</v>
      </c>
      <c r="E90" t="e">
        <f t="shared" si="3"/>
        <v>#DIV/0!</v>
      </c>
    </row>
    <row r="91" spans="2:5" x14ac:dyDescent="0.25">
      <c r="B91" s="2" t="s">
        <v>141</v>
      </c>
      <c r="C91" s="7">
        <v>46.6</v>
      </c>
      <c r="D91" s="7">
        <f t="shared" si="4"/>
        <v>0</v>
      </c>
      <c r="E91" t="e">
        <f t="shared" si="3"/>
        <v>#DIV/0!</v>
      </c>
    </row>
    <row r="92" spans="2:5" x14ac:dyDescent="0.25">
      <c r="B92" s="2" t="s">
        <v>142</v>
      </c>
      <c r="C92" s="7">
        <v>45.9</v>
      </c>
      <c r="D92" s="7">
        <f t="shared" si="4"/>
        <v>-0.70000000000000284</v>
      </c>
      <c r="E92" t="e">
        <f t="shared" si="3"/>
        <v>#DIV/0!</v>
      </c>
    </row>
    <row r="93" spans="2:5" x14ac:dyDescent="0.25">
      <c r="B93" s="2" t="s">
        <v>143</v>
      </c>
      <c r="C93" s="7">
        <v>43.1</v>
      </c>
      <c r="D93" s="7">
        <f t="shared" si="4"/>
        <v>-2.7999999999999972</v>
      </c>
      <c r="E93" t="e">
        <f t="shared" si="3"/>
        <v>#DIV/0!</v>
      </c>
    </row>
    <row r="94" spans="2:5" x14ac:dyDescent="0.25">
      <c r="B94" s="2" t="s">
        <v>144</v>
      </c>
      <c r="C94" s="7">
        <v>44.9</v>
      </c>
      <c r="D94" s="7">
        <f t="shared" si="4"/>
        <v>1.7999999999999972</v>
      </c>
      <c r="E94" t="e">
        <f t="shared" si="3"/>
        <v>#DIV/0!</v>
      </c>
    </row>
    <row r="95" spans="2:5" x14ac:dyDescent="0.25">
      <c r="B95" s="2" t="s">
        <v>145</v>
      </c>
      <c r="C95" s="7">
        <v>44.9</v>
      </c>
      <c r="D95" s="7">
        <f t="shared" si="4"/>
        <v>0</v>
      </c>
      <c r="E95" t="e">
        <f t="shared" si="3"/>
        <v>#DIV/0!</v>
      </c>
    </row>
    <row r="96" spans="2:5" x14ac:dyDescent="0.25">
      <c r="B96" s="2" t="s">
        <v>146</v>
      </c>
      <c r="C96" s="7">
        <v>45</v>
      </c>
      <c r="D96" s="7">
        <f t="shared" si="4"/>
        <v>0.10000000000000142</v>
      </c>
      <c r="E96" t="e">
        <f t="shared" si="3"/>
        <v>#DIV/0!</v>
      </c>
    </row>
    <row r="97" spans="2:5" x14ac:dyDescent="0.25">
      <c r="B97" s="2" t="s">
        <v>147</v>
      </c>
      <c r="C97" s="7">
        <v>43.5</v>
      </c>
      <c r="D97" s="7">
        <f t="shared" si="4"/>
        <v>-1.5</v>
      </c>
      <c r="E97" t="e">
        <f t="shared" si="3"/>
        <v>#DIV/0!</v>
      </c>
    </row>
    <row r="98" spans="2:5" x14ac:dyDescent="0.25">
      <c r="B98" s="2">
        <v>43800</v>
      </c>
      <c r="C98" s="7">
        <v>43.6</v>
      </c>
      <c r="D98" s="7">
        <f t="shared" ref="D98" si="5">C98-C97</f>
        <v>0.10000000000000142</v>
      </c>
      <c r="E98">
        <f t="shared" ref="E98" si="6">IF(ROW(A98)&lt;13,"",AVERAGEIFS($C$2:$C$5000,$B$2:$B$5000,"&gt;"&amp;EDATE(B98,-12),$B$2:$B$5000,"&lt;="&amp;B98))</f>
        <v>43.6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G313"/>
  <sheetViews>
    <sheetView topLeftCell="A304" workbookViewId="0">
      <selection activeCell="B313" sqref="B313:C31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-2.2999999999999972</v>
      </c>
      <c r="G2" s="44">
        <f>INDEX(Denmark[12 Mth Rolling Avg.],ROWS(Denmark[12 Mth Rolling Avg.]),1)</f>
        <v>51.640000000000008</v>
      </c>
    </row>
    <row r="3" spans="1:7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7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7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7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7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7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7" x14ac:dyDescent="0.25">
      <c r="B9" s="2">
        <v>34547</v>
      </c>
      <c r="C9" s="7">
        <v>59.49</v>
      </c>
      <c r="D9" s="7">
        <f t="shared" si="1"/>
        <v>6.490000000000002</v>
      </c>
      <c r="E9" s="7" t="str">
        <f t="shared" si="0"/>
        <v/>
      </c>
    </row>
    <row r="10" spans="1:7" x14ac:dyDescent="0.25">
      <c r="B10" s="2">
        <v>34578</v>
      </c>
      <c r="C10" s="7">
        <v>59.36</v>
      </c>
      <c r="D10" s="7">
        <f t="shared" si="1"/>
        <v>-0.13000000000000256</v>
      </c>
      <c r="E10" s="7" t="str">
        <f t="shared" si="0"/>
        <v/>
      </c>
    </row>
    <row r="11" spans="1:7" x14ac:dyDescent="0.25">
      <c r="B11" s="2">
        <v>34608</v>
      </c>
      <c r="C11" s="7">
        <v>61.33</v>
      </c>
      <c r="D11" s="7">
        <f t="shared" si="1"/>
        <v>1.9699999999999989</v>
      </c>
      <c r="E11" s="7" t="str">
        <f t="shared" si="0"/>
        <v/>
      </c>
    </row>
    <row r="12" spans="1:7" x14ac:dyDescent="0.25">
      <c r="B12" s="2">
        <v>34639</v>
      </c>
      <c r="C12" s="7">
        <v>60.53</v>
      </c>
      <c r="D12" s="7">
        <f t="shared" si="1"/>
        <v>-0.79999999999999716</v>
      </c>
      <c r="E12" s="7" t="str">
        <f t="shared" si="0"/>
        <v/>
      </c>
    </row>
    <row r="13" spans="1:7" x14ac:dyDescent="0.25">
      <c r="B13" s="2">
        <v>34669</v>
      </c>
      <c r="C13" s="7">
        <v>62.29</v>
      </c>
      <c r="D13" s="7">
        <f t="shared" si="1"/>
        <v>1.759999999999998</v>
      </c>
      <c r="E13" s="7">
        <f t="shared" si="0"/>
        <v>61.984545454545447</v>
      </c>
    </row>
    <row r="14" spans="1:7" x14ac:dyDescent="0.25">
      <c r="B14" s="2">
        <v>34700</v>
      </c>
      <c r="C14" s="7">
        <v>62.95</v>
      </c>
      <c r="D14" s="7">
        <f t="shared" si="1"/>
        <v>0.66000000000000369</v>
      </c>
      <c r="E14" s="7">
        <f t="shared" si="0"/>
        <v>61.99818181818182</v>
      </c>
    </row>
    <row r="15" spans="1:7" x14ac:dyDescent="0.25">
      <c r="B15" s="2">
        <v>34731</v>
      </c>
      <c r="C15" s="7">
        <v>63.78</v>
      </c>
      <c r="D15" s="7">
        <f t="shared" si="1"/>
        <v>0.82999999999999829</v>
      </c>
      <c r="E15" s="7">
        <f t="shared" si="0"/>
        <v>61.657272727272726</v>
      </c>
    </row>
    <row r="16" spans="1:7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61.659090909090907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61.578181818181811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61.197272727272711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60.762727272727261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61.149166666666652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60.901666666666664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60.594166666666659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59.910833333333322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59.456666666666656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58.768333333333324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2">
        <v>43770</v>
      </c>
      <c r="C312" s="7">
        <v>53</v>
      </c>
      <c r="D312" s="7">
        <f t="shared" si="9"/>
        <v>2.9799999999999969</v>
      </c>
      <c r="E312" s="7">
        <f t="shared" si="8"/>
        <v>52.216666666666669</v>
      </c>
    </row>
    <row r="313" spans="2:5" x14ac:dyDescent="0.25">
      <c r="B313" s="2">
        <v>43800</v>
      </c>
      <c r="C313" s="7">
        <v>50.7</v>
      </c>
      <c r="D313" s="7">
        <f t="shared" ref="D313" si="10">C313-C312</f>
        <v>-2.2999999999999972</v>
      </c>
      <c r="E313" s="7">
        <f t="shared" ref="E313" si="11">IF(ROW(A313)&lt;13,"",AVERAGEIFS($C$2:$C$5000,$B$2:$B$5000,"&gt;"&amp;EDATE(B313,-12),$B$2:$B$5000,"&lt;="&amp;B313))</f>
        <v>51.640000000000008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G88"/>
  <sheetViews>
    <sheetView topLeftCell="A79" workbookViewId="0">
      <selection activeCell="B88" sqref="B88:C88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0.30000000000000426</v>
      </c>
      <c r="G2" s="44">
        <f>INDEX(Egypt[12 Mth Rolling Avg.],ROWS(Egypt[12 Mth Rolling Avg.]),1)</f>
        <v>49.108333333333327</v>
      </c>
    </row>
    <row r="3" spans="1:7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7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7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7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7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7" x14ac:dyDescent="0.25">
      <c r="B9" s="2">
        <v>41395</v>
      </c>
      <c r="C9" s="7">
        <v>48.5</v>
      </c>
      <c r="D9" s="7">
        <f t="shared" si="1"/>
        <v>0.60000000000000142</v>
      </c>
      <c r="E9" s="7" t="str">
        <f t="shared" si="0"/>
        <v/>
      </c>
    </row>
    <row r="10" spans="1:7" x14ac:dyDescent="0.25">
      <c r="B10" s="2">
        <v>41426</v>
      </c>
      <c r="C10" s="7">
        <v>47.5</v>
      </c>
      <c r="D10" s="7">
        <f t="shared" si="1"/>
        <v>-1</v>
      </c>
      <c r="E10" s="7" t="str">
        <f t="shared" si="0"/>
        <v/>
      </c>
    </row>
    <row r="11" spans="1:7" x14ac:dyDescent="0.25">
      <c r="B11" s="2">
        <v>41456</v>
      </c>
      <c r="C11" s="7">
        <v>41.7</v>
      </c>
      <c r="D11" s="7">
        <f t="shared" si="1"/>
        <v>-5.7999999999999972</v>
      </c>
      <c r="E11" s="7" t="str">
        <f t="shared" si="0"/>
        <v/>
      </c>
    </row>
    <row r="12" spans="1:7" x14ac:dyDescent="0.25">
      <c r="B12" s="2">
        <v>41487</v>
      </c>
      <c r="C12" s="7">
        <v>42.2</v>
      </c>
      <c r="D12" s="7">
        <f t="shared" si="1"/>
        <v>0.5</v>
      </c>
      <c r="E12" s="7" t="str">
        <f t="shared" si="0"/>
        <v/>
      </c>
    </row>
    <row r="13" spans="1:7" x14ac:dyDescent="0.25">
      <c r="B13" s="2">
        <v>41518</v>
      </c>
      <c r="C13" s="7">
        <v>44.7</v>
      </c>
      <c r="D13" s="7">
        <f t="shared" si="1"/>
        <v>2.5</v>
      </c>
      <c r="E13" s="7">
        <f t="shared" si="0"/>
        <v>45.163636363636357</v>
      </c>
    </row>
    <row r="14" spans="1:7" x14ac:dyDescent="0.25">
      <c r="B14" s="2">
        <v>41548</v>
      </c>
      <c r="C14" s="7">
        <v>49.5</v>
      </c>
      <c r="D14" s="7">
        <f t="shared" si="1"/>
        <v>4.7999999999999972</v>
      </c>
      <c r="E14" s="7">
        <f t="shared" si="0"/>
        <v>45.163636363636357</v>
      </c>
    </row>
    <row r="15" spans="1:7" x14ac:dyDescent="0.25">
      <c r="B15" s="2">
        <v>41579</v>
      </c>
      <c r="C15" s="7">
        <v>52.5</v>
      </c>
      <c r="D15" s="7">
        <f t="shared" si="1"/>
        <v>3</v>
      </c>
      <c r="E15" s="7">
        <f t="shared" si="0"/>
        <v>45.409090909090907</v>
      </c>
    </row>
    <row r="16" spans="1:7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46.763636363636358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47.1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47.463636363636354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47.918181818181807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48.04999999999999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48.06666666666667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48.400000000000006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49.008333333333333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49.791666666666664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50.43333333333333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2">
        <v>43770</v>
      </c>
      <c r="C87" s="7">
        <v>47.9</v>
      </c>
      <c r="D87" s="7">
        <f t="shared" si="4"/>
        <v>-1.3000000000000043</v>
      </c>
      <c r="E87" s="7">
        <f t="shared" si="3"/>
        <v>49.224999999999994</v>
      </c>
    </row>
    <row r="88" spans="2:5" x14ac:dyDescent="0.25">
      <c r="B88" s="2">
        <v>43800</v>
      </c>
      <c r="C88" s="7">
        <v>48.2</v>
      </c>
      <c r="D88" s="7">
        <f t="shared" ref="D88" si="5">C88-C87</f>
        <v>0.30000000000000426</v>
      </c>
      <c r="E88" s="7">
        <f t="shared" ref="E88" si="6">IF(ROW(A88)&lt;13,"",AVERAGEIFS($C$2:$C$5000,$B$2:$B$5000,"&gt;"&amp;EDATE(B88,-12),$B$2:$B$5000,"&lt;="&amp;B88))</f>
        <v>49.108333333333327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G153"/>
  <sheetViews>
    <sheetView topLeftCell="A145" workbookViewId="0">
      <selection activeCell="B153" sqref="B15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0.39999999999999858</v>
      </c>
      <c r="G2" s="44">
        <f>INDEX(EuroArea[12 Mth Rolling Avg.],ROWS(EuroArea[12 Mth Rolling Avg.]),1)</f>
        <v>47.284615384615378</v>
      </c>
    </row>
    <row r="3" spans="1:7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</row>
    <row r="4" spans="1:7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</row>
    <row r="5" spans="1:7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</row>
    <row r="6" spans="1:7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</row>
    <row r="8" spans="1:7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</row>
    <row r="9" spans="1:7" x14ac:dyDescent="0.25">
      <c r="B9" s="2">
        <v>39448</v>
      </c>
      <c r="C9" s="7">
        <v>52.8</v>
      </c>
      <c r="D9" s="7">
        <f t="shared" si="1"/>
        <v>6.8999999999999986</v>
      </c>
      <c r="E9" s="7" t="str">
        <f t="shared" si="0"/>
        <v/>
      </c>
    </row>
    <row r="10" spans="1:7" x14ac:dyDescent="0.25">
      <c r="B10" s="2">
        <v>39479</v>
      </c>
      <c r="C10" s="7">
        <v>52.3</v>
      </c>
      <c r="D10" s="7">
        <f t="shared" si="1"/>
        <v>-0.5</v>
      </c>
      <c r="E10" s="7" t="str">
        <f t="shared" si="0"/>
        <v/>
      </c>
    </row>
    <row r="11" spans="1:7" x14ac:dyDescent="0.25">
      <c r="B11" s="2">
        <v>39508</v>
      </c>
      <c r="C11" s="7">
        <v>52</v>
      </c>
      <c r="D11" s="7">
        <f t="shared" si="1"/>
        <v>-0.29999999999999716</v>
      </c>
      <c r="E11" s="7" t="str">
        <f t="shared" si="0"/>
        <v/>
      </c>
    </row>
    <row r="12" spans="1:7" x14ac:dyDescent="0.25">
      <c r="B12" s="2">
        <v>39539</v>
      </c>
      <c r="C12" s="7">
        <v>50.7</v>
      </c>
      <c r="D12" s="7">
        <f t="shared" si="1"/>
        <v>-1.2999999999999972</v>
      </c>
      <c r="E12" s="7" t="str">
        <f t="shared" si="0"/>
        <v/>
      </c>
    </row>
    <row r="13" spans="1:7" x14ac:dyDescent="0.25">
      <c r="B13" s="2">
        <v>39569</v>
      </c>
      <c r="C13" s="7">
        <v>50.6</v>
      </c>
      <c r="D13" s="7">
        <f t="shared" si="1"/>
        <v>-0.10000000000000142</v>
      </c>
      <c r="E13" s="7">
        <f t="shared" si="0"/>
        <v>52.790909090909096</v>
      </c>
    </row>
    <row r="14" spans="1:7" x14ac:dyDescent="0.25">
      <c r="B14" s="2">
        <v>39600</v>
      </c>
      <c r="C14" s="7">
        <v>49.2</v>
      </c>
      <c r="D14" s="7">
        <f t="shared" si="1"/>
        <v>-1.3999999999999986</v>
      </c>
      <c r="E14" s="7">
        <f t="shared" si="0"/>
        <v>52.209090909090918</v>
      </c>
    </row>
    <row r="15" spans="1:7" x14ac:dyDescent="0.25">
      <c r="B15" s="2">
        <v>39630</v>
      </c>
      <c r="C15" s="7">
        <v>47.4</v>
      </c>
      <c r="D15" s="7">
        <f t="shared" si="1"/>
        <v>-1.8000000000000043</v>
      </c>
      <c r="E15" s="7">
        <f t="shared" si="0"/>
        <v>51.527272727272731</v>
      </c>
    </row>
    <row r="16" spans="1:7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50.918181818181822</v>
      </c>
    </row>
    <row r="17" spans="2:5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50.172727272727272</v>
      </c>
    </row>
    <row r="18" spans="2:5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49.227272727272727</v>
      </c>
    </row>
    <row r="19" spans="2:5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47.663636363636371</v>
      </c>
    </row>
    <row r="20" spans="2:5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46.516666666666673</v>
      </c>
    </row>
    <row r="21" spans="2:5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44.983333333333341</v>
      </c>
    </row>
    <row r="22" spans="2:5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43.416666666666664</v>
      </c>
    </row>
    <row r="23" spans="2:5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41.908333333333331</v>
      </c>
    </row>
    <row r="24" spans="2:5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40.75</v>
      </c>
    </row>
    <row r="25" spans="2:5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39.92499999999999</v>
      </c>
    </row>
    <row r="26" spans="2:5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</row>
    <row r="27" spans="2:5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</row>
    <row r="28" spans="2:5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</row>
    <row r="29" spans="2:5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</row>
    <row r="30" spans="2:5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</row>
    <row r="31" spans="2:5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</row>
    <row r="32" spans="2:5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</row>
    <row r="33" spans="2:5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</row>
    <row r="34" spans="2:5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</row>
    <row r="35" spans="2:5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</row>
    <row r="36" spans="2:5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</row>
    <row r="37" spans="2:5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</row>
    <row r="38" spans="2:5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</row>
    <row r="39" spans="2:5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</row>
    <row r="40" spans="2:5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</row>
    <row r="41" spans="2:5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</row>
    <row r="42" spans="2:5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</row>
    <row r="43" spans="2:5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</row>
    <row r="44" spans="2:5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</row>
    <row r="45" spans="2:5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</row>
    <row r="46" spans="2:5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</row>
    <row r="47" spans="2:5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</row>
    <row r="48" spans="2:5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</row>
    <row r="49" spans="2:5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</row>
    <row r="50" spans="2:5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</row>
    <row r="51" spans="2:5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</row>
    <row r="52" spans="2:5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</row>
    <row r="53" spans="2:5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</row>
    <row r="54" spans="2:5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</row>
    <row r="55" spans="2:5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</row>
    <row r="56" spans="2:5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</row>
    <row r="57" spans="2:5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</row>
    <row r="58" spans="2:5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</row>
    <row r="59" spans="2:5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</row>
    <row r="60" spans="2:5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</row>
    <row r="61" spans="2:5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</row>
    <row r="62" spans="2:5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</row>
    <row r="63" spans="2:5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</row>
    <row r="64" spans="2:5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</row>
    <row r="65" spans="2:5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</row>
    <row r="66" spans="2:5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</row>
    <row r="67" spans="2:5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</row>
    <row r="68" spans="2:5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</row>
    <row r="69" spans="2:5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</row>
    <row r="70" spans="2:5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</row>
    <row r="71" spans="2:5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</row>
    <row r="72" spans="2:5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</row>
    <row r="73" spans="2:5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</row>
    <row r="74" spans="2:5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</row>
    <row r="75" spans="2:5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</row>
    <row r="76" spans="2:5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</row>
    <row r="77" spans="2:5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</row>
    <row r="78" spans="2:5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</row>
    <row r="79" spans="2:5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</row>
    <row r="80" spans="2:5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</row>
    <row r="81" spans="2:5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</row>
    <row r="82" spans="2:5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</row>
    <row r="83" spans="2:5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</row>
    <row r="84" spans="2:5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</row>
    <row r="85" spans="2:5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</row>
    <row r="86" spans="2:5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</row>
    <row r="87" spans="2:5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</row>
    <row r="88" spans="2:5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</row>
    <row r="89" spans="2:5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</row>
    <row r="90" spans="2:5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</row>
    <row r="91" spans="2:5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</row>
    <row r="92" spans="2:5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</row>
    <row r="93" spans="2:5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</row>
    <row r="94" spans="2:5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</row>
    <row r="95" spans="2:5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</row>
    <row r="96" spans="2:5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</row>
    <row r="97" spans="2:5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</row>
    <row r="98" spans="2:5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</row>
    <row r="99" spans="2:5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</row>
    <row r="100" spans="2:5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</row>
    <row r="101" spans="2:5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</row>
    <row r="102" spans="2:5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</row>
    <row r="103" spans="2:5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</row>
    <row r="104" spans="2:5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</row>
    <row r="105" spans="2:5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</row>
    <row r="106" spans="2:5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</row>
    <row r="107" spans="2:5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</row>
    <row r="108" spans="2:5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</row>
    <row r="109" spans="2:5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</row>
    <row r="110" spans="2:5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</row>
    <row r="111" spans="2:5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</row>
    <row r="112" spans="2:5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</row>
    <row r="113" spans="2:5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</row>
    <row r="114" spans="2:5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</row>
    <row r="115" spans="2:5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</row>
    <row r="116" spans="2:5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</row>
    <row r="117" spans="2:5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</row>
    <row r="118" spans="2:5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</row>
    <row r="119" spans="2:5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</row>
    <row r="120" spans="2:5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</row>
    <row r="121" spans="2:5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</row>
    <row r="122" spans="2:5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</row>
    <row r="123" spans="2:5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</row>
    <row r="124" spans="2:5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</row>
    <row r="125" spans="2:5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</row>
    <row r="126" spans="2:5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</row>
    <row r="127" spans="2:5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</row>
    <row r="128" spans="2:5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</row>
    <row r="129" spans="2:5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</row>
    <row r="130" spans="2:5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</row>
    <row r="131" spans="2:5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</row>
    <row r="132" spans="2:5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</row>
    <row r="133" spans="2:5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</row>
    <row r="134" spans="2:5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</row>
    <row r="135" spans="2:5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</row>
    <row r="136" spans="2:5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</row>
    <row r="137" spans="2:5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</row>
    <row r="138" spans="2:5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</row>
    <row r="139" spans="2:5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</row>
    <row r="140" spans="2:5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</row>
    <row r="141" spans="2:5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</row>
    <row r="142" spans="2:5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</row>
    <row r="143" spans="2:5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</row>
    <row r="144" spans="2:5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</row>
    <row r="145" spans="2:5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</row>
    <row r="146" spans="2:5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</row>
    <row r="147" spans="2:5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</row>
    <row r="148" spans="2:5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</row>
    <row r="149" spans="2:5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</row>
    <row r="150" spans="2:5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</row>
    <row r="151" spans="2:5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</row>
    <row r="152" spans="2:5" x14ac:dyDescent="0.25">
      <c r="B152" s="2">
        <v>43800</v>
      </c>
      <c r="C152" s="7">
        <v>45.9</v>
      </c>
      <c r="D152" s="7">
        <f t="shared" si="7"/>
        <v>-1</v>
      </c>
      <c r="E152" s="7">
        <f t="shared" si="6"/>
        <v>47.284615384615378</v>
      </c>
    </row>
    <row r="153" spans="2:5" x14ac:dyDescent="0.25">
      <c r="B153" s="2">
        <v>43800</v>
      </c>
      <c r="C153" s="7">
        <v>46.3</v>
      </c>
      <c r="D153" s="7">
        <f t="shared" ref="D153" si="8">C153-C152</f>
        <v>0.39999999999999858</v>
      </c>
      <c r="E153" s="7">
        <f t="shared" ref="E153" si="9">IF(ROW(A153)&lt;13,"",AVERAGEIFS($C$2:$C$5000,$B$2:$B$5000,"&gt;"&amp;EDATE(B153,-12),$B$2:$B$5000,"&lt;="&amp;B153))</f>
        <v>47.284615384615378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G107"/>
  <sheetViews>
    <sheetView topLeftCell="A94"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0.10000000000000142</v>
      </c>
      <c r="G2" s="44">
        <f>INDEX(France[12 Mth Rolling Avg.],ROWS(France[12 Mth Rolling Avg.]),1)</f>
        <v>50.684615384615384</v>
      </c>
    </row>
    <row r="3" spans="1:7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</row>
    <row r="5" spans="1:7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</row>
    <row r="6" spans="1:7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</row>
    <row r="7" spans="1:7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</row>
    <row r="9" spans="1:7" x14ac:dyDescent="0.25">
      <c r="B9" s="2">
        <v>40848</v>
      </c>
      <c r="C9" s="7">
        <v>47.3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40878</v>
      </c>
      <c r="C10" s="7">
        <v>48.9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40909</v>
      </c>
      <c r="C11" s="7">
        <v>48.5</v>
      </c>
      <c r="D11" s="7">
        <f t="shared" si="1"/>
        <v>-0.39999999999999858</v>
      </c>
      <c r="E11" s="7" t="str">
        <f t="shared" si="0"/>
        <v/>
      </c>
    </row>
    <row r="12" spans="1:7" x14ac:dyDescent="0.25">
      <c r="B12" s="2">
        <v>40940</v>
      </c>
      <c r="C12" s="7">
        <v>50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40969</v>
      </c>
      <c r="C13" s="7">
        <v>46.7</v>
      </c>
      <c r="D13" s="7">
        <f t="shared" si="1"/>
        <v>-3.2999999999999972</v>
      </c>
      <c r="E13" s="7">
        <f t="shared" si="0"/>
        <v>50.372727272727275</v>
      </c>
    </row>
    <row r="14" spans="1:7" x14ac:dyDescent="0.25">
      <c r="B14" s="2">
        <v>41000</v>
      </c>
      <c r="C14" s="7">
        <v>46.9</v>
      </c>
      <c r="D14" s="7">
        <f t="shared" si="1"/>
        <v>0.19999999999999574</v>
      </c>
      <c r="E14" s="7">
        <f t="shared" si="0"/>
        <v>49.409090909090907</v>
      </c>
    </row>
    <row r="15" spans="1:7" x14ac:dyDescent="0.25">
      <c r="B15" s="2">
        <v>41030</v>
      </c>
      <c r="C15" s="7">
        <v>44.7</v>
      </c>
      <c r="D15" s="7">
        <f t="shared" si="1"/>
        <v>-2.1999999999999957</v>
      </c>
      <c r="E15" s="7">
        <f t="shared" si="0"/>
        <v>48.481818181818177</v>
      </c>
    </row>
    <row r="16" spans="1:7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47.81818181818182</v>
      </c>
    </row>
    <row r="17" spans="2:5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47.172727272727272</v>
      </c>
    </row>
    <row r="18" spans="2:5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46.890909090909084</v>
      </c>
    </row>
    <row r="19" spans="2:5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46.390909090909084</v>
      </c>
    </row>
    <row r="20" spans="2:5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46.166666666666657</v>
      </c>
    </row>
    <row r="21" spans="2:5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45.933333333333337</v>
      </c>
    </row>
    <row r="22" spans="2:5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45.574999999999996</v>
      </c>
    </row>
    <row r="23" spans="2:5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45.108333333333327</v>
      </c>
    </row>
    <row r="24" spans="2:5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44.599999999999994</v>
      </c>
    </row>
    <row r="25" spans="2:5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44.375</v>
      </c>
    </row>
    <row r="26" spans="2:5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</row>
    <row r="27" spans="2:5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</row>
    <row r="28" spans="2:5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</row>
    <row r="29" spans="2:5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</row>
    <row r="30" spans="2:5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</row>
    <row r="31" spans="2:5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</row>
    <row r="32" spans="2:5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</row>
    <row r="33" spans="2:5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</row>
    <row r="34" spans="2:5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</row>
    <row r="35" spans="2:5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</row>
    <row r="36" spans="2:5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</row>
    <row r="37" spans="2:5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</row>
    <row r="38" spans="2:5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</row>
    <row r="39" spans="2:5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</row>
    <row r="40" spans="2:5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</row>
    <row r="41" spans="2:5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</row>
    <row r="42" spans="2:5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</row>
    <row r="43" spans="2:5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</row>
    <row r="44" spans="2:5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</row>
    <row r="45" spans="2:5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</row>
    <row r="46" spans="2:5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</row>
    <row r="47" spans="2:5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</row>
    <row r="48" spans="2:5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</row>
    <row r="49" spans="2:5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</row>
    <row r="50" spans="2:5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</row>
    <row r="51" spans="2:5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</row>
    <row r="52" spans="2:5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</row>
    <row r="53" spans="2:5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</row>
    <row r="54" spans="2:5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</row>
    <row r="55" spans="2:5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</row>
    <row r="56" spans="2:5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</row>
    <row r="57" spans="2:5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</row>
    <row r="58" spans="2:5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</row>
    <row r="59" spans="2:5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</row>
    <row r="60" spans="2:5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</row>
    <row r="61" spans="2:5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</row>
    <row r="62" spans="2:5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</row>
    <row r="63" spans="2:5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</row>
    <row r="64" spans="2:5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</row>
    <row r="65" spans="2:5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</row>
    <row r="66" spans="2:5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</row>
    <row r="67" spans="2:5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</row>
    <row r="68" spans="2:5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</row>
    <row r="69" spans="2:5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</row>
    <row r="70" spans="2:5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</row>
    <row r="71" spans="2:5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</row>
    <row r="72" spans="2:5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</row>
    <row r="73" spans="2:5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</row>
    <row r="74" spans="2:5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</row>
    <row r="75" spans="2:5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</row>
    <row r="76" spans="2:5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</row>
    <row r="77" spans="2:5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</row>
    <row r="78" spans="2:5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</row>
    <row r="79" spans="2:5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</row>
    <row r="80" spans="2:5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</row>
    <row r="81" spans="2:5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</row>
    <row r="82" spans="2:5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</row>
    <row r="83" spans="2:5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</row>
    <row r="84" spans="2:5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</row>
    <row r="85" spans="2:5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</row>
    <row r="86" spans="2:5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</row>
    <row r="87" spans="2:5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</row>
    <row r="88" spans="2:5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</row>
    <row r="89" spans="2:5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</row>
    <row r="90" spans="2:5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</row>
    <row r="91" spans="2:5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</row>
    <row r="92" spans="2:5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</row>
    <row r="93" spans="2:5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</row>
    <row r="94" spans="2:5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</row>
    <row r="95" spans="2:5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</row>
    <row r="96" spans="2:5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</row>
    <row r="97" spans="2:5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</row>
    <row r="98" spans="2:5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</row>
    <row r="99" spans="2:5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</row>
    <row r="100" spans="2:5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</row>
    <row r="101" spans="2:5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</row>
    <row r="102" spans="2:5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5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5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5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5" x14ac:dyDescent="0.25">
      <c r="B106" s="2">
        <v>43800</v>
      </c>
      <c r="C106" s="7">
        <v>50.3</v>
      </c>
      <c r="D106" s="7">
        <f t="shared" si="4"/>
        <v>-1.4000000000000057</v>
      </c>
      <c r="E106" s="7">
        <f t="shared" si="5"/>
        <v>50.684615384615384</v>
      </c>
    </row>
    <row r="107" spans="2:5" x14ac:dyDescent="0.25">
      <c r="B107" s="2">
        <v>43800</v>
      </c>
      <c r="C107" s="7">
        <v>50.4</v>
      </c>
      <c r="D107" s="7">
        <f t="shared" ref="D107" si="6">C107-C106</f>
        <v>0.10000000000000142</v>
      </c>
      <c r="E107" s="7">
        <f t="shared" ref="E107" si="7">IF(ROW(A107)&lt;13,"",AVERAGEIFS($C$2:$C$5000,$B$2:$B$5000,"&gt;"&amp;EDATE(B107,-12),$B$2:$B$5000,"&lt;="&amp;B107))</f>
        <v>50.684615384615384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G82"/>
  <sheetViews>
    <sheetView topLeftCell="A64"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-5.6999999999999957</v>
      </c>
      <c r="G2" s="44" t="s">
        <v>156</v>
      </c>
    </row>
    <row r="3" spans="1:7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42" t="str">
        <f t="shared" si="0"/>
        <v/>
      </c>
    </row>
    <row r="4" spans="1:7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42" t="str">
        <f t="shared" si="0"/>
        <v/>
      </c>
    </row>
    <row r="5" spans="1:7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42" t="str">
        <f t="shared" si="0"/>
        <v/>
      </c>
    </row>
    <row r="6" spans="1:7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42" t="str">
        <f t="shared" si="0"/>
        <v/>
      </c>
    </row>
    <row r="7" spans="1:7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42" t="str">
        <f t="shared" si="0"/>
        <v/>
      </c>
    </row>
    <row r="8" spans="1:7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42" t="str">
        <f t="shared" si="0"/>
        <v/>
      </c>
    </row>
    <row r="9" spans="1:7" x14ac:dyDescent="0.25">
      <c r="B9" s="2">
        <v>41609</v>
      </c>
      <c r="C9" s="10">
        <v>55</v>
      </c>
      <c r="D9" s="10">
        <f t="shared" si="1"/>
        <v>11.600000000000001</v>
      </c>
      <c r="E9" s="42" t="str">
        <f t="shared" si="0"/>
        <v/>
      </c>
    </row>
    <row r="10" spans="1:7" x14ac:dyDescent="0.25">
      <c r="B10" s="2">
        <v>41640</v>
      </c>
      <c r="C10" s="10">
        <v>55.5</v>
      </c>
      <c r="D10" s="10">
        <f t="shared" si="1"/>
        <v>0.5</v>
      </c>
      <c r="E10" s="42" t="str">
        <f t="shared" si="0"/>
        <v/>
      </c>
    </row>
    <row r="11" spans="1:7" x14ac:dyDescent="0.25">
      <c r="B11" s="2">
        <v>41671</v>
      </c>
      <c r="C11" s="10">
        <v>56.4</v>
      </c>
      <c r="D11" s="10">
        <f t="shared" si="1"/>
        <v>0.89999999999999858</v>
      </c>
      <c r="E11" s="42" t="str">
        <f t="shared" si="0"/>
        <v/>
      </c>
    </row>
    <row r="12" spans="1:7" x14ac:dyDescent="0.25">
      <c r="B12" s="2">
        <v>41699</v>
      </c>
      <c r="C12" s="10">
        <v>54.3</v>
      </c>
      <c r="D12" s="10">
        <f t="shared" si="1"/>
        <v>-2.1000000000000014</v>
      </c>
      <c r="E12" s="42" t="str">
        <f t="shared" si="0"/>
        <v/>
      </c>
    </row>
    <row r="13" spans="1:7" x14ac:dyDescent="0.25">
      <c r="B13" s="2">
        <v>41730</v>
      </c>
      <c r="C13" s="10">
        <v>56.1</v>
      </c>
      <c r="D13" s="10">
        <f t="shared" si="1"/>
        <v>1.8000000000000043</v>
      </c>
      <c r="E13" s="42">
        <f t="shared" si="0"/>
        <v>53.627272727272725</v>
      </c>
    </row>
    <row r="14" spans="1:7" x14ac:dyDescent="0.25">
      <c r="B14" s="2">
        <v>41760</v>
      </c>
      <c r="C14" s="10">
        <v>55.6</v>
      </c>
      <c r="D14" s="10">
        <f t="shared" si="1"/>
        <v>-0.5</v>
      </c>
      <c r="E14" s="42">
        <f t="shared" si="0"/>
        <v>54.118181818181817</v>
      </c>
    </row>
    <row r="15" spans="1:7" x14ac:dyDescent="0.25">
      <c r="B15" s="2">
        <v>41791</v>
      </c>
      <c r="C15" s="10">
        <v>54</v>
      </c>
      <c r="D15" s="10">
        <f t="shared" si="1"/>
        <v>-1.6000000000000014</v>
      </c>
      <c r="E15" s="42">
        <f t="shared" si="0"/>
        <v>54.445454545454545</v>
      </c>
    </row>
    <row r="16" spans="1:7" x14ac:dyDescent="0.25">
      <c r="B16" s="2">
        <v>41821</v>
      </c>
      <c r="C16" s="10">
        <v>55.7</v>
      </c>
      <c r="D16" s="10">
        <f t="shared" si="1"/>
        <v>1.7000000000000028</v>
      </c>
      <c r="E16" s="42">
        <f t="shared" si="0"/>
        <v>54.772727272727273</v>
      </c>
    </row>
    <row r="17" spans="2:5" x14ac:dyDescent="0.25">
      <c r="B17" s="2">
        <v>41852</v>
      </c>
      <c r="C17" s="10">
        <v>53.7</v>
      </c>
      <c r="D17" s="10">
        <f t="shared" si="1"/>
        <v>-2</v>
      </c>
      <c r="E17" s="42">
        <f t="shared" si="0"/>
        <v>54.790909090909103</v>
      </c>
    </row>
    <row r="18" spans="2:5" x14ac:dyDescent="0.25">
      <c r="B18" s="2">
        <v>41883</v>
      </c>
      <c r="C18" s="10">
        <v>54.1</v>
      </c>
      <c r="D18" s="10">
        <f t="shared" si="1"/>
        <v>0.39999999999999858</v>
      </c>
      <c r="E18" s="42">
        <f t="shared" si="0"/>
        <v>54.872727272727275</v>
      </c>
    </row>
    <row r="19" spans="2:5" x14ac:dyDescent="0.25">
      <c r="B19" s="2">
        <v>41913</v>
      </c>
      <c r="C19" s="10">
        <v>53.9</v>
      </c>
      <c r="D19" s="10">
        <f t="shared" si="1"/>
        <v>-0.20000000000000284</v>
      </c>
      <c r="E19" s="42">
        <f t="shared" si="0"/>
        <v>54.93636363636363</v>
      </c>
    </row>
    <row r="20" spans="2:5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54.666666666666664</v>
      </c>
    </row>
    <row r="21" spans="2:5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54.416666666666664</v>
      </c>
    </row>
    <row r="22" spans="2:5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54.25</v>
      </c>
    </row>
    <row r="23" spans="2:5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54.033333333333324</v>
      </c>
    </row>
    <row r="24" spans="2:5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54.124999999999993</v>
      </c>
    </row>
    <row r="25" spans="2:5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53.958333333333336</v>
      </c>
    </row>
    <row r="26" spans="2:5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</row>
    <row r="27" spans="2:5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</row>
    <row r="28" spans="2:5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</row>
    <row r="29" spans="2:5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</row>
    <row r="30" spans="2:5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</row>
    <row r="31" spans="2:5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</row>
    <row r="32" spans="2:5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</row>
    <row r="33" spans="2:5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</row>
    <row r="34" spans="2:5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</row>
    <row r="35" spans="2:5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</row>
    <row r="36" spans="2:5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</row>
    <row r="37" spans="2:5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</row>
    <row r="38" spans="2:5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</row>
    <row r="39" spans="2:5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</row>
    <row r="40" spans="2:5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</row>
    <row r="41" spans="2:5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</row>
    <row r="42" spans="2:5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</row>
    <row r="43" spans="2:5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</row>
    <row r="44" spans="2:5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</row>
    <row r="45" spans="2:5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</row>
    <row r="46" spans="2:5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</row>
    <row r="47" spans="2:5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</row>
    <row r="48" spans="2:5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</row>
    <row r="49" spans="2:5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</row>
    <row r="50" spans="2:5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</row>
    <row r="51" spans="2:5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</row>
    <row r="52" spans="2:5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</row>
    <row r="53" spans="2:5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</row>
    <row r="54" spans="2:5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</row>
    <row r="55" spans="2:5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</row>
    <row r="56" spans="2:5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</row>
    <row r="57" spans="2:5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</row>
    <row r="58" spans="2:5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</row>
    <row r="59" spans="2:5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</row>
    <row r="60" spans="2:5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</row>
    <row r="61" spans="2:5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</row>
    <row r="62" spans="2:5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</row>
    <row r="63" spans="2:5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</row>
    <row r="64" spans="2:5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</row>
    <row r="65" spans="2:5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</row>
    <row r="66" spans="2:5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</row>
    <row r="67" spans="2:5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</row>
    <row r="68" spans="2:5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</row>
    <row r="69" spans="2:5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</row>
    <row r="70" spans="2:5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</row>
    <row r="71" spans="2:5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</row>
    <row r="72" spans="2:5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</row>
    <row r="73" spans="2:5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</row>
    <row r="74" spans="2:5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</row>
    <row r="75" spans="2:5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</row>
    <row r="76" spans="2:5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</row>
    <row r="77" spans="2:5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</row>
    <row r="78" spans="2:5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</row>
    <row r="79" spans="2:5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</row>
    <row r="80" spans="2:5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</row>
    <row r="81" spans="2:5" x14ac:dyDescent="0.25">
      <c r="B81" s="2">
        <v>43800</v>
      </c>
      <c r="C81" s="10">
        <v>49.4</v>
      </c>
      <c r="D81" s="10">
        <f t="shared" si="4"/>
        <v>0</v>
      </c>
      <c r="E81" s="7">
        <f t="shared" si="3"/>
        <v>50.476923076923079</v>
      </c>
    </row>
    <row r="82" spans="2:5" x14ac:dyDescent="0.25">
      <c r="B82" s="2">
        <v>43800</v>
      </c>
      <c r="C82" s="10">
        <v>43.7</v>
      </c>
      <c r="D82" s="10">
        <f t="shared" ref="D82" si="5">C82-C81</f>
        <v>-5.6999999999999957</v>
      </c>
      <c r="E82" s="7">
        <f t="shared" ref="E82" si="6">IF(ROW(A82)&lt;13,"",AVERAGEIFS($C$2:$C$5000,$B$2:$B$5000,"&gt;"&amp;EDATE(B82,-12),$B$2:$B$5000,"&lt;="&amp;B82))</f>
        <v>50.476923076923079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G104"/>
  <sheetViews>
    <sheetView topLeftCell="A94"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-0.20000000000000284</v>
      </c>
      <c r="G2" s="44">
        <f>INDEX(Greece[12 Mth Rolling Avg.],ROWS(Greece[12 Mth Rolling Avg.]),1)</f>
        <v>54.20000000000001</v>
      </c>
    </row>
    <row r="3" spans="1:7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7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7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7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7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7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7" x14ac:dyDescent="0.25">
      <c r="B9" s="2">
        <v>40909</v>
      </c>
      <c r="C9" s="10">
        <v>41</v>
      </c>
      <c r="D9" s="10">
        <f t="shared" si="1"/>
        <v>-13.100000000000001</v>
      </c>
      <c r="E9" s="7" t="str">
        <f t="shared" si="0"/>
        <v/>
      </c>
    </row>
    <row r="10" spans="1:7" x14ac:dyDescent="0.25">
      <c r="B10" s="2">
        <v>40940</v>
      </c>
      <c r="C10" s="10">
        <v>37.700000000000003</v>
      </c>
      <c r="D10" s="10">
        <f t="shared" si="1"/>
        <v>-3.2999999999999972</v>
      </c>
      <c r="E10" s="7" t="str">
        <f t="shared" si="0"/>
        <v/>
      </c>
    </row>
    <row r="11" spans="1:7" x14ac:dyDescent="0.25">
      <c r="B11" s="2">
        <v>40969</v>
      </c>
      <c r="C11" s="10">
        <v>41.3</v>
      </c>
      <c r="D11" s="10">
        <f t="shared" si="1"/>
        <v>3.5999999999999943</v>
      </c>
      <c r="E11" s="7" t="str">
        <f t="shared" si="0"/>
        <v/>
      </c>
    </row>
    <row r="12" spans="1:7" x14ac:dyDescent="0.25">
      <c r="B12" s="2">
        <v>41000</v>
      </c>
      <c r="C12" s="10">
        <v>40.700000000000003</v>
      </c>
      <c r="D12" s="10">
        <f t="shared" si="1"/>
        <v>-0.59999999999999432</v>
      </c>
      <c r="E12" s="7" t="str">
        <f t="shared" si="0"/>
        <v/>
      </c>
    </row>
    <row r="13" spans="1:7" x14ac:dyDescent="0.25">
      <c r="B13" s="2">
        <v>41030</v>
      </c>
      <c r="C13" s="10">
        <v>43.1</v>
      </c>
      <c r="D13" s="10">
        <f t="shared" si="1"/>
        <v>2.3999999999999986</v>
      </c>
      <c r="E13" s="7">
        <f t="shared" si="0"/>
        <v>42.036363636363632</v>
      </c>
    </row>
    <row r="14" spans="1:7" x14ac:dyDescent="0.25">
      <c r="B14" s="2">
        <v>41061</v>
      </c>
      <c r="C14" s="10">
        <v>40.1</v>
      </c>
      <c r="D14" s="10">
        <f t="shared" si="1"/>
        <v>-3</v>
      </c>
      <c r="E14" s="7">
        <f t="shared" si="0"/>
        <v>41.545454545454554</v>
      </c>
    </row>
    <row r="15" spans="1:7" x14ac:dyDescent="0.25">
      <c r="B15" s="2">
        <v>41091</v>
      </c>
      <c r="C15" s="10">
        <v>41.9</v>
      </c>
      <c r="D15" s="10">
        <f t="shared" si="1"/>
        <v>1.7999999999999972</v>
      </c>
      <c r="E15" s="7">
        <f t="shared" si="0"/>
        <v>41.24545454545455</v>
      </c>
    </row>
    <row r="16" spans="1:7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41.13636363636364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41.045454545454554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41.090909090909093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41.172727272727272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41.191666666666663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41.25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41.691666666666663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41.758333333333333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42.116666666666667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42.300000000000004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2">
        <v>43770</v>
      </c>
      <c r="C103" s="7">
        <v>54.1</v>
      </c>
      <c r="D103" s="10">
        <f t="shared" si="4"/>
        <v>0.60000000000000142</v>
      </c>
      <c r="E103" s="7">
        <f t="shared" si="5"/>
        <v>54.191666666666663</v>
      </c>
    </row>
    <row r="104" spans="2:5" x14ac:dyDescent="0.25">
      <c r="B104" s="2">
        <v>43800</v>
      </c>
      <c r="C104" s="7">
        <v>53.9</v>
      </c>
      <c r="D104" s="10">
        <f t="shared" ref="D104" si="6">C104-C103</f>
        <v>-0.20000000000000284</v>
      </c>
      <c r="E104" s="7">
        <f t="shared" ref="E104" si="7">IF(ROW(A104)&lt;13,"",AVERAGEIFS($C$2:$C$5000,$B$2:$B$5000,"&gt;"&amp;EDATE(B104,-12),$B$2:$B$5000,"&lt;="&amp;B104))</f>
        <v>54.20000000000001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G98"/>
  <sheetViews>
    <sheetView topLeftCell="A79"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3.6000000000000014</v>
      </c>
      <c r="G2" s="44">
        <f>INDEX(HongKong[12 Mth Rolling Avg.],ROWS(HongKong[12 Mth Rolling Avg.]),1)</f>
        <v>44.483333333333341</v>
      </c>
    </row>
    <row r="3" spans="1:7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7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7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7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7" x14ac:dyDescent="0.25">
      <c r="B9" s="2">
        <v>41091</v>
      </c>
      <c r="C9" s="7">
        <v>50.3</v>
      </c>
      <c r="D9" s="7">
        <f t="shared" si="1"/>
        <v>11.799999999999997</v>
      </c>
      <c r="E9" s="7" t="str">
        <f t="shared" si="0"/>
        <v/>
      </c>
    </row>
    <row r="10" spans="1:7" x14ac:dyDescent="0.25">
      <c r="B10" s="2">
        <v>41122</v>
      </c>
      <c r="C10" s="7">
        <v>50.5</v>
      </c>
      <c r="D10" s="7">
        <f t="shared" si="1"/>
        <v>0.20000000000000284</v>
      </c>
      <c r="E10" s="7" t="str">
        <f t="shared" si="0"/>
        <v/>
      </c>
    </row>
    <row r="11" spans="1:7" x14ac:dyDescent="0.25">
      <c r="B11" s="2">
        <v>41153</v>
      </c>
      <c r="C11" s="7">
        <v>49.6</v>
      </c>
      <c r="D11" s="7">
        <f t="shared" si="1"/>
        <v>-0.89999999999999858</v>
      </c>
      <c r="E11" s="7" t="str">
        <f t="shared" si="0"/>
        <v/>
      </c>
    </row>
    <row r="12" spans="1:7" x14ac:dyDescent="0.25">
      <c r="B12" s="2">
        <v>41183</v>
      </c>
      <c r="C12" s="7">
        <v>50.5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41214</v>
      </c>
      <c r="C13" s="7">
        <v>52.2</v>
      </c>
      <c r="D13" s="7">
        <f t="shared" si="1"/>
        <v>1.7000000000000028</v>
      </c>
      <c r="E13" s="7">
        <f t="shared" si="0"/>
        <v>50.836363636363643</v>
      </c>
    </row>
    <row r="14" spans="1:7" x14ac:dyDescent="0.25">
      <c r="B14" s="2">
        <v>41244</v>
      </c>
      <c r="C14" s="7">
        <v>51.7</v>
      </c>
      <c r="D14" s="7">
        <f t="shared" si="1"/>
        <v>-0.5</v>
      </c>
      <c r="E14" s="7">
        <f t="shared" si="0"/>
        <v>51.018181818181823</v>
      </c>
    </row>
    <row r="15" spans="1:7" x14ac:dyDescent="0.25">
      <c r="B15" s="2">
        <v>41275</v>
      </c>
      <c r="C15" s="7">
        <v>52.5</v>
      </c>
      <c r="D15" s="7">
        <f t="shared" si="1"/>
        <v>0.79999999999999716</v>
      </c>
      <c r="E15" s="7">
        <f t="shared" si="0"/>
        <v>51.072727272727271</v>
      </c>
    </row>
    <row r="16" spans="1:7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50.927272727272729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50.790909090909096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50.75454545454545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50.790909090909082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50.616666666666667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50.56666666666667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50.5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50.533333333333331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50.5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50.491666666666667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2">
        <v>43770</v>
      </c>
      <c r="C97" s="7">
        <v>38.5</v>
      </c>
      <c r="D97" s="7">
        <f t="shared" si="4"/>
        <v>-0.79999999999999716</v>
      </c>
      <c r="E97" s="7">
        <f t="shared" si="3"/>
        <v>44.975000000000001</v>
      </c>
    </row>
    <row r="98" spans="2:5" x14ac:dyDescent="0.25">
      <c r="B98" s="2">
        <v>43800</v>
      </c>
      <c r="C98" s="7">
        <v>42.1</v>
      </c>
      <c r="D98" s="7">
        <f t="shared" ref="D98" si="5">C98-C97</f>
        <v>3.6000000000000014</v>
      </c>
      <c r="E98" s="7">
        <f t="shared" ref="E98" si="6">IF(ROW(A98)&lt;13,"",AVERAGEIFS($C$2:$C$5000,$B$2:$B$5000,"&gt;"&amp;EDATE(B98,-12),$B$2:$B$5000,"&lt;="&amp;B98))</f>
        <v>44.483333333333341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G293"/>
  <sheetViews>
    <sheetView topLeftCell="A280" workbookViewId="0">
      <selection activeCell="B293" sqref="B293:C293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0.89999999999999858</v>
      </c>
      <c r="G2" s="44">
        <f>INDEX(Hungary[12 Mth Rolling Avg.],ROWS(Hungary[12 Mth Rolling Avg.]),1)</f>
        <v>53.583333333333336</v>
      </c>
    </row>
    <row r="3" spans="1:7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7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7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7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7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7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7" x14ac:dyDescent="0.25">
      <c r="B9" s="2">
        <v>35156</v>
      </c>
      <c r="C9" s="7">
        <v>49.1</v>
      </c>
      <c r="D9" s="7">
        <f t="shared" si="1"/>
        <v>-3.8999999999999986</v>
      </c>
      <c r="E9" s="7" t="str">
        <f t="shared" si="0"/>
        <v/>
      </c>
    </row>
    <row r="10" spans="1:7" x14ac:dyDescent="0.25">
      <c r="B10" s="2">
        <v>35186</v>
      </c>
      <c r="C10" s="7">
        <v>52.3</v>
      </c>
      <c r="D10" s="7">
        <f t="shared" si="1"/>
        <v>3.1999999999999957</v>
      </c>
      <c r="E10" s="7" t="str">
        <f t="shared" si="0"/>
        <v/>
      </c>
    </row>
    <row r="11" spans="1:7" x14ac:dyDescent="0.25">
      <c r="B11" s="2">
        <v>35217</v>
      </c>
      <c r="C11" s="7">
        <v>49.8</v>
      </c>
      <c r="D11" s="7">
        <f t="shared" si="1"/>
        <v>-2.5</v>
      </c>
      <c r="E11" s="7" t="str">
        <f t="shared" si="0"/>
        <v/>
      </c>
    </row>
    <row r="12" spans="1:7" x14ac:dyDescent="0.25">
      <c r="B12" s="2">
        <v>35247</v>
      </c>
      <c r="C12" s="7">
        <v>49.8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35278</v>
      </c>
      <c r="C13" s="7">
        <v>55.2</v>
      </c>
      <c r="D13" s="7">
        <f t="shared" si="1"/>
        <v>5.4000000000000057</v>
      </c>
      <c r="E13" s="7">
        <f t="shared" si="0"/>
        <v>51.06363636363637</v>
      </c>
    </row>
    <row r="14" spans="1:7" x14ac:dyDescent="0.25">
      <c r="B14" s="2">
        <v>35309</v>
      </c>
      <c r="C14" s="7">
        <v>55.1</v>
      </c>
      <c r="D14" s="7">
        <f t="shared" si="1"/>
        <v>-0.10000000000000142</v>
      </c>
      <c r="E14" s="7">
        <f t="shared" si="0"/>
        <v>51.2</v>
      </c>
    </row>
    <row r="15" spans="1:7" x14ac:dyDescent="0.25">
      <c r="B15" s="2">
        <v>35339</v>
      </c>
      <c r="C15" s="7">
        <v>55.7</v>
      </c>
      <c r="D15" s="7">
        <f t="shared" si="1"/>
        <v>0.60000000000000142</v>
      </c>
      <c r="E15" s="7">
        <f t="shared" si="0"/>
        <v>51.68181818181818</v>
      </c>
    </row>
    <row r="16" spans="1:7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51.845454545454551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52.481818181818177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52.345454545454544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52.054545454545455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52.033333333333331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52.533333333333331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52.491666666666667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52.94166666666667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53.108333333333341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52.625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2">
        <v>43770</v>
      </c>
      <c r="C292" s="7">
        <v>53</v>
      </c>
      <c r="D292" s="7">
        <f t="shared" si="9"/>
        <v>1</v>
      </c>
      <c r="E292" s="7">
        <f t="shared" si="8"/>
        <v>53.608333333333327</v>
      </c>
    </row>
    <row r="293" spans="2:5" x14ac:dyDescent="0.25">
      <c r="B293" s="2">
        <v>43800</v>
      </c>
      <c r="C293" s="7">
        <v>53.9</v>
      </c>
      <c r="D293" s="7">
        <f t="shared" ref="D293" si="10">C293-C292</f>
        <v>0.89999999999999858</v>
      </c>
      <c r="E293" s="7">
        <f t="shared" ref="E293" si="11">IF(ROW(A293)&lt;13,"",AVERAGEIFS($C$2:$C$5000,$B$2:$B$5000,"&gt;"&amp;EDATE(B293,-12),$B$2:$B$5000,"&lt;="&amp;B293))</f>
        <v>53.583333333333336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G94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1.5</v>
      </c>
      <c r="G2" s="44">
        <f>INDEX(India[12 Mth Rolling Avg.],ROWS(India[12 Mth Rolling Avg.]),1)</f>
        <v>52.266666666666673</v>
      </c>
    </row>
    <row r="3" spans="1:7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</row>
    <row r="5" spans="1:7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</row>
    <row r="9" spans="1:7" x14ac:dyDescent="0.25">
      <c r="B9" s="2">
        <v>41214</v>
      </c>
      <c r="C9" s="7">
        <v>53.7</v>
      </c>
      <c r="D9" s="7">
        <f t="shared" si="1"/>
        <v>2.5</v>
      </c>
      <c r="E9" s="7" t="str">
        <f t="shared" si="0"/>
        <v/>
      </c>
    </row>
    <row r="10" spans="1:7" x14ac:dyDescent="0.25">
      <c r="B10" s="2">
        <v>41244</v>
      </c>
      <c r="C10" s="7">
        <v>54.7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41275</v>
      </c>
      <c r="C11" s="7">
        <v>53.2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41306</v>
      </c>
      <c r="C12" s="7">
        <v>54.2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41334</v>
      </c>
      <c r="C13" s="7">
        <v>52</v>
      </c>
      <c r="D13" s="7">
        <f t="shared" si="1"/>
        <v>-2.2000000000000028</v>
      </c>
      <c r="E13" s="7">
        <f t="shared" si="0"/>
        <v>53.727272727272727</v>
      </c>
    </row>
    <row r="14" spans="1:7" x14ac:dyDescent="0.25">
      <c r="B14" s="2">
        <v>41365</v>
      </c>
      <c r="C14" s="7">
        <v>51</v>
      </c>
      <c r="D14" s="7">
        <f t="shared" si="1"/>
        <v>-1</v>
      </c>
      <c r="E14" s="7">
        <f t="shared" si="0"/>
        <v>53.372727272727268</v>
      </c>
    </row>
    <row r="15" spans="1:7" x14ac:dyDescent="0.25">
      <c r="B15" s="2">
        <v>41395</v>
      </c>
      <c r="C15" s="7">
        <v>50.1</v>
      </c>
      <c r="D15" s="7">
        <f t="shared" si="1"/>
        <v>-0.89999999999999858</v>
      </c>
      <c r="E15" s="7">
        <f t="shared" si="0"/>
        <v>52.945454545454545</v>
      </c>
    </row>
    <row r="16" spans="1:7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52.518181818181809</v>
      </c>
    </row>
    <row r="17" spans="2:5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52.263636363636358</v>
      </c>
    </row>
    <row r="18" spans="2:5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51.872727272727275</v>
      </c>
    </row>
    <row r="19" spans="2:5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51.581818181818193</v>
      </c>
    </row>
    <row r="20" spans="2:5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51.416666666666679</v>
      </c>
    </row>
    <row r="21" spans="2:5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51.216666666666669</v>
      </c>
    </row>
    <row r="22" spans="2:5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50.883333333333347</v>
      </c>
    </row>
    <row r="23" spans="2:5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50.733333333333341</v>
      </c>
    </row>
    <row r="24" spans="2:5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50.591666666666669</v>
      </c>
    </row>
    <row r="25" spans="2:5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50.533333333333324</v>
      </c>
    </row>
    <row r="26" spans="2:5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</row>
    <row r="27" spans="2:5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</row>
    <row r="28" spans="2:5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</row>
    <row r="29" spans="2:5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</row>
    <row r="30" spans="2:5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</row>
    <row r="31" spans="2:5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</row>
    <row r="32" spans="2:5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</row>
    <row r="33" spans="2:5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</row>
    <row r="34" spans="2:5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</row>
    <row r="35" spans="2:5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</row>
    <row r="36" spans="2:5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</row>
    <row r="37" spans="2:5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</row>
    <row r="38" spans="2:5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</row>
    <row r="39" spans="2:5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</row>
    <row r="40" spans="2:5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</row>
    <row r="41" spans="2:5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</row>
    <row r="42" spans="2:5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</row>
    <row r="43" spans="2:5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</row>
    <row r="44" spans="2:5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</row>
    <row r="45" spans="2:5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</row>
    <row r="46" spans="2:5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</row>
    <row r="47" spans="2:5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</row>
    <row r="48" spans="2:5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</row>
    <row r="49" spans="2:5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</row>
    <row r="50" spans="2:5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</row>
    <row r="51" spans="2:5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</row>
    <row r="52" spans="2:5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</row>
    <row r="53" spans="2:5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</row>
    <row r="54" spans="2:5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</row>
    <row r="55" spans="2:5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</row>
    <row r="56" spans="2:5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</row>
    <row r="57" spans="2:5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</row>
    <row r="58" spans="2:5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</row>
    <row r="59" spans="2:5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</row>
    <row r="60" spans="2:5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</row>
    <row r="61" spans="2:5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</row>
    <row r="62" spans="2:5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</row>
    <row r="63" spans="2:5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</row>
    <row r="64" spans="2:5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</row>
    <row r="65" spans="2:5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</row>
    <row r="66" spans="2:5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</row>
    <row r="67" spans="2:5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</row>
    <row r="68" spans="2:5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</row>
    <row r="69" spans="2:5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</row>
    <row r="70" spans="2:5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</row>
    <row r="71" spans="2:5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</row>
    <row r="72" spans="2:5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</row>
    <row r="73" spans="2:5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</row>
    <row r="74" spans="2:5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</row>
    <row r="75" spans="2:5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</row>
    <row r="76" spans="2:5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</row>
    <row r="77" spans="2:5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</row>
    <row r="78" spans="2:5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</row>
    <row r="79" spans="2:5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</row>
    <row r="80" spans="2:5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</row>
    <row r="81" spans="2:5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</row>
    <row r="82" spans="2:5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</row>
    <row r="83" spans="2:5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</row>
    <row r="84" spans="2:5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</row>
    <row r="85" spans="2:5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</row>
    <row r="86" spans="2:5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</row>
    <row r="87" spans="2:5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</row>
    <row r="88" spans="2:5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</row>
    <row r="89" spans="2:5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</row>
    <row r="90" spans="2:5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</row>
    <row r="91" spans="2:5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</row>
    <row r="92" spans="2:5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</row>
    <row r="93" spans="2:5" x14ac:dyDescent="0.25">
      <c r="B93" s="2">
        <v>43770</v>
      </c>
      <c r="C93" s="7">
        <v>51.2</v>
      </c>
      <c r="D93" s="7">
        <f t="shared" si="4"/>
        <v>0.60000000000000142</v>
      </c>
      <c r="E93" s="7">
        <f t="shared" si="3"/>
        <v>52.308333333333337</v>
      </c>
    </row>
    <row r="94" spans="2:5" x14ac:dyDescent="0.25">
      <c r="B94" s="2">
        <v>43800</v>
      </c>
      <c r="C94" s="7">
        <v>52.7</v>
      </c>
      <c r="D94" s="7">
        <f t="shared" ref="D94" si="5">C94-C93</f>
        <v>1.5</v>
      </c>
      <c r="E94" s="7">
        <f t="shared" ref="E94" si="6">IF(ROW(A94)&lt;13,"",AVERAGEIFS($C$2:$C$5000,$B$2:$B$5000,"&gt;"&amp;EDATE(B94,-12),$B$2:$B$5000,"&lt;="&amp;B94))</f>
        <v>52.266666666666673</v>
      </c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G91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1.2999999999999972</v>
      </c>
      <c r="G2" s="44">
        <f>INDEX(Indonesia[12 Mth Rolling Avg.],ROWS(Indonesia[12 Mth Rolling Avg.]),1)</f>
        <v>49.741666666666674</v>
      </c>
    </row>
    <row r="3" spans="1:7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7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7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7" x14ac:dyDescent="0.25">
      <c r="B9" s="2">
        <v>41306</v>
      </c>
      <c r="C9" s="7">
        <v>50.5</v>
      </c>
      <c r="D9" s="7">
        <f t="shared" si="1"/>
        <v>2.2999999999999972</v>
      </c>
      <c r="E9" s="7" t="str">
        <f t="shared" si="0"/>
        <v/>
      </c>
    </row>
    <row r="10" spans="1:7" x14ac:dyDescent="0.25">
      <c r="B10" s="2">
        <v>41334</v>
      </c>
      <c r="C10" s="7">
        <v>51.3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41365</v>
      </c>
      <c r="C11" s="7">
        <v>51.7</v>
      </c>
      <c r="D11" s="7">
        <f t="shared" si="1"/>
        <v>0.40000000000000568</v>
      </c>
      <c r="E11" s="7" t="str">
        <f t="shared" si="0"/>
        <v/>
      </c>
    </row>
    <row r="12" spans="1:7" x14ac:dyDescent="0.25">
      <c r="B12" s="2">
        <v>41395</v>
      </c>
      <c r="C12" s="7">
        <v>51.6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41426</v>
      </c>
      <c r="C13" s="7">
        <v>51</v>
      </c>
      <c r="D13" s="7">
        <f t="shared" si="1"/>
        <v>-0.60000000000000142</v>
      </c>
      <c r="E13" s="7">
        <f t="shared" si="0"/>
        <v>51.245454545454542</v>
      </c>
    </row>
    <row r="14" spans="1:7" x14ac:dyDescent="0.25">
      <c r="B14" s="2">
        <v>41456</v>
      </c>
      <c r="C14" s="7">
        <v>50.7</v>
      </c>
      <c r="D14" s="7">
        <f t="shared" si="1"/>
        <v>-0.29999999999999716</v>
      </c>
      <c r="E14" s="7">
        <f t="shared" si="0"/>
        <v>51.18181818181818</v>
      </c>
    </row>
    <row r="15" spans="1:7" x14ac:dyDescent="0.25">
      <c r="B15" s="2">
        <v>41487</v>
      </c>
      <c r="C15" s="7">
        <v>58.5</v>
      </c>
      <c r="D15" s="7">
        <f t="shared" si="1"/>
        <v>7.7999999999999972</v>
      </c>
      <c r="E15" s="7">
        <f t="shared" si="0"/>
        <v>51.809090909090919</v>
      </c>
    </row>
    <row r="16" spans="1:7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51.781818181818196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51.690909090909095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51.581818181818171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51.599999999999994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51.54999999999999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51.550000000000004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51.449999999999996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51.4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51.466666666666661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51.608333333333341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2">
        <v>43770</v>
      </c>
      <c r="C90" s="7">
        <v>48.2</v>
      </c>
      <c r="D90" s="7">
        <f t="shared" si="4"/>
        <v>0.5</v>
      </c>
      <c r="E90" s="7">
        <f t="shared" si="3"/>
        <v>49.883333333333347</v>
      </c>
    </row>
    <row r="91" spans="2:5" x14ac:dyDescent="0.25">
      <c r="B91" s="2">
        <v>43800</v>
      </c>
      <c r="C91" s="7">
        <v>49.5</v>
      </c>
      <c r="D91" s="7">
        <f t="shared" ref="D91" si="5">C91-C90</f>
        <v>1.2999999999999972</v>
      </c>
      <c r="E91" s="7">
        <f t="shared" ref="E91" si="6">IF(ROW(A91)&lt;13,"",AVERAGEIFS($C$2:$C$5000,$B$2:$B$5000,"&gt;"&amp;EDATE(B91,-12),$B$2:$B$5000,"&lt;="&amp;B91))</f>
        <v>49.741666666666674</v>
      </c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G99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40575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INDEX(Ireland[% Change],ROWS(Ireland[% Change]),1)</f>
        <v>-0.20000000000000284</v>
      </c>
      <c r="G2" s="44">
        <f>INDEX(Ireland[12 Mth Rolling Avg.],ROWS(Ireland[12 Mth Rolling Avg.]),1)</f>
        <v>50.758333333333333</v>
      </c>
    </row>
    <row r="3" spans="1:7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</row>
    <row r="4" spans="1:7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</row>
    <row r="5" spans="1:7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</row>
    <row r="6" spans="1:7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</row>
    <row r="7" spans="1:7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</row>
    <row r="9" spans="1:7" x14ac:dyDescent="0.25">
      <c r="B9" s="2">
        <v>41061</v>
      </c>
      <c r="C9" s="7">
        <v>51.5</v>
      </c>
      <c r="D9" s="7">
        <f t="shared" si="1"/>
        <v>1.7999999999999972</v>
      </c>
      <c r="E9" s="7" t="str">
        <f t="shared" si="0"/>
        <v/>
      </c>
    </row>
    <row r="10" spans="1:7" x14ac:dyDescent="0.25">
      <c r="B10" s="2">
        <v>41091</v>
      </c>
      <c r="C10" s="7">
        <v>51.2</v>
      </c>
      <c r="D10" s="7">
        <f t="shared" si="1"/>
        <v>-0.29999999999999716</v>
      </c>
      <c r="E10" s="7" t="str">
        <f t="shared" si="0"/>
        <v/>
      </c>
    </row>
    <row r="11" spans="1:7" x14ac:dyDescent="0.25">
      <c r="B11" s="2">
        <v>41122</v>
      </c>
      <c r="C11" s="7">
        <v>53.1</v>
      </c>
      <c r="D11" s="7">
        <f t="shared" si="1"/>
        <v>1.8999999999999986</v>
      </c>
      <c r="E11" s="7" t="str">
        <f t="shared" si="0"/>
        <v/>
      </c>
    </row>
    <row r="12" spans="1:7" x14ac:dyDescent="0.25">
      <c r="B12" s="2">
        <v>41153</v>
      </c>
      <c r="C12" s="7">
        <v>53.9</v>
      </c>
      <c r="D12" s="7">
        <f t="shared" si="1"/>
        <v>0.79999999999999716</v>
      </c>
      <c r="E12" s="7" t="str">
        <f t="shared" si="0"/>
        <v/>
      </c>
    </row>
    <row r="13" spans="1:7" x14ac:dyDescent="0.25">
      <c r="B13" s="2">
        <v>41183</v>
      </c>
      <c r="C13" s="7">
        <v>50.9</v>
      </c>
      <c r="D13" s="7">
        <f t="shared" si="1"/>
        <v>-3</v>
      </c>
      <c r="E13" s="7">
        <f t="shared" si="0"/>
        <v>50.700999999999993</v>
      </c>
    </row>
    <row r="14" spans="1:7" x14ac:dyDescent="0.25">
      <c r="B14" s="2">
        <v>41214</v>
      </c>
      <c r="C14" s="7">
        <v>51.8</v>
      </c>
      <c r="D14" s="7">
        <f t="shared" si="1"/>
        <v>0.89999999999999858</v>
      </c>
      <c r="E14" s="7">
        <f t="shared" si="0"/>
        <v>50.800909090909087</v>
      </c>
    </row>
    <row r="15" spans="1:7" x14ac:dyDescent="0.25">
      <c r="B15" s="2">
        <v>41244</v>
      </c>
      <c r="C15" s="7">
        <v>52.1</v>
      </c>
      <c r="D15" s="7">
        <f t="shared" si="1"/>
        <v>0.30000000000000426</v>
      </c>
      <c r="E15" s="7">
        <f t="shared" si="0"/>
        <v>51.01</v>
      </c>
    </row>
    <row r="16" spans="1:7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51.391818181818174</v>
      </c>
    </row>
    <row r="17" spans="2:5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51.545454545454547</v>
      </c>
    </row>
    <row r="18" spans="2:5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51.563636363636355</v>
      </c>
    </row>
    <row r="19" spans="2:5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51.56363636363637</v>
      </c>
    </row>
    <row r="20" spans="2:5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51.558333333333337</v>
      </c>
    </row>
    <row r="21" spans="2:5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51.408333333333339</v>
      </c>
    </row>
    <row r="22" spans="2:5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51.283333333333339</v>
      </c>
    </row>
    <row r="23" spans="2:5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51.19166666666667</v>
      </c>
    </row>
    <row r="24" spans="2:5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51.091666666666669</v>
      </c>
    </row>
    <row r="25" spans="2:5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51.425000000000004</v>
      </c>
    </row>
    <row r="26" spans="2:5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</row>
    <row r="27" spans="2:5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</row>
    <row r="28" spans="2:5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</row>
    <row r="29" spans="2:5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</row>
    <row r="30" spans="2:5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</row>
    <row r="31" spans="2:5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</row>
    <row r="32" spans="2:5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</row>
    <row r="33" spans="2:5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</row>
    <row r="34" spans="2:5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54.041666666666657</v>
      </c>
    </row>
    <row r="35" spans="2:5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2"/>
        <v>54.483333333333327</v>
      </c>
    </row>
    <row r="36" spans="2:5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2"/>
        <v>54.733333333333341</v>
      </c>
    </row>
    <row r="37" spans="2:5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2"/>
        <v>54.875000000000007</v>
      </c>
    </row>
    <row r="38" spans="2:5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2"/>
        <v>55.19166666666667</v>
      </c>
    </row>
    <row r="39" spans="2:5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2"/>
        <v>55.474999999999994</v>
      </c>
    </row>
    <row r="40" spans="2:5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2"/>
        <v>55.666666666666664</v>
      </c>
    </row>
    <row r="41" spans="2:5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2"/>
        <v>56.050000000000004</v>
      </c>
    </row>
    <row r="42" spans="2:5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2"/>
        <v>56.158333333333324</v>
      </c>
    </row>
    <row r="43" spans="2:5" x14ac:dyDescent="0.25">
      <c r="B43" s="2">
        <v>42095</v>
      </c>
      <c r="C43" s="7">
        <v>55.8</v>
      </c>
      <c r="D43" s="7">
        <f t="shared" si="1"/>
        <v>-1</v>
      </c>
      <c r="E43" s="7">
        <f t="shared" si="2"/>
        <v>56.133333333333326</v>
      </c>
    </row>
    <row r="44" spans="2:5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2"/>
        <v>56.30833333333333</v>
      </c>
    </row>
    <row r="45" spans="2:5" x14ac:dyDescent="0.25">
      <c r="B45" s="2">
        <v>42156</v>
      </c>
      <c r="C45" s="7">
        <v>54.6</v>
      </c>
      <c r="D45" s="7">
        <f t="shared" si="1"/>
        <v>-2.5</v>
      </c>
      <c r="E45" s="7">
        <f t="shared" si="2"/>
        <v>56.25</v>
      </c>
    </row>
    <row r="46" spans="2:5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2"/>
        <v>56.358333333333341</v>
      </c>
    </row>
    <row r="47" spans="2:5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2"/>
        <v>56.050000000000011</v>
      </c>
    </row>
    <row r="48" spans="2:5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2"/>
        <v>55.891666666666673</v>
      </c>
    </row>
    <row r="49" spans="2:5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2"/>
        <v>55.641666666666673</v>
      </c>
    </row>
    <row r="50" spans="2:5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2"/>
        <v>55.400000000000006</v>
      </c>
    </row>
    <row r="51" spans="2:5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2"/>
        <v>55.175000000000004</v>
      </c>
    </row>
    <row r="52" spans="2:5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2"/>
        <v>55.108333333333341</v>
      </c>
    </row>
    <row r="53" spans="2:5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2"/>
        <v>54.725000000000001</v>
      </c>
    </row>
    <row r="54" spans="2:5" x14ac:dyDescent="0.25">
      <c r="B54" s="2">
        <v>42430</v>
      </c>
      <c r="C54" s="7">
        <v>54.9</v>
      </c>
      <c r="D54" s="7">
        <f t="shared" si="1"/>
        <v>2</v>
      </c>
      <c r="E54" s="7">
        <f t="shared" si="2"/>
        <v>54.566666666666663</v>
      </c>
    </row>
    <row r="55" spans="2:5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2"/>
        <v>54.300000000000004</v>
      </c>
    </row>
    <row r="56" spans="2:5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2"/>
        <v>53.833333333333336</v>
      </c>
    </row>
    <row r="57" spans="2:5" x14ac:dyDescent="0.25">
      <c r="B57" s="2">
        <v>42522</v>
      </c>
      <c r="C57" s="7">
        <v>53</v>
      </c>
      <c r="D57" s="7">
        <f t="shared" si="1"/>
        <v>1.5</v>
      </c>
      <c r="E57" s="7">
        <f t="shared" si="2"/>
        <v>53.699999999999996</v>
      </c>
    </row>
    <row r="58" spans="2:5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2"/>
        <v>53.158333333333339</v>
      </c>
    </row>
    <row r="59" spans="2:5" x14ac:dyDescent="0.25">
      <c r="B59" s="2">
        <v>42583</v>
      </c>
      <c r="C59" s="7">
        <v>51.7</v>
      </c>
      <c r="D59" s="7">
        <f t="shared" si="1"/>
        <v>1.5</v>
      </c>
      <c r="E59" s="7">
        <f t="shared" si="2"/>
        <v>53</v>
      </c>
    </row>
    <row r="60" spans="2:5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2"/>
        <v>52.791666666666664</v>
      </c>
    </row>
    <row r="61" spans="2:5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2"/>
        <v>52.666666666666664</v>
      </c>
    </row>
    <row r="62" spans="2:5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2"/>
        <v>52.70000000000001</v>
      </c>
    </row>
    <row r="63" spans="2:5" x14ac:dyDescent="0.25">
      <c r="B63" s="2">
        <v>42705</v>
      </c>
      <c r="C63" s="7">
        <v>55.7</v>
      </c>
      <c r="D63" s="7">
        <f t="shared" si="1"/>
        <v>2</v>
      </c>
      <c r="E63" s="7">
        <f t="shared" si="2"/>
        <v>52.82500000000001</v>
      </c>
    </row>
    <row r="64" spans="2:5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2"/>
        <v>52.925000000000004</v>
      </c>
    </row>
    <row r="65" spans="2:5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2"/>
        <v>53</v>
      </c>
    </row>
    <row r="66" spans="2:5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3">IF(ROW(A66)&lt;13,"",AVERAGEIFS($C$2:$C$5000,$B$2:$B$5000,"&gt;"&amp;EDATE(B66,-12),$B$2:$B$5000,"&lt;="&amp;B66))</f>
        <v>52.891666666666659</v>
      </c>
    </row>
    <row r="67" spans="2:5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3"/>
        <v>53.091666666666669</v>
      </c>
    </row>
    <row r="68" spans="2:5" x14ac:dyDescent="0.25">
      <c r="B68" s="2">
        <v>42856</v>
      </c>
      <c r="C68" s="7">
        <v>55.9</v>
      </c>
      <c r="D68" s="7">
        <f t="shared" ref="D68:D98" si="4">C68-C67</f>
        <v>0.89999999999999858</v>
      </c>
      <c r="E68" s="7">
        <f t="shared" si="3"/>
        <v>53.458333333333336</v>
      </c>
    </row>
    <row r="69" spans="2:5" x14ac:dyDescent="0.25">
      <c r="B69" s="2">
        <v>42887</v>
      </c>
      <c r="C69" s="7">
        <v>56</v>
      </c>
      <c r="D69" s="7">
        <f t="shared" si="4"/>
        <v>0.10000000000000142</v>
      </c>
      <c r="E69" s="7">
        <f t="shared" si="3"/>
        <v>53.708333333333336</v>
      </c>
    </row>
    <row r="70" spans="2:5" x14ac:dyDescent="0.25">
      <c r="B70" s="2">
        <v>42917</v>
      </c>
      <c r="C70" s="7">
        <v>54.6</v>
      </c>
      <c r="D70" s="7">
        <f t="shared" si="4"/>
        <v>-1.3999999999999986</v>
      </c>
      <c r="E70" s="7">
        <f t="shared" si="3"/>
        <v>54.07500000000001</v>
      </c>
    </row>
    <row r="71" spans="2:5" x14ac:dyDescent="0.25">
      <c r="B71" s="2">
        <v>42948</v>
      </c>
      <c r="C71" s="7">
        <v>56.1</v>
      </c>
      <c r="D71" s="7">
        <f t="shared" si="4"/>
        <v>1.5</v>
      </c>
      <c r="E71" s="7">
        <f t="shared" si="3"/>
        <v>54.44166666666667</v>
      </c>
    </row>
    <row r="72" spans="2:5" x14ac:dyDescent="0.25">
      <c r="B72" s="2">
        <v>42979</v>
      </c>
      <c r="C72" s="7">
        <v>55.4</v>
      </c>
      <c r="D72" s="7">
        <f t="shared" si="4"/>
        <v>-0.70000000000000284</v>
      </c>
      <c r="E72" s="7">
        <f t="shared" si="3"/>
        <v>54.783333333333331</v>
      </c>
    </row>
    <row r="73" spans="2:5" x14ac:dyDescent="0.25">
      <c r="B73" s="2">
        <v>43009</v>
      </c>
      <c r="C73" s="7">
        <v>54.4</v>
      </c>
      <c r="D73" s="7">
        <f t="shared" si="4"/>
        <v>-1</v>
      </c>
      <c r="E73" s="7">
        <f t="shared" si="3"/>
        <v>54.974999999999994</v>
      </c>
    </row>
    <row r="74" spans="2:5" x14ac:dyDescent="0.25">
      <c r="B74" s="2">
        <v>43040</v>
      </c>
      <c r="C74" s="7">
        <v>58.1</v>
      </c>
      <c r="D74" s="7">
        <f t="shared" si="4"/>
        <v>3.7000000000000028</v>
      </c>
      <c r="E74" s="7">
        <f t="shared" si="3"/>
        <v>55.341666666666669</v>
      </c>
    </row>
    <row r="75" spans="2:5" x14ac:dyDescent="0.25">
      <c r="B75" s="2">
        <v>43070</v>
      </c>
      <c r="C75" s="7">
        <v>59.1</v>
      </c>
      <c r="D75" s="7">
        <f t="shared" si="4"/>
        <v>1</v>
      </c>
      <c r="E75" s="7">
        <f t="shared" si="3"/>
        <v>55.625000000000007</v>
      </c>
    </row>
    <row r="76" spans="2:5" x14ac:dyDescent="0.25">
      <c r="B76" s="2">
        <v>43101</v>
      </c>
      <c r="C76" s="7">
        <v>57.6</v>
      </c>
      <c r="D76" s="7">
        <f t="shared" si="4"/>
        <v>-1.5</v>
      </c>
      <c r="E76" s="7">
        <f t="shared" si="3"/>
        <v>55.800000000000004</v>
      </c>
    </row>
    <row r="77" spans="2:5" x14ac:dyDescent="0.25">
      <c r="B77" s="2">
        <v>43132</v>
      </c>
      <c r="C77" s="7">
        <v>56.2</v>
      </c>
      <c r="D77" s="7">
        <f t="shared" si="4"/>
        <v>-1.3999999999999986</v>
      </c>
      <c r="E77" s="7">
        <f t="shared" si="3"/>
        <v>56.000000000000007</v>
      </c>
    </row>
    <row r="78" spans="2:5" x14ac:dyDescent="0.25">
      <c r="B78" s="2">
        <v>43160</v>
      </c>
      <c r="C78" s="7">
        <v>54.1</v>
      </c>
      <c r="D78" s="7">
        <f t="shared" si="4"/>
        <v>-2.1000000000000014</v>
      </c>
      <c r="E78" s="7">
        <f t="shared" si="3"/>
        <v>56.041666666666679</v>
      </c>
    </row>
    <row r="79" spans="2:5" x14ac:dyDescent="0.25">
      <c r="B79" s="2">
        <v>43191</v>
      </c>
      <c r="C79" s="7">
        <v>55.3</v>
      </c>
      <c r="D79" s="7">
        <f t="shared" si="4"/>
        <v>1.1999999999999957</v>
      </c>
      <c r="E79" s="7">
        <f t="shared" si="3"/>
        <v>56.06666666666667</v>
      </c>
    </row>
    <row r="80" spans="2:5" x14ac:dyDescent="0.25">
      <c r="B80" s="2">
        <v>43221</v>
      </c>
      <c r="C80" s="7">
        <v>55.4</v>
      </c>
      <c r="D80" s="7">
        <f t="shared" si="4"/>
        <v>0.10000000000000142</v>
      </c>
      <c r="E80" s="7">
        <f t="shared" si="3"/>
        <v>56.024999999999999</v>
      </c>
    </row>
    <row r="81" spans="2:5" x14ac:dyDescent="0.25">
      <c r="B81" s="2">
        <v>43252</v>
      </c>
      <c r="C81" s="7">
        <v>56.6</v>
      </c>
      <c r="D81" s="7">
        <f t="shared" si="4"/>
        <v>1.2000000000000028</v>
      </c>
      <c r="E81" s="7">
        <f t="shared" si="3"/>
        <v>56.07500000000001</v>
      </c>
    </row>
    <row r="82" spans="2:5" x14ac:dyDescent="0.25">
      <c r="B82" s="2">
        <v>43282</v>
      </c>
      <c r="C82" s="7">
        <v>56.3</v>
      </c>
      <c r="D82" s="7">
        <f t="shared" si="4"/>
        <v>-0.30000000000000426</v>
      </c>
      <c r="E82" s="7">
        <f t="shared" si="3"/>
        <v>56.216666666666669</v>
      </c>
    </row>
    <row r="83" spans="2:5" x14ac:dyDescent="0.25">
      <c r="B83" s="2">
        <v>43313</v>
      </c>
      <c r="C83" s="7">
        <v>57.5</v>
      </c>
      <c r="D83" s="7">
        <f t="shared" si="4"/>
        <v>1.2000000000000028</v>
      </c>
      <c r="E83" s="7">
        <f t="shared" si="3"/>
        <v>56.333333333333336</v>
      </c>
    </row>
    <row r="84" spans="2:5" x14ac:dyDescent="0.25">
      <c r="B84" s="2">
        <v>43344</v>
      </c>
      <c r="C84" s="7">
        <v>56.3</v>
      </c>
      <c r="D84" s="7">
        <f t="shared" si="4"/>
        <v>-1.2000000000000028</v>
      </c>
      <c r="E84" s="7">
        <f t="shared" si="3"/>
        <v>56.408333333333331</v>
      </c>
    </row>
    <row r="85" spans="2:5" x14ac:dyDescent="0.25">
      <c r="B85" s="2">
        <v>43374</v>
      </c>
      <c r="C85" s="7">
        <v>54.9</v>
      </c>
      <c r="D85" s="7">
        <f t="shared" si="4"/>
        <v>-1.3999999999999986</v>
      </c>
      <c r="E85" s="7">
        <f t="shared" si="3"/>
        <v>56.449999999999996</v>
      </c>
    </row>
    <row r="86" spans="2:5" x14ac:dyDescent="0.25">
      <c r="B86" s="2">
        <v>43405</v>
      </c>
      <c r="C86" s="7">
        <v>55.4</v>
      </c>
      <c r="D86" s="7">
        <f t="shared" si="4"/>
        <v>0.5</v>
      </c>
      <c r="E86" s="7">
        <f t="shared" si="3"/>
        <v>56.224999999999994</v>
      </c>
    </row>
    <row r="87" spans="2:5" x14ac:dyDescent="0.25">
      <c r="B87" s="2">
        <v>43435</v>
      </c>
      <c r="C87" s="7">
        <v>54.5</v>
      </c>
      <c r="D87" s="7">
        <f t="shared" si="4"/>
        <v>-0.89999999999999858</v>
      </c>
      <c r="E87" s="7">
        <f t="shared" si="3"/>
        <v>55.841666666666669</v>
      </c>
    </row>
    <row r="88" spans="2:5" x14ac:dyDescent="0.25">
      <c r="B88" s="2">
        <v>43466</v>
      </c>
      <c r="C88" s="7">
        <v>52.6</v>
      </c>
      <c r="D88" s="7">
        <f t="shared" si="4"/>
        <v>-1.8999999999999986</v>
      </c>
      <c r="E88" s="7">
        <f t="shared" si="3"/>
        <v>55.425000000000004</v>
      </c>
    </row>
    <row r="89" spans="2:5" x14ac:dyDescent="0.25">
      <c r="B89" s="2">
        <v>43497</v>
      </c>
      <c r="C89" s="7">
        <v>54</v>
      </c>
      <c r="D89" s="7">
        <f t="shared" si="4"/>
        <v>1.3999999999999986</v>
      </c>
      <c r="E89" s="7">
        <f t="shared" si="3"/>
        <v>55.241666666666667</v>
      </c>
    </row>
    <row r="90" spans="2:5" x14ac:dyDescent="0.25">
      <c r="B90" s="2">
        <v>43525</v>
      </c>
      <c r="C90" s="7">
        <v>53.9</v>
      </c>
      <c r="D90" s="7">
        <f t="shared" si="4"/>
        <v>-0.10000000000000142</v>
      </c>
      <c r="E90" s="7">
        <f t="shared" si="3"/>
        <v>55.224999999999994</v>
      </c>
    </row>
    <row r="91" spans="2:5" x14ac:dyDescent="0.25">
      <c r="B91" s="2">
        <v>43556</v>
      </c>
      <c r="C91" s="7">
        <v>52.5</v>
      </c>
      <c r="D91" s="7">
        <f t="shared" si="4"/>
        <v>-1.3999999999999986</v>
      </c>
      <c r="E91" s="7">
        <f t="shared" si="3"/>
        <v>54.991666666666667</v>
      </c>
    </row>
    <row r="92" spans="2:5" x14ac:dyDescent="0.25">
      <c r="B92" s="2">
        <v>43586</v>
      </c>
      <c r="C92" s="7">
        <v>50.4</v>
      </c>
      <c r="D92" s="7">
        <f t="shared" si="4"/>
        <v>-2.1000000000000014</v>
      </c>
      <c r="E92" s="7">
        <f t="shared" si="3"/>
        <v>54.574999999999996</v>
      </c>
    </row>
    <row r="93" spans="2:5" x14ac:dyDescent="0.25">
      <c r="B93" s="2">
        <v>43617</v>
      </c>
      <c r="C93" s="7">
        <v>49.8</v>
      </c>
      <c r="D93" s="7">
        <f t="shared" si="4"/>
        <v>-0.60000000000000142</v>
      </c>
      <c r="E93" s="7">
        <f t="shared" si="3"/>
        <v>54.008333333333326</v>
      </c>
    </row>
    <row r="94" spans="2:5" x14ac:dyDescent="0.25">
      <c r="B94" s="2">
        <v>43647</v>
      </c>
      <c r="C94" s="7">
        <v>48.7</v>
      </c>
      <c r="D94" s="7">
        <f t="shared" si="4"/>
        <v>-1.0999999999999943</v>
      </c>
      <c r="E94" s="7">
        <f t="shared" si="3"/>
        <v>53.375</v>
      </c>
    </row>
    <row r="95" spans="2:5" x14ac:dyDescent="0.25">
      <c r="B95" s="2">
        <v>43678</v>
      </c>
      <c r="C95" s="7">
        <v>48.6</v>
      </c>
      <c r="D95" s="7">
        <f t="shared" si="4"/>
        <v>-0.10000000000000142</v>
      </c>
      <c r="E95" s="7">
        <f t="shared" si="3"/>
        <v>52.633333333333333</v>
      </c>
    </row>
    <row r="96" spans="2:5" x14ac:dyDescent="0.25">
      <c r="B96" s="2">
        <v>43709</v>
      </c>
      <c r="C96" s="7">
        <v>48.7</v>
      </c>
      <c r="D96" s="7">
        <f t="shared" si="4"/>
        <v>0.10000000000000142</v>
      </c>
      <c r="E96" s="7">
        <f t="shared" si="3"/>
        <v>52</v>
      </c>
    </row>
    <row r="97" spans="2:5" x14ac:dyDescent="0.25">
      <c r="B97" s="2">
        <v>43739</v>
      </c>
      <c r="C97" s="7">
        <v>50.7</v>
      </c>
      <c r="D97" s="7">
        <f t="shared" si="4"/>
        <v>2</v>
      </c>
      <c r="E97" s="7">
        <f t="shared" si="3"/>
        <v>51.650000000000006</v>
      </c>
    </row>
    <row r="98" spans="2:5" x14ac:dyDescent="0.25">
      <c r="B98" s="2">
        <v>43770</v>
      </c>
      <c r="C98" s="7">
        <v>49.7</v>
      </c>
      <c r="D98" s="7">
        <f t="shared" si="4"/>
        <v>-1</v>
      </c>
      <c r="E98" s="7">
        <f t="shared" si="3"/>
        <v>51.175000000000011</v>
      </c>
    </row>
    <row r="99" spans="2:5" x14ac:dyDescent="0.25">
      <c r="B99" s="2">
        <v>43800</v>
      </c>
      <c r="C99" s="7">
        <v>49.5</v>
      </c>
      <c r="D99" s="7">
        <f t="shared" ref="D99" si="5">C99-C98</f>
        <v>-0.20000000000000284</v>
      </c>
      <c r="E99" s="7">
        <f t="shared" ref="E99" si="6">IF(ROW(A99)&lt;13,"",AVERAGEIFS($C$2:$C$5000,$B$2:$B$5000,"&gt;"&amp;EDATE(B99,-12),$B$2:$B$5000,"&lt;="&amp;B99))</f>
        <v>50.758333333333333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G205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0</v>
      </c>
      <c r="G2" s="44">
        <f>INDEX(Israel[12 Mth Rolling Avg.],ROWS(Israel[12 Mth Rolling Avg.]),1)</f>
        <v>51.22307692307691</v>
      </c>
    </row>
    <row r="3" spans="1:7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7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7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7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7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7" x14ac:dyDescent="0.25">
      <c r="B9" s="2">
        <v>37834</v>
      </c>
      <c r="C9" s="7">
        <v>41.1</v>
      </c>
      <c r="D9" s="7">
        <f t="shared" si="1"/>
        <v>-11.699999999999996</v>
      </c>
      <c r="E9" s="7" t="str">
        <f t="shared" si="0"/>
        <v/>
      </c>
    </row>
    <row r="10" spans="1:7" x14ac:dyDescent="0.25">
      <c r="B10" s="2">
        <v>37865</v>
      </c>
      <c r="C10" s="7">
        <v>47.6</v>
      </c>
      <c r="D10" s="7">
        <f t="shared" si="1"/>
        <v>6.5</v>
      </c>
      <c r="E10" s="7" t="str">
        <f t="shared" si="0"/>
        <v/>
      </c>
    </row>
    <row r="11" spans="1:7" x14ac:dyDescent="0.25">
      <c r="B11" s="2">
        <v>37895</v>
      </c>
      <c r="C11" s="7">
        <v>48.5</v>
      </c>
      <c r="D11" s="7">
        <f t="shared" si="1"/>
        <v>0.89999999999999858</v>
      </c>
      <c r="E11" s="7" t="str">
        <f t="shared" si="0"/>
        <v/>
      </c>
    </row>
    <row r="12" spans="1:7" x14ac:dyDescent="0.25">
      <c r="B12" s="2">
        <v>37926</v>
      </c>
      <c r="C12" s="7">
        <v>49.4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37956</v>
      </c>
      <c r="C13" s="7">
        <v>50.1</v>
      </c>
      <c r="D13" s="7">
        <f t="shared" si="1"/>
        <v>0.70000000000000284</v>
      </c>
      <c r="E13" s="7">
        <f t="shared" si="0"/>
        <v>46.827272727272728</v>
      </c>
    </row>
    <row r="14" spans="1:7" x14ac:dyDescent="0.25">
      <c r="B14" s="2">
        <v>37987</v>
      </c>
      <c r="C14" s="7">
        <v>51.3</v>
      </c>
      <c r="D14" s="7">
        <f t="shared" si="1"/>
        <v>1.1999999999999957</v>
      </c>
      <c r="E14" s="7">
        <f t="shared" si="0"/>
        <v>47.218181818181819</v>
      </c>
    </row>
    <row r="15" spans="1:7" x14ac:dyDescent="0.25">
      <c r="B15" s="2">
        <v>38018</v>
      </c>
      <c r="C15" s="7">
        <v>55.5</v>
      </c>
      <c r="D15" s="7">
        <f t="shared" si="1"/>
        <v>4.2000000000000028</v>
      </c>
      <c r="E15" s="7">
        <f t="shared" si="0"/>
        <v>48</v>
      </c>
    </row>
    <row r="16" spans="1:7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49.245454545454542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50.109090909090916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50.927272727272729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52.154545454545456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52.141666666666673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52.92499999999999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53.375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54.125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54.4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54.708333333333336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2">
        <v>43770</v>
      </c>
      <c r="C204" s="7">
        <v>52.8</v>
      </c>
      <c r="D204" s="7">
        <f t="shared" si="7"/>
        <v>1</v>
      </c>
      <c r="E204" s="7">
        <f t="shared" si="6"/>
        <v>51.22307692307691</v>
      </c>
    </row>
    <row r="205" spans="2:5" x14ac:dyDescent="0.25">
      <c r="B205" s="2">
        <v>43770</v>
      </c>
      <c r="C205" s="7">
        <v>52.8</v>
      </c>
      <c r="D205" s="7">
        <f t="shared" ref="D205" si="8">C205-C204</f>
        <v>0</v>
      </c>
      <c r="E205" s="7">
        <f t="shared" ref="E205" si="9">IF(ROW(A205)&lt;13,"",AVERAGEIFS($C$2:$C$5000,$B$2:$B$5000,"&gt;"&amp;EDATE(B205,-12),$B$2:$B$5000,"&lt;="&amp;B205))</f>
        <v>51.22307692307691</v>
      </c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G97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40909</v>
      </c>
      <c r="C2" s="7">
        <v>48.2</v>
      </c>
      <c r="E2" s="7" t="str">
        <f t="shared" ref="E2:E33" si="0">IF(ROW(A2)&lt;13,"",AVERAGEIFS($C$2:$C$5000,$B$2:$B$5000,"&gt;"&amp;EDATE(B2,-12),$B$2:$B$5000,"&lt;="&amp;B2))</f>
        <v/>
      </c>
      <c r="F2" s="13">
        <f>INDEX(Italy[% Change],ROWS(Italy[% Change]),1)</f>
        <v>-1.3999999999999986</v>
      </c>
      <c r="G2" s="44">
        <f>INDEX(Italy[12 Mth Rolling Avg.],ROWS(Italy[12 Mth Rolling Avg.]),1)</f>
        <v>48.050000000000004</v>
      </c>
    </row>
    <row r="3" spans="1:7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</row>
    <row r="4" spans="1:7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</row>
    <row r="5" spans="1:7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</row>
    <row r="7" spans="1:7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</row>
    <row r="8" spans="1:7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</row>
    <row r="9" spans="1:7" x14ac:dyDescent="0.25">
      <c r="B9" s="2">
        <v>41122</v>
      </c>
      <c r="C9" s="7">
        <v>53.1</v>
      </c>
      <c r="D9" s="7">
        <f t="shared" si="1"/>
        <v>5.5</v>
      </c>
      <c r="E9" s="7" t="str">
        <f t="shared" si="0"/>
        <v/>
      </c>
    </row>
    <row r="10" spans="1:7" x14ac:dyDescent="0.25">
      <c r="B10" s="2">
        <v>41153</v>
      </c>
      <c r="C10" s="7">
        <v>53.9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41183</v>
      </c>
      <c r="C11" s="7">
        <v>50.9</v>
      </c>
      <c r="D11" s="7">
        <f t="shared" si="1"/>
        <v>-3</v>
      </c>
      <c r="E11" s="7" t="str">
        <f t="shared" si="0"/>
        <v/>
      </c>
    </row>
    <row r="12" spans="1:7" x14ac:dyDescent="0.25">
      <c r="B12" s="2">
        <v>41214</v>
      </c>
      <c r="C12" s="7">
        <v>51.8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41244</v>
      </c>
      <c r="C13" s="7">
        <v>52.1</v>
      </c>
      <c r="D13" s="7">
        <f t="shared" si="1"/>
        <v>0.30000000000000426</v>
      </c>
      <c r="E13" s="7">
        <f t="shared" si="0"/>
        <v>50.746363636363633</v>
      </c>
    </row>
    <row r="14" spans="1:7" x14ac:dyDescent="0.25">
      <c r="B14" s="2">
        <v>41275</v>
      </c>
      <c r="C14" s="7">
        <v>52.4</v>
      </c>
      <c r="D14" s="7">
        <f t="shared" si="1"/>
        <v>0.29999999999999716</v>
      </c>
      <c r="E14" s="7">
        <f t="shared" si="0"/>
        <v>51.128181818181815</v>
      </c>
    </row>
    <row r="15" spans="1:7" x14ac:dyDescent="0.25">
      <c r="B15" s="2">
        <v>41306</v>
      </c>
      <c r="C15" s="7">
        <v>51.4</v>
      </c>
      <c r="D15" s="7">
        <f t="shared" si="1"/>
        <v>-1</v>
      </c>
      <c r="E15" s="7">
        <f t="shared" si="0"/>
        <v>51.281818181818181</v>
      </c>
    </row>
    <row r="16" spans="1:7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51.3</v>
      </c>
    </row>
    <row r="17" spans="2:5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51.563636363636355</v>
      </c>
    </row>
    <row r="18" spans="2:5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51.590909090909093</v>
      </c>
    </row>
    <row r="19" spans="2:5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51.272727272727273</v>
      </c>
    </row>
    <row r="20" spans="2:5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51.141666666666673</v>
      </c>
    </row>
    <row r="21" spans="2:5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51.050000000000004</v>
      </c>
    </row>
    <row r="22" spans="2:5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50.95000000000001</v>
      </c>
    </row>
    <row r="23" spans="2:5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51.283333333333331</v>
      </c>
    </row>
    <row r="24" spans="2:5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51.333333333333336</v>
      </c>
    </row>
    <row r="25" spans="2:5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51.43333333333333</v>
      </c>
    </row>
    <row r="26" spans="2:5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</row>
    <row r="27" spans="2:5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</row>
    <row r="28" spans="2:5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</row>
    <row r="29" spans="2:5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</row>
    <row r="30" spans="2:5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</row>
    <row r="31" spans="2:5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</row>
    <row r="32" spans="2:5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</row>
    <row r="33" spans="2:5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</row>
    <row r="34" spans="2:5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ref="E34:E65" si="2">IF(ROW(A34)&lt;13,"",AVERAGEIFS($C$2:$C$5000,$B$2:$B$5000,"&gt;"&amp;EDATE(B34,-12),$B$2:$B$5000,"&lt;="&amp;B34))</f>
        <v>52.550000000000004</v>
      </c>
    </row>
    <row r="35" spans="2:5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2"/>
        <v>52.05833333333333</v>
      </c>
    </row>
    <row r="36" spans="2:5" x14ac:dyDescent="0.25">
      <c r="B36" s="2">
        <v>41944</v>
      </c>
      <c r="C36" s="7">
        <v>49</v>
      </c>
      <c r="D36" s="7">
        <f t="shared" si="1"/>
        <v>0</v>
      </c>
      <c r="E36" s="7">
        <f t="shared" si="2"/>
        <v>51.775000000000006</v>
      </c>
    </row>
    <row r="37" spans="2:5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2"/>
        <v>51.366666666666667</v>
      </c>
    </row>
    <row r="38" spans="2:5" x14ac:dyDescent="0.25">
      <c r="B38" s="2">
        <v>42005</v>
      </c>
      <c r="C38" s="7">
        <v>49.9</v>
      </c>
      <c r="D38" s="7">
        <f t="shared" si="1"/>
        <v>1.5</v>
      </c>
      <c r="E38" s="7">
        <f t="shared" si="2"/>
        <v>51.099999999999994</v>
      </c>
    </row>
    <row r="39" spans="2:5" x14ac:dyDescent="0.25">
      <c r="B39" s="2">
        <v>42036</v>
      </c>
      <c r="C39" s="7">
        <v>51.9</v>
      </c>
      <c r="D39" s="7">
        <f t="shared" si="1"/>
        <v>2</v>
      </c>
      <c r="E39" s="7">
        <f t="shared" si="2"/>
        <v>51.066666666666663</v>
      </c>
    </row>
    <row r="40" spans="2:5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2"/>
        <v>51.141666666666659</v>
      </c>
    </row>
    <row r="41" spans="2:5" x14ac:dyDescent="0.25">
      <c r="B41" s="2">
        <v>42095</v>
      </c>
      <c r="C41" s="7">
        <v>53.8</v>
      </c>
      <c r="D41" s="7">
        <f t="shared" si="1"/>
        <v>0.5</v>
      </c>
      <c r="E41" s="7">
        <f t="shared" si="2"/>
        <v>51.124999999999993</v>
      </c>
    </row>
    <row r="42" spans="2:5" x14ac:dyDescent="0.25">
      <c r="B42" s="2">
        <v>42125</v>
      </c>
      <c r="C42" s="7">
        <v>54.8</v>
      </c>
      <c r="D42" s="7">
        <f t="shared" si="1"/>
        <v>1</v>
      </c>
      <c r="E42" s="7">
        <f t="shared" si="2"/>
        <v>51.258333333333326</v>
      </c>
    </row>
    <row r="43" spans="2:5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2"/>
        <v>51.383333333333326</v>
      </c>
    </row>
    <row r="44" spans="2:5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2"/>
        <v>51.666666666666664</v>
      </c>
    </row>
    <row r="45" spans="2:5" x14ac:dyDescent="0.25">
      <c r="B45" s="2">
        <v>42217</v>
      </c>
      <c r="C45" s="7">
        <v>53.8</v>
      </c>
      <c r="D45" s="7">
        <f t="shared" si="1"/>
        <v>-1.5</v>
      </c>
      <c r="E45" s="7">
        <f t="shared" si="2"/>
        <v>51.999999999999993</v>
      </c>
    </row>
    <row r="46" spans="2:5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2"/>
        <v>52.166666666666664</v>
      </c>
    </row>
    <row r="47" spans="2:5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2"/>
        <v>52.591666666666676</v>
      </c>
    </row>
    <row r="48" spans="2:5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2"/>
        <v>53.083333333333343</v>
      </c>
    </row>
    <row r="49" spans="2:5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2"/>
        <v>53.683333333333337</v>
      </c>
    </row>
    <row r="50" spans="2:5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2"/>
        <v>53.958333333333343</v>
      </c>
    </row>
    <row r="51" spans="2:5" x14ac:dyDescent="0.25">
      <c r="B51" s="2">
        <v>42401</v>
      </c>
      <c r="C51" s="7">
        <v>52.2</v>
      </c>
      <c r="D51" s="7">
        <f t="shared" si="1"/>
        <v>-1</v>
      </c>
      <c r="E51" s="7">
        <f t="shared" si="2"/>
        <v>53.983333333333341</v>
      </c>
    </row>
    <row r="52" spans="2:5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2"/>
        <v>54.000000000000007</v>
      </c>
    </row>
    <row r="53" spans="2:5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2"/>
        <v>54.008333333333333</v>
      </c>
    </row>
    <row r="54" spans="2:5" x14ac:dyDescent="0.25">
      <c r="B54" s="2">
        <v>42491</v>
      </c>
      <c r="C54" s="7">
        <v>52.4</v>
      </c>
      <c r="D54" s="7">
        <f t="shared" si="1"/>
        <v>-1.5</v>
      </c>
      <c r="E54" s="7">
        <f t="shared" si="2"/>
        <v>53.80833333333333</v>
      </c>
    </row>
    <row r="55" spans="2:5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2"/>
        <v>53.758333333333333</v>
      </c>
    </row>
    <row r="56" spans="2:5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2"/>
        <v>53.416666666666664</v>
      </c>
    </row>
    <row r="57" spans="2:5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2"/>
        <v>53.083333333333336</v>
      </c>
    </row>
    <row r="58" spans="2:5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2"/>
        <v>52.941666666666663</v>
      </c>
    </row>
    <row r="59" spans="2:5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2"/>
        <v>52.67499999999999</v>
      </c>
    </row>
    <row r="60" spans="2:5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2"/>
        <v>52.449999999999996</v>
      </c>
    </row>
    <row r="61" spans="2:5" x14ac:dyDescent="0.25">
      <c r="B61" s="2">
        <v>42705</v>
      </c>
      <c r="C61" s="7">
        <v>53.2</v>
      </c>
      <c r="D61" s="7">
        <f t="shared" si="1"/>
        <v>1</v>
      </c>
      <c r="E61" s="7">
        <f t="shared" si="2"/>
        <v>52.250000000000007</v>
      </c>
    </row>
    <row r="62" spans="2:5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2"/>
        <v>52.233333333333341</v>
      </c>
    </row>
    <row r="63" spans="2:5" x14ac:dyDescent="0.25">
      <c r="B63" s="2">
        <v>42767</v>
      </c>
      <c r="C63" s="7">
        <v>55</v>
      </c>
      <c r="D63" s="7">
        <f t="shared" si="1"/>
        <v>2</v>
      </c>
      <c r="E63" s="7">
        <f t="shared" si="2"/>
        <v>52.466666666666669</v>
      </c>
    </row>
    <row r="64" spans="2:5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2"/>
        <v>52.65</v>
      </c>
    </row>
    <row r="65" spans="2:5" x14ac:dyDescent="0.25">
      <c r="B65" s="2">
        <v>42826</v>
      </c>
      <c r="C65" s="7">
        <v>56.2</v>
      </c>
      <c r="D65" s="7">
        <f t="shared" si="1"/>
        <v>0.5</v>
      </c>
      <c r="E65" s="7">
        <f t="shared" si="2"/>
        <v>52.841666666666676</v>
      </c>
    </row>
    <row r="66" spans="2:5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3">IF(ROW(A66)&lt;13,"",AVERAGEIFS($C$2:$C$5000,$B$2:$B$5000,"&gt;"&amp;EDATE(B66,-12),$B$2:$B$5000,"&lt;="&amp;B66))</f>
        <v>53.06666666666667</v>
      </c>
    </row>
    <row r="67" spans="2:5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3"/>
        <v>53.208333333333343</v>
      </c>
    </row>
    <row r="68" spans="2:5" x14ac:dyDescent="0.25">
      <c r="B68" s="2">
        <v>42917</v>
      </c>
      <c r="C68" s="7">
        <v>55.1</v>
      </c>
      <c r="D68" s="7">
        <f t="shared" ref="D68:D96" si="4">C68-C67</f>
        <v>-0.10000000000000142</v>
      </c>
      <c r="E68" s="7">
        <f t="shared" si="3"/>
        <v>53.533333333333331</v>
      </c>
    </row>
    <row r="69" spans="2:5" x14ac:dyDescent="0.25">
      <c r="B69" s="2">
        <v>42948</v>
      </c>
      <c r="C69" s="7">
        <v>56.3</v>
      </c>
      <c r="D69" s="7">
        <f t="shared" si="4"/>
        <v>1.1999999999999957</v>
      </c>
      <c r="E69" s="7">
        <f t="shared" si="3"/>
        <v>54.074999999999996</v>
      </c>
    </row>
    <row r="70" spans="2:5" x14ac:dyDescent="0.25">
      <c r="B70" s="2">
        <v>42979</v>
      </c>
      <c r="C70" s="7">
        <v>56.3</v>
      </c>
      <c r="D70" s="7">
        <f t="shared" si="4"/>
        <v>0</v>
      </c>
      <c r="E70" s="7">
        <f t="shared" si="3"/>
        <v>54.516666666666659</v>
      </c>
    </row>
    <row r="71" spans="2:5" x14ac:dyDescent="0.25">
      <c r="B71" s="2">
        <v>43009</v>
      </c>
      <c r="C71" s="7">
        <v>57.8</v>
      </c>
      <c r="D71" s="7">
        <f t="shared" si="4"/>
        <v>1.5</v>
      </c>
      <c r="E71" s="7">
        <f t="shared" si="3"/>
        <v>55.091666666666661</v>
      </c>
    </row>
    <row r="72" spans="2:5" x14ac:dyDescent="0.25">
      <c r="B72" s="2">
        <v>43040</v>
      </c>
      <c r="C72" s="7">
        <v>58.3</v>
      </c>
      <c r="D72" s="7">
        <f t="shared" si="4"/>
        <v>0.5</v>
      </c>
      <c r="E72" s="7">
        <f t="shared" si="3"/>
        <v>55.599999999999994</v>
      </c>
    </row>
    <row r="73" spans="2:5" x14ac:dyDescent="0.25">
      <c r="B73" s="2">
        <v>43070</v>
      </c>
      <c r="C73" s="7">
        <v>57.4</v>
      </c>
      <c r="D73" s="7">
        <f t="shared" si="4"/>
        <v>-0.89999999999999858</v>
      </c>
      <c r="E73" s="7">
        <f t="shared" si="3"/>
        <v>55.949999999999996</v>
      </c>
    </row>
    <row r="74" spans="2:5" x14ac:dyDescent="0.25">
      <c r="B74" s="2">
        <v>43101</v>
      </c>
      <c r="C74" s="7">
        <v>59</v>
      </c>
      <c r="D74" s="7">
        <f t="shared" si="4"/>
        <v>1.6000000000000014</v>
      </c>
      <c r="E74" s="7">
        <f t="shared" si="3"/>
        <v>56.449999999999996</v>
      </c>
    </row>
    <row r="75" spans="2:5" x14ac:dyDescent="0.25">
      <c r="B75" s="2">
        <v>43132</v>
      </c>
      <c r="C75" s="7">
        <v>56.8</v>
      </c>
      <c r="D75" s="7">
        <f t="shared" si="4"/>
        <v>-2.2000000000000028</v>
      </c>
      <c r="E75" s="7">
        <f t="shared" si="3"/>
        <v>56.6</v>
      </c>
    </row>
    <row r="76" spans="2:5" x14ac:dyDescent="0.25">
      <c r="B76" s="2">
        <v>43160</v>
      </c>
      <c r="C76" s="7">
        <v>55.1</v>
      </c>
      <c r="D76" s="7">
        <f t="shared" si="4"/>
        <v>-1.6999999999999957</v>
      </c>
      <c r="E76" s="7">
        <f t="shared" si="3"/>
        <v>56.550000000000004</v>
      </c>
    </row>
    <row r="77" spans="2:5" x14ac:dyDescent="0.25">
      <c r="B77" s="2">
        <v>43191</v>
      </c>
      <c r="C77" s="7">
        <v>53.5</v>
      </c>
      <c r="D77" s="7">
        <f t="shared" si="4"/>
        <v>-1.6000000000000014</v>
      </c>
      <c r="E77" s="7">
        <f t="shared" si="3"/>
        <v>56.324999999999996</v>
      </c>
    </row>
    <row r="78" spans="2:5" x14ac:dyDescent="0.25">
      <c r="B78" s="2">
        <v>43221</v>
      </c>
      <c r="C78" s="7">
        <v>52.7</v>
      </c>
      <c r="D78" s="7">
        <f t="shared" si="4"/>
        <v>-0.79999999999999716</v>
      </c>
      <c r="E78" s="7">
        <f t="shared" si="3"/>
        <v>56.125000000000007</v>
      </c>
    </row>
    <row r="79" spans="2:5" x14ac:dyDescent="0.25">
      <c r="B79" s="2">
        <v>43252</v>
      </c>
      <c r="C79" s="7">
        <v>53.3</v>
      </c>
      <c r="D79" s="7">
        <f t="shared" si="4"/>
        <v>0.59999999999999432</v>
      </c>
      <c r="E79" s="7">
        <f t="shared" si="3"/>
        <v>55.966666666666669</v>
      </c>
    </row>
    <row r="80" spans="2:5" x14ac:dyDescent="0.25">
      <c r="B80" s="2">
        <v>43282</v>
      </c>
      <c r="C80" s="7">
        <v>51.5</v>
      </c>
      <c r="D80" s="7">
        <f t="shared" si="4"/>
        <v>-1.7999999999999972</v>
      </c>
      <c r="E80" s="7">
        <f t="shared" si="3"/>
        <v>55.666666666666664</v>
      </c>
    </row>
    <row r="81" spans="2:5" x14ac:dyDescent="0.25">
      <c r="B81" s="2">
        <v>43313</v>
      </c>
      <c r="C81" s="7">
        <v>50.1</v>
      </c>
      <c r="D81" s="7">
        <f t="shared" si="4"/>
        <v>-1.3999999999999986</v>
      </c>
      <c r="E81" s="7">
        <f t="shared" si="3"/>
        <v>55.15</v>
      </c>
    </row>
    <row r="82" spans="2:5" x14ac:dyDescent="0.25">
      <c r="B82" s="2">
        <v>43344</v>
      </c>
      <c r="C82" s="7">
        <v>50</v>
      </c>
      <c r="D82" s="7">
        <f t="shared" si="4"/>
        <v>-0.10000000000000142</v>
      </c>
      <c r="E82" s="7">
        <f t="shared" si="3"/>
        <v>54.625000000000007</v>
      </c>
    </row>
    <row r="83" spans="2:5" x14ac:dyDescent="0.25">
      <c r="B83" s="2">
        <v>43374</v>
      </c>
      <c r="C83" s="7">
        <v>49.2</v>
      </c>
      <c r="D83" s="7">
        <f t="shared" si="4"/>
        <v>-0.79999999999999716</v>
      </c>
      <c r="E83" s="7">
        <f t="shared" si="3"/>
        <v>53.908333333333339</v>
      </c>
    </row>
    <row r="84" spans="2:5" x14ac:dyDescent="0.25">
      <c r="B84" s="2">
        <v>43405</v>
      </c>
      <c r="C84" s="7">
        <v>48.6</v>
      </c>
      <c r="D84" s="7">
        <f t="shared" si="4"/>
        <v>-0.60000000000000142</v>
      </c>
      <c r="E84" s="7">
        <f t="shared" si="3"/>
        <v>53.1</v>
      </c>
    </row>
    <row r="85" spans="2:5" x14ac:dyDescent="0.25">
      <c r="B85" s="2">
        <v>43435</v>
      </c>
      <c r="C85" s="7">
        <v>49.2</v>
      </c>
      <c r="D85" s="7">
        <f t="shared" si="4"/>
        <v>0.60000000000000142</v>
      </c>
      <c r="E85" s="7">
        <f t="shared" si="3"/>
        <v>52.416666666666679</v>
      </c>
    </row>
    <row r="86" spans="2:5" x14ac:dyDescent="0.25">
      <c r="B86" s="2">
        <v>43466</v>
      </c>
      <c r="C86" s="7">
        <v>47.8</v>
      </c>
      <c r="D86" s="7">
        <f t="shared" si="4"/>
        <v>-1.4000000000000057</v>
      </c>
      <c r="E86" s="7">
        <f t="shared" si="3"/>
        <v>51.483333333333341</v>
      </c>
    </row>
    <row r="87" spans="2:5" x14ac:dyDescent="0.25">
      <c r="B87" s="2">
        <v>43497</v>
      </c>
      <c r="C87" s="7">
        <v>47.7</v>
      </c>
      <c r="D87" s="7">
        <f t="shared" si="4"/>
        <v>-9.9999999999994316E-2</v>
      </c>
      <c r="E87" s="7">
        <f t="shared" si="3"/>
        <v>50.725000000000001</v>
      </c>
    </row>
    <row r="88" spans="2:5" x14ac:dyDescent="0.25">
      <c r="B88" s="2">
        <v>43525</v>
      </c>
      <c r="C88" s="7">
        <v>47.4</v>
      </c>
      <c r="D88" s="7">
        <f t="shared" si="4"/>
        <v>-0.30000000000000426</v>
      </c>
      <c r="E88" s="7">
        <f t="shared" si="3"/>
        <v>50.083333333333336</v>
      </c>
    </row>
    <row r="89" spans="2:5" x14ac:dyDescent="0.25">
      <c r="B89" s="2">
        <v>43556</v>
      </c>
      <c r="C89" s="7">
        <v>49.1</v>
      </c>
      <c r="D89" s="7">
        <f t="shared" si="4"/>
        <v>1.7000000000000028</v>
      </c>
      <c r="E89" s="7">
        <f t="shared" si="3"/>
        <v>49.716666666666669</v>
      </c>
    </row>
    <row r="90" spans="2:5" x14ac:dyDescent="0.25">
      <c r="B90" s="2">
        <v>43586</v>
      </c>
      <c r="C90" s="7">
        <v>49.7</v>
      </c>
      <c r="D90" s="7">
        <f t="shared" si="4"/>
        <v>0.60000000000000142</v>
      </c>
      <c r="E90" s="7">
        <f t="shared" si="3"/>
        <v>49.466666666666669</v>
      </c>
    </row>
    <row r="91" spans="2:5" x14ac:dyDescent="0.25">
      <c r="B91" s="2">
        <v>43617</v>
      </c>
      <c r="C91" s="7">
        <v>48.4</v>
      </c>
      <c r="D91" s="7">
        <f t="shared" si="4"/>
        <v>-1.3000000000000043</v>
      </c>
      <c r="E91" s="7">
        <f t="shared" si="3"/>
        <v>49.058333333333337</v>
      </c>
    </row>
    <row r="92" spans="2:5" x14ac:dyDescent="0.25">
      <c r="B92" s="2">
        <v>43647</v>
      </c>
      <c r="C92" s="7">
        <v>48.5</v>
      </c>
      <c r="D92" s="7">
        <f t="shared" si="4"/>
        <v>0.10000000000000142</v>
      </c>
      <c r="E92" s="7">
        <f t="shared" si="3"/>
        <v>48.808333333333337</v>
      </c>
    </row>
    <row r="93" spans="2:5" x14ac:dyDescent="0.25">
      <c r="B93" s="2">
        <v>43678</v>
      </c>
      <c r="C93" s="7">
        <v>48.7</v>
      </c>
      <c r="D93" s="7">
        <f t="shared" si="4"/>
        <v>0.20000000000000284</v>
      </c>
      <c r="E93" s="7">
        <f t="shared" si="3"/>
        <v>48.691666666666663</v>
      </c>
    </row>
    <row r="94" spans="2:5" x14ac:dyDescent="0.25">
      <c r="B94" s="2">
        <v>43709</v>
      </c>
      <c r="C94" s="7">
        <v>47.8</v>
      </c>
      <c r="D94" s="7">
        <f t="shared" si="4"/>
        <v>-0.90000000000000568</v>
      </c>
      <c r="E94" s="7">
        <f t="shared" si="3"/>
        <v>48.508333333333326</v>
      </c>
    </row>
    <row r="95" spans="2:5" x14ac:dyDescent="0.25">
      <c r="B95" s="2">
        <v>43739</v>
      </c>
      <c r="C95" s="7">
        <v>47.7</v>
      </c>
      <c r="D95" s="7">
        <f t="shared" si="4"/>
        <v>-9.9999999999994316E-2</v>
      </c>
      <c r="E95" s="7">
        <f t="shared" si="3"/>
        <v>48.383333333333333</v>
      </c>
    </row>
    <row r="96" spans="2:5" x14ac:dyDescent="0.25">
      <c r="B96" s="2">
        <v>43770</v>
      </c>
      <c r="C96" s="7">
        <v>47.6</v>
      </c>
      <c r="D96" s="7">
        <f t="shared" si="4"/>
        <v>-0.10000000000000142</v>
      </c>
      <c r="E96" s="7">
        <f t="shared" si="3"/>
        <v>48.300000000000004</v>
      </c>
    </row>
    <row r="97" spans="2:5" x14ac:dyDescent="0.25">
      <c r="B97" s="2">
        <v>43800</v>
      </c>
      <c r="C97" s="7">
        <v>46.2</v>
      </c>
      <c r="D97" s="7">
        <f t="shared" ref="D97" si="5">C97-C96</f>
        <v>-1.3999999999999986</v>
      </c>
      <c r="E97" s="7">
        <f t="shared" ref="E97" si="6">IF(ROW(A97)&lt;13,"",AVERAGEIFS($C$2:$C$5000,$B$2:$B$5000,"&gt;"&amp;EDATE(B97,-12),$B$2:$B$5000,"&lt;="&amp;B97))</f>
        <v>48.050000000000004</v>
      </c>
    </row>
  </sheetData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G146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>
        <v>50.8</v>
      </c>
      <c r="E2" s="7" t="str">
        <f t="shared" ref="E2:E33" si="0">IF(ROW(A2)&lt;13,"",AVERAGEIFS($C$2:$C$5000,$B$2:$B$5000,"&gt;"&amp;EDATE(B2,-12),$B$2:$B$5000,"&lt;="&amp;B2))</f>
        <v/>
      </c>
      <c r="F2" s="32">
        <f>INDEX(Japan[% Change],ROWS(Japan[% Change]),1)</f>
        <v>-0.39999999999999858</v>
      </c>
      <c r="G2" s="44">
        <f>INDEX(Japan[12 Mth Rolling Avg.],ROWS(Japan[12 Mth Rolling Avg.]),1)</f>
        <v>49.2153846153846</v>
      </c>
    </row>
    <row r="3" spans="1:7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</row>
    <row r="4" spans="1:7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</row>
    <row r="7" spans="1:7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</row>
    <row r="9" spans="1:7" x14ac:dyDescent="0.25">
      <c r="B9" s="2">
        <v>39661</v>
      </c>
      <c r="C9">
        <v>46.5</v>
      </c>
      <c r="D9" s="7">
        <f t="shared" si="1"/>
        <v>-1.2000000000000028</v>
      </c>
      <c r="E9" s="7" t="str">
        <f t="shared" si="0"/>
        <v/>
      </c>
    </row>
    <row r="10" spans="1:7" x14ac:dyDescent="0.25">
      <c r="B10" s="2">
        <v>39692</v>
      </c>
      <c r="C10">
        <v>46.9</v>
      </c>
      <c r="D10" s="7">
        <f t="shared" si="1"/>
        <v>0.39999999999999858</v>
      </c>
      <c r="E10" s="7" t="str">
        <f t="shared" si="0"/>
        <v/>
      </c>
    </row>
    <row r="11" spans="1:7" x14ac:dyDescent="0.25">
      <c r="B11" s="2">
        <v>39722</v>
      </c>
      <c r="C11">
        <v>44.3</v>
      </c>
      <c r="D11" s="7">
        <f t="shared" si="1"/>
        <v>-2.6000000000000014</v>
      </c>
      <c r="E11" s="7" t="str">
        <f t="shared" si="0"/>
        <v/>
      </c>
    </row>
    <row r="12" spans="1:7" x14ac:dyDescent="0.25">
      <c r="B12" s="2">
        <v>39753</v>
      </c>
      <c r="C12">
        <v>42.2</v>
      </c>
      <c r="D12" s="7">
        <f t="shared" si="1"/>
        <v>-2.0999999999999943</v>
      </c>
      <c r="E12" s="7" t="str">
        <f t="shared" si="0"/>
        <v/>
      </c>
    </row>
    <row r="13" spans="1:7" x14ac:dyDescent="0.25">
      <c r="B13" s="2">
        <v>39783</v>
      </c>
      <c r="C13">
        <v>36.700000000000003</v>
      </c>
      <c r="D13" s="7">
        <f t="shared" si="1"/>
        <v>-5.5</v>
      </c>
      <c r="E13" s="7">
        <f t="shared" si="0"/>
        <v>47.383333333333333</v>
      </c>
    </row>
    <row r="14" spans="1:7" x14ac:dyDescent="0.25">
      <c r="B14" s="2">
        <v>39814</v>
      </c>
      <c r="C14">
        <v>30.8</v>
      </c>
      <c r="D14" s="7">
        <f t="shared" si="1"/>
        <v>-5.9000000000000021</v>
      </c>
      <c r="E14" s="7">
        <f t="shared" si="0"/>
        <v>45.716666666666661</v>
      </c>
    </row>
    <row r="15" spans="1:7" x14ac:dyDescent="0.25">
      <c r="B15" s="2">
        <v>39845</v>
      </c>
      <c r="C15">
        <v>29.6</v>
      </c>
      <c r="D15" s="7">
        <f t="shared" si="1"/>
        <v>-1.1999999999999993</v>
      </c>
      <c r="E15" s="7">
        <f t="shared" si="0"/>
        <v>43.824999999999996</v>
      </c>
    </row>
    <row r="16" spans="1:7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42.1</v>
      </c>
    </row>
    <row r="17" spans="2:5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40.683333333333337</v>
      </c>
    </row>
    <row r="18" spans="2:5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40.008333333333333</v>
      </c>
    </row>
    <row r="19" spans="2:5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39.841666666666669</v>
      </c>
    </row>
    <row r="20" spans="2:5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39.883333333333333</v>
      </c>
    </row>
    <row r="21" spans="2:5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40.208333333333329</v>
      </c>
    </row>
    <row r="22" spans="2:5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40.766666666666666</v>
      </c>
    </row>
    <row r="23" spans="2:5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41.616666666666667</v>
      </c>
    </row>
    <row r="24" spans="2:5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42.625</v>
      </c>
    </row>
    <row r="25" spans="2:5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43.925000000000004</v>
      </c>
    </row>
    <row r="26" spans="2:5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</row>
    <row r="27" spans="2:5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</row>
    <row r="28" spans="2:5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</row>
    <row r="29" spans="2:5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</row>
    <row r="30" spans="2:5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</row>
    <row r="31" spans="2:5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</row>
    <row r="32" spans="2:5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</row>
    <row r="33" spans="2:5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</row>
    <row r="34" spans="2:5" x14ac:dyDescent="0.25">
      <c r="B34" s="2">
        <v>40422</v>
      </c>
      <c r="C34">
        <v>49.5</v>
      </c>
      <c r="D34" s="7">
        <f t="shared" si="1"/>
        <v>-0.60000000000000142</v>
      </c>
      <c r="E34" s="7">
        <f t="shared" ref="E34:E65" si="2">IF(ROW(A34)&lt;13,"",AVERAGEIFS($C$2:$C$5000,$B$2:$B$5000,"&gt;"&amp;EDATE(B34,-12),$B$2:$B$5000,"&lt;="&amp;B34))</f>
        <v>52.974999999999994</v>
      </c>
    </row>
    <row r="35" spans="2:5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2"/>
        <v>52.366666666666667</v>
      </c>
    </row>
    <row r="36" spans="2:5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2"/>
        <v>51.783333333333331</v>
      </c>
    </row>
    <row r="37" spans="2:5" x14ac:dyDescent="0.25">
      <c r="B37" s="2">
        <v>40513</v>
      </c>
      <c r="C37">
        <v>48.3</v>
      </c>
      <c r="D37" s="7">
        <f t="shared" si="1"/>
        <v>1</v>
      </c>
      <c r="E37" s="7">
        <f t="shared" si="2"/>
        <v>51.449999999999996</v>
      </c>
    </row>
    <row r="38" spans="2:5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2"/>
        <v>51.249999999999993</v>
      </c>
    </row>
    <row r="39" spans="2:5" x14ac:dyDescent="0.25">
      <c r="B39" s="2">
        <v>40575</v>
      </c>
      <c r="C39">
        <v>52.9</v>
      </c>
      <c r="D39" s="7">
        <f t="shared" si="1"/>
        <v>1.5</v>
      </c>
      <c r="E39" s="7">
        <f t="shared" si="2"/>
        <v>51.283333333333331</v>
      </c>
    </row>
    <row r="40" spans="2:5" x14ac:dyDescent="0.25">
      <c r="B40" s="2">
        <v>40603</v>
      </c>
      <c r="C40">
        <v>46.4</v>
      </c>
      <c r="D40" s="7">
        <f t="shared" si="1"/>
        <v>-6.5</v>
      </c>
      <c r="E40" s="7">
        <f t="shared" si="2"/>
        <v>50.666666666666664</v>
      </c>
    </row>
    <row r="41" spans="2:5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2"/>
        <v>50.016666666666673</v>
      </c>
    </row>
    <row r="42" spans="2:5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2"/>
        <v>49.733333333333327</v>
      </c>
    </row>
    <row r="43" spans="2:5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2"/>
        <v>49.466666666666669</v>
      </c>
    </row>
    <row r="44" spans="2:5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2"/>
        <v>49.408333333333331</v>
      </c>
    </row>
    <row r="45" spans="2:5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2"/>
        <v>49.55833333333333</v>
      </c>
    </row>
    <row r="46" spans="2:5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2"/>
        <v>49.541666666666664</v>
      </c>
    </row>
    <row r="47" spans="2:5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2"/>
        <v>49.824999999999996</v>
      </c>
    </row>
    <row r="48" spans="2:5" x14ac:dyDescent="0.25">
      <c r="B48" s="2">
        <v>40848</v>
      </c>
      <c r="C48">
        <v>49.1</v>
      </c>
      <c r="D48" s="7">
        <f t="shared" si="1"/>
        <v>-1.5</v>
      </c>
      <c r="E48" s="7">
        <f t="shared" si="2"/>
        <v>49.975000000000001</v>
      </c>
    </row>
    <row r="49" spans="2:5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2"/>
        <v>50.133333333333333</v>
      </c>
    </row>
    <row r="50" spans="2:5" x14ac:dyDescent="0.25">
      <c r="B50" s="2">
        <v>40909</v>
      </c>
      <c r="C50">
        <v>50.7</v>
      </c>
      <c r="D50" s="7">
        <f t="shared" si="1"/>
        <v>0.5</v>
      </c>
      <c r="E50" s="7">
        <f t="shared" si="2"/>
        <v>50.07500000000001</v>
      </c>
    </row>
    <row r="51" spans="2:5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2"/>
        <v>49.875</v>
      </c>
    </row>
    <row r="52" spans="2:5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2"/>
        <v>50.266666666666673</v>
      </c>
    </row>
    <row r="53" spans="2:5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2"/>
        <v>50.683333333333337</v>
      </c>
    </row>
    <row r="54" spans="2:5" x14ac:dyDescent="0.25">
      <c r="B54" s="2">
        <v>41030</v>
      </c>
      <c r="C54">
        <v>50.7</v>
      </c>
      <c r="D54" s="7">
        <f t="shared" si="1"/>
        <v>0</v>
      </c>
      <c r="E54" s="7">
        <f t="shared" si="2"/>
        <v>50.633333333333333</v>
      </c>
    </row>
    <row r="55" spans="2:5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2"/>
        <v>50.566666666666663</v>
      </c>
    </row>
    <row r="56" spans="2:5" x14ac:dyDescent="0.25">
      <c r="B56" s="2">
        <v>41091</v>
      </c>
      <c r="C56">
        <v>47.9</v>
      </c>
      <c r="D56" s="7">
        <f t="shared" si="1"/>
        <v>-2</v>
      </c>
      <c r="E56" s="7">
        <f t="shared" si="2"/>
        <v>50.216666666666661</v>
      </c>
    </row>
    <row r="57" spans="2:5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2"/>
        <v>49.866666666666667</v>
      </c>
    </row>
    <row r="58" spans="2:5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2"/>
        <v>49.758333333333333</v>
      </c>
    </row>
    <row r="59" spans="2:5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2"/>
        <v>49.449999999999996</v>
      </c>
    </row>
    <row r="60" spans="2:5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2"/>
        <v>49.233333333333327</v>
      </c>
    </row>
    <row r="61" spans="2:5" x14ac:dyDescent="0.25">
      <c r="B61" s="2">
        <v>41244</v>
      </c>
      <c r="C61">
        <v>45</v>
      </c>
      <c r="D61" s="7">
        <f t="shared" si="1"/>
        <v>-1.5</v>
      </c>
      <c r="E61" s="7">
        <f t="shared" si="2"/>
        <v>48.79999999999999</v>
      </c>
    </row>
    <row r="62" spans="2:5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2"/>
        <v>48.550000000000004</v>
      </c>
    </row>
    <row r="63" spans="2:5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2"/>
        <v>48.383333333333333</v>
      </c>
    </row>
    <row r="64" spans="2:5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2"/>
        <v>48.324999999999996</v>
      </c>
    </row>
    <row r="65" spans="2:5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2"/>
        <v>48.358333333333327</v>
      </c>
    </row>
    <row r="66" spans="2:5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97" si="3">IF(ROW(A66)&lt;13,"",AVERAGEIFS($C$2:$C$5000,$B$2:$B$5000,"&gt;"&amp;EDATE(B66,-12),$B$2:$B$5000,"&lt;="&amp;B66))</f>
        <v>48.42499999999999</v>
      </c>
    </row>
    <row r="67" spans="2:5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3"/>
        <v>48.625</v>
      </c>
    </row>
    <row r="68" spans="2:5" x14ac:dyDescent="0.25">
      <c r="B68" s="2">
        <v>41456</v>
      </c>
      <c r="C68">
        <v>50.7</v>
      </c>
      <c r="D68" s="7">
        <f t="shared" ref="D68:D101" si="4">C68-C67</f>
        <v>-1.5999999999999943</v>
      </c>
      <c r="E68" s="7">
        <f t="shared" si="3"/>
        <v>48.858333333333341</v>
      </c>
    </row>
    <row r="69" spans="2:5" x14ac:dyDescent="0.25">
      <c r="B69" s="2">
        <v>41487</v>
      </c>
      <c r="C69">
        <v>52.2</v>
      </c>
      <c r="D69" s="7">
        <f t="shared" si="4"/>
        <v>1.5</v>
      </c>
      <c r="E69" s="7">
        <f t="shared" si="3"/>
        <v>49.233333333333341</v>
      </c>
    </row>
    <row r="70" spans="2:5" x14ac:dyDescent="0.25">
      <c r="B70" s="2">
        <v>41518</v>
      </c>
      <c r="C70">
        <v>52.5</v>
      </c>
      <c r="D70" s="7">
        <f t="shared" si="4"/>
        <v>0.29999999999999716</v>
      </c>
      <c r="E70" s="7">
        <f t="shared" si="3"/>
        <v>49.608333333333341</v>
      </c>
    </row>
    <row r="71" spans="2:5" x14ac:dyDescent="0.25">
      <c r="B71" s="2">
        <v>41548</v>
      </c>
      <c r="C71">
        <v>54.2</v>
      </c>
      <c r="D71" s="7">
        <f t="shared" si="4"/>
        <v>1.7000000000000028</v>
      </c>
      <c r="E71" s="7">
        <f t="shared" si="3"/>
        <v>50.216666666666669</v>
      </c>
    </row>
    <row r="72" spans="2:5" x14ac:dyDescent="0.25">
      <c r="B72" s="2">
        <v>41579</v>
      </c>
      <c r="C72">
        <v>55.1</v>
      </c>
      <c r="D72" s="7">
        <f t="shared" si="4"/>
        <v>0.89999999999999858</v>
      </c>
      <c r="E72" s="7">
        <f t="shared" si="3"/>
        <v>50.933333333333337</v>
      </c>
    </row>
    <row r="73" spans="2:5" x14ac:dyDescent="0.25">
      <c r="B73" s="2">
        <v>41609</v>
      </c>
      <c r="C73">
        <v>55.2</v>
      </c>
      <c r="D73" s="7">
        <f t="shared" si="4"/>
        <v>0.10000000000000142</v>
      </c>
      <c r="E73" s="7">
        <f t="shared" si="3"/>
        <v>51.783333333333331</v>
      </c>
    </row>
    <row r="74" spans="2:5" x14ac:dyDescent="0.25">
      <c r="B74" s="2">
        <v>41640</v>
      </c>
      <c r="C74">
        <v>56.2</v>
      </c>
      <c r="D74" s="7">
        <f t="shared" si="4"/>
        <v>1</v>
      </c>
      <c r="E74" s="7">
        <f t="shared" si="3"/>
        <v>52.491666666666674</v>
      </c>
    </row>
    <row r="75" spans="2:5" x14ac:dyDescent="0.25">
      <c r="B75" s="2">
        <v>41671</v>
      </c>
      <c r="C75">
        <v>55.5</v>
      </c>
      <c r="D75" s="7">
        <f t="shared" si="4"/>
        <v>-0.70000000000000284</v>
      </c>
      <c r="E75" s="7">
        <f t="shared" si="3"/>
        <v>53.07500000000001</v>
      </c>
    </row>
    <row r="76" spans="2:5" x14ac:dyDescent="0.25">
      <c r="B76" s="2">
        <v>41699</v>
      </c>
      <c r="C76">
        <v>53.9</v>
      </c>
      <c r="D76" s="7">
        <f t="shared" si="4"/>
        <v>-1.6000000000000014</v>
      </c>
      <c r="E76" s="7">
        <f t="shared" si="3"/>
        <v>53.366666666666667</v>
      </c>
    </row>
    <row r="77" spans="2:5" x14ac:dyDescent="0.25">
      <c r="B77" s="2">
        <v>41730</v>
      </c>
      <c r="C77">
        <v>49.4</v>
      </c>
      <c r="D77" s="7">
        <f t="shared" si="4"/>
        <v>-4.5</v>
      </c>
      <c r="E77" s="7">
        <f t="shared" si="3"/>
        <v>53.224999999999994</v>
      </c>
    </row>
    <row r="78" spans="2:5" x14ac:dyDescent="0.25">
      <c r="B78" s="2">
        <v>41760</v>
      </c>
      <c r="C78">
        <v>49.9</v>
      </c>
      <c r="D78" s="7">
        <f t="shared" si="4"/>
        <v>0.5</v>
      </c>
      <c r="E78" s="7">
        <f t="shared" si="3"/>
        <v>53.091666666666661</v>
      </c>
    </row>
    <row r="79" spans="2:5" x14ac:dyDescent="0.25">
      <c r="B79" s="2">
        <v>41791</v>
      </c>
      <c r="C79">
        <v>51.5</v>
      </c>
      <c r="D79" s="7">
        <f t="shared" si="4"/>
        <v>1.6000000000000014</v>
      </c>
      <c r="E79" s="7">
        <f t="shared" si="3"/>
        <v>53.024999999999999</v>
      </c>
    </row>
    <row r="80" spans="2:5" x14ac:dyDescent="0.25">
      <c r="B80" s="2">
        <v>41821</v>
      </c>
      <c r="C80">
        <v>50.5</v>
      </c>
      <c r="D80" s="7">
        <f t="shared" si="4"/>
        <v>-1</v>
      </c>
      <c r="E80" s="7">
        <f t="shared" si="3"/>
        <v>53.008333333333326</v>
      </c>
    </row>
    <row r="81" spans="2:5" x14ac:dyDescent="0.25">
      <c r="B81" s="2">
        <v>41852</v>
      </c>
      <c r="C81">
        <v>52.2</v>
      </c>
      <c r="D81" s="7">
        <f t="shared" si="4"/>
        <v>1.7000000000000028</v>
      </c>
      <c r="E81" s="7">
        <f t="shared" si="3"/>
        <v>53.008333333333326</v>
      </c>
    </row>
    <row r="82" spans="2:5" x14ac:dyDescent="0.25">
      <c r="B82" s="2">
        <v>41883</v>
      </c>
      <c r="C82">
        <v>51.7</v>
      </c>
      <c r="D82" s="7">
        <f t="shared" si="4"/>
        <v>-0.5</v>
      </c>
      <c r="E82" s="7">
        <f t="shared" si="3"/>
        <v>52.941666666666663</v>
      </c>
    </row>
    <row r="83" spans="2:5" x14ac:dyDescent="0.25">
      <c r="B83" s="2">
        <v>41913</v>
      </c>
      <c r="C83">
        <v>52.4</v>
      </c>
      <c r="D83" s="7">
        <f t="shared" si="4"/>
        <v>0.69999999999999574</v>
      </c>
      <c r="E83" s="7">
        <f t="shared" si="3"/>
        <v>52.791666666666664</v>
      </c>
    </row>
    <row r="84" spans="2:5" x14ac:dyDescent="0.25">
      <c r="B84" s="2">
        <v>41944</v>
      </c>
      <c r="C84">
        <v>52</v>
      </c>
      <c r="D84" s="7">
        <f t="shared" si="4"/>
        <v>-0.39999999999999858</v>
      </c>
      <c r="E84" s="7">
        <f t="shared" si="3"/>
        <v>52.533333333333331</v>
      </c>
    </row>
    <row r="85" spans="2:5" x14ac:dyDescent="0.25">
      <c r="B85" s="2">
        <v>41974</v>
      </c>
      <c r="C85">
        <v>52</v>
      </c>
      <c r="D85" s="7">
        <f t="shared" si="4"/>
        <v>0</v>
      </c>
      <c r="E85" s="7">
        <f t="shared" si="3"/>
        <v>52.266666666666659</v>
      </c>
    </row>
    <row r="86" spans="2:5" x14ac:dyDescent="0.25">
      <c r="B86" s="2">
        <v>42005</v>
      </c>
      <c r="C86">
        <v>52.2</v>
      </c>
      <c r="D86" s="7">
        <f t="shared" si="4"/>
        <v>0.20000000000000284</v>
      </c>
      <c r="E86" s="7">
        <f t="shared" si="3"/>
        <v>51.933333333333337</v>
      </c>
    </row>
    <row r="87" spans="2:5" x14ac:dyDescent="0.25">
      <c r="B87" s="2">
        <v>42036</v>
      </c>
      <c r="C87">
        <v>51.6</v>
      </c>
      <c r="D87" s="7">
        <f t="shared" si="4"/>
        <v>-0.60000000000000142</v>
      </c>
      <c r="E87" s="7">
        <f t="shared" si="3"/>
        <v>51.608333333333341</v>
      </c>
    </row>
    <row r="88" spans="2:5" x14ac:dyDescent="0.25">
      <c r="B88" s="2">
        <v>42064</v>
      </c>
      <c r="C88">
        <v>50.3</v>
      </c>
      <c r="D88" s="7">
        <f t="shared" si="4"/>
        <v>-1.3000000000000043</v>
      </c>
      <c r="E88" s="7">
        <f t="shared" si="3"/>
        <v>51.30833333333333</v>
      </c>
    </row>
    <row r="89" spans="2:5" x14ac:dyDescent="0.25">
      <c r="B89" s="2">
        <v>42095</v>
      </c>
      <c r="C89">
        <v>49.9</v>
      </c>
      <c r="D89" s="7">
        <f t="shared" si="4"/>
        <v>-0.39999999999999858</v>
      </c>
      <c r="E89" s="7">
        <f t="shared" si="3"/>
        <v>51.349999999999994</v>
      </c>
    </row>
    <row r="90" spans="2:5" x14ac:dyDescent="0.25">
      <c r="B90" s="2">
        <v>42125</v>
      </c>
      <c r="C90">
        <v>50.9</v>
      </c>
      <c r="D90" s="7">
        <f t="shared" si="4"/>
        <v>1</v>
      </c>
      <c r="E90" s="7">
        <f t="shared" si="3"/>
        <v>51.43333333333333</v>
      </c>
    </row>
    <row r="91" spans="2:5" x14ac:dyDescent="0.25">
      <c r="B91" s="2">
        <v>42156</v>
      </c>
      <c r="C91">
        <v>50.1</v>
      </c>
      <c r="D91" s="7">
        <f t="shared" si="4"/>
        <v>-0.79999999999999716</v>
      </c>
      <c r="E91" s="7">
        <f t="shared" si="3"/>
        <v>51.31666666666667</v>
      </c>
    </row>
    <row r="92" spans="2:5" x14ac:dyDescent="0.25">
      <c r="B92" s="2">
        <v>42186</v>
      </c>
      <c r="C92">
        <v>51.2</v>
      </c>
      <c r="D92" s="7">
        <f t="shared" si="4"/>
        <v>1.1000000000000014</v>
      </c>
      <c r="E92" s="7">
        <f t="shared" si="3"/>
        <v>51.375000000000007</v>
      </c>
    </row>
    <row r="93" spans="2:5" x14ac:dyDescent="0.25">
      <c r="B93" s="2">
        <v>42217</v>
      </c>
      <c r="C93">
        <v>51.7</v>
      </c>
      <c r="D93" s="7">
        <f t="shared" si="4"/>
        <v>0.5</v>
      </c>
      <c r="E93" s="7">
        <f t="shared" si="3"/>
        <v>51.333333333333343</v>
      </c>
    </row>
    <row r="94" spans="2:5" x14ac:dyDescent="0.25">
      <c r="B94" s="2">
        <v>42248</v>
      </c>
      <c r="C94">
        <v>51</v>
      </c>
      <c r="D94" s="7">
        <f t="shared" si="4"/>
        <v>-0.70000000000000284</v>
      </c>
      <c r="E94" s="7">
        <f t="shared" si="3"/>
        <v>51.275000000000006</v>
      </c>
    </row>
    <row r="95" spans="2:5" x14ac:dyDescent="0.25">
      <c r="B95" s="2">
        <v>42278</v>
      </c>
      <c r="C95">
        <v>52.4</v>
      </c>
      <c r="D95" s="7">
        <f t="shared" si="4"/>
        <v>1.3999999999999986</v>
      </c>
      <c r="E95" s="7">
        <f t="shared" si="3"/>
        <v>51.274999999999984</v>
      </c>
    </row>
    <row r="96" spans="2:5" x14ac:dyDescent="0.25">
      <c r="B96" s="2">
        <v>42309</v>
      </c>
      <c r="C96">
        <v>52.6</v>
      </c>
      <c r="D96" s="7">
        <f t="shared" si="4"/>
        <v>0.20000000000000284</v>
      </c>
      <c r="E96" s="7">
        <f t="shared" si="3"/>
        <v>51.324999999999996</v>
      </c>
    </row>
    <row r="97" spans="2:5" x14ac:dyDescent="0.25">
      <c r="B97" s="2">
        <v>42339</v>
      </c>
      <c r="C97">
        <v>52.6</v>
      </c>
      <c r="D97" s="7">
        <f t="shared" si="4"/>
        <v>0</v>
      </c>
      <c r="E97" s="7">
        <f t="shared" si="3"/>
        <v>51.375</v>
      </c>
    </row>
    <row r="98" spans="2:5" x14ac:dyDescent="0.25">
      <c r="B98" s="2">
        <v>42370</v>
      </c>
      <c r="C98">
        <v>52.3</v>
      </c>
      <c r="D98" s="7">
        <f t="shared" si="4"/>
        <v>-0.30000000000000426</v>
      </c>
      <c r="E98" s="7">
        <f t="shared" ref="E98:E129" si="5">IF(ROW(A98)&lt;13,"",AVERAGEIFS($C$2:$C$5000,$B$2:$B$5000,"&gt;"&amp;EDATE(B98,-12),$B$2:$B$5000,"&lt;="&amp;B98))</f>
        <v>51.383333333333326</v>
      </c>
    </row>
    <row r="99" spans="2:5" x14ac:dyDescent="0.25">
      <c r="B99" s="2">
        <v>42401</v>
      </c>
      <c r="C99">
        <v>50.1</v>
      </c>
      <c r="D99" s="7">
        <f t="shared" si="4"/>
        <v>-2.1999999999999957</v>
      </c>
      <c r="E99" s="7">
        <f t="shared" si="5"/>
        <v>51.258333333333326</v>
      </c>
    </row>
    <row r="100" spans="2:5" x14ac:dyDescent="0.25">
      <c r="B100" s="2">
        <v>42430</v>
      </c>
      <c r="C100">
        <v>49.1</v>
      </c>
      <c r="D100" s="7">
        <f t="shared" si="4"/>
        <v>-1</v>
      </c>
      <c r="E100" s="7">
        <f t="shared" si="5"/>
        <v>51.158333333333339</v>
      </c>
    </row>
    <row r="101" spans="2:5" x14ac:dyDescent="0.25">
      <c r="B101" s="2">
        <v>42461</v>
      </c>
      <c r="C101">
        <v>48.2</v>
      </c>
      <c r="D101" s="7">
        <f t="shared" si="4"/>
        <v>-0.89999999999999858</v>
      </c>
      <c r="E101" s="7">
        <f t="shared" si="5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6">C102-C101</f>
        <v>-0.5</v>
      </c>
      <c r="E102" s="7">
        <f t="shared" si="5"/>
        <v>50.750000000000007</v>
      </c>
    </row>
    <row r="103" spans="2:5" x14ac:dyDescent="0.25">
      <c r="B103" s="2">
        <v>42522</v>
      </c>
      <c r="C103">
        <v>48.1</v>
      </c>
      <c r="D103" s="7">
        <f t="shared" si="6"/>
        <v>0.39999999999999858</v>
      </c>
      <c r="E103" s="7">
        <f t="shared" si="5"/>
        <v>50.583333333333343</v>
      </c>
    </row>
    <row r="104" spans="2:5" x14ac:dyDescent="0.25">
      <c r="B104" s="2">
        <v>42552</v>
      </c>
      <c r="C104">
        <v>50.1</v>
      </c>
      <c r="D104" s="7">
        <f t="shared" si="6"/>
        <v>2</v>
      </c>
      <c r="E104" s="7">
        <f t="shared" si="5"/>
        <v>50.491666666666674</v>
      </c>
    </row>
    <row r="105" spans="2:5" x14ac:dyDescent="0.25">
      <c r="B105" s="2">
        <v>42583</v>
      </c>
      <c r="C105">
        <v>50.3</v>
      </c>
      <c r="D105" s="7">
        <f t="shared" si="6"/>
        <v>0.19999999999999574</v>
      </c>
      <c r="E105" s="7">
        <f t="shared" si="5"/>
        <v>50.375</v>
      </c>
    </row>
    <row r="106" spans="2:5" x14ac:dyDescent="0.25">
      <c r="B106" s="2">
        <v>42614</v>
      </c>
      <c r="C106">
        <v>50.4</v>
      </c>
      <c r="D106" s="7">
        <f t="shared" si="6"/>
        <v>0.10000000000000142</v>
      </c>
      <c r="E106" s="7">
        <f t="shared" si="5"/>
        <v>50.324999999999996</v>
      </c>
    </row>
    <row r="107" spans="2:5" x14ac:dyDescent="0.25">
      <c r="B107" s="2">
        <v>42644</v>
      </c>
      <c r="C107">
        <v>51.4</v>
      </c>
      <c r="D107" s="7">
        <f t="shared" si="6"/>
        <v>1</v>
      </c>
      <c r="E107" s="7">
        <f t="shared" si="5"/>
        <v>50.241666666666667</v>
      </c>
    </row>
    <row r="108" spans="2:5" x14ac:dyDescent="0.25">
      <c r="B108" s="2">
        <v>42675</v>
      </c>
      <c r="C108">
        <v>51.3</v>
      </c>
      <c r="D108" s="7">
        <f t="shared" si="6"/>
        <v>-0.10000000000000142</v>
      </c>
      <c r="E108" s="7">
        <f t="shared" si="5"/>
        <v>50.133333333333333</v>
      </c>
    </row>
    <row r="109" spans="2:5" x14ac:dyDescent="0.25">
      <c r="B109" s="2">
        <v>42705</v>
      </c>
      <c r="C109">
        <v>52.4</v>
      </c>
      <c r="D109" s="7">
        <f t="shared" si="6"/>
        <v>1.1000000000000014</v>
      </c>
      <c r="E109" s="7">
        <f t="shared" si="5"/>
        <v>50.116666666666667</v>
      </c>
    </row>
    <row r="110" spans="2:5" x14ac:dyDescent="0.25">
      <c r="B110" s="2">
        <v>42736</v>
      </c>
      <c r="C110">
        <v>52.7</v>
      </c>
      <c r="D110" s="7">
        <f t="shared" si="6"/>
        <v>0.30000000000000426</v>
      </c>
      <c r="E110" s="7">
        <f t="shared" si="5"/>
        <v>50.150000000000006</v>
      </c>
    </row>
    <row r="111" spans="2:5" x14ac:dyDescent="0.25">
      <c r="B111" s="2">
        <v>42767</v>
      </c>
      <c r="C111">
        <v>53.3</v>
      </c>
      <c r="D111" s="7">
        <f t="shared" si="6"/>
        <v>0.59999999999999432</v>
      </c>
      <c r="E111" s="7">
        <f t="shared" si="5"/>
        <v>50.416666666666657</v>
      </c>
    </row>
    <row r="112" spans="2:5" x14ac:dyDescent="0.25">
      <c r="B112" s="2">
        <v>42795</v>
      </c>
      <c r="C112">
        <v>52.4</v>
      </c>
      <c r="D112" s="7">
        <f t="shared" si="6"/>
        <v>-0.89999999999999858</v>
      </c>
      <c r="E112" s="7">
        <f t="shared" si="5"/>
        <v>50.691666666666656</v>
      </c>
    </row>
    <row r="113" spans="2:5" x14ac:dyDescent="0.25">
      <c r="B113" s="2">
        <v>42826</v>
      </c>
      <c r="C113">
        <v>52.7</v>
      </c>
      <c r="D113" s="7">
        <f t="shared" si="6"/>
        <v>0.30000000000000426</v>
      </c>
      <c r="E113" s="7">
        <f t="shared" si="5"/>
        <v>51.06666666666667</v>
      </c>
    </row>
    <row r="114" spans="2:5" x14ac:dyDescent="0.25">
      <c r="B114" s="2">
        <v>42856</v>
      </c>
      <c r="C114">
        <v>53.1</v>
      </c>
      <c r="D114" s="7">
        <f t="shared" si="6"/>
        <v>0.39999999999999858</v>
      </c>
      <c r="E114" s="7">
        <f t="shared" si="5"/>
        <v>51.516666666666673</v>
      </c>
    </row>
    <row r="115" spans="2:5" x14ac:dyDescent="0.25">
      <c r="B115" s="2">
        <v>42887</v>
      </c>
      <c r="C115">
        <v>52.4</v>
      </c>
      <c r="D115" s="7">
        <f t="shared" si="6"/>
        <v>-0.70000000000000284</v>
      </c>
      <c r="E115" s="7">
        <f t="shared" si="5"/>
        <v>51.875</v>
      </c>
    </row>
    <row r="116" spans="2:5" x14ac:dyDescent="0.25">
      <c r="B116" s="2">
        <v>42917</v>
      </c>
      <c r="C116">
        <v>52.1</v>
      </c>
      <c r="D116" s="7">
        <f t="shared" si="6"/>
        <v>-0.29999999999999716</v>
      </c>
      <c r="E116" s="7">
        <f t="shared" si="5"/>
        <v>52.041666666666664</v>
      </c>
    </row>
    <row r="117" spans="2:5" x14ac:dyDescent="0.25">
      <c r="B117" s="2">
        <v>42948</v>
      </c>
      <c r="C117">
        <v>52.2</v>
      </c>
      <c r="D117" s="7">
        <f t="shared" si="6"/>
        <v>0.10000000000000142</v>
      </c>
      <c r="E117" s="7">
        <f t="shared" si="5"/>
        <v>52.20000000000001</v>
      </c>
    </row>
    <row r="118" spans="2:5" x14ac:dyDescent="0.25">
      <c r="B118" s="2">
        <v>42979</v>
      </c>
      <c r="C118">
        <v>52.9</v>
      </c>
      <c r="D118" s="7">
        <f t="shared" si="6"/>
        <v>0.69999999999999574</v>
      </c>
      <c r="E118" s="7">
        <f t="shared" si="5"/>
        <v>52.408333333333331</v>
      </c>
    </row>
    <row r="119" spans="2:5" x14ac:dyDescent="0.25">
      <c r="B119" s="2">
        <v>43009</v>
      </c>
      <c r="C119">
        <v>52.8</v>
      </c>
      <c r="D119" s="7">
        <f t="shared" si="6"/>
        <v>-0.10000000000000142</v>
      </c>
      <c r="E119" s="7">
        <f t="shared" si="5"/>
        <v>52.524999999999999</v>
      </c>
    </row>
    <row r="120" spans="2:5" x14ac:dyDescent="0.25">
      <c r="B120" s="2">
        <v>43040</v>
      </c>
      <c r="C120">
        <v>53.6</v>
      </c>
      <c r="D120" s="7">
        <f t="shared" si="6"/>
        <v>0.80000000000000426</v>
      </c>
      <c r="E120" s="7">
        <f t="shared" si="5"/>
        <v>52.716666666666669</v>
      </c>
    </row>
    <row r="121" spans="2:5" x14ac:dyDescent="0.25">
      <c r="B121" s="2">
        <v>43070</v>
      </c>
      <c r="C121">
        <v>54</v>
      </c>
      <c r="D121" s="7">
        <f t="shared" si="6"/>
        <v>0.39999999999999858</v>
      </c>
      <c r="E121" s="7">
        <f t="shared" si="5"/>
        <v>52.85</v>
      </c>
    </row>
    <row r="122" spans="2:5" x14ac:dyDescent="0.25">
      <c r="B122" s="2">
        <v>43101</v>
      </c>
      <c r="C122">
        <v>54.8</v>
      </c>
      <c r="D122" s="7">
        <f t="shared" si="6"/>
        <v>0.79999999999999716</v>
      </c>
      <c r="E122" s="7">
        <f t="shared" si="5"/>
        <v>53.024999999999999</v>
      </c>
    </row>
    <row r="123" spans="2:5" x14ac:dyDescent="0.25">
      <c r="B123" s="2">
        <v>43132</v>
      </c>
      <c r="C123">
        <v>54.1</v>
      </c>
      <c r="D123" s="7">
        <f t="shared" si="6"/>
        <v>-0.69999999999999574</v>
      </c>
      <c r="E123" s="7">
        <f t="shared" si="5"/>
        <v>53.091666666666669</v>
      </c>
    </row>
    <row r="124" spans="2:5" x14ac:dyDescent="0.25">
      <c r="B124" s="2">
        <v>43160</v>
      </c>
      <c r="C124">
        <v>53.1</v>
      </c>
      <c r="D124" s="7">
        <f t="shared" si="6"/>
        <v>-1</v>
      </c>
      <c r="E124" s="7">
        <f t="shared" si="5"/>
        <v>53.150000000000006</v>
      </c>
    </row>
    <row r="125" spans="2:5" x14ac:dyDescent="0.25">
      <c r="B125" s="2">
        <v>43191</v>
      </c>
      <c r="C125">
        <v>53.8</v>
      </c>
      <c r="D125" s="7">
        <f t="shared" si="6"/>
        <v>0.69999999999999574</v>
      </c>
      <c r="E125" s="7">
        <f t="shared" si="5"/>
        <v>53.241666666666667</v>
      </c>
    </row>
    <row r="126" spans="2:5" x14ac:dyDescent="0.25">
      <c r="B126" s="2">
        <v>43221</v>
      </c>
      <c r="C126">
        <v>52.8</v>
      </c>
      <c r="D126" s="7">
        <f t="shared" si="6"/>
        <v>-1</v>
      </c>
      <c r="E126" s="7">
        <f t="shared" si="5"/>
        <v>53.216666666666661</v>
      </c>
    </row>
    <row r="127" spans="2:5" x14ac:dyDescent="0.25">
      <c r="B127" s="2">
        <v>43252</v>
      </c>
      <c r="C127">
        <v>53</v>
      </c>
      <c r="D127" s="7">
        <f t="shared" si="6"/>
        <v>0.20000000000000284</v>
      </c>
      <c r="E127" s="7">
        <f t="shared" si="5"/>
        <v>53.266666666666673</v>
      </c>
    </row>
    <row r="128" spans="2:5" x14ac:dyDescent="0.25">
      <c r="B128" s="2">
        <v>43282</v>
      </c>
      <c r="C128">
        <v>52.3</v>
      </c>
      <c r="D128" s="7">
        <f t="shared" si="6"/>
        <v>-0.70000000000000284</v>
      </c>
      <c r="E128" s="7">
        <f t="shared" si="5"/>
        <v>53.283333333333331</v>
      </c>
    </row>
    <row r="129" spans="2:5" x14ac:dyDescent="0.25">
      <c r="B129" s="2">
        <v>43313</v>
      </c>
      <c r="C129">
        <v>52.5</v>
      </c>
      <c r="D129" s="7">
        <f t="shared" si="6"/>
        <v>0.20000000000000284</v>
      </c>
      <c r="E129" s="7">
        <f t="shared" si="5"/>
        <v>53.308333333333337</v>
      </c>
    </row>
    <row r="130" spans="2:5" x14ac:dyDescent="0.25">
      <c r="B130" s="2">
        <v>43344</v>
      </c>
      <c r="C130">
        <v>52.5</v>
      </c>
      <c r="D130" s="7">
        <f t="shared" si="6"/>
        <v>0</v>
      </c>
      <c r="E130" s="7">
        <f t="shared" ref="E130:E145" si="7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6"/>
        <v>0.39999999999999858</v>
      </c>
      <c r="E131" s="7">
        <f t="shared" si="7"/>
        <v>53.283333333333331</v>
      </c>
    </row>
    <row r="132" spans="2:5" x14ac:dyDescent="0.25">
      <c r="B132" s="2">
        <v>43405</v>
      </c>
      <c r="C132">
        <v>52.2</v>
      </c>
      <c r="D132" s="7">
        <f t="shared" si="6"/>
        <v>-0.69999999999999574</v>
      </c>
      <c r="E132" s="7">
        <f t="shared" si="7"/>
        <v>53.166666666666679</v>
      </c>
    </row>
    <row r="133" spans="2:5" x14ac:dyDescent="0.25">
      <c r="B133" s="2">
        <v>43435</v>
      </c>
      <c r="C133">
        <v>52.6</v>
      </c>
      <c r="D133" s="7">
        <f t="shared" si="6"/>
        <v>0.39999999999999858</v>
      </c>
      <c r="E133" s="7">
        <f t="shared" si="7"/>
        <v>53.050000000000011</v>
      </c>
    </row>
    <row r="134" spans="2:5" x14ac:dyDescent="0.25">
      <c r="B134" s="2">
        <v>43466</v>
      </c>
      <c r="C134">
        <v>50.3</v>
      </c>
      <c r="D134" s="7">
        <f t="shared" si="6"/>
        <v>-2.3000000000000043</v>
      </c>
      <c r="E134" s="7">
        <f t="shared" si="7"/>
        <v>52.675000000000004</v>
      </c>
    </row>
    <row r="135" spans="2:5" x14ac:dyDescent="0.25">
      <c r="B135" s="2">
        <v>43497</v>
      </c>
      <c r="C135">
        <v>48.9</v>
      </c>
      <c r="D135" s="7">
        <f t="shared" si="6"/>
        <v>-1.3999999999999986</v>
      </c>
      <c r="E135" s="7">
        <f t="shared" si="7"/>
        <v>52.241666666666653</v>
      </c>
    </row>
    <row r="136" spans="2:5" x14ac:dyDescent="0.25">
      <c r="B136" s="2">
        <v>43525</v>
      </c>
      <c r="C136">
        <v>49.2</v>
      </c>
      <c r="D136" s="7">
        <f t="shared" si="6"/>
        <v>0.30000000000000426</v>
      </c>
      <c r="E136" s="7">
        <f t="shared" si="7"/>
        <v>51.916666666666664</v>
      </c>
    </row>
    <row r="137" spans="2:5" x14ac:dyDescent="0.25">
      <c r="B137" s="2">
        <v>43556</v>
      </c>
      <c r="C137">
        <v>50.2</v>
      </c>
      <c r="D137" s="7">
        <f t="shared" si="6"/>
        <v>1</v>
      </c>
      <c r="E137" s="7">
        <f t="shared" si="7"/>
        <v>51.616666666666674</v>
      </c>
    </row>
    <row r="138" spans="2:5" x14ac:dyDescent="0.25">
      <c r="B138" s="2">
        <v>43586</v>
      </c>
      <c r="C138">
        <v>49.8</v>
      </c>
      <c r="D138" s="7">
        <f t="shared" si="6"/>
        <v>-0.40000000000000568</v>
      </c>
      <c r="E138" s="7">
        <f t="shared" si="7"/>
        <v>51.366666666666667</v>
      </c>
    </row>
    <row r="139" spans="2:5" x14ac:dyDescent="0.25">
      <c r="B139" s="2">
        <v>43617</v>
      </c>
      <c r="C139">
        <v>49.3</v>
      </c>
      <c r="D139" s="7">
        <f t="shared" si="6"/>
        <v>-0.5</v>
      </c>
      <c r="E139" s="7">
        <f t="shared" si="7"/>
        <v>51.05833333333333</v>
      </c>
    </row>
    <row r="140" spans="2:5" x14ac:dyDescent="0.25">
      <c r="B140" s="2">
        <v>43647</v>
      </c>
      <c r="C140">
        <v>49.4</v>
      </c>
      <c r="D140" s="7">
        <f t="shared" si="6"/>
        <v>0.10000000000000142</v>
      </c>
      <c r="E140" s="7">
        <f t="shared" si="7"/>
        <v>50.816666666666663</v>
      </c>
    </row>
    <row r="141" spans="2:5" x14ac:dyDescent="0.25">
      <c r="B141" s="2">
        <v>43678</v>
      </c>
      <c r="C141">
        <v>49.3</v>
      </c>
      <c r="D141" s="7">
        <f t="shared" si="6"/>
        <v>-0.10000000000000142</v>
      </c>
      <c r="E141" s="7">
        <f t="shared" si="7"/>
        <v>50.54999999999999</v>
      </c>
    </row>
    <row r="142" spans="2:5" x14ac:dyDescent="0.25">
      <c r="B142" s="2">
        <v>43709</v>
      </c>
      <c r="C142">
        <v>48.9</v>
      </c>
      <c r="D142" s="7">
        <f t="shared" si="6"/>
        <v>-0.39999999999999858</v>
      </c>
      <c r="E142" s="7">
        <f t="shared" si="7"/>
        <v>50.249999999999993</v>
      </c>
    </row>
    <row r="143" spans="2:5" x14ac:dyDescent="0.25">
      <c r="B143" s="2">
        <v>43739</v>
      </c>
      <c r="C143">
        <v>48.4</v>
      </c>
      <c r="D143" s="7">
        <f t="shared" si="6"/>
        <v>-0.5</v>
      </c>
      <c r="E143" s="7">
        <f t="shared" si="7"/>
        <v>49.875</v>
      </c>
    </row>
    <row r="144" spans="2:5" x14ac:dyDescent="0.25">
      <c r="B144" s="2">
        <v>43770</v>
      </c>
      <c r="C144">
        <v>48.9</v>
      </c>
      <c r="D144" s="7">
        <f t="shared" si="6"/>
        <v>0.5</v>
      </c>
      <c r="E144" s="7">
        <f t="shared" si="7"/>
        <v>49.599999999999994</v>
      </c>
    </row>
    <row r="145" spans="2:5" x14ac:dyDescent="0.25">
      <c r="B145" s="2">
        <v>43800</v>
      </c>
      <c r="C145">
        <v>48.8</v>
      </c>
      <c r="D145" s="7">
        <f t="shared" si="6"/>
        <v>-0.10000000000000142</v>
      </c>
      <c r="E145" s="7">
        <f t="shared" si="7"/>
        <v>49.2153846153846</v>
      </c>
    </row>
    <row r="146" spans="2:5" x14ac:dyDescent="0.25">
      <c r="B146" s="2">
        <v>43800</v>
      </c>
      <c r="C146" s="7">
        <v>48.4</v>
      </c>
      <c r="D146" s="7">
        <f t="shared" ref="D146" si="8">C146-C145</f>
        <v>-0.39999999999999858</v>
      </c>
      <c r="E146" s="7">
        <f t="shared" ref="E146" si="9">IF(ROW(A146)&lt;13,"",AVERAGEIFS($C$2:$C$5000,$B$2:$B$5000,"&gt;"&amp;EDATE(B146,-12),$B$2:$B$5000,"&lt;="&amp;B146))</f>
        <v>49.2153846153846</v>
      </c>
    </row>
  </sheetData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G64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41913</v>
      </c>
      <c r="C2" s="7">
        <v>57.2</v>
      </c>
      <c r="E2" s="7" t="str">
        <f t="shared" ref="E2:E33" si="0">IF(ROW(A2)&lt;13,"",AVERAGEIFS($C$2:$C$5000,$B$2:$B$5000,"&gt;"&amp;EDATE(B2,-12),$B$2:$B$5000,"&lt;="&amp;B2))</f>
        <v/>
      </c>
      <c r="F2" s="13">
        <f>INDEX(Kenya[% Change],ROWS(Kenya[% Change]),1)</f>
        <v>9.9999999999994316E-2</v>
      </c>
      <c r="G2" s="44">
        <f>INDEX(Kenya[12 Mth Rolling Avg.],ROWS(Kenya[12 Mth Rolling Avg.]),1)</f>
        <v>52.591666666666669</v>
      </c>
    </row>
    <row r="3" spans="1:7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7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7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7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7" x14ac:dyDescent="0.25">
      <c r="B9" s="2">
        <v>42125</v>
      </c>
      <c r="C9" s="7">
        <v>55.1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42156</v>
      </c>
      <c r="C10" s="7">
        <v>55.3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42186</v>
      </c>
      <c r="C11" s="7">
        <v>54.1</v>
      </c>
      <c r="D11" s="7">
        <f t="shared" si="1"/>
        <v>-1.1999999999999957</v>
      </c>
      <c r="E11" s="7" t="str">
        <f t="shared" si="0"/>
        <v/>
      </c>
    </row>
    <row r="12" spans="1:7" x14ac:dyDescent="0.25">
      <c r="B12" s="2">
        <v>42217</v>
      </c>
      <c r="C12" s="7">
        <v>55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42248</v>
      </c>
      <c r="C13" s="7">
        <v>51.9</v>
      </c>
      <c r="D13" s="7">
        <f t="shared" si="1"/>
        <v>-3.1000000000000014</v>
      </c>
      <c r="E13" s="7">
        <f t="shared" si="0"/>
        <v>55.018181818181823</v>
      </c>
    </row>
    <row r="14" spans="1:7" x14ac:dyDescent="0.25">
      <c r="B14" s="2">
        <v>42278</v>
      </c>
      <c r="C14" s="7">
        <v>51.7</v>
      </c>
      <c r="D14" s="7">
        <f t="shared" si="1"/>
        <v>-0.19999999999999574</v>
      </c>
      <c r="E14" s="7">
        <f t="shared" si="0"/>
        <v>54.51818181818183</v>
      </c>
    </row>
    <row r="15" spans="1:7" x14ac:dyDescent="0.25">
      <c r="B15" s="2">
        <v>42309</v>
      </c>
      <c r="C15" s="7">
        <v>53.7</v>
      </c>
      <c r="D15" s="7">
        <f t="shared" si="1"/>
        <v>2</v>
      </c>
      <c r="E15" s="7">
        <f t="shared" si="0"/>
        <v>54.209090909090918</v>
      </c>
    </row>
    <row r="16" spans="1:7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54.009090909090908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54.3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54.336363636363629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54.227272727272727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54.274999999999999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54.18333333333333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53.866666666666667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53.79999999999999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53.67499999999999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53.808333333333337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ref="E34:E63" si="2">IF(ROW(A34)&lt;13,"",AVERAGEIFS($C$2:$C$5000,$B$2:$B$5000,"&gt;"&amp;EDATE(B34,-12),$B$2:$B$5000,"&lt;="&amp;B34))</f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2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2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2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2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2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2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2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2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2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2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2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2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2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2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2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2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2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2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2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2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2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2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2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2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2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2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2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2"/>
        <v>52.608333333333348</v>
      </c>
    </row>
    <row r="63" spans="2:5" x14ac:dyDescent="0.25">
      <c r="B63" s="2">
        <v>43770</v>
      </c>
      <c r="C63" s="7">
        <v>53.2</v>
      </c>
      <c r="D63" s="7">
        <f t="shared" si="1"/>
        <v>0</v>
      </c>
      <c r="E63" s="7">
        <f t="shared" si="2"/>
        <v>52.616666666666674</v>
      </c>
    </row>
    <row r="64" spans="2:5" x14ac:dyDescent="0.25">
      <c r="B64" s="2">
        <v>43800</v>
      </c>
      <c r="C64" s="7">
        <v>53.3</v>
      </c>
      <c r="D64" s="7">
        <f t="shared" ref="D64" si="3">C64-C63</f>
        <v>9.9999999999994316E-2</v>
      </c>
      <c r="E64" s="7">
        <f t="shared" ref="E64" si="4">IF(ROW(A64)&lt;13,"",AVERAGEIFS($C$2:$C$5000,$B$2:$B$5000,"&gt;"&amp;EDATE(B64,-12),$B$2:$B$5000,"&lt;="&amp;B64))</f>
        <v>52.591666666666669</v>
      </c>
    </row>
  </sheetData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G75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8.1000000000000014</v>
      </c>
      <c r="G2" s="44">
        <f>INDEX(Lebanon[12 Mth Rolling Avg.],ROWS(Lebanon[12 Mth Rolling Avg.]),1)</f>
        <v>45.941666666666663</v>
      </c>
    </row>
    <row r="3" spans="1:7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7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7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7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7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7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7" x14ac:dyDescent="0.25">
      <c r="B9" s="2">
        <v>41791</v>
      </c>
      <c r="C9" s="7">
        <v>49.1</v>
      </c>
      <c r="D9" s="7">
        <f t="shared" si="1"/>
        <v>12.100000000000001</v>
      </c>
      <c r="E9" s="7" t="str">
        <f t="shared" si="0"/>
        <v/>
      </c>
    </row>
    <row r="10" spans="1:7" x14ac:dyDescent="0.25">
      <c r="B10" s="2">
        <v>41821</v>
      </c>
      <c r="C10" s="7">
        <v>47.9</v>
      </c>
      <c r="D10" s="7">
        <f t="shared" si="1"/>
        <v>-1.2000000000000028</v>
      </c>
      <c r="E10" s="7" t="str">
        <f t="shared" si="0"/>
        <v/>
      </c>
    </row>
    <row r="11" spans="1:7" x14ac:dyDescent="0.25">
      <c r="B11" s="2">
        <v>41852</v>
      </c>
      <c r="C11" s="7">
        <v>45.5</v>
      </c>
      <c r="D11" s="7">
        <f t="shared" si="1"/>
        <v>-2.3999999999999986</v>
      </c>
      <c r="E11" s="7" t="str">
        <f t="shared" si="0"/>
        <v/>
      </c>
    </row>
    <row r="12" spans="1:7" x14ac:dyDescent="0.25">
      <c r="B12" s="2">
        <v>41883</v>
      </c>
      <c r="C12" s="7">
        <v>47.6</v>
      </c>
      <c r="D12" s="7">
        <f t="shared" si="1"/>
        <v>2.1000000000000014</v>
      </c>
      <c r="E12" s="7" t="str">
        <f t="shared" si="0"/>
        <v/>
      </c>
    </row>
    <row r="13" spans="1:7" x14ac:dyDescent="0.25">
      <c r="B13" s="2">
        <v>41913</v>
      </c>
      <c r="C13" s="7">
        <v>48.8</v>
      </c>
      <c r="D13" s="7">
        <f t="shared" si="1"/>
        <v>1.1999999999999957</v>
      </c>
      <c r="E13" s="7">
        <f t="shared" si="0"/>
        <v>47.081818181818178</v>
      </c>
    </row>
    <row r="14" spans="1:7" x14ac:dyDescent="0.25">
      <c r="B14" s="2">
        <v>41944</v>
      </c>
      <c r="C14" s="7">
        <v>49.5</v>
      </c>
      <c r="D14" s="7">
        <f t="shared" si="1"/>
        <v>0.70000000000000284</v>
      </c>
      <c r="E14" s="7">
        <f t="shared" si="0"/>
        <v>47.481818181818177</v>
      </c>
    </row>
    <row r="15" spans="1:7" x14ac:dyDescent="0.25">
      <c r="B15" s="2">
        <v>41974</v>
      </c>
      <c r="C15" s="7">
        <v>49.3</v>
      </c>
      <c r="D15" s="7">
        <f t="shared" si="1"/>
        <v>-0.20000000000000284</v>
      </c>
      <c r="E15" s="7">
        <f t="shared" si="0"/>
        <v>47.509090909090908</v>
      </c>
    </row>
    <row r="16" spans="1:7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47.945454545454552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48.236363636363642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48.481818181818177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48.527272727272724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48.483333333333327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48.5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48.616666666666653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48.80833333333333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48.85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48.708333333333336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2">
        <v>43770</v>
      </c>
      <c r="C74" s="7">
        <v>37</v>
      </c>
      <c r="D74" s="7">
        <f t="shared" si="4"/>
        <v>-11.299999999999997</v>
      </c>
      <c r="E74" s="7">
        <f t="shared" si="3"/>
        <v>46.033333333333331</v>
      </c>
    </row>
    <row r="75" spans="2:5" x14ac:dyDescent="0.25">
      <c r="B75" s="2">
        <v>43800</v>
      </c>
      <c r="C75" s="7">
        <v>45.1</v>
      </c>
      <c r="D75" s="7">
        <f t="shared" ref="D75" si="5">C75-C74</f>
        <v>8.1000000000000014</v>
      </c>
      <c r="E75" s="7">
        <f t="shared" ref="E75" si="6">IF(ROW(A75)&lt;13,"",AVERAGEIFS($C$2:$C$5000,$B$2:$B$5000,"&gt;"&amp;EDATE(B75,-12),$B$2:$B$5000,"&lt;="&amp;B75))</f>
        <v>45.941666666666663</v>
      </c>
    </row>
  </sheetData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G5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42095</v>
      </c>
      <c r="C2" s="7">
        <v>48.8</v>
      </c>
      <c r="E2" s="7" t="str">
        <f t="shared" ref="E2:E33" si="0">IF(ROW(A2)&lt;13,"",AVERAGEIFS($C$2:$C$5000,$B$2:$B$5000,"&gt;"&amp;EDATE(B2,-12),$B$2:$B$5000,"&lt;="&amp;B2))</f>
        <v/>
      </c>
      <c r="F2" s="13">
        <f>INDEX(Malaysia[% Change],ROWS(Malaysia[% Change]),1)</f>
        <v>0.5</v>
      </c>
      <c r="G2" s="44">
        <f>INDEX(Malaysia[12 Mth Rolling Avg.],ROWS(Malaysia[12 Mth Rolling Avg.]),1)</f>
        <v>48.366666666666667</v>
      </c>
    </row>
    <row r="3" spans="1:7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7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7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7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7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7" x14ac:dyDescent="0.25">
      <c r="B9" s="2">
        <v>42309</v>
      </c>
      <c r="C9" s="7">
        <v>47</v>
      </c>
      <c r="D9" s="7">
        <f t="shared" si="1"/>
        <v>-2.5</v>
      </c>
      <c r="E9" s="7" t="str">
        <f t="shared" si="0"/>
        <v/>
      </c>
    </row>
    <row r="10" spans="1:7" x14ac:dyDescent="0.25">
      <c r="B10" s="2">
        <v>42339</v>
      </c>
      <c r="C10" s="7">
        <v>48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42370</v>
      </c>
      <c r="C11" s="7">
        <v>48.6</v>
      </c>
      <c r="D11" s="7">
        <f t="shared" si="1"/>
        <v>0.60000000000000142</v>
      </c>
      <c r="E11" s="7" t="str">
        <f t="shared" si="0"/>
        <v/>
      </c>
    </row>
    <row r="12" spans="1:7" x14ac:dyDescent="0.25">
      <c r="B12" s="2">
        <v>42401</v>
      </c>
      <c r="C12" s="7">
        <v>47.8</v>
      </c>
      <c r="D12" s="7">
        <f t="shared" si="1"/>
        <v>-0.80000000000000426</v>
      </c>
      <c r="E12" s="7" t="str">
        <f t="shared" si="0"/>
        <v/>
      </c>
    </row>
    <row r="13" spans="1:7" x14ac:dyDescent="0.25">
      <c r="B13" s="2">
        <v>42430</v>
      </c>
      <c r="C13" s="7">
        <v>48.4</v>
      </c>
      <c r="D13" s="7">
        <f t="shared" si="1"/>
        <v>0.60000000000000142</v>
      </c>
      <c r="E13" s="7">
        <f t="shared" si="0"/>
        <v>48.081818181818193</v>
      </c>
    </row>
    <row r="14" spans="1:7" x14ac:dyDescent="0.25">
      <c r="B14" s="2">
        <v>42461</v>
      </c>
      <c r="C14" s="7">
        <v>47.1</v>
      </c>
      <c r="D14" s="7">
        <f t="shared" si="1"/>
        <v>-1.2999999999999972</v>
      </c>
      <c r="E14" s="7">
        <f t="shared" si="0"/>
        <v>47.927272727272729</v>
      </c>
    </row>
    <row r="15" spans="1:7" x14ac:dyDescent="0.25">
      <c r="B15" s="2">
        <v>42491</v>
      </c>
      <c r="C15" s="7">
        <v>47.2</v>
      </c>
      <c r="D15" s="7">
        <f t="shared" si="1"/>
        <v>0.10000000000000142</v>
      </c>
      <c r="E15" s="7">
        <f t="shared" si="0"/>
        <v>47.718181818181826</v>
      </c>
    </row>
    <row r="16" spans="1:7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47.672727272727272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47.709090909090904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47.727272727272727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47.75454545454545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47.708333333333336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47.716666666666669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47.641666666666673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47.641666666666673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47.774999999999999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47.866666666666674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ref="E34:E57" si="2">IF(ROW(A34)&lt;13,"",AVERAGEIFS($C$2:$C$5000,$B$2:$B$5000,"&gt;"&amp;EDATE(B34,-12),$B$2:$B$5000,"&lt;="&amp;B34))</f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2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2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2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2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2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2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2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2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2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2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2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2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2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2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2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2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2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2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2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2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2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2"/>
        <v>47.991666666666667</v>
      </c>
    </row>
    <row r="57" spans="2:5" x14ac:dyDescent="0.25">
      <c r="B57" s="2">
        <v>43770</v>
      </c>
      <c r="C57" s="7">
        <v>49.5</v>
      </c>
      <c r="D57" s="7">
        <f t="shared" si="1"/>
        <v>0.20000000000000284</v>
      </c>
      <c r="E57" s="7">
        <f t="shared" si="2"/>
        <v>48.099999999999994</v>
      </c>
    </row>
    <row r="58" spans="2:5" x14ac:dyDescent="0.25">
      <c r="B58" s="2">
        <v>43800</v>
      </c>
      <c r="C58" s="7">
        <v>50</v>
      </c>
      <c r="D58" s="7">
        <f t="shared" ref="D58" si="3">C58-C57</f>
        <v>0.5</v>
      </c>
      <c r="E58" s="7">
        <f t="shared" ref="E58" si="4">IF(ROW(A58)&lt;13,"",AVERAGEIFS($C$2:$C$5000,$B$2:$B$5000,"&gt;"&amp;EDATE(B58,-12),$B$2:$B$5000,"&lt;="&amp;B58))</f>
        <v>48.366666666666667</v>
      </c>
    </row>
  </sheetData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G94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-0.89999999999999858</v>
      </c>
      <c r="G2" s="44">
        <f>INDEX(Mexico[12 Mth Rolling Avg.],ROWS(Mexico[12 Mth Rolling Avg.]),1)</f>
        <v>49.666666666666679</v>
      </c>
    </row>
    <row r="3" spans="1:7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7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7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7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7" x14ac:dyDescent="0.25">
      <c r="B9" s="2">
        <v>41214</v>
      </c>
      <c r="C9" s="7">
        <v>55.6</v>
      </c>
      <c r="D9" s="7">
        <f t="shared" si="1"/>
        <v>7.6000000000000014</v>
      </c>
      <c r="E9" s="7" t="str">
        <f t="shared" si="0"/>
        <v/>
      </c>
    </row>
    <row r="10" spans="1:7" x14ac:dyDescent="0.25">
      <c r="B10" s="2">
        <v>41244</v>
      </c>
      <c r="C10" s="7">
        <v>57.1</v>
      </c>
      <c r="D10" s="7">
        <f t="shared" si="1"/>
        <v>1.5</v>
      </c>
      <c r="E10" s="7" t="str">
        <f t="shared" si="0"/>
        <v/>
      </c>
    </row>
    <row r="11" spans="1:7" x14ac:dyDescent="0.25">
      <c r="B11" s="2">
        <v>41275</v>
      </c>
      <c r="C11" s="7">
        <v>55</v>
      </c>
      <c r="D11" s="7">
        <f t="shared" si="1"/>
        <v>-2.1000000000000014</v>
      </c>
      <c r="E11" s="7" t="str">
        <f t="shared" si="0"/>
        <v/>
      </c>
    </row>
    <row r="12" spans="1:7" x14ac:dyDescent="0.25">
      <c r="B12" s="2">
        <v>41306</v>
      </c>
      <c r="C12" s="7">
        <v>53.4</v>
      </c>
      <c r="D12" s="7">
        <f t="shared" si="1"/>
        <v>-1.6000000000000014</v>
      </c>
      <c r="E12" s="7" t="str">
        <f t="shared" si="0"/>
        <v/>
      </c>
    </row>
    <row r="13" spans="1:7" x14ac:dyDescent="0.25">
      <c r="B13" s="2">
        <v>41334</v>
      </c>
      <c r="C13" s="7">
        <v>52.2</v>
      </c>
      <c r="D13" s="7">
        <f t="shared" si="1"/>
        <v>-1.1999999999999957</v>
      </c>
      <c r="E13" s="7">
        <f t="shared" si="0"/>
        <v>55.036363636363646</v>
      </c>
    </row>
    <row r="14" spans="1:7" x14ac:dyDescent="0.25">
      <c r="B14" s="2">
        <v>41365</v>
      </c>
      <c r="C14" s="7">
        <v>51.7</v>
      </c>
      <c r="D14" s="7">
        <f t="shared" si="1"/>
        <v>-0.5</v>
      </c>
      <c r="E14" s="7">
        <f t="shared" si="0"/>
        <v>54.618181818181824</v>
      </c>
    </row>
    <row r="15" spans="1:7" x14ac:dyDescent="0.25">
      <c r="B15" s="2">
        <v>41395</v>
      </c>
      <c r="C15" s="7">
        <v>51.7</v>
      </c>
      <c r="D15" s="7">
        <f t="shared" si="1"/>
        <v>0</v>
      </c>
      <c r="E15" s="7">
        <f t="shared" si="0"/>
        <v>54.300000000000004</v>
      </c>
    </row>
    <row r="16" spans="1:7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53.881818181818176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53.381818181818176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52.990909090909092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52.590909090909093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52.391666666666673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52.083333333333336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51.708333333333336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51.625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51.508333333333333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51.466666666666669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2">
        <v>43770</v>
      </c>
      <c r="C93" s="7">
        <v>48</v>
      </c>
      <c r="D93" s="7">
        <f t="shared" si="4"/>
        <v>-2.3999999999999986</v>
      </c>
      <c r="E93" s="7">
        <f t="shared" si="3"/>
        <v>49.883333333333333</v>
      </c>
    </row>
    <row r="94" spans="2:5" x14ac:dyDescent="0.25">
      <c r="B94" s="2">
        <v>43800</v>
      </c>
      <c r="C94" s="7">
        <v>47.1</v>
      </c>
      <c r="D94" s="7">
        <f t="shared" ref="D94" si="5">C94-C93</f>
        <v>-0.89999999999999858</v>
      </c>
      <c r="E94" s="7">
        <f t="shared" ref="E94" si="6">IF(ROW(A94)&lt;13,"",AVERAGEIFS($C$2:$C$5000,$B$2:$B$5000,"&gt;"&amp;EDATE(B94,-12),$B$2:$B$5000,"&lt;="&amp;B94))</f>
        <v>49.666666666666679</v>
      </c>
    </row>
  </sheetData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G43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-0.70000000000000284</v>
      </c>
      <c r="G2" s="44">
        <f>INDEX(Myanmar[12 Mth Rolling Avg.],ROWS(Myanmar[12 Mth Rolling Avg.]),1)</f>
        <v>52.741666666666674</v>
      </c>
    </row>
    <row r="3" spans="1:7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7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7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7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7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7" x14ac:dyDescent="0.25">
      <c r="B9" s="2">
        <v>42767</v>
      </c>
      <c r="C9" s="7">
        <v>51.9</v>
      </c>
      <c r="D9" s="7">
        <f t="shared" si="1"/>
        <v>-0.80000000000000426</v>
      </c>
      <c r="E9" s="7" t="str">
        <f t="shared" si="0"/>
        <v/>
      </c>
    </row>
    <row r="10" spans="1:7" x14ac:dyDescent="0.25">
      <c r="B10" s="2">
        <v>42795</v>
      </c>
      <c r="C10" s="7">
        <v>53.1</v>
      </c>
      <c r="D10" s="7">
        <f t="shared" si="1"/>
        <v>1.2000000000000028</v>
      </c>
      <c r="E10" s="7" t="str">
        <f t="shared" si="0"/>
        <v/>
      </c>
    </row>
    <row r="11" spans="1:7" x14ac:dyDescent="0.25">
      <c r="B11" s="2">
        <v>42826</v>
      </c>
      <c r="C11" s="7">
        <v>52.9</v>
      </c>
      <c r="D11" s="7">
        <f t="shared" si="1"/>
        <v>-0.20000000000000284</v>
      </c>
      <c r="E11" s="7" t="str">
        <f t="shared" si="0"/>
        <v/>
      </c>
    </row>
    <row r="12" spans="1:7" x14ac:dyDescent="0.25">
      <c r="B12" s="2">
        <v>42856</v>
      </c>
      <c r="C12" s="7">
        <v>52</v>
      </c>
      <c r="D12" s="7">
        <f t="shared" si="1"/>
        <v>-0.89999999999999858</v>
      </c>
      <c r="E12" s="7" t="str">
        <f t="shared" si="0"/>
        <v/>
      </c>
    </row>
    <row r="13" spans="1:7" x14ac:dyDescent="0.25">
      <c r="B13" s="2">
        <v>42887</v>
      </c>
      <c r="C13" s="7">
        <v>49.4</v>
      </c>
      <c r="D13" s="7">
        <f t="shared" si="1"/>
        <v>-2.6000000000000014</v>
      </c>
      <c r="E13" s="7">
        <f t="shared" si="0"/>
        <v>50.218181818181819</v>
      </c>
    </row>
    <row r="14" spans="1:7" x14ac:dyDescent="0.25">
      <c r="B14" s="2">
        <v>42917</v>
      </c>
      <c r="C14" s="7">
        <v>49.1</v>
      </c>
      <c r="D14" s="7">
        <f t="shared" si="1"/>
        <v>-0.29999999999999716</v>
      </c>
      <c r="E14" s="7">
        <f t="shared" si="0"/>
        <v>50.209090909090904</v>
      </c>
    </row>
    <row r="15" spans="1:7" x14ac:dyDescent="0.25">
      <c r="B15" s="2">
        <v>42948</v>
      </c>
      <c r="C15" s="7">
        <v>49.3</v>
      </c>
      <c r="D15" s="7">
        <f t="shared" si="1"/>
        <v>0.19999999999999574</v>
      </c>
      <c r="E15" s="7">
        <f t="shared" si="0"/>
        <v>50.4</v>
      </c>
    </row>
    <row r="16" spans="1:7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50.518181818181823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50.709090909090904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50.836363636363643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50.990909090909099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51.050000000000011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51.108333333333341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51.158333333333339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51.375000000000007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51.425000000000004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51.475000000000001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2">
        <v>43770</v>
      </c>
      <c r="C42" s="7">
        <v>52.7</v>
      </c>
      <c r="D42" s="7">
        <f t="shared" si="1"/>
        <v>-0.29999999999999716</v>
      </c>
      <c r="E42" s="7">
        <f t="shared" si="0"/>
        <v>52.783333333333339</v>
      </c>
    </row>
    <row r="43" spans="2:5" x14ac:dyDescent="0.25">
      <c r="B43" s="2">
        <v>43800</v>
      </c>
      <c r="C43" s="7">
        <v>52</v>
      </c>
      <c r="D43" s="7">
        <f t="shared" ref="D43" si="2">C43-C42</f>
        <v>-0.70000000000000284</v>
      </c>
      <c r="E43" s="7">
        <f t="shared" ref="E43" si="3">IF(ROW(A43)&lt;13,"",AVERAGEIFS($C$2:$C$5000,$B$2:$B$5000,"&gt;"&amp;EDATE(B43,-12),$B$2:$B$5000,"&lt;="&amp;B43))</f>
        <v>52.741666666666674</v>
      </c>
    </row>
  </sheetData>
  <pageMargins left="0.7" right="0.7" top="0.75" bottom="0.75" header="0.3" footer="0.3"/>
  <tableParts count="1">
    <tablePart r:id="rId1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G3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-1.3000000000000043</v>
      </c>
      <c r="G2" s="44">
        <f>INDEX(Netherlands[12 Mth Rolling Avg.],ROWS(Netherlands[12 Mth Rolling Avg.]),1)</f>
        <v>51.441666666666663</v>
      </c>
    </row>
    <row r="3" spans="1:7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7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7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7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7" x14ac:dyDescent="0.25">
      <c r="B9" s="2">
        <v>42917</v>
      </c>
      <c r="C9" s="7">
        <v>58.9</v>
      </c>
      <c r="D9" s="7">
        <f t="shared" si="1"/>
        <v>9.2999999999999972</v>
      </c>
      <c r="E9" s="7" t="str">
        <f t="shared" si="0"/>
        <v/>
      </c>
    </row>
    <row r="10" spans="1:7" x14ac:dyDescent="0.25">
      <c r="B10" s="2">
        <v>42948</v>
      </c>
      <c r="C10" s="7">
        <v>59.7</v>
      </c>
      <c r="D10" s="7">
        <f t="shared" si="1"/>
        <v>0.80000000000000426</v>
      </c>
      <c r="E10" s="7" t="str">
        <f t="shared" si="0"/>
        <v/>
      </c>
    </row>
    <row r="11" spans="1:7" x14ac:dyDescent="0.25">
      <c r="B11" s="2">
        <v>42979</v>
      </c>
      <c r="C11" s="7">
        <v>60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43009</v>
      </c>
      <c r="C12" s="7">
        <v>60.4</v>
      </c>
      <c r="D12" s="7">
        <f t="shared" si="1"/>
        <v>0.39999999999999858</v>
      </c>
      <c r="E12" s="7" t="str">
        <f t="shared" si="0"/>
        <v/>
      </c>
    </row>
    <row r="13" spans="1:7" x14ac:dyDescent="0.25">
      <c r="B13" s="2">
        <v>43040</v>
      </c>
      <c r="C13" s="7">
        <v>62.4</v>
      </c>
      <c r="D13" s="7">
        <f t="shared" si="1"/>
        <v>2</v>
      </c>
      <c r="E13" s="7">
        <f t="shared" si="0"/>
        <v>58.790909090909082</v>
      </c>
    </row>
    <row r="14" spans="1:7" x14ac:dyDescent="0.25">
      <c r="B14" s="2">
        <v>43070</v>
      </c>
      <c r="C14" s="7">
        <v>62.2</v>
      </c>
      <c r="D14" s="7">
        <f t="shared" si="1"/>
        <v>-0.19999999999999574</v>
      </c>
      <c r="E14" s="7">
        <f t="shared" si="0"/>
        <v>59.236363636363642</v>
      </c>
    </row>
    <row r="15" spans="1:7" x14ac:dyDescent="0.25">
      <c r="B15" s="2">
        <v>43101</v>
      </c>
      <c r="C15" s="7">
        <v>62.5</v>
      </c>
      <c r="D15" s="7">
        <f t="shared" si="1"/>
        <v>0.29999999999999716</v>
      </c>
      <c r="E15" s="7">
        <f t="shared" si="0"/>
        <v>59.781818181818181</v>
      </c>
    </row>
    <row r="16" spans="1:7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60.245454545454542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60.581818181818178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60.845454545454544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61.090909090909093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61.008333333333333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60.93333333333333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60.883333333333333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60.866666666666667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60.591666666666669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60.06666666666667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2">
        <v>43770</v>
      </c>
      <c r="C37" s="7">
        <v>49.6</v>
      </c>
      <c r="D37" s="7">
        <f t="shared" si="1"/>
        <v>-0.69999999999999574</v>
      </c>
      <c r="E37" s="7">
        <f t="shared" si="0"/>
        <v>52.18333333333333</v>
      </c>
    </row>
    <row r="38" spans="2:5" x14ac:dyDescent="0.25">
      <c r="B38" s="2">
        <v>43800</v>
      </c>
      <c r="C38" s="7">
        <v>48.3</v>
      </c>
      <c r="D38" s="7">
        <f t="shared" ref="D38" si="2">C38-C37</f>
        <v>-1.3000000000000043</v>
      </c>
      <c r="E38" s="7">
        <f t="shared" ref="E38" si="3">IF(ROW(A38)&lt;13,"",AVERAGEIFS($C$2:$C$5000,$B$2:$B$5000,"&gt;"&amp;EDATE(B38,-12),$B$2:$B$5000,"&lt;="&amp;B38))</f>
        <v>51.441666666666663</v>
      </c>
    </row>
  </sheetData>
  <pageMargins left="0.7" right="0.7" top="0.75" bottom="0.75" header="0.3" footer="0.3"/>
  <tableParts count="1">
    <tablePart r:id="rId1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G210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0</v>
      </c>
      <c r="G2" s="44">
        <f>INDEX(NewZealand[12 Mth Rolling Avg.],ROWS(NewZealand[12 Mth Rolling Avg.]),1)</f>
        <v>51.384615384615387</v>
      </c>
    </row>
    <row r="3" spans="1:7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</row>
    <row r="4" spans="1:7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</row>
    <row r="5" spans="1:7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</row>
    <row r="7" spans="1:7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</row>
    <row r="9" spans="1:7" x14ac:dyDescent="0.25">
      <c r="B9" s="2">
        <v>37681</v>
      </c>
      <c r="C9" s="7">
        <v>52.8</v>
      </c>
      <c r="D9" s="7">
        <f t="shared" si="1"/>
        <v>1.3999999999999986</v>
      </c>
      <c r="E9" s="7" t="str">
        <f t="shared" si="0"/>
        <v/>
      </c>
    </row>
    <row r="10" spans="1:7" x14ac:dyDescent="0.25">
      <c r="B10" s="2">
        <v>37712</v>
      </c>
      <c r="C10" s="7">
        <v>53.3</v>
      </c>
      <c r="D10" s="7">
        <f t="shared" si="1"/>
        <v>0.5</v>
      </c>
      <c r="E10" s="7" t="str">
        <f t="shared" si="0"/>
        <v/>
      </c>
    </row>
    <row r="11" spans="1:7" x14ac:dyDescent="0.25">
      <c r="B11" s="2">
        <v>37742</v>
      </c>
      <c r="C11" s="7">
        <v>51.9</v>
      </c>
      <c r="D11" s="7">
        <f t="shared" si="1"/>
        <v>-1.3999999999999986</v>
      </c>
      <c r="E11" s="7" t="str">
        <f t="shared" si="0"/>
        <v/>
      </c>
    </row>
    <row r="12" spans="1:7" x14ac:dyDescent="0.25">
      <c r="B12" s="2">
        <v>37773</v>
      </c>
      <c r="C12" s="7">
        <v>53.4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37803</v>
      </c>
      <c r="C13" s="7">
        <v>53.1</v>
      </c>
      <c r="D13" s="7">
        <f t="shared" si="1"/>
        <v>-0.29999999999999716</v>
      </c>
      <c r="E13" s="7">
        <f t="shared" si="0"/>
        <v>55.281818181818181</v>
      </c>
    </row>
    <row r="14" spans="1:7" x14ac:dyDescent="0.25">
      <c r="B14" s="2">
        <v>37834</v>
      </c>
      <c r="C14" s="7">
        <v>50.6</v>
      </c>
      <c r="D14" s="7">
        <f t="shared" si="1"/>
        <v>-2.5</v>
      </c>
      <c r="E14" s="7">
        <f t="shared" si="0"/>
        <v>54.709090909090904</v>
      </c>
    </row>
    <row r="15" spans="1:7" x14ac:dyDescent="0.25">
      <c r="B15" s="2">
        <v>37865</v>
      </c>
      <c r="C15" s="7">
        <v>57.8</v>
      </c>
      <c r="D15" s="7">
        <f t="shared" si="1"/>
        <v>7.1999999999999957</v>
      </c>
      <c r="E15" s="7">
        <f t="shared" si="0"/>
        <v>54.636363636363633</v>
      </c>
    </row>
    <row r="16" spans="1:7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54.909090909090907</v>
      </c>
    </row>
    <row r="17" spans="2:5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54.854545454545452</v>
      </c>
    </row>
    <row r="18" spans="2:5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54.636363636363633</v>
      </c>
    </row>
    <row r="19" spans="2:5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54.618181818181817</v>
      </c>
    </row>
    <row r="20" spans="2:5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54.79999999999999</v>
      </c>
    </row>
    <row r="21" spans="2:5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55.316666666666663</v>
      </c>
    </row>
    <row r="22" spans="2:5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55.766666666666673</v>
      </c>
    </row>
    <row r="23" spans="2:5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56.125</v>
      </c>
    </row>
    <row r="24" spans="2:5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56.908333333333339</v>
      </c>
    </row>
    <row r="25" spans="2:5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57.383333333333326</v>
      </c>
    </row>
    <row r="26" spans="2:5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</row>
    <row r="27" spans="2:5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</row>
    <row r="28" spans="2:5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</row>
    <row r="29" spans="2:5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</row>
    <row r="30" spans="2:5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</row>
    <row r="31" spans="2:5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</row>
    <row r="32" spans="2:5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</row>
    <row r="33" spans="2:5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</row>
    <row r="34" spans="2:5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</row>
    <row r="35" spans="2:5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</row>
    <row r="36" spans="2:5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</row>
    <row r="37" spans="2:5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</row>
    <row r="38" spans="2:5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</row>
    <row r="39" spans="2:5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</row>
    <row r="40" spans="2:5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</row>
    <row r="41" spans="2:5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</row>
    <row r="42" spans="2:5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</row>
    <row r="43" spans="2:5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</row>
    <row r="44" spans="2:5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</row>
    <row r="45" spans="2:5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</row>
    <row r="46" spans="2:5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</row>
    <row r="47" spans="2:5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</row>
    <row r="48" spans="2:5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</row>
    <row r="49" spans="2:5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</row>
    <row r="50" spans="2:5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</row>
    <row r="51" spans="2:5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</row>
    <row r="52" spans="2:5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</row>
    <row r="53" spans="2:5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</row>
    <row r="54" spans="2:5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</row>
    <row r="55" spans="2:5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</row>
    <row r="56" spans="2:5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</row>
    <row r="57" spans="2:5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</row>
    <row r="58" spans="2:5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</row>
    <row r="59" spans="2:5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</row>
    <row r="60" spans="2:5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</row>
    <row r="61" spans="2:5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</row>
    <row r="62" spans="2:5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</row>
    <row r="63" spans="2:5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</row>
    <row r="64" spans="2:5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</row>
    <row r="65" spans="2:5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</row>
    <row r="66" spans="2:5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</row>
    <row r="67" spans="2:5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</row>
    <row r="68" spans="2:5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</row>
    <row r="69" spans="2:5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</row>
    <row r="70" spans="2:5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</row>
    <row r="71" spans="2:5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</row>
    <row r="72" spans="2:5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</row>
    <row r="73" spans="2:5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</row>
    <row r="74" spans="2:5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</row>
    <row r="75" spans="2:5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</row>
    <row r="76" spans="2:5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</row>
    <row r="77" spans="2:5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</row>
    <row r="78" spans="2:5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</row>
    <row r="79" spans="2:5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</row>
    <row r="80" spans="2:5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</row>
    <row r="81" spans="2:5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</row>
    <row r="82" spans="2:5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</row>
    <row r="83" spans="2:5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</row>
    <row r="84" spans="2:5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</row>
    <row r="85" spans="2:5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</row>
    <row r="86" spans="2:5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</row>
    <row r="87" spans="2:5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</row>
    <row r="88" spans="2:5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</row>
    <row r="89" spans="2:5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</row>
    <row r="90" spans="2:5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</row>
    <row r="91" spans="2:5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</row>
    <row r="92" spans="2:5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</row>
    <row r="93" spans="2:5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</row>
    <row r="94" spans="2:5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</row>
    <row r="95" spans="2:5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</row>
    <row r="96" spans="2:5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</row>
    <row r="97" spans="2:5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</row>
    <row r="98" spans="2:5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</row>
    <row r="99" spans="2:5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</row>
    <row r="100" spans="2:5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</row>
    <row r="101" spans="2:5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</row>
    <row r="102" spans="2:5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</row>
    <row r="103" spans="2:5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</row>
    <row r="104" spans="2:5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</row>
    <row r="105" spans="2:5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</row>
    <row r="106" spans="2:5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</row>
    <row r="107" spans="2:5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</row>
    <row r="108" spans="2:5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</row>
    <row r="109" spans="2:5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</row>
    <row r="110" spans="2:5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</row>
    <row r="111" spans="2:5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</row>
    <row r="112" spans="2:5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</row>
    <row r="113" spans="2:5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</row>
    <row r="114" spans="2:5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</row>
    <row r="115" spans="2:5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</row>
    <row r="116" spans="2:5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</row>
    <row r="117" spans="2:5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</row>
    <row r="118" spans="2:5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</row>
    <row r="119" spans="2:5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</row>
    <row r="120" spans="2:5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</row>
    <row r="121" spans="2:5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</row>
    <row r="122" spans="2:5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</row>
    <row r="123" spans="2:5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</row>
    <row r="124" spans="2:5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</row>
    <row r="125" spans="2:5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</row>
    <row r="126" spans="2:5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</row>
    <row r="127" spans="2:5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</row>
    <row r="128" spans="2:5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</row>
    <row r="129" spans="2:5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</row>
    <row r="130" spans="2:5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</row>
    <row r="131" spans="2:5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</row>
    <row r="132" spans="2:5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</row>
    <row r="133" spans="2:5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</row>
    <row r="134" spans="2:5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</row>
    <row r="135" spans="2:5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</row>
    <row r="136" spans="2:5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</row>
    <row r="137" spans="2:5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</row>
    <row r="138" spans="2:5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</row>
    <row r="139" spans="2:5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</row>
    <row r="140" spans="2:5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</row>
    <row r="141" spans="2:5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</row>
    <row r="142" spans="2:5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</row>
    <row r="143" spans="2:5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</row>
    <row r="144" spans="2:5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</row>
    <row r="145" spans="2:5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</row>
    <row r="146" spans="2:5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</row>
    <row r="147" spans="2:5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</row>
    <row r="148" spans="2:5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</row>
    <row r="149" spans="2:5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</row>
    <row r="150" spans="2:5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</row>
    <row r="151" spans="2:5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</row>
    <row r="152" spans="2:5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</row>
    <row r="153" spans="2:5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</row>
    <row r="154" spans="2:5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5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5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5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5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5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5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43770</v>
      </c>
      <c r="C209" s="7">
        <v>51.4</v>
      </c>
      <c r="D209" s="7">
        <f t="shared" si="7"/>
        <v>-1.2000000000000028</v>
      </c>
      <c r="E209" s="7">
        <f t="shared" si="6"/>
        <v>51.384615384615387</v>
      </c>
    </row>
    <row r="210" spans="2:5" x14ac:dyDescent="0.25">
      <c r="B210" s="2">
        <v>43770</v>
      </c>
      <c r="C210" s="7">
        <v>51.4</v>
      </c>
      <c r="D210" s="7">
        <f t="shared" ref="D210" si="8">C210-C209</f>
        <v>0</v>
      </c>
      <c r="E210" s="7">
        <f t="shared" ref="E210" si="9">IF(ROW(A210)&lt;13,"",AVERAGEIFS($C$2:$C$5000,$B$2:$B$5000,"&gt;"&amp;EDATE(B210,-12),$B$2:$B$5000,"&lt;="&amp;B210))</f>
        <v>51.384615384615387</v>
      </c>
    </row>
  </sheetData>
  <pageMargins left="0.7" right="0.7" top="0.75" bottom="0.75" header="0.3" footer="0.3"/>
  <tableParts count="1">
    <tablePart r:id="rId1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G6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41821</v>
      </c>
      <c r="C2" s="7">
        <v>51.3</v>
      </c>
      <c r="E2" s="7" t="str">
        <f t="shared" ref="E2:E33" si="0">IF(ROW(A2)&lt;13,"",AVERAGEIFS($C$2:$C$5000,$B$2:$B$5000,"&gt;"&amp;EDATE(B2,-12),$B$2:$B$5000,"&lt;="&amp;B2))</f>
        <v/>
      </c>
      <c r="F2" s="13">
        <f>INDEX(Nigeria[% Change],ROWS(Nigeria[% Change]),1)</f>
        <v>0</v>
      </c>
      <c r="G2" s="44">
        <f>INDEX(Nigeria[12 Mth Rolling Avg.],ROWS(Nigeria[12 Mth Rolling Avg.]),1)</f>
        <v>58.323076923076918</v>
      </c>
    </row>
    <row r="3" spans="1:7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</row>
    <row r="4" spans="1:7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</row>
    <row r="5" spans="1:7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</row>
    <row r="7" spans="1:7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</row>
    <row r="8" spans="1:7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</row>
    <row r="9" spans="1:7" x14ac:dyDescent="0.25">
      <c r="B9" s="2">
        <v>42036</v>
      </c>
      <c r="C9" s="7">
        <v>53</v>
      </c>
      <c r="D9" s="7">
        <f t="shared" si="1"/>
        <v>-7.7999999999999972</v>
      </c>
      <c r="E9" s="7" t="str">
        <f t="shared" si="0"/>
        <v/>
      </c>
    </row>
    <row r="10" spans="1:7" x14ac:dyDescent="0.25">
      <c r="B10" s="2">
        <v>42064</v>
      </c>
      <c r="C10" s="7">
        <v>48.9</v>
      </c>
      <c r="D10" s="7">
        <f t="shared" si="1"/>
        <v>-4.1000000000000014</v>
      </c>
      <c r="E10" s="7" t="str">
        <f t="shared" si="0"/>
        <v/>
      </c>
    </row>
    <row r="11" spans="1:7" x14ac:dyDescent="0.25">
      <c r="B11" s="2">
        <v>42095</v>
      </c>
      <c r="C11" s="7">
        <v>52</v>
      </c>
      <c r="D11" s="7">
        <f t="shared" si="1"/>
        <v>3.1000000000000014</v>
      </c>
      <c r="E11" s="7" t="str">
        <f t="shared" si="0"/>
        <v/>
      </c>
    </row>
    <row r="12" spans="1:7" x14ac:dyDescent="0.25">
      <c r="B12" s="2">
        <v>42125</v>
      </c>
      <c r="C12" s="7">
        <v>49.4</v>
      </c>
      <c r="D12" s="7">
        <f t="shared" si="1"/>
        <v>-2.6000000000000014</v>
      </c>
      <c r="E12" s="7" t="str">
        <f t="shared" si="0"/>
        <v/>
      </c>
    </row>
    <row r="13" spans="1:7" x14ac:dyDescent="0.25">
      <c r="B13" s="2">
        <v>42156</v>
      </c>
      <c r="C13" s="7">
        <v>49.5</v>
      </c>
      <c r="D13" s="7">
        <f t="shared" si="1"/>
        <v>0.10000000000000142</v>
      </c>
      <c r="E13" s="7">
        <f t="shared" si="0"/>
        <v>51.06363636363637</v>
      </c>
    </row>
    <row r="14" spans="1:7" x14ac:dyDescent="0.25">
      <c r="B14" s="2">
        <v>42186</v>
      </c>
      <c r="C14" s="7">
        <v>47.8</v>
      </c>
      <c r="D14" s="7">
        <f t="shared" si="1"/>
        <v>-1.7000000000000028</v>
      </c>
      <c r="E14" s="7">
        <f t="shared" si="0"/>
        <v>50.745454545454542</v>
      </c>
    </row>
    <row r="15" spans="1:7" x14ac:dyDescent="0.25">
      <c r="B15" s="2">
        <v>42217</v>
      </c>
      <c r="C15" s="7">
        <v>48.4</v>
      </c>
      <c r="D15" s="7">
        <f t="shared" si="1"/>
        <v>0.60000000000000142</v>
      </c>
      <c r="E15" s="7">
        <f t="shared" si="0"/>
        <v>50.627272727272725</v>
      </c>
    </row>
    <row r="16" spans="1:7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50.327272727272721</v>
      </c>
    </row>
    <row r="17" spans="2:5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50.081818181818178</v>
      </c>
    </row>
    <row r="18" spans="2:5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49.990909090909092</v>
      </c>
    </row>
    <row r="19" spans="2:5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50.118181818181817</v>
      </c>
    </row>
    <row r="20" spans="2:5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49.875</v>
      </c>
    </row>
    <row r="21" spans="2:5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49.25</v>
      </c>
    </row>
    <row r="22" spans="2:5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48.999999999999993</v>
      </c>
    </row>
    <row r="23" spans="2:5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48.308333333333337</v>
      </c>
    </row>
    <row r="24" spans="2:5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48.008333333333326</v>
      </c>
    </row>
    <row r="25" spans="2:5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47.374999999999993</v>
      </c>
    </row>
    <row r="26" spans="2:5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</row>
    <row r="27" spans="2:5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</row>
    <row r="28" spans="2:5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</row>
    <row r="29" spans="2:5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</row>
    <row r="30" spans="2:5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</row>
    <row r="31" spans="2:5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</row>
    <row r="32" spans="2:5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</row>
    <row r="33" spans="2:5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</row>
    <row r="34" spans="2:5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ref="E34:E67" si="2">IF(ROW(A34)&lt;13,"",AVERAGEIFS($C$2:$C$5000,$B$2:$B$5000,"&gt;"&amp;EDATE(B34,-12),$B$2:$B$5000,"&lt;="&amp;B34))</f>
        <v>45.225000000000001</v>
      </c>
    </row>
    <row r="35" spans="2:5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2"/>
        <v>45.841666666666669</v>
      </c>
    </row>
    <row r="36" spans="2:5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2"/>
        <v>46.4</v>
      </c>
    </row>
    <row r="37" spans="2:5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2"/>
        <v>47.316666666666663</v>
      </c>
    </row>
    <row r="38" spans="2:5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2"/>
        <v>48.150000000000006</v>
      </c>
    </row>
    <row r="39" spans="2:5" x14ac:dyDescent="0.25">
      <c r="B39" s="2">
        <v>42948</v>
      </c>
      <c r="C39" s="7">
        <v>53.6</v>
      </c>
      <c r="D39" s="7">
        <f t="shared" si="1"/>
        <v>-0.5</v>
      </c>
      <c r="E39" s="7">
        <f t="shared" si="2"/>
        <v>49.108333333333341</v>
      </c>
    </row>
    <row r="40" spans="2:5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2"/>
        <v>50.175000000000004</v>
      </c>
    </row>
    <row r="41" spans="2:5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2"/>
        <v>51.083333333333336</v>
      </c>
    </row>
    <row r="42" spans="2:5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2"/>
        <v>51.908333333333331</v>
      </c>
    </row>
    <row r="43" spans="2:5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2"/>
        <v>52.516666666666659</v>
      </c>
    </row>
    <row r="44" spans="2:5" x14ac:dyDescent="0.25">
      <c r="B44" s="2">
        <v>43101</v>
      </c>
      <c r="C44" s="7">
        <v>57.3</v>
      </c>
      <c r="D44" s="7">
        <f t="shared" si="1"/>
        <v>-2</v>
      </c>
      <c r="E44" s="7">
        <f t="shared" si="2"/>
        <v>53.274999999999999</v>
      </c>
    </row>
    <row r="45" spans="2:5" x14ac:dyDescent="0.25">
      <c r="B45" s="2">
        <v>43132</v>
      </c>
      <c r="C45" s="7">
        <v>56.3</v>
      </c>
      <c r="D45" s="7">
        <f t="shared" si="1"/>
        <v>-1</v>
      </c>
      <c r="E45" s="7">
        <f t="shared" si="2"/>
        <v>54.249999999999993</v>
      </c>
    </row>
    <row r="46" spans="2:5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2"/>
        <v>55</v>
      </c>
    </row>
    <row r="47" spans="2:5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2"/>
        <v>55.483333333333327</v>
      </c>
    </row>
    <row r="48" spans="2:5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2"/>
        <v>55.816666666666663</v>
      </c>
    </row>
    <row r="49" spans="2:5" x14ac:dyDescent="0.25">
      <c r="B49" s="2">
        <v>43252</v>
      </c>
      <c r="C49" s="7">
        <v>57</v>
      </c>
      <c r="D49" s="7">
        <f t="shared" si="1"/>
        <v>0.5</v>
      </c>
      <c r="E49" s="7">
        <f t="shared" si="2"/>
        <v>56.158333333333331</v>
      </c>
    </row>
    <row r="50" spans="2:5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2"/>
        <v>56.383333333333326</v>
      </c>
    </row>
    <row r="51" spans="2:5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2"/>
        <v>56.675000000000004</v>
      </c>
    </row>
    <row r="52" spans="2:5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2"/>
        <v>56.75</v>
      </c>
    </row>
    <row r="53" spans="2:5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2"/>
        <v>56.9</v>
      </c>
    </row>
    <row r="54" spans="2:5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2"/>
        <v>57.066666666666663</v>
      </c>
    </row>
    <row r="55" spans="2:5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2"/>
        <v>57.216666666666669</v>
      </c>
    </row>
    <row r="56" spans="2:5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2"/>
        <v>57.31666666666667</v>
      </c>
    </row>
    <row r="57" spans="2:5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2"/>
        <v>57.383333333333333</v>
      </c>
    </row>
    <row r="58" spans="2:5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2"/>
        <v>57.441666666666663</v>
      </c>
    </row>
    <row r="59" spans="2:5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2"/>
        <v>57.508333333333347</v>
      </c>
    </row>
    <row r="60" spans="2:5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2"/>
        <v>57.616666666666667</v>
      </c>
    </row>
    <row r="61" spans="2:5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2"/>
        <v>57.650000000000006</v>
      </c>
    </row>
    <row r="62" spans="2:5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2"/>
        <v>57.716666666666669</v>
      </c>
    </row>
    <row r="63" spans="2:5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2"/>
        <v>57.783333333333331</v>
      </c>
    </row>
    <row r="64" spans="2:5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2"/>
        <v>57.908333333333331</v>
      </c>
    </row>
    <row r="65" spans="2:5" x14ac:dyDescent="0.25">
      <c r="B65" s="2">
        <v>43739</v>
      </c>
      <c r="C65" s="7">
        <v>58.2</v>
      </c>
      <c r="D65" s="7">
        <f t="shared" si="1"/>
        <v>0.5</v>
      </c>
      <c r="E65" s="7">
        <f t="shared" si="2"/>
        <v>58.025000000000006</v>
      </c>
    </row>
    <row r="66" spans="2:5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si="2"/>
        <v>58.141666666666673</v>
      </c>
    </row>
    <row r="67" spans="2:5" x14ac:dyDescent="0.25">
      <c r="B67" s="2">
        <v>43800</v>
      </c>
      <c r="C67" s="7">
        <v>60.8</v>
      </c>
      <c r="D67" s="7">
        <f t="shared" si="1"/>
        <v>1.5</v>
      </c>
      <c r="E67" s="7">
        <f t="shared" si="2"/>
        <v>58.323076923076918</v>
      </c>
    </row>
    <row r="68" spans="2:5" x14ac:dyDescent="0.25">
      <c r="B68" s="2">
        <v>43800</v>
      </c>
      <c r="C68" s="7">
        <v>60.8</v>
      </c>
      <c r="D68" s="7">
        <f t="shared" ref="D68" si="3">C68-C67</f>
        <v>0</v>
      </c>
      <c r="E68" s="7">
        <f t="shared" ref="E68" si="4">IF(ROW(A68)&lt;13,"",AVERAGEIFS($C$2:$C$5000,$B$2:$B$5000,"&gt;"&amp;EDATE(B68,-12),$B$2:$B$5000,"&lt;="&amp;B68))</f>
        <v>58.323076923076918</v>
      </c>
    </row>
  </sheetData>
  <pageMargins left="0.7" right="0.7" top="0.75" bottom="0.75" header="0.3" footer="0.3"/>
  <tableParts count="1">
    <tablePart r:id="rId1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G192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38018</v>
      </c>
      <c r="C2" s="7">
        <v>56.48</v>
      </c>
      <c r="E2" s="7" t="str">
        <f t="shared" ref="E2:E33" si="0">IF(ROW(A2)&lt;13,"",AVERAGEIFS($C$2:$C$5000,$B$2:$B$5000,"&gt;"&amp;EDATE(B2,-12),$B$2:$B$5000,"&lt;="&amp;B2))</f>
        <v/>
      </c>
      <c r="F2" s="13">
        <f>INDEX(Norway[% Change],ROWS(Norway[% Change]),1)</f>
        <v>1.7999999999999972</v>
      </c>
      <c r="G2" s="44">
        <f>INDEX(Norway[12 Mth Rolling Avg.],ROWS(Norway[12 Mth Rolling Avg.]),1)</f>
        <v>53.905000000000001</v>
      </c>
    </row>
    <row r="3" spans="1:7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7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7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7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7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7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7" x14ac:dyDescent="0.25">
      <c r="B9" s="2">
        <v>38231</v>
      </c>
      <c r="C9" s="7">
        <v>56.18</v>
      </c>
      <c r="D9" s="7">
        <f t="shared" si="1"/>
        <v>2.4799999999999969</v>
      </c>
      <c r="E9" s="7" t="str">
        <f t="shared" si="0"/>
        <v/>
      </c>
    </row>
    <row r="10" spans="1:7" x14ac:dyDescent="0.25">
      <c r="B10" s="2">
        <v>38261</v>
      </c>
      <c r="C10" s="7">
        <v>55.07</v>
      </c>
      <c r="D10" s="7">
        <f t="shared" si="1"/>
        <v>-1.1099999999999994</v>
      </c>
      <c r="E10" s="7" t="str">
        <f t="shared" si="0"/>
        <v/>
      </c>
    </row>
    <row r="11" spans="1:7" x14ac:dyDescent="0.25">
      <c r="B11" s="2">
        <v>38292</v>
      </c>
      <c r="C11" s="7">
        <v>53.72</v>
      </c>
      <c r="D11" s="7">
        <f t="shared" si="1"/>
        <v>-1.3500000000000014</v>
      </c>
      <c r="E11" s="7" t="str">
        <f t="shared" si="0"/>
        <v/>
      </c>
    </row>
    <row r="12" spans="1:7" x14ac:dyDescent="0.25">
      <c r="B12" s="2">
        <v>38322</v>
      </c>
      <c r="C12" s="7">
        <v>54.31</v>
      </c>
      <c r="D12" s="7">
        <f t="shared" si="1"/>
        <v>0.59000000000000341</v>
      </c>
      <c r="E12" s="7" t="str">
        <f t="shared" si="0"/>
        <v/>
      </c>
    </row>
    <row r="13" spans="1:7" x14ac:dyDescent="0.25">
      <c r="B13" s="2">
        <v>38353</v>
      </c>
      <c r="C13" s="7">
        <v>55.63</v>
      </c>
      <c r="D13" s="7">
        <f t="shared" si="1"/>
        <v>1.3200000000000003</v>
      </c>
      <c r="E13" s="7">
        <f t="shared" si="0"/>
        <v>55.605454545454542</v>
      </c>
    </row>
    <row r="14" spans="1:7" x14ac:dyDescent="0.25">
      <c r="B14" s="2">
        <v>38384</v>
      </c>
      <c r="C14" s="7">
        <v>56.99</v>
      </c>
      <c r="D14" s="7">
        <f t="shared" si="1"/>
        <v>1.3599999999999994</v>
      </c>
      <c r="E14" s="7">
        <f t="shared" si="0"/>
        <v>55.651818181818186</v>
      </c>
    </row>
    <row r="15" spans="1:7" x14ac:dyDescent="0.25">
      <c r="B15" s="2">
        <v>38412</v>
      </c>
      <c r="C15" s="7">
        <v>57.78</v>
      </c>
      <c r="D15" s="7">
        <f t="shared" si="1"/>
        <v>0.78999999999999915</v>
      </c>
      <c r="E15" s="7">
        <f t="shared" si="0"/>
        <v>55.777272727272724</v>
      </c>
    </row>
    <row r="16" spans="1:7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55.654545454545456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55.927272727272729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55.844545454545454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56.041818181818186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56.050833333333337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56.23416666666666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56.389166666666661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56.899166666666666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57.362500000000004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57.774166666666666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ref="E34:E65" si="2">IF(ROW(A34)&lt;13,"",AVERAGEIFS($C$2:$C$5000,$B$2:$B$5000,"&gt;"&amp;EDATE(B34,-12),$B$2:$B$5000,"&lt;="&amp;B34))</f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2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2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2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2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2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2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2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2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2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2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2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2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2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2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2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2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2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2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2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2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2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2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2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2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2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2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2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2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2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2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2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97" si="3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3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4">C68-C67</f>
        <v>-3.6600000000000037</v>
      </c>
      <c r="E68" s="7">
        <f t="shared" si="3"/>
        <v>42.731666666666662</v>
      </c>
    </row>
    <row r="69" spans="2:5" x14ac:dyDescent="0.25">
      <c r="B69" s="2">
        <v>40057</v>
      </c>
      <c r="C69" s="7">
        <v>46.27</v>
      </c>
      <c r="D69" s="7">
        <f t="shared" si="4"/>
        <v>1.220000000000006</v>
      </c>
      <c r="E69" s="7">
        <f t="shared" si="3"/>
        <v>42.910000000000004</v>
      </c>
    </row>
    <row r="70" spans="2:5" x14ac:dyDescent="0.25">
      <c r="B70" s="2">
        <v>40087</v>
      </c>
      <c r="C70" s="7">
        <v>45.5</v>
      </c>
      <c r="D70" s="7">
        <f t="shared" si="4"/>
        <v>-0.77000000000000313</v>
      </c>
      <c r="E70" s="7">
        <f t="shared" si="3"/>
        <v>43.089166666666671</v>
      </c>
    </row>
    <row r="71" spans="2:5" x14ac:dyDescent="0.25">
      <c r="B71" s="2">
        <v>40118</v>
      </c>
      <c r="C71" s="7">
        <v>49.12</v>
      </c>
      <c r="D71" s="7">
        <f t="shared" si="4"/>
        <v>3.6199999999999974</v>
      </c>
      <c r="E71" s="7">
        <f t="shared" si="3"/>
        <v>43.723333333333329</v>
      </c>
    </row>
    <row r="72" spans="2:5" x14ac:dyDescent="0.25">
      <c r="B72" s="2">
        <v>40148</v>
      </c>
      <c r="C72" s="7">
        <v>50.45</v>
      </c>
      <c r="D72" s="7">
        <f t="shared" si="4"/>
        <v>1.3300000000000054</v>
      </c>
      <c r="E72" s="7">
        <f t="shared" si="3"/>
        <v>44.439166666666665</v>
      </c>
    </row>
    <row r="73" spans="2:5" x14ac:dyDescent="0.25">
      <c r="B73" s="2">
        <v>40179</v>
      </c>
      <c r="C73" s="7">
        <v>50.08</v>
      </c>
      <c r="D73" s="7">
        <f t="shared" si="4"/>
        <v>-0.37000000000000455</v>
      </c>
      <c r="E73" s="7">
        <f t="shared" si="3"/>
        <v>45.204166666666673</v>
      </c>
    </row>
    <row r="74" spans="2:5" x14ac:dyDescent="0.25">
      <c r="B74" s="2">
        <v>40210</v>
      </c>
      <c r="C74" s="7">
        <v>48.44</v>
      </c>
      <c r="D74" s="7">
        <f t="shared" si="4"/>
        <v>-1.6400000000000006</v>
      </c>
      <c r="E74" s="7">
        <f t="shared" si="3"/>
        <v>46.142500000000005</v>
      </c>
    </row>
    <row r="75" spans="2:5" x14ac:dyDescent="0.25">
      <c r="B75" s="2">
        <v>40238</v>
      </c>
      <c r="C75" s="7">
        <v>47.68</v>
      </c>
      <c r="D75" s="7">
        <f t="shared" si="4"/>
        <v>-0.75999999999999801</v>
      </c>
      <c r="E75" s="7">
        <f t="shared" si="3"/>
        <v>46.881666666666661</v>
      </c>
    </row>
    <row r="76" spans="2:5" x14ac:dyDescent="0.25">
      <c r="B76" s="2">
        <v>40269</v>
      </c>
      <c r="C76" s="7">
        <v>50.02</v>
      </c>
      <c r="D76" s="7">
        <f t="shared" si="4"/>
        <v>2.3400000000000034</v>
      </c>
      <c r="E76" s="7">
        <f t="shared" si="3"/>
        <v>47.685833333333335</v>
      </c>
    </row>
    <row r="77" spans="2:5" x14ac:dyDescent="0.25">
      <c r="B77" s="2">
        <v>40299</v>
      </c>
      <c r="C77" s="7">
        <v>46.78</v>
      </c>
      <c r="D77" s="7">
        <f t="shared" si="4"/>
        <v>-3.240000000000002</v>
      </c>
      <c r="E77" s="7">
        <f t="shared" si="3"/>
        <v>48.05833333333333</v>
      </c>
    </row>
    <row r="78" spans="2:5" x14ac:dyDescent="0.25">
      <c r="B78" s="2">
        <v>40330</v>
      </c>
      <c r="C78" s="7">
        <v>51.47</v>
      </c>
      <c r="D78" s="7">
        <f t="shared" si="4"/>
        <v>4.6899999999999977</v>
      </c>
      <c r="E78" s="7">
        <f t="shared" si="3"/>
        <v>48.297500000000007</v>
      </c>
    </row>
    <row r="79" spans="2:5" x14ac:dyDescent="0.25">
      <c r="B79" s="2">
        <v>40360</v>
      </c>
      <c r="C79" s="7">
        <v>54.81</v>
      </c>
      <c r="D79" s="7">
        <f t="shared" si="4"/>
        <v>3.3400000000000034</v>
      </c>
      <c r="E79" s="7">
        <f t="shared" si="3"/>
        <v>48.805833333333339</v>
      </c>
    </row>
    <row r="80" spans="2:5" x14ac:dyDescent="0.25">
      <c r="B80" s="2">
        <v>40391</v>
      </c>
      <c r="C80" s="7">
        <v>49.5</v>
      </c>
      <c r="D80" s="7">
        <f t="shared" si="4"/>
        <v>-5.3100000000000023</v>
      </c>
      <c r="E80" s="7">
        <f t="shared" si="3"/>
        <v>49.176666666666677</v>
      </c>
    </row>
    <row r="81" spans="2:5" x14ac:dyDescent="0.25">
      <c r="B81" s="2">
        <v>40422</v>
      </c>
      <c r="C81" s="7">
        <v>52.63</v>
      </c>
      <c r="D81" s="7">
        <f t="shared" si="4"/>
        <v>3.1300000000000026</v>
      </c>
      <c r="E81" s="7">
        <f t="shared" si="3"/>
        <v>49.706666666666656</v>
      </c>
    </row>
    <row r="82" spans="2:5" x14ac:dyDescent="0.25">
      <c r="B82" s="2">
        <v>40452</v>
      </c>
      <c r="C82" s="7">
        <v>55.63</v>
      </c>
      <c r="D82" s="7">
        <f t="shared" si="4"/>
        <v>3</v>
      </c>
      <c r="E82" s="7">
        <f t="shared" si="3"/>
        <v>50.550833333333337</v>
      </c>
    </row>
    <row r="83" spans="2:5" x14ac:dyDescent="0.25">
      <c r="B83" s="2">
        <v>40483</v>
      </c>
      <c r="C83" s="7">
        <v>55.08</v>
      </c>
      <c r="D83" s="7">
        <f t="shared" si="4"/>
        <v>-0.55000000000000426</v>
      </c>
      <c r="E83" s="7">
        <f t="shared" si="3"/>
        <v>51.047500000000014</v>
      </c>
    </row>
    <row r="84" spans="2:5" x14ac:dyDescent="0.25">
      <c r="B84" s="2">
        <v>40513</v>
      </c>
      <c r="C84" s="7">
        <v>53.68</v>
      </c>
      <c r="D84" s="7">
        <f t="shared" si="4"/>
        <v>-1.3999999999999986</v>
      </c>
      <c r="E84" s="7">
        <f t="shared" si="3"/>
        <v>51.316666666666663</v>
      </c>
    </row>
    <row r="85" spans="2:5" x14ac:dyDescent="0.25">
      <c r="B85" s="2">
        <v>40544</v>
      </c>
      <c r="C85" s="7">
        <v>53</v>
      </c>
      <c r="D85" s="7">
        <f t="shared" si="4"/>
        <v>-0.67999999999999972</v>
      </c>
      <c r="E85" s="7">
        <f t="shared" si="3"/>
        <v>51.56</v>
      </c>
    </row>
    <row r="86" spans="2:5" x14ac:dyDescent="0.25">
      <c r="B86" s="2">
        <v>40575</v>
      </c>
      <c r="C86" s="7">
        <v>55.72</v>
      </c>
      <c r="D86" s="7">
        <f t="shared" si="4"/>
        <v>2.7199999999999989</v>
      </c>
      <c r="E86" s="7">
        <f t="shared" si="3"/>
        <v>52.166666666666664</v>
      </c>
    </row>
    <row r="87" spans="2:5" x14ac:dyDescent="0.25">
      <c r="B87" s="2">
        <v>40603</v>
      </c>
      <c r="C87" s="7">
        <v>53.17</v>
      </c>
      <c r="D87" s="7">
        <f t="shared" si="4"/>
        <v>-2.5499999999999972</v>
      </c>
      <c r="E87" s="7">
        <f t="shared" si="3"/>
        <v>52.624166666666667</v>
      </c>
    </row>
    <row r="88" spans="2:5" x14ac:dyDescent="0.25">
      <c r="B88" s="2">
        <v>40634</v>
      </c>
      <c r="C88" s="7">
        <v>53.41</v>
      </c>
      <c r="D88" s="7">
        <f t="shared" si="4"/>
        <v>0.23999999999999488</v>
      </c>
      <c r="E88" s="7">
        <f t="shared" si="3"/>
        <v>52.906666666666659</v>
      </c>
    </row>
    <row r="89" spans="2:5" x14ac:dyDescent="0.25">
      <c r="B89" s="2">
        <v>40664</v>
      </c>
      <c r="C89" s="7">
        <v>54.98</v>
      </c>
      <c r="D89" s="7">
        <f t="shared" si="4"/>
        <v>1.5700000000000003</v>
      </c>
      <c r="E89" s="7">
        <f t="shared" si="3"/>
        <v>53.589999999999996</v>
      </c>
    </row>
    <row r="90" spans="2:5" x14ac:dyDescent="0.25">
      <c r="B90" s="2">
        <v>40695</v>
      </c>
      <c r="C90" s="7">
        <v>56.38</v>
      </c>
      <c r="D90" s="7">
        <f t="shared" si="4"/>
        <v>1.4000000000000057</v>
      </c>
      <c r="E90" s="7">
        <f t="shared" si="3"/>
        <v>53.999166666666667</v>
      </c>
    </row>
    <row r="91" spans="2:5" x14ac:dyDescent="0.25">
      <c r="B91" s="2">
        <v>40725</v>
      </c>
      <c r="C91" s="7">
        <v>58.54</v>
      </c>
      <c r="D91" s="7">
        <f t="shared" si="4"/>
        <v>2.1599999999999966</v>
      </c>
      <c r="E91" s="7">
        <f t="shared" si="3"/>
        <v>54.31</v>
      </c>
    </row>
    <row r="92" spans="2:5" x14ac:dyDescent="0.25">
      <c r="B92" s="2">
        <v>40756</v>
      </c>
      <c r="C92" s="7">
        <v>54.53</v>
      </c>
      <c r="D92" s="7">
        <f t="shared" si="4"/>
        <v>-4.009999999999998</v>
      </c>
      <c r="E92" s="7">
        <f t="shared" si="3"/>
        <v>54.729166666666664</v>
      </c>
    </row>
    <row r="93" spans="2:5" x14ac:dyDescent="0.25">
      <c r="B93" s="2">
        <v>40787</v>
      </c>
      <c r="C93" s="7">
        <v>54.78</v>
      </c>
      <c r="D93" s="7">
        <f t="shared" si="4"/>
        <v>0.25</v>
      </c>
      <c r="E93" s="7">
        <f t="shared" si="3"/>
        <v>54.908333333333331</v>
      </c>
    </row>
    <row r="94" spans="2:5" x14ac:dyDescent="0.25">
      <c r="B94" s="2">
        <v>40817</v>
      </c>
      <c r="C94" s="7">
        <v>50.03</v>
      </c>
      <c r="D94" s="7">
        <f t="shared" si="4"/>
        <v>-4.75</v>
      </c>
      <c r="E94" s="7">
        <f t="shared" si="3"/>
        <v>54.441666666666663</v>
      </c>
    </row>
    <row r="95" spans="2:5" x14ac:dyDescent="0.25">
      <c r="B95" s="2">
        <v>40848</v>
      </c>
      <c r="C95" s="7">
        <v>49.61</v>
      </c>
      <c r="D95" s="7">
        <f t="shared" si="4"/>
        <v>-0.42000000000000171</v>
      </c>
      <c r="E95" s="7">
        <f t="shared" si="3"/>
        <v>53.985833333333339</v>
      </c>
    </row>
    <row r="96" spans="2:5" x14ac:dyDescent="0.25">
      <c r="B96" s="2">
        <v>40878</v>
      </c>
      <c r="C96" s="7">
        <v>46.8</v>
      </c>
      <c r="D96" s="7">
        <f t="shared" si="4"/>
        <v>-2.8100000000000023</v>
      </c>
      <c r="E96" s="7">
        <f t="shared" si="3"/>
        <v>53.412499999999994</v>
      </c>
    </row>
    <row r="97" spans="2:5" x14ac:dyDescent="0.25">
      <c r="B97" s="2">
        <v>40909</v>
      </c>
      <c r="C97" s="7">
        <v>52.7</v>
      </c>
      <c r="D97" s="7">
        <f t="shared" si="4"/>
        <v>5.9000000000000057</v>
      </c>
      <c r="E97" s="7">
        <f t="shared" si="3"/>
        <v>53.387499999999996</v>
      </c>
    </row>
    <row r="98" spans="2:5" x14ac:dyDescent="0.25">
      <c r="B98" s="2">
        <v>40940</v>
      </c>
      <c r="C98" s="7">
        <v>54.12</v>
      </c>
      <c r="D98" s="7">
        <f t="shared" si="4"/>
        <v>1.4199999999999946</v>
      </c>
      <c r="E98" s="7">
        <f t="shared" ref="E98:E129" si="5">IF(ROW(A98)&lt;13,"",AVERAGEIFS($C$2:$C$5000,$B$2:$B$5000,"&gt;"&amp;EDATE(B98,-12),$B$2:$B$5000,"&lt;="&amp;B98))</f>
        <v>53.254166666666663</v>
      </c>
    </row>
    <row r="99" spans="2:5" x14ac:dyDescent="0.25">
      <c r="B99" s="2">
        <v>40969</v>
      </c>
      <c r="C99" s="7">
        <v>56.33</v>
      </c>
      <c r="D99" s="7">
        <f t="shared" si="4"/>
        <v>2.2100000000000009</v>
      </c>
      <c r="E99" s="7">
        <f t="shared" si="5"/>
        <v>53.517500000000005</v>
      </c>
    </row>
    <row r="100" spans="2:5" x14ac:dyDescent="0.25">
      <c r="B100" s="2">
        <v>41000</v>
      </c>
      <c r="C100" s="7">
        <v>52.63</v>
      </c>
      <c r="D100" s="7">
        <f t="shared" si="4"/>
        <v>-3.6999999999999957</v>
      </c>
      <c r="E100" s="7">
        <f t="shared" si="5"/>
        <v>53.452500000000008</v>
      </c>
    </row>
    <row r="101" spans="2:5" x14ac:dyDescent="0.25">
      <c r="B101" s="2">
        <v>41030</v>
      </c>
      <c r="C101" s="7">
        <v>54.18</v>
      </c>
      <c r="D101" s="7">
        <f t="shared" si="4"/>
        <v>1.5499999999999972</v>
      </c>
      <c r="E101" s="7">
        <f t="shared" si="5"/>
        <v>53.385833333333331</v>
      </c>
    </row>
    <row r="102" spans="2:5" x14ac:dyDescent="0.25">
      <c r="B102" s="2">
        <v>41061</v>
      </c>
      <c r="C102" s="7">
        <v>47.54</v>
      </c>
      <c r="D102" s="7">
        <f t="shared" si="4"/>
        <v>-6.6400000000000006</v>
      </c>
      <c r="E102" s="7">
        <f t="shared" si="5"/>
        <v>52.649166666666666</v>
      </c>
    </row>
    <row r="103" spans="2:5" x14ac:dyDescent="0.25">
      <c r="B103" s="2">
        <v>41091</v>
      </c>
      <c r="C103" s="7">
        <v>49.32</v>
      </c>
      <c r="D103" s="7">
        <f t="shared" si="4"/>
        <v>1.7800000000000011</v>
      </c>
      <c r="E103" s="7">
        <f t="shared" si="5"/>
        <v>51.880833333333328</v>
      </c>
    </row>
    <row r="104" spans="2:5" x14ac:dyDescent="0.25">
      <c r="B104" s="2">
        <v>41122</v>
      </c>
      <c r="C104" s="7">
        <v>49.1</v>
      </c>
      <c r="D104" s="7">
        <f t="shared" si="4"/>
        <v>-0.21999999999999886</v>
      </c>
      <c r="E104" s="7">
        <f t="shared" si="5"/>
        <v>51.428333333333342</v>
      </c>
    </row>
    <row r="105" spans="2:5" x14ac:dyDescent="0.25">
      <c r="B105" s="2">
        <v>41153</v>
      </c>
      <c r="C105" s="7">
        <v>49.6</v>
      </c>
      <c r="D105" s="7">
        <f t="shared" si="4"/>
        <v>0.5</v>
      </c>
      <c r="E105" s="7">
        <f t="shared" si="5"/>
        <v>50.99666666666667</v>
      </c>
    </row>
    <row r="106" spans="2:5" x14ac:dyDescent="0.25">
      <c r="B106" s="2">
        <v>41183</v>
      </c>
      <c r="C106" s="7">
        <v>49.32</v>
      </c>
      <c r="D106" s="7">
        <f t="shared" si="4"/>
        <v>-0.28000000000000114</v>
      </c>
      <c r="E106" s="7">
        <f t="shared" si="5"/>
        <v>50.937500000000007</v>
      </c>
    </row>
    <row r="107" spans="2:5" x14ac:dyDescent="0.25">
      <c r="B107" s="2">
        <v>41214</v>
      </c>
      <c r="C107" s="7">
        <v>49.59</v>
      </c>
      <c r="D107" s="7">
        <f t="shared" si="4"/>
        <v>0.27000000000000313</v>
      </c>
      <c r="E107" s="7">
        <f t="shared" si="5"/>
        <v>50.935833333333342</v>
      </c>
    </row>
    <row r="108" spans="2:5" x14ac:dyDescent="0.25">
      <c r="B108" s="2">
        <v>41244</v>
      </c>
      <c r="C108" s="7">
        <v>51.48</v>
      </c>
      <c r="D108" s="7">
        <f t="shared" si="4"/>
        <v>1.8899999999999935</v>
      </c>
      <c r="E108" s="7">
        <f t="shared" si="5"/>
        <v>51.325833333333343</v>
      </c>
    </row>
    <row r="109" spans="2:5" x14ac:dyDescent="0.25">
      <c r="B109" s="2">
        <v>41275</v>
      </c>
      <c r="C109" s="7">
        <v>49.39</v>
      </c>
      <c r="D109" s="7">
        <f t="shared" si="4"/>
        <v>-2.0899999999999963</v>
      </c>
      <c r="E109" s="7">
        <f t="shared" si="5"/>
        <v>51.050000000000004</v>
      </c>
    </row>
    <row r="110" spans="2:5" x14ac:dyDescent="0.25">
      <c r="B110" s="2">
        <v>41306</v>
      </c>
      <c r="C110" s="7">
        <v>47.48</v>
      </c>
      <c r="D110" s="7">
        <f t="shared" si="4"/>
        <v>-1.9100000000000037</v>
      </c>
      <c r="E110" s="7">
        <f t="shared" si="5"/>
        <v>50.49666666666667</v>
      </c>
    </row>
    <row r="111" spans="2:5" x14ac:dyDescent="0.25">
      <c r="B111" s="2">
        <v>41334</v>
      </c>
      <c r="C111" s="7">
        <v>50.2</v>
      </c>
      <c r="D111" s="7">
        <f t="shared" si="4"/>
        <v>2.720000000000006</v>
      </c>
      <c r="E111" s="7">
        <f t="shared" si="5"/>
        <v>49.985833333333339</v>
      </c>
    </row>
    <row r="112" spans="2:5" x14ac:dyDescent="0.25">
      <c r="B112" s="2">
        <v>41365</v>
      </c>
      <c r="C112" s="7">
        <v>48.55</v>
      </c>
      <c r="D112" s="7">
        <f t="shared" si="4"/>
        <v>-1.6500000000000057</v>
      </c>
      <c r="E112" s="7">
        <f t="shared" si="5"/>
        <v>49.645833333333336</v>
      </c>
    </row>
    <row r="113" spans="2:5" x14ac:dyDescent="0.25">
      <c r="B113" s="2">
        <v>41395</v>
      </c>
      <c r="C113" s="7">
        <v>53.64</v>
      </c>
      <c r="D113" s="7">
        <f t="shared" si="4"/>
        <v>5.0900000000000034</v>
      </c>
      <c r="E113" s="7">
        <f t="shared" si="5"/>
        <v>49.600833333333334</v>
      </c>
    </row>
    <row r="114" spans="2:5" x14ac:dyDescent="0.25">
      <c r="B114" s="2">
        <v>41426</v>
      </c>
      <c r="C114" s="7">
        <v>47.09</v>
      </c>
      <c r="D114" s="7">
        <f t="shared" si="4"/>
        <v>-6.5499999999999972</v>
      </c>
      <c r="E114" s="7">
        <f t="shared" si="5"/>
        <v>49.56333333333334</v>
      </c>
    </row>
    <row r="115" spans="2:5" x14ac:dyDescent="0.25">
      <c r="B115" s="2">
        <v>41456</v>
      </c>
      <c r="C115" s="7">
        <v>50.82</v>
      </c>
      <c r="D115" s="7">
        <f t="shared" si="4"/>
        <v>3.7299999999999969</v>
      </c>
      <c r="E115" s="7">
        <f t="shared" si="5"/>
        <v>49.68833333333334</v>
      </c>
    </row>
    <row r="116" spans="2:5" x14ac:dyDescent="0.25">
      <c r="B116" s="2">
        <v>41487</v>
      </c>
      <c r="C116" s="7">
        <v>53.23</v>
      </c>
      <c r="D116" s="7">
        <f t="shared" si="4"/>
        <v>2.4099999999999966</v>
      </c>
      <c r="E116" s="7">
        <f t="shared" si="5"/>
        <v>50.032500000000006</v>
      </c>
    </row>
    <row r="117" spans="2:5" x14ac:dyDescent="0.25">
      <c r="B117" s="2">
        <v>41518</v>
      </c>
      <c r="C117" s="7">
        <v>52.42</v>
      </c>
      <c r="D117" s="7">
        <f t="shared" si="4"/>
        <v>-0.80999999999999517</v>
      </c>
      <c r="E117" s="7">
        <f t="shared" si="5"/>
        <v>50.267499999999991</v>
      </c>
    </row>
    <row r="118" spans="2:5" x14ac:dyDescent="0.25">
      <c r="B118" s="2">
        <v>41548</v>
      </c>
      <c r="C118" s="7">
        <v>52.95</v>
      </c>
      <c r="D118" s="7">
        <f t="shared" si="4"/>
        <v>0.53000000000000114</v>
      </c>
      <c r="E118" s="7">
        <f t="shared" si="5"/>
        <v>50.57</v>
      </c>
    </row>
    <row r="119" spans="2:5" x14ac:dyDescent="0.25">
      <c r="B119" s="2">
        <v>41579</v>
      </c>
      <c r="C119" s="7">
        <v>53.77</v>
      </c>
      <c r="D119" s="7">
        <f t="shared" si="4"/>
        <v>0.82000000000000028</v>
      </c>
      <c r="E119" s="7">
        <f t="shared" si="5"/>
        <v>50.918333333333344</v>
      </c>
    </row>
    <row r="120" spans="2:5" x14ac:dyDescent="0.25">
      <c r="B120" s="2">
        <v>41609</v>
      </c>
      <c r="C120" s="7">
        <v>51.84</v>
      </c>
      <c r="D120" s="7">
        <f t="shared" si="4"/>
        <v>-1.9299999999999997</v>
      </c>
      <c r="E120" s="7">
        <f t="shared" si="5"/>
        <v>50.948333333333345</v>
      </c>
    </row>
    <row r="121" spans="2:5" x14ac:dyDescent="0.25">
      <c r="B121" s="2">
        <v>41640</v>
      </c>
      <c r="C121" s="7">
        <v>51.28</v>
      </c>
      <c r="D121" s="7">
        <f t="shared" si="4"/>
        <v>-0.56000000000000227</v>
      </c>
      <c r="E121" s="7">
        <f t="shared" si="5"/>
        <v>51.105833333333329</v>
      </c>
    </row>
    <row r="122" spans="2:5" x14ac:dyDescent="0.25">
      <c r="B122" s="2">
        <v>41671</v>
      </c>
      <c r="C122" s="7">
        <v>50.91</v>
      </c>
      <c r="D122" s="7">
        <f t="shared" si="4"/>
        <v>-0.37000000000000455</v>
      </c>
      <c r="E122" s="7">
        <f t="shared" si="5"/>
        <v>51.391666666666659</v>
      </c>
    </row>
    <row r="123" spans="2:5" x14ac:dyDescent="0.25">
      <c r="B123" s="2">
        <v>41699</v>
      </c>
      <c r="C123" s="7">
        <v>51.72</v>
      </c>
      <c r="D123" s="7">
        <f t="shared" si="4"/>
        <v>0.81000000000000227</v>
      </c>
      <c r="E123" s="7">
        <f t="shared" si="5"/>
        <v>51.518333333333324</v>
      </c>
    </row>
    <row r="124" spans="2:5" x14ac:dyDescent="0.25">
      <c r="B124" s="2">
        <v>41730</v>
      </c>
      <c r="C124" s="7">
        <v>51.64</v>
      </c>
      <c r="D124" s="7">
        <f t="shared" si="4"/>
        <v>-7.9999999999998295E-2</v>
      </c>
      <c r="E124" s="7">
        <f t="shared" si="5"/>
        <v>51.775833333333331</v>
      </c>
    </row>
    <row r="125" spans="2:5" x14ac:dyDescent="0.25">
      <c r="B125" s="2">
        <v>41760</v>
      </c>
      <c r="C125" s="7">
        <v>49.69</v>
      </c>
      <c r="D125" s="7">
        <f t="shared" si="4"/>
        <v>-1.9500000000000028</v>
      </c>
      <c r="E125" s="7">
        <f t="shared" si="5"/>
        <v>51.446666666666658</v>
      </c>
    </row>
    <row r="126" spans="2:5" x14ac:dyDescent="0.25">
      <c r="B126" s="2">
        <v>41791</v>
      </c>
      <c r="C126" s="7">
        <v>51.24</v>
      </c>
      <c r="D126" s="7">
        <f t="shared" si="4"/>
        <v>1.5500000000000043</v>
      </c>
      <c r="E126" s="7">
        <f t="shared" si="5"/>
        <v>51.792499999999997</v>
      </c>
    </row>
    <row r="127" spans="2:5" x14ac:dyDescent="0.25">
      <c r="B127" s="2">
        <v>41821</v>
      </c>
      <c r="C127" s="7">
        <v>51.32</v>
      </c>
      <c r="D127" s="7">
        <f t="shared" si="4"/>
        <v>7.9999999999998295E-2</v>
      </c>
      <c r="E127" s="7">
        <f t="shared" si="5"/>
        <v>51.834166666666675</v>
      </c>
    </row>
    <row r="128" spans="2:5" x14ac:dyDescent="0.25">
      <c r="B128" s="2">
        <v>41852</v>
      </c>
      <c r="C128" s="7">
        <v>53</v>
      </c>
      <c r="D128" s="7">
        <f t="shared" si="4"/>
        <v>1.6799999999999997</v>
      </c>
      <c r="E128" s="7">
        <f t="shared" si="5"/>
        <v>51.814999999999998</v>
      </c>
    </row>
    <row r="129" spans="2:5" x14ac:dyDescent="0.25">
      <c r="B129" s="2">
        <v>41883</v>
      </c>
      <c r="C129" s="7">
        <v>49.58</v>
      </c>
      <c r="D129" s="7">
        <f t="shared" si="4"/>
        <v>-3.4200000000000017</v>
      </c>
      <c r="E129" s="7">
        <f t="shared" si="5"/>
        <v>51.57833333333334</v>
      </c>
    </row>
    <row r="130" spans="2:5" x14ac:dyDescent="0.25">
      <c r="B130" s="2">
        <v>41913</v>
      </c>
      <c r="C130" s="7">
        <v>49.78</v>
      </c>
      <c r="D130" s="7">
        <f t="shared" si="4"/>
        <v>0.20000000000000284</v>
      </c>
      <c r="E130" s="7">
        <f t="shared" ref="E130:E161" si="6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4"/>
        <v>1.4099999999999966</v>
      </c>
      <c r="E131" s="7">
        <f t="shared" si="6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7">C132-C131</f>
        <v>-1.4499999999999957</v>
      </c>
      <c r="E132" s="7">
        <f t="shared" si="6"/>
        <v>50.924166666666657</v>
      </c>
    </row>
    <row r="133" spans="2:5" x14ac:dyDescent="0.25">
      <c r="B133" s="2">
        <v>42005</v>
      </c>
      <c r="C133" s="7">
        <v>50.86</v>
      </c>
      <c r="D133" s="7">
        <f t="shared" si="7"/>
        <v>1.1199999999999974</v>
      </c>
      <c r="E133" s="7">
        <f t="shared" si="6"/>
        <v>50.889166666666661</v>
      </c>
    </row>
    <row r="134" spans="2:5" x14ac:dyDescent="0.25">
      <c r="B134" s="2">
        <v>42036</v>
      </c>
      <c r="C134" s="7">
        <v>50.85</v>
      </c>
      <c r="D134" s="7">
        <f t="shared" si="7"/>
        <v>-9.9999999999980105E-3</v>
      </c>
      <c r="E134" s="7">
        <f t="shared" si="6"/>
        <v>50.884166666666665</v>
      </c>
    </row>
    <row r="135" spans="2:5" x14ac:dyDescent="0.25">
      <c r="B135" s="2">
        <v>42064</v>
      </c>
      <c r="C135" s="7">
        <v>48.59</v>
      </c>
      <c r="D135" s="7">
        <f t="shared" si="7"/>
        <v>-2.259999999999998</v>
      </c>
      <c r="E135" s="7">
        <f t="shared" si="6"/>
        <v>50.623333333333335</v>
      </c>
    </row>
    <row r="136" spans="2:5" x14ac:dyDescent="0.25">
      <c r="B136" s="2">
        <v>42095</v>
      </c>
      <c r="C136" s="7">
        <v>51.72</v>
      </c>
      <c r="D136" s="7">
        <f t="shared" si="7"/>
        <v>3.1299999999999955</v>
      </c>
      <c r="E136" s="7">
        <f t="shared" si="6"/>
        <v>50.63</v>
      </c>
    </row>
    <row r="137" spans="2:5" x14ac:dyDescent="0.25">
      <c r="B137" s="2">
        <v>42125</v>
      </c>
      <c r="C137" s="7">
        <v>47.08</v>
      </c>
      <c r="D137" s="7">
        <f t="shared" si="7"/>
        <v>-4.6400000000000006</v>
      </c>
      <c r="E137" s="7">
        <f t="shared" si="6"/>
        <v>50.412500000000016</v>
      </c>
    </row>
    <row r="138" spans="2:5" x14ac:dyDescent="0.25">
      <c r="B138" s="2">
        <v>42156</v>
      </c>
      <c r="C138" s="7">
        <v>44.75</v>
      </c>
      <c r="D138" s="7">
        <f t="shared" si="7"/>
        <v>-2.3299999999999983</v>
      </c>
      <c r="E138" s="7">
        <f t="shared" si="6"/>
        <v>49.87166666666667</v>
      </c>
    </row>
    <row r="139" spans="2:5" x14ac:dyDescent="0.25">
      <c r="B139" s="2">
        <v>42186</v>
      </c>
      <c r="C139" s="7">
        <v>44.45</v>
      </c>
      <c r="D139" s="7">
        <f t="shared" si="7"/>
        <v>-0.29999999999999716</v>
      </c>
      <c r="E139" s="7">
        <f t="shared" si="6"/>
        <v>49.299166666666679</v>
      </c>
    </row>
    <row r="140" spans="2:5" x14ac:dyDescent="0.25">
      <c r="B140" s="2">
        <v>42217</v>
      </c>
      <c r="C140" s="7">
        <v>44.82</v>
      </c>
      <c r="D140" s="7">
        <f t="shared" si="7"/>
        <v>0.36999999999999744</v>
      </c>
      <c r="E140" s="7">
        <f t="shared" si="6"/>
        <v>48.617500000000007</v>
      </c>
    </row>
    <row r="141" spans="2:5" x14ac:dyDescent="0.25">
      <c r="B141" s="2">
        <v>42248</v>
      </c>
      <c r="C141" s="7">
        <v>48.59</v>
      </c>
      <c r="D141" s="7">
        <f t="shared" si="7"/>
        <v>3.7700000000000031</v>
      </c>
      <c r="E141" s="7">
        <f t="shared" si="6"/>
        <v>48.535000000000004</v>
      </c>
    </row>
    <row r="142" spans="2:5" x14ac:dyDescent="0.25">
      <c r="B142" s="2">
        <v>42278</v>
      </c>
      <c r="C142" s="7">
        <v>49.21</v>
      </c>
      <c r="D142" s="7">
        <f t="shared" si="7"/>
        <v>0.61999999999999744</v>
      </c>
      <c r="E142" s="7">
        <f t="shared" si="6"/>
        <v>48.487500000000004</v>
      </c>
    </row>
    <row r="143" spans="2:5" x14ac:dyDescent="0.25">
      <c r="B143" s="2">
        <v>42309</v>
      </c>
      <c r="C143" s="7">
        <v>49.16</v>
      </c>
      <c r="D143" s="7">
        <f t="shared" si="7"/>
        <v>-5.0000000000004263E-2</v>
      </c>
      <c r="E143" s="7">
        <f t="shared" si="6"/>
        <v>48.318333333333328</v>
      </c>
    </row>
    <row r="144" spans="2:5" x14ac:dyDescent="0.25">
      <c r="B144" s="2">
        <v>42339</v>
      </c>
      <c r="C144" s="7">
        <v>47.95</v>
      </c>
      <c r="D144" s="7">
        <f t="shared" si="7"/>
        <v>-1.2099999999999937</v>
      </c>
      <c r="E144" s="7">
        <f t="shared" si="6"/>
        <v>48.169166666666676</v>
      </c>
    </row>
    <row r="145" spans="2:5" x14ac:dyDescent="0.25">
      <c r="B145" s="2">
        <v>42370</v>
      </c>
      <c r="C145" s="7">
        <v>49.23</v>
      </c>
      <c r="D145" s="7">
        <f t="shared" si="7"/>
        <v>1.279999999999994</v>
      </c>
      <c r="E145" s="7">
        <f t="shared" si="6"/>
        <v>48.033333333333339</v>
      </c>
    </row>
    <row r="146" spans="2:5" x14ac:dyDescent="0.25">
      <c r="B146" s="2">
        <v>42401</v>
      </c>
      <c r="C146" s="7">
        <v>49.43</v>
      </c>
      <c r="D146" s="7">
        <f t="shared" si="7"/>
        <v>0.20000000000000284</v>
      </c>
      <c r="E146" s="7">
        <f t="shared" si="6"/>
        <v>47.914999999999992</v>
      </c>
    </row>
    <row r="147" spans="2:5" x14ac:dyDescent="0.25">
      <c r="B147" s="2">
        <v>42430</v>
      </c>
      <c r="C147" s="7">
        <v>47.62</v>
      </c>
      <c r="D147" s="7">
        <f t="shared" si="7"/>
        <v>-1.8100000000000023</v>
      </c>
      <c r="E147" s="7">
        <f t="shared" si="6"/>
        <v>47.834166666666668</v>
      </c>
    </row>
    <row r="148" spans="2:5" x14ac:dyDescent="0.25">
      <c r="B148" s="2">
        <v>42461</v>
      </c>
      <c r="C148" s="7">
        <v>49.38</v>
      </c>
      <c r="D148" s="7">
        <f t="shared" si="7"/>
        <v>1.7600000000000051</v>
      </c>
      <c r="E148" s="7">
        <f t="shared" si="6"/>
        <v>47.639166666666661</v>
      </c>
    </row>
    <row r="149" spans="2:5" x14ac:dyDescent="0.25">
      <c r="B149" s="2">
        <v>42491</v>
      </c>
      <c r="C149" s="7">
        <v>51.82</v>
      </c>
      <c r="D149" s="7">
        <f t="shared" si="7"/>
        <v>2.4399999999999977</v>
      </c>
      <c r="E149" s="7">
        <f t="shared" si="6"/>
        <v>48.034166666666671</v>
      </c>
    </row>
    <row r="150" spans="2:5" x14ac:dyDescent="0.25">
      <c r="B150" s="2">
        <v>42522</v>
      </c>
      <c r="C150" s="7">
        <v>52.87</v>
      </c>
      <c r="D150" s="7">
        <f t="shared" si="7"/>
        <v>1.0499999999999972</v>
      </c>
      <c r="E150" s="7">
        <f t="shared" si="6"/>
        <v>48.710833333333341</v>
      </c>
    </row>
    <row r="151" spans="2:5" x14ac:dyDescent="0.25">
      <c r="B151" s="2">
        <v>42552</v>
      </c>
      <c r="C151" s="7">
        <v>54.41</v>
      </c>
      <c r="D151" s="7">
        <f t="shared" si="7"/>
        <v>1.5399999999999991</v>
      </c>
      <c r="E151" s="7">
        <f t="shared" si="6"/>
        <v>49.540833333333332</v>
      </c>
    </row>
    <row r="152" spans="2:5" x14ac:dyDescent="0.25">
      <c r="B152" s="2">
        <v>42583</v>
      </c>
      <c r="C152" s="7">
        <v>49.94</v>
      </c>
      <c r="D152" s="7">
        <f t="shared" si="7"/>
        <v>-4.4699999999999989</v>
      </c>
      <c r="E152" s="7">
        <f t="shared" si="6"/>
        <v>49.967499999999994</v>
      </c>
    </row>
    <row r="153" spans="2:5" x14ac:dyDescent="0.25">
      <c r="B153" s="2">
        <v>42614</v>
      </c>
      <c r="C153" s="7">
        <v>54.28</v>
      </c>
      <c r="D153" s="7">
        <f t="shared" si="7"/>
        <v>4.3400000000000034</v>
      </c>
      <c r="E153" s="7">
        <f t="shared" si="6"/>
        <v>50.441666666666663</v>
      </c>
    </row>
    <row r="154" spans="2:5" x14ac:dyDescent="0.25">
      <c r="B154" s="2">
        <v>42644</v>
      </c>
      <c r="C154" s="7">
        <v>52.64</v>
      </c>
      <c r="D154" s="7">
        <f t="shared" si="7"/>
        <v>-1.6400000000000006</v>
      </c>
      <c r="E154" s="7">
        <f t="shared" si="6"/>
        <v>50.727499999999999</v>
      </c>
    </row>
    <row r="155" spans="2:5" x14ac:dyDescent="0.25">
      <c r="B155" s="2">
        <v>42675</v>
      </c>
      <c r="C155" s="7">
        <v>47.96</v>
      </c>
      <c r="D155" s="7">
        <f t="shared" si="7"/>
        <v>-4.68</v>
      </c>
      <c r="E155" s="7">
        <f t="shared" si="6"/>
        <v>50.627500000000005</v>
      </c>
    </row>
    <row r="156" spans="2:5" x14ac:dyDescent="0.25">
      <c r="B156" s="2">
        <v>42705</v>
      </c>
      <c r="C156" s="7">
        <v>51.47</v>
      </c>
      <c r="D156" s="7">
        <f t="shared" si="7"/>
        <v>3.509999999999998</v>
      </c>
      <c r="E156" s="7">
        <f t="shared" si="6"/>
        <v>50.920833333333341</v>
      </c>
    </row>
    <row r="157" spans="2:5" x14ac:dyDescent="0.25">
      <c r="B157" s="2">
        <v>42736</v>
      </c>
      <c r="C157" s="7">
        <v>50.23</v>
      </c>
      <c r="D157" s="7">
        <f t="shared" si="7"/>
        <v>-1.240000000000002</v>
      </c>
      <c r="E157" s="7">
        <f t="shared" si="6"/>
        <v>51.004166666666663</v>
      </c>
    </row>
    <row r="158" spans="2:5" x14ac:dyDescent="0.25">
      <c r="B158" s="2">
        <v>42767</v>
      </c>
      <c r="C158" s="7">
        <v>52.08</v>
      </c>
      <c r="D158" s="7">
        <f t="shared" si="7"/>
        <v>1.8500000000000014</v>
      </c>
      <c r="E158" s="7">
        <f t="shared" si="6"/>
        <v>51.225000000000001</v>
      </c>
    </row>
    <row r="159" spans="2:5" x14ac:dyDescent="0.25">
      <c r="B159" s="2">
        <v>42795</v>
      </c>
      <c r="C159" s="7">
        <v>55.49</v>
      </c>
      <c r="D159" s="7">
        <f t="shared" si="7"/>
        <v>3.4100000000000037</v>
      </c>
      <c r="E159" s="7">
        <f t="shared" si="6"/>
        <v>51.880833333333328</v>
      </c>
    </row>
    <row r="160" spans="2:5" x14ac:dyDescent="0.25">
      <c r="B160" s="2">
        <v>42826</v>
      </c>
      <c r="C160" s="7">
        <v>53.78</v>
      </c>
      <c r="D160" s="7">
        <f t="shared" si="7"/>
        <v>-1.7100000000000009</v>
      </c>
      <c r="E160" s="7">
        <f t="shared" si="6"/>
        <v>52.247500000000002</v>
      </c>
    </row>
    <row r="161" spans="2:5" x14ac:dyDescent="0.25">
      <c r="B161" s="2">
        <v>42856</v>
      </c>
      <c r="C161" s="7">
        <v>53.38</v>
      </c>
      <c r="D161" s="7">
        <f t="shared" si="7"/>
        <v>-0.39999999999999858</v>
      </c>
      <c r="E161" s="7">
        <f t="shared" si="6"/>
        <v>52.377499999999991</v>
      </c>
    </row>
    <row r="162" spans="2:5" x14ac:dyDescent="0.25">
      <c r="B162" s="2">
        <v>42887</v>
      </c>
      <c r="C162" s="7">
        <v>55.37</v>
      </c>
      <c r="D162" s="7">
        <f t="shared" si="7"/>
        <v>1.9899999999999949</v>
      </c>
      <c r="E162" s="7">
        <f t="shared" ref="E162:E191" si="8">IF(ROW(A162)&lt;13,"",AVERAGEIFS($C$2:$C$5000,$B$2:$B$5000,"&gt;"&amp;EDATE(B162,-12),$B$2:$B$5000,"&lt;="&amp;B162))</f>
        <v>52.585833333333333</v>
      </c>
    </row>
    <row r="163" spans="2:5" x14ac:dyDescent="0.25">
      <c r="B163" s="2">
        <v>42917</v>
      </c>
      <c r="C163" s="7">
        <v>60.5</v>
      </c>
      <c r="D163" s="7">
        <f t="shared" si="7"/>
        <v>5.1300000000000026</v>
      </c>
      <c r="E163" s="7">
        <f t="shared" si="8"/>
        <v>53.093333333333334</v>
      </c>
    </row>
    <row r="164" spans="2:5" x14ac:dyDescent="0.25">
      <c r="B164" s="2">
        <v>42948</v>
      </c>
      <c r="C164" s="7">
        <v>53.28</v>
      </c>
      <c r="D164" s="7">
        <f t="shared" si="7"/>
        <v>-7.2199999999999989</v>
      </c>
      <c r="E164" s="7">
        <f t="shared" si="8"/>
        <v>53.371666666666663</v>
      </c>
    </row>
    <row r="165" spans="2:5" x14ac:dyDescent="0.25">
      <c r="B165" s="2">
        <v>42979</v>
      </c>
      <c r="C165" s="7">
        <v>51.7</v>
      </c>
      <c r="D165" s="7">
        <f t="shared" si="7"/>
        <v>-1.5799999999999983</v>
      </c>
      <c r="E165" s="7">
        <f t="shared" si="8"/>
        <v>53.156666666666666</v>
      </c>
    </row>
    <row r="166" spans="2:5" x14ac:dyDescent="0.25">
      <c r="B166" s="2">
        <v>43009</v>
      </c>
      <c r="C166" s="7">
        <v>54.19</v>
      </c>
      <c r="D166" s="7">
        <f t="shared" si="7"/>
        <v>2.4899999999999949</v>
      </c>
      <c r="E166" s="7">
        <f t="shared" si="8"/>
        <v>53.285833333333336</v>
      </c>
    </row>
    <row r="167" spans="2:5" x14ac:dyDescent="0.25">
      <c r="B167" s="2">
        <v>43040</v>
      </c>
      <c r="C167" s="7">
        <v>56.79</v>
      </c>
      <c r="D167" s="7">
        <f t="shared" si="7"/>
        <v>2.6000000000000014</v>
      </c>
      <c r="E167" s="7">
        <f t="shared" si="8"/>
        <v>54.021666666666668</v>
      </c>
    </row>
    <row r="168" spans="2:5" x14ac:dyDescent="0.25">
      <c r="B168" s="2">
        <v>43070</v>
      </c>
      <c r="C168" s="7">
        <v>56.16</v>
      </c>
      <c r="D168" s="7">
        <f t="shared" si="7"/>
        <v>-0.63000000000000256</v>
      </c>
      <c r="E168" s="7">
        <f t="shared" si="8"/>
        <v>54.412499999999994</v>
      </c>
    </row>
    <row r="169" spans="2:5" x14ac:dyDescent="0.25">
      <c r="B169" s="2">
        <v>43101</v>
      </c>
      <c r="C169" s="7">
        <v>56.3</v>
      </c>
      <c r="D169" s="7">
        <f t="shared" si="7"/>
        <v>0.14000000000000057</v>
      </c>
      <c r="E169" s="7">
        <f t="shared" si="8"/>
        <v>54.918333333333322</v>
      </c>
    </row>
    <row r="170" spans="2:5" x14ac:dyDescent="0.25">
      <c r="B170" s="2">
        <v>43132</v>
      </c>
      <c r="C170" s="7">
        <v>55.11</v>
      </c>
      <c r="D170" s="7">
        <f t="shared" si="7"/>
        <v>-1.1899999999999977</v>
      </c>
      <c r="E170" s="7">
        <f t="shared" si="8"/>
        <v>55.170833333333327</v>
      </c>
    </row>
    <row r="171" spans="2:5" x14ac:dyDescent="0.25">
      <c r="B171" s="2">
        <v>43160</v>
      </c>
      <c r="C171" s="7">
        <v>52.37</v>
      </c>
      <c r="D171" s="7">
        <f t="shared" si="7"/>
        <v>-2.740000000000002</v>
      </c>
      <c r="E171" s="7">
        <f t="shared" si="8"/>
        <v>54.910833333333329</v>
      </c>
    </row>
    <row r="172" spans="2:5" x14ac:dyDescent="0.25">
      <c r="B172" s="2">
        <v>43191</v>
      </c>
      <c r="C172" s="7">
        <v>56.03</v>
      </c>
      <c r="D172" s="7">
        <f t="shared" si="7"/>
        <v>3.6600000000000037</v>
      </c>
      <c r="E172" s="7">
        <f t="shared" si="8"/>
        <v>55.098333333333329</v>
      </c>
    </row>
    <row r="173" spans="2:5" x14ac:dyDescent="0.25">
      <c r="B173" s="2">
        <v>43221</v>
      </c>
      <c r="C173" s="7">
        <v>54.02</v>
      </c>
      <c r="D173" s="7">
        <f t="shared" si="7"/>
        <v>-2.009999999999998</v>
      </c>
      <c r="E173" s="7">
        <f t="shared" si="8"/>
        <v>55.151666666666664</v>
      </c>
    </row>
    <row r="174" spans="2:5" x14ac:dyDescent="0.25">
      <c r="B174" s="2">
        <v>43252</v>
      </c>
      <c r="C174" s="7">
        <v>55.53</v>
      </c>
      <c r="D174" s="7">
        <f t="shared" si="7"/>
        <v>1.509999999999998</v>
      </c>
      <c r="E174" s="7">
        <f t="shared" si="8"/>
        <v>55.164999999999999</v>
      </c>
    </row>
    <row r="175" spans="2:5" x14ac:dyDescent="0.25">
      <c r="B175" s="2">
        <v>43282</v>
      </c>
      <c r="C175" s="7">
        <v>52.23</v>
      </c>
      <c r="D175" s="7">
        <f t="shared" si="7"/>
        <v>-3.3000000000000043</v>
      </c>
      <c r="E175" s="7">
        <f t="shared" si="8"/>
        <v>54.475833333333334</v>
      </c>
    </row>
    <row r="176" spans="2:5" x14ac:dyDescent="0.25">
      <c r="B176" s="2">
        <v>43313</v>
      </c>
      <c r="C176" s="7">
        <v>58.18</v>
      </c>
      <c r="D176" s="7">
        <f t="shared" si="7"/>
        <v>5.9500000000000028</v>
      </c>
      <c r="E176" s="7">
        <f t="shared" si="8"/>
        <v>54.884166666666658</v>
      </c>
    </row>
    <row r="177" spans="2:5" x14ac:dyDescent="0.25">
      <c r="B177" s="2">
        <v>43344</v>
      </c>
      <c r="C177" s="7">
        <v>55.83</v>
      </c>
      <c r="D177" s="7">
        <f t="shared" si="7"/>
        <v>-2.3500000000000014</v>
      </c>
      <c r="E177" s="7">
        <f t="shared" si="8"/>
        <v>55.228333333333332</v>
      </c>
    </row>
    <row r="178" spans="2:5" x14ac:dyDescent="0.25">
      <c r="B178" s="2">
        <v>43374</v>
      </c>
      <c r="C178" s="7">
        <v>53.98</v>
      </c>
      <c r="D178" s="7">
        <f t="shared" si="7"/>
        <v>-1.8500000000000014</v>
      </c>
      <c r="E178" s="7">
        <f t="shared" si="8"/>
        <v>55.210833333333333</v>
      </c>
    </row>
    <row r="179" spans="2:5" x14ac:dyDescent="0.25">
      <c r="B179" s="2">
        <v>43405</v>
      </c>
      <c r="C179" s="7">
        <v>54.85</v>
      </c>
      <c r="D179" s="7">
        <f t="shared" si="7"/>
        <v>0.87000000000000455</v>
      </c>
      <c r="E179" s="7">
        <f t="shared" si="8"/>
        <v>55.049166666666672</v>
      </c>
    </row>
    <row r="180" spans="2:5" x14ac:dyDescent="0.25">
      <c r="B180" s="2">
        <v>43435</v>
      </c>
      <c r="C180" s="7">
        <v>54.86</v>
      </c>
      <c r="D180" s="7">
        <f t="shared" si="7"/>
        <v>9.9999999999980105E-3</v>
      </c>
      <c r="E180" s="7">
        <f t="shared" si="8"/>
        <v>54.940833333333337</v>
      </c>
    </row>
    <row r="181" spans="2:5" x14ac:dyDescent="0.25">
      <c r="B181" s="2">
        <v>43466</v>
      </c>
      <c r="C181" s="7">
        <v>57.23</v>
      </c>
      <c r="D181" s="7">
        <f t="shared" si="7"/>
        <v>2.3699999999999974</v>
      </c>
      <c r="E181" s="7">
        <f t="shared" si="8"/>
        <v>55.018333333333338</v>
      </c>
    </row>
    <row r="182" spans="2:5" x14ac:dyDescent="0.25">
      <c r="B182" s="2">
        <v>43497</v>
      </c>
      <c r="C182" s="7">
        <v>55.03</v>
      </c>
      <c r="D182" s="7">
        <f t="shared" si="7"/>
        <v>-2.1999999999999957</v>
      </c>
      <c r="E182" s="7">
        <f t="shared" si="8"/>
        <v>55.011666666666663</v>
      </c>
    </row>
    <row r="183" spans="2:5" x14ac:dyDescent="0.25">
      <c r="B183" s="2">
        <v>43525</v>
      </c>
      <c r="C183" s="7">
        <v>55.88</v>
      </c>
      <c r="D183" s="7">
        <f t="shared" si="7"/>
        <v>0.85000000000000142</v>
      </c>
      <c r="E183" s="7">
        <f t="shared" si="8"/>
        <v>55.304166666666667</v>
      </c>
    </row>
    <row r="184" spans="2:5" x14ac:dyDescent="0.25">
      <c r="B184" s="2">
        <v>43556</v>
      </c>
      <c r="C184" s="7">
        <v>53.03</v>
      </c>
      <c r="D184" s="7">
        <f t="shared" si="7"/>
        <v>-2.8500000000000014</v>
      </c>
      <c r="E184" s="7">
        <f t="shared" si="8"/>
        <v>55.054166666666674</v>
      </c>
    </row>
    <row r="185" spans="2:5" x14ac:dyDescent="0.25">
      <c r="B185" s="2">
        <v>43586</v>
      </c>
      <c r="C185" s="7">
        <v>55.25</v>
      </c>
      <c r="D185" s="7">
        <f t="shared" si="7"/>
        <v>2.2199999999999989</v>
      </c>
      <c r="E185" s="7">
        <f t="shared" si="8"/>
        <v>55.156666666666666</v>
      </c>
    </row>
    <row r="186" spans="2:5" x14ac:dyDescent="0.25">
      <c r="B186" s="2">
        <v>43617</v>
      </c>
      <c r="C186" s="7">
        <v>51.95</v>
      </c>
      <c r="D186" s="7">
        <f t="shared" si="7"/>
        <v>-3.2999999999999972</v>
      </c>
      <c r="E186" s="7">
        <f t="shared" si="8"/>
        <v>54.858333333333341</v>
      </c>
    </row>
    <row r="187" spans="2:5" x14ac:dyDescent="0.25">
      <c r="B187" s="2">
        <v>43647</v>
      </c>
      <c r="C187" s="7">
        <v>47.78</v>
      </c>
      <c r="D187" s="7">
        <f t="shared" si="7"/>
        <v>-4.1700000000000017</v>
      </c>
      <c r="E187" s="7">
        <f t="shared" si="8"/>
        <v>54.487500000000004</v>
      </c>
    </row>
    <row r="188" spans="2:5" x14ac:dyDescent="0.25">
      <c r="B188" s="2">
        <v>43678</v>
      </c>
      <c r="C188" s="7">
        <v>54.46</v>
      </c>
      <c r="D188" s="7">
        <f t="shared" si="7"/>
        <v>6.68</v>
      </c>
      <c r="E188" s="7">
        <f t="shared" si="8"/>
        <v>54.177500000000002</v>
      </c>
    </row>
    <row r="189" spans="2:5" x14ac:dyDescent="0.25">
      <c r="B189" s="2">
        <v>43709</v>
      </c>
      <c r="C189" s="7">
        <v>51.75</v>
      </c>
      <c r="D189" s="7">
        <f t="shared" si="7"/>
        <v>-2.7100000000000009</v>
      </c>
      <c r="E189" s="7">
        <f t="shared" si="8"/>
        <v>53.837500000000006</v>
      </c>
    </row>
    <row r="190" spans="2:5" x14ac:dyDescent="0.25">
      <c r="B190" s="2">
        <v>43739</v>
      </c>
      <c r="C190" s="7">
        <v>55.3</v>
      </c>
      <c r="D190" s="7">
        <f t="shared" si="7"/>
        <v>3.5499999999999972</v>
      </c>
      <c r="E190" s="7">
        <f t="shared" si="8"/>
        <v>53.947499999999998</v>
      </c>
    </row>
    <row r="191" spans="2:5" x14ac:dyDescent="0.25">
      <c r="B191" s="2">
        <v>43770</v>
      </c>
      <c r="C191" s="7">
        <v>53.7</v>
      </c>
      <c r="D191" s="7">
        <f t="shared" si="7"/>
        <v>-1.5999999999999943</v>
      </c>
      <c r="E191" s="7">
        <f t="shared" si="8"/>
        <v>53.851666666666667</v>
      </c>
    </row>
    <row r="192" spans="2:5" x14ac:dyDescent="0.25">
      <c r="B192" s="2">
        <v>43800</v>
      </c>
      <c r="C192" s="7">
        <v>55.5</v>
      </c>
      <c r="D192" s="7">
        <f t="shared" ref="D192" si="9">C192-C191</f>
        <v>1.7999999999999972</v>
      </c>
      <c r="E192" s="7">
        <f t="shared" ref="E192" si="10">IF(ROW(A192)&lt;13,"",AVERAGEIFS($C$2:$C$5000,$B$2:$B$5000,"&gt;"&amp;EDATE(B192,-12),$B$2:$B$5000,"&lt;="&amp;B192))</f>
        <v>53.905000000000001</v>
      </c>
    </row>
  </sheetData>
  <pageMargins left="0.7" right="0.7" top="0.75" bottom="0.75" header="0.3" footer="0.3"/>
  <tableParts count="1">
    <tablePart r:id="rId1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G49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0.30000000000000426</v>
      </c>
      <c r="G2" s="44">
        <f>INDEX(Philippines[12 Mth Rolling Avg.],ROWS(Philippines[12 Mth Rolling Avg.]),1)</f>
        <v>51.675000000000004</v>
      </c>
    </row>
    <row r="3" spans="1:7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7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7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7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7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7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7" x14ac:dyDescent="0.25">
      <c r="B9" s="2">
        <v>42583</v>
      </c>
      <c r="C9" s="7">
        <v>55.3</v>
      </c>
      <c r="D9" s="7">
        <f t="shared" si="1"/>
        <v>3.8999999999999986</v>
      </c>
      <c r="E9" s="7" t="str">
        <f t="shared" si="0"/>
        <v/>
      </c>
    </row>
    <row r="10" spans="1:7" x14ac:dyDescent="0.25">
      <c r="B10" s="2">
        <v>42614</v>
      </c>
      <c r="C10" s="7">
        <v>57.5</v>
      </c>
      <c r="D10" s="7">
        <f t="shared" si="1"/>
        <v>2.2000000000000028</v>
      </c>
      <c r="E10" s="7" t="str">
        <f t="shared" si="0"/>
        <v/>
      </c>
    </row>
    <row r="11" spans="1:7" x14ac:dyDescent="0.25">
      <c r="B11" s="2">
        <v>42644</v>
      </c>
      <c r="C11" s="7">
        <v>56.5</v>
      </c>
      <c r="D11" s="7">
        <f t="shared" si="1"/>
        <v>-1</v>
      </c>
      <c r="E11" s="7" t="str">
        <f t="shared" si="0"/>
        <v/>
      </c>
    </row>
    <row r="12" spans="1:7" x14ac:dyDescent="0.25">
      <c r="B12" s="2">
        <v>42675</v>
      </c>
      <c r="C12" s="7">
        <v>56.3</v>
      </c>
      <c r="D12" s="7">
        <f t="shared" si="1"/>
        <v>-0.20000000000000284</v>
      </c>
      <c r="E12" s="7" t="str">
        <f t="shared" si="0"/>
        <v/>
      </c>
    </row>
    <row r="13" spans="1:7" x14ac:dyDescent="0.25">
      <c r="B13" s="2">
        <v>42705</v>
      </c>
      <c r="C13" s="7">
        <v>55.7</v>
      </c>
      <c r="D13" s="7">
        <f t="shared" si="1"/>
        <v>-0.59999999999999432</v>
      </c>
      <c r="E13" s="7">
        <f t="shared" si="0"/>
        <v>55.509090909090908</v>
      </c>
    </row>
    <row r="14" spans="1:7" x14ac:dyDescent="0.25">
      <c r="B14" s="2">
        <v>42736</v>
      </c>
      <c r="C14" s="7">
        <v>52.7</v>
      </c>
      <c r="D14" s="7">
        <f t="shared" si="1"/>
        <v>-3</v>
      </c>
      <c r="E14" s="7">
        <f t="shared" si="0"/>
        <v>55.481818181818191</v>
      </c>
    </row>
    <row r="15" spans="1:7" x14ac:dyDescent="0.25">
      <c r="B15" s="2">
        <v>42767</v>
      </c>
      <c r="C15" s="7">
        <v>53.6</v>
      </c>
      <c r="D15" s="7">
        <f t="shared" si="1"/>
        <v>0.89999999999999858</v>
      </c>
      <c r="E15" s="7">
        <f t="shared" si="0"/>
        <v>55.436363636363645</v>
      </c>
    </row>
    <row r="16" spans="1:7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55.381818181818176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55.090909090909093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54.954545454545453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54.809090909090905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54.641666666666659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54.25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53.691666666666663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53.458333333333336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53.333333333333336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53.208333333333343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2">
        <v>43770</v>
      </c>
      <c r="C48" s="7">
        <v>51.4</v>
      </c>
      <c r="D48" s="7">
        <f t="shared" si="1"/>
        <v>-0.70000000000000284</v>
      </c>
      <c r="E48" s="7">
        <f t="shared" si="0"/>
        <v>51.800000000000004</v>
      </c>
    </row>
    <row r="49" spans="2:5" x14ac:dyDescent="0.25">
      <c r="B49" s="2">
        <v>43800</v>
      </c>
      <c r="C49" s="7">
        <v>51.7</v>
      </c>
      <c r="D49" s="7">
        <f t="shared" ref="D49" si="2">C49-C48</f>
        <v>0.30000000000000426</v>
      </c>
      <c r="E49" s="7">
        <f t="shared" ref="E49" si="3">IF(ROW(A49)&lt;13,"",AVERAGEIFS($C$2:$C$5000,$B$2:$B$5000,"&gt;"&amp;EDATE(B49,-12),$B$2:$B$5000,"&lt;="&amp;B49))</f>
        <v>51.675000000000004</v>
      </c>
    </row>
  </sheetData>
  <pageMargins left="0.7" right="0.7" top="0.75" bottom="0.75" header="0.3" footer="0.3"/>
  <tableParts count="1">
    <tablePart r:id="rId1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G109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1.2999999999999972</v>
      </c>
      <c r="G2" s="44">
        <f>INDEX(Poland[12 Mth Rolling Avg.],ROWS(Poland[12 Mth Rolling Avg.]),1)</f>
        <v>47.916666666666664</v>
      </c>
    </row>
    <row r="3" spans="1:7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7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7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7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7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7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7" x14ac:dyDescent="0.25">
      <c r="B9" s="2">
        <v>40756</v>
      </c>
      <c r="C9" s="7">
        <v>51.8</v>
      </c>
      <c r="D9" s="7">
        <f t="shared" si="1"/>
        <v>5.0999999999999943</v>
      </c>
      <c r="E9" s="7" t="str">
        <f t="shared" si="0"/>
        <v/>
      </c>
    </row>
    <row r="10" spans="1:7" x14ac:dyDescent="0.25">
      <c r="B10" s="2">
        <v>40787</v>
      </c>
      <c r="C10" s="7">
        <v>50.2</v>
      </c>
      <c r="D10" s="7">
        <f t="shared" si="1"/>
        <v>-1.5999999999999943</v>
      </c>
      <c r="E10" s="7" t="str">
        <f t="shared" si="0"/>
        <v/>
      </c>
    </row>
    <row r="11" spans="1:7" x14ac:dyDescent="0.25">
      <c r="B11" s="2">
        <v>40817</v>
      </c>
      <c r="C11" s="7">
        <v>51.7</v>
      </c>
      <c r="D11" s="7">
        <f t="shared" si="1"/>
        <v>1.5</v>
      </c>
      <c r="E11" s="7" t="str">
        <f t="shared" si="0"/>
        <v/>
      </c>
    </row>
    <row r="12" spans="1:7" x14ac:dyDescent="0.25">
      <c r="B12" s="2">
        <v>40848</v>
      </c>
      <c r="C12" s="7">
        <v>49.5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40878</v>
      </c>
      <c r="C13" s="7">
        <v>48.8</v>
      </c>
      <c r="D13" s="7">
        <f t="shared" si="1"/>
        <v>-0.70000000000000284</v>
      </c>
      <c r="E13" s="7">
        <f t="shared" si="0"/>
        <v>52.221818181818179</v>
      </c>
    </row>
    <row r="14" spans="1:7" x14ac:dyDescent="0.25">
      <c r="B14" s="2">
        <v>40909</v>
      </c>
      <c r="C14" s="7">
        <v>52.2</v>
      </c>
      <c r="D14" s="7">
        <f t="shared" si="1"/>
        <v>3.4000000000000057</v>
      </c>
      <c r="E14" s="7">
        <f t="shared" si="0"/>
        <v>51.912727272727267</v>
      </c>
    </row>
    <row r="15" spans="1:7" x14ac:dyDescent="0.25">
      <c r="B15" s="2">
        <v>40940</v>
      </c>
      <c r="C15" s="7">
        <v>50</v>
      </c>
      <c r="D15" s="7">
        <f t="shared" si="1"/>
        <v>-2.2000000000000028</v>
      </c>
      <c r="E15" s="7">
        <f t="shared" si="0"/>
        <v>51.56727272727273</v>
      </c>
    </row>
    <row r="16" spans="1:7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51.140000000000008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50.667272727272731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50.330909090909088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50.036363636363632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50.008333333333333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49.716666666666661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49.449999999999996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49.083333333333336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48.975000000000001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48.93333333333333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2">
        <v>43770</v>
      </c>
      <c r="C108" s="7">
        <v>46.7</v>
      </c>
      <c r="D108" s="7">
        <f t="shared" si="4"/>
        <v>1.1000000000000014</v>
      </c>
      <c r="E108" s="7">
        <f t="shared" si="5"/>
        <v>47.883333333333333</v>
      </c>
    </row>
    <row r="109" spans="2:5" x14ac:dyDescent="0.25">
      <c r="B109" s="2">
        <v>43800</v>
      </c>
      <c r="C109" s="7">
        <v>48</v>
      </c>
      <c r="D109" s="7">
        <f t="shared" ref="D109" si="6">C109-C108</f>
        <v>1.2999999999999972</v>
      </c>
      <c r="E109" s="7">
        <f t="shared" ref="E109" si="7">IF(ROW(A109)&lt;13,"",AVERAGEIFS($C$2:$C$5000,$B$2:$B$5000,"&gt;"&amp;EDATE(B109,-12),$B$2:$B$5000,"&lt;="&amp;B109))</f>
        <v>47.916666666666664</v>
      </c>
    </row>
  </sheetData>
  <pageMargins left="0.7" right="0.7" top="0.75" bottom="0.75" header="0.3" footer="0.3"/>
  <tableParts count="1">
    <tablePart r:id="rId1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G116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40299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INDEX(PuertoRico[% Change],ROWS(PuertoRico[% Change]),1)</f>
        <v>0</v>
      </c>
      <c r="G2" s="44">
        <f>INDEX(PuertoRico[12 Mth Rolling Avg.],ROWS(PuertoRico[12 Mth Rolling Avg.]),1)</f>
        <v>48.653846153846153</v>
      </c>
    </row>
    <row r="3" spans="1:7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7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7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7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7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7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40513</v>
      </c>
      <c r="C9" s="7">
        <v>55.1</v>
      </c>
      <c r="D9" s="7">
        <f t="shared" si="1"/>
        <v>6.7000000000000028</v>
      </c>
      <c r="E9" s="7" t="str">
        <f t="shared" si="0"/>
        <v/>
      </c>
    </row>
    <row r="10" spans="1:7" x14ac:dyDescent="0.25">
      <c r="B10" s="2">
        <v>40544</v>
      </c>
      <c r="C10" s="7">
        <v>51.1</v>
      </c>
      <c r="D10" s="7">
        <f t="shared" si="1"/>
        <v>-4</v>
      </c>
      <c r="E10" s="7" t="str">
        <f t="shared" si="0"/>
        <v/>
      </c>
    </row>
    <row r="11" spans="1:7" x14ac:dyDescent="0.25">
      <c r="B11" s="2">
        <v>40575</v>
      </c>
      <c r="C11" s="7">
        <v>51.4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40603</v>
      </c>
      <c r="C12" s="7">
        <v>60.6</v>
      </c>
      <c r="D12" s="7">
        <f t="shared" si="1"/>
        <v>9.2000000000000028</v>
      </c>
      <c r="E12" s="7" t="str">
        <f t="shared" si="0"/>
        <v/>
      </c>
    </row>
    <row r="13" spans="1:7" x14ac:dyDescent="0.25">
      <c r="B13" s="2">
        <v>40634</v>
      </c>
      <c r="C13" s="7">
        <v>49.2</v>
      </c>
      <c r="D13" s="7">
        <f t="shared" si="1"/>
        <v>-11.399999999999999</v>
      </c>
      <c r="E13" s="7">
        <f t="shared" si="0"/>
        <v>52.063636363636377</v>
      </c>
    </row>
    <row r="14" spans="1:7" x14ac:dyDescent="0.25">
      <c r="B14" s="2">
        <v>40664</v>
      </c>
      <c r="C14" s="7">
        <v>50</v>
      </c>
      <c r="D14" s="7">
        <f t="shared" si="1"/>
        <v>0.79999999999999716</v>
      </c>
      <c r="E14" s="7">
        <f t="shared" si="0"/>
        <v>51.6</v>
      </c>
    </row>
    <row r="15" spans="1:7" x14ac:dyDescent="0.25">
      <c r="B15" s="2">
        <v>40695</v>
      </c>
      <c r="C15" s="7">
        <v>51.4</v>
      </c>
      <c r="D15" s="7">
        <f t="shared" si="1"/>
        <v>1.3999999999999986</v>
      </c>
      <c r="E15" s="7">
        <f t="shared" si="0"/>
        <v>51.381818181818176</v>
      </c>
    </row>
    <row r="16" spans="1:7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51.636363636363633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51.372727272727275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51.727272727272727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52.209090909090904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52.199999999999996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51.849999999999994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51.833333333333321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51.891666666666673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51.55833333333333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51.675000000000004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ref="E34:E65" si="2">IF(ROW(A34)&lt;13,"",AVERAGEIFS($C$2:$C$5000,$B$2:$B$5000,"&gt;"&amp;EDATE(B34,-12),$B$2:$B$5000,"&lt;="&amp;B34))</f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2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2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2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2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2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2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2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2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2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2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2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2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2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2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2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2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2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2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2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2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2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2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2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2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2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2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2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2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2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2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2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97" si="3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3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4">C68-C67</f>
        <v>4</v>
      </c>
      <c r="E68" s="7">
        <f t="shared" si="3"/>
        <v>53.341666666666669</v>
      </c>
    </row>
    <row r="69" spans="2:5" x14ac:dyDescent="0.25">
      <c r="B69" s="2">
        <v>42339</v>
      </c>
      <c r="C69" s="7">
        <v>44.1</v>
      </c>
      <c r="D69" s="7">
        <f t="shared" si="4"/>
        <v>-7</v>
      </c>
      <c r="E69" s="7">
        <f t="shared" si="3"/>
        <v>52.883333333333333</v>
      </c>
    </row>
    <row r="70" spans="2:5" x14ac:dyDescent="0.25">
      <c r="B70" s="2">
        <v>42370</v>
      </c>
      <c r="C70" s="7">
        <v>44.7</v>
      </c>
      <c r="D70" s="7">
        <f t="shared" si="4"/>
        <v>0.60000000000000142</v>
      </c>
      <c r="E70" s="7">
        <f t="shared" si="3"/>
        <v>52.508333333333347</v>
      </c>
    </row>
    <row r="71" spans="2:5" x14ac:dyDescent="0.25">
      <c r="B71" s="2">
        <v>42401</v>
      </c>
      <c r="C71" s="7">
        <v>55.4</v>
      </c>
      <c r="D71" s="7">
        <f t="shared" si="4"/>
        <v>10.699999999999996</v>
      </c>
      <c r="E71" s="7">
        <f t="shared" si="3"/>
        <v>51.983333333333341</v>
      </c>
    </row>
    <row r="72" spans="2:5" x14ac:dyDescent="0.25">
      <c r="B72" s="2">
        <v>42430</v>
      </c>
      <c r="C72" s="7">
        <v>54</v>
      </c>
      <c r="D72" s="7">
        <f t="shared" si="4"/>
        <v>-1.3999999999999986</v>
      </c>
      <c r="E72" s="7">
        <f t="shared" si="3"/>
        <v>51.591666666666669</v>
      </c>
    </row>
    <row r="73" spans="2:5" x14ac:dyDescent="0.25">
      <c r="B73" s="2">
        <v>42461</v>
      </c>
      <c r="C73" s="7">
        <v>47.9</v>
      </c>
      <c r="D73" s="7">
        <f t="shared" si="4"/>
        <v>-6.1000000000000014</v>
      </c>
      <c r="E73" s="7">
        <f t="shared" si="3"/>
        <v>50.716666666666669</v>
      </c>
    </row>
    <row r="74" spans="2:5" x14ac:dyDescent="0.25">
      <c r="B74" s="2">
        <v>42491</v>
      </c>
      <c r="C74" s="7">
        <v>46.6</v>
      </c>
      <c r="D74" s="7">
        <f t="shared" si="4"/>
        <v>-1.2999999999999972</v>
      </c>
      <c r="E74" s="7">
        <f t="shared" si="3"/>
        <v>49.949999999999996</v>
      </c>
    </row>
    <row r="75" spans="2:5" x14ac:dyDescent="0.25">
      <c r="B75" s="2">
        <v>42522</v>
      </c>
      <c r="C75" s="7">
        <v>50.7</v>
      </c>
      <c r="D75" s="7">
        <f t="shared" si="4"/>
        <v>4.1000000000000014</v>
      </c>
      <c r="E75" s="7">
        <f t="shared" si="3"/>
        <v>49.449999999999996</v>
      </c>
    </row>
    <row r="76" spans="2:5" x14ac:dyDescent="0.25">
      <c r="B76" s="2">
        <v>42552</v>
      </c>
      <c r="C76" s="7">
        <v>45.8</v>
      </c>
      <c r="D76" s="7">
        <f t="shared" si="4"/>
        <v>-4.9000000000000057</v>
      </c>
      <c r="E76" s="7">
        <f t="shared" si="3"/>
        <v>49.133333333333326</v>
      </c>
    </row>
    <row r="77" spans="2:5" x14ac:dyDescent="0.25">
      <c r="B77" s="2">
        <v>42583</v>
      </c>
      <c r="C77" s="7">
        <v>55.7</v>
      </c>
      <c r="D77" s="7">
        <f t="shared" si="4"/>
        <v>9.9000000000000057</v>
      </c>
      <c r="E77" s="7">
        <f t="shared" si="3"/>
        <v>49.65</v>
      </c>
    </row>
    <row r="78" spans="2:5" x14ac:dyDescent="0.25">
      <c r="B78" s="2">
        <v>42614</v>
      </c>
      <c r="C78" s="7">
        <v>47.9</v>
      </c>
      <c r="D78" s="7">
        <f t="shared" si="4"/>
        <v>-7.8000000000000043</v>
      </c>
      <c r="E78" s="7">
        <f t="shared" si="3"/>
        <v>49.25</v>
      </c>
    </row>
    <row r="79" spans="2:5" x14ac:dyDescent="0.25">
      <c r="B79" s="2">
        <v>42644</v>
      </c>
      <c r="C79" s="7">
        <v>54.2</v>
      </c>
      <c r="D79" s="7">
        <f t="shared" si="4"/>
        <v>6.3000000000000043</v>
      </c>
      <c r="E79" s="7">
        <f t="shared" si="3"/>
        <v>49.841666666666669</v>
      </c>
    </row>
    <row r="80" spans="2:5" x14ac:dyDescent="0.25">
      <c r="B80" s="2">
        <v>42675</v>
      </c>
      <c r="C80" s="7">
        <v>49.1</v>
      </c>
      <c r="D80" s="7">
        <f t="shared" si="4"/>
        <v>-5.1000000000000014</v>
      </c>
      <c r="E80" s="7">
        <f t="shared" si="3"/>
        <v>49.675000000000004</v>
      </c>
    </row>
    <row r="81" spans="2:5" x14ac:dyDescent="0.25">
      <c r="B81" s="2">
        <v>42705</v>
      </c>
      <c r="C81" s="7">
        <v>46.1</v>
      </c>
      <c r="D81" s="7">
        <f t="shared" si="4"/>
        <v>-3</v>
      </c>
      <c r="E81" s="7">
        <f t="shared" si="3"/>
        <v>49.841666666666669</v>
      </c>
    </row>
    <row r="82" spans="2:5" x14ac:dyDescent="0.25">
      <c r="B82" s="2">
        <v>42736</v>
      </c>
      <c r="C82" s="7">
        <v>44.2</v>
      </c>
      <c r="D82" s="7">
        <f t="shared" si="4"/>
        <v>-1.8999999999999986</v>
      </c>
      <c r="E82" s="7">
        <f t="shared" si="3"/>
        <v>49.800000000000004</v>
      </c>
    </row>
    <row r="83" spans="2:5" x14ac:dyDescent="0.25">
      <c r="B83" s="2">
        <v>42767</v>
      </c>
      <c r="C83" s="7">
        <v>49.2</v>
      </c>
      <c r="D83" s="7">
        <f t="shared" si="4"/>
        <v>5</v>
      </c>
      <c r="E83" s="7">
        <f t="shared" si="3"/>
        <v>49.283333333333339</v>
      </c>
    </row>
    <row r="84" spans="2:5" x14ac:dyDescent="0.25">
      <c r="B84" s="2">
        <v>42795</v>
      </c>
      <c r="C84" s="7">
        <v>47.9</v>
      </c>
      <c r="D84" s="7">
        <f t="shared" si="4"/>
        <v>-1.3000000000000043</v>
      </c>
      <c r="E84" s="7">
        <f t="shared" si="3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4"/>
        <v>-8.6000000000000014</v>
      </c>
      <c r="E85" s="7">
        <f t="shared" si="3"/>
        <v>48.058333333333337</v>
      </c>
    </row>
    <row r="86" spans="2:5" x14ac:dyDescent="0.25">
      <c r="B86" s="2">
        <v>42856</v>
      </c>
      <c r="C86" s="7">
        <v>48.6</v>
      </c>
      <c r="D86" s="7">
        <f t="shared" si="4"/>
        <v>9.3000000000000043</v>
      </c>
      <c r="E86" s="7">
        <f t="shared" si="3"/>
        <v>48.225000000000001</v>
      </c>
    </row>
    <row r="87" spans="2:5" x14ac:dyDescent="0.25">
      <c r="B87" s="2">
        <v>42887</v>
      </c>
      <c r="C87" s="7">
        <v>43.6</v>
      </c>
      <c r="D87" s="7">
        <f t="shared" si="4"/>
        <v>-5</v>
      </c>
      <c r="E87" s="7">
        <f t="shared" si="3"/>
        <v>47.633333333333333</v>
      </c>
    </row>
    <row r="88" spans="2:5" x14ac:dyDescent="0.25">
      <c r="B88" s="2">
        <v>42917</v>
      </c>
      <c r="C88" s="7">
        <v>45.8</v>
      </c>
      <c r="D88" s="7">
        <f t="shared" si="4"/>
        <v>2.1999999999999957</v>
      </c>
      <c r="E88" s="7">
        <f t="shared" si="3"/>
        <v>47.633333333333326</v>
      </c>
    </row>
    <row r="89" spans="2:5" x14ac:dyDescent="0.25">
      <c r="B89" s="2">
        <v>42948</v>
      </c>
      <c r="C89" s="7">
        <v>53.8</v>
      </c>
      <c r="D89" s="7">
        <f t="shared" si="4"/>
        <v>8</v>
      </c>
      <c r="E89" s="7">
        <f t="shared" si="3"/>
        <v>47.474999999999994</v>
      </c>
    </row>
    <row r="90" spans="2:5" x14ac:dyDescent="0.25">
      <c r="B90" s="2">
        <v>42979</v>
      </c>
      <c r="C90" s="7">
        <v>33.1</v>
      </c>
      <c r="D90" s="7">
        <f t="shared" si="4"/>
        <v>-20.699999999999996</v>
      </c>
      <c r="E90" s="7">
        <f t="shared" si="3"/>
        <v>46.241666666666674</v>
      </c>
    </row>
    <row r="91" spans="2:5" x14ac:dyDescent="0.25">
      <c r="B91" s="2">
        <v>43009</v>
      </c>
      <c r="C91" s="7">
        <v>48.1</v>
      </c>
      <c r="D91" s="7">
        <f t="shared" si="4"/>
        <v>15</v>
      </c>
      <c r="E91" s="7">
        <f t="shared" si="3"/>
        <v>45.733333333333341</v>
      </c>
    </row>
    <row r="92" spans="2:5" x14ac:dyDescent="0.25">
      <c r="B92" s="2">
        <v>43040</v>
      </c>
      <c r="C92" s="7">
        <v>53.5</v>
      </c>
      <c r="D92" s="7">
        <f t="shared" si="4"/>
        <v>5.3999999999999986</v>
      </c>
      <c r="E92" s="7">
        <f t="shared" si="3"/>
        <v>46.1</v>
      </c>
    </row>
    <row r="93" spans="2:5" x14ac:dyDescent="0.25">
      <c r="B93" s="2">
        <v>43070</v>
      </c>
      <c r="C93" s="7">
        <v>53.6</v>
      </c>
      <c r="D93" s="7">
        <f t="shared" si="4"/>
        <v>0.10000000000000142</v>
      </c>
      <c r="E93" s="7">
        <f t="shared" si="3"/>
        <v>46.725000000000001</v>
      </c>
    </row>
    <row r="94" spans="2:5" x14ac:dyDescent="0.25">
      <c r="B94" s="2">
        <v>43101</v>
      </c>
      <c r="C94" s="7">
        <v>58.5</v>
      </c>
      <c r="D94" s="7">
        <f t="shared" si="4"/>
        <v>4.8999999999999986</v>
      </c>
      <c r="E94" s="7">
        <f t="shared" si="3"/>
        <v>47.916666666666664</v>
      </c>
    </row>
    <row r="95" spans="2:5" x14ac:dyDescent="0.25">
      <c r="B95" s="2">
        <v>43132</v>
      </c>
      <c r="C95" s="7">
        <v>50.7</v>
      </c>
      <c r="D95" s="7">
        <f t="shared" si="4"/>
        <v>-7.7999999999999972</v>
      </c>
      <c r="E95" s="7">
        <f t="shared" si="3"/>
        <v>48.041666666666679</v>
      </c>
    </row>
    <row r="96" spans="2:5" x14ac:dyDescent="0.25">
      <c r="B96" s="2">
        <v>43160</v>
      </c>
      <c r="C96" s="7">
        <v>50</v>
      </c>
      <c r="D96" s="7">
        <f t="shared" si="4"/>
        <v>-0.70000000000000284</v>
      </c>
      <c r="E96" s="7">
        <f t="shared" si="3"/>
        <v>48.216666666666676</v>
      </c>
    </row>
    <row r="97" spans="2:5" x14ac:dyDescent="0.25">
      <c r="B97" s="2">
        <v>43191</v>
      </c>
      <c r="C97" s="7">
        <v>56.8</v>
      </c>
      <c r="D97" s="7">
        <f t="shared" si="4"/>
        <v>6.7999999999999972</v>
      </c>
      <c r="E97" s="7">
        <f t="shared" si="3"/>
        <v>49.67499999999999</v>
      </c>
    </row>
    <row r="98" spans="2:5" x14ac:dyDescent="0.25">
      <c r="B98" s="2">
        <v>43221</v>
      </c>
      <c r="C98" s="7">
        <v>53.3</v>
      </c>
      <c r="D98" s="7">
        <f t="shared" si="4"/>
        <v>-3.5</v>
      </c>
      <c r="E98" s="7">
        <f t="shared" ref="E98:E115" si="5">IF(ROW(A98)&lt;13,"",AVERAGEIFS($C$2:$C$5000,$B$2:$B$5000,"&gt;"&amp;EDATE(B98,-12),$B$2:$B$5000,"&lt;="&amp;B98))</f>
        <v>50.066666666666663</v>
      </c>
    </row>
    <row r="99" spans="2:5" x14ac:dyDescent="0.25">
      <c r="B99" s="2">
        <v>43252</v>
      </c>
      <c r="C99" s="7">
        <v>61.1</v>
      </c>
      <c r="D99" s="7">
        <f t="shared" si="4"/>
        <v>7.8000000000000043</v>
      </c>
      <c r="E99" s="7">
        <f t="shared" si="5"/>
        <v>51.524999999999999</v>
      </c>
    </row>
    <row r="100" spans="2:5" x14ac:dyDescent="0.25">
      <c r="B100" s="2">
        <v>43282</v>
      </c>
      <c r="C100" s="7">
        <v>59.1</v>
      </c>
      <c r="D100" s="7">
        <f t="shared" si="4"/>
        <v>-2</v>
      </c>
      <c r="E100" s="7">
        <f t="shared" si="5"/>
        <v>52.633333333333333</v>
      </c>
    </row>
    <row r="101" spans="2:5" x14ac:dyDescent="0.25">
      <c r="B101" s="2">
        <v>43313</v>
      </c>
      <c r="C101" s="7">
        <v>57.8</v>
      </c>
      <c r="D101" s="7">
        <f t="shared" si="4"/>
        <v>-1.3000000000000043</v>
      </c>
      <c r="E101" s="7">
        <f t="shared" si="5"/>
        <v>52.966666666666669</v>
      </c>
    </row>
    <row r="102" spans="2:5" x14ac:dyDescent="0.25">
      <c r="B102" s="2">
        <v>43344</v>
      </c>
      <c r="C102" s="7">
        <v>50.4</v>
      </c>
      <c r="D102" s="7">
        <f t="shared" si="4"/>
        <v>-7.3999999999999986</v>
      </c>
      <c r="E102" s="7">
        <f t="shared" si="5"/>
        <v>54.408333333333331</v>
      </c>
    </row>
    <row r="103" spans="2:5" x14ac:dyDescent="0.25">
      <c r="B103" s="2">
        <v>43374</v>
      </c>
      <c r="C103" s="7">
        <v>53.2</v>
      </c>
      <c r="D103" s="7">
        <f t="shared" si="4"/>
        <v>2.8000000000000043</v>
      </c>
      <c r="E103" s="7">
        <f t="shared" si="5"/>
        <v>54.833333333333343</v>
      </c>
    </row>
    <row r="104" spans="2:5" x14ac:dyDescent="0.25">
      <c r="B104" s="2">
        <v>43405</v>
      </c>
      <c r="C104" s="7">
        <v>54.2</v>
      </c>
      <c r="D104" s="7">
        <f t="shared" si="4"/>
        <v>1</v>
      </c>
      <c r="E104" s="7">
        <f t="shared" si="5"/>
        <v>54.89166666666668</v>
      </c>
    </row>
    <row r="105" spans="2:5" x14ac:dyDescent="0.25">
      <c r="B105" s="2">
        <v>43435</v>
      </c>
      <c r="C105" s="7">
        <v>47.3</v>
      </c>
      <c r="D105" s="7">
        <f t="shared" si="4"/>
        <v>-6.9000000000000057</v>
      </c>
      <c r="E105" s="7">
        <f t="shared" si="5"/>
        <v>54.366666666666674</v>
      </c>
    </row>
    <row r="106" spans="2:5" x14ac:dyDescent="0.25">
      <c r="B106" s="2">
        <v>43466</v>
      </c>
      <c r="C106" s="7">
        <v>54.4</v>
      </c>
      <c r="D106" s="7">
        <f t="shared" si="4"/>
        <v>7.1000000000000014</v>
      </c>
      <c r="E106" s="7">
        <f t="shared" si="5"/>
        <v>54.024999999999999</v>
      </c>
    </row>
    <row r="107" spans="2:5" x14ac:dyDescent="0.25">
      <c r="B107" s="2">
        <v>43497</v>
      </c>
      <c r="C107" s="7">
        <v>51.4</v>
      </c>
      <c r="D107" s="7">
        <f t="shared" si="4"/>
        <v>-3</v>
      </c>
      <c r="E107" s="7">
        <f t="shared" si="5"/>
        <v>54.083333333333321</v>
      </c>
    </row>
    <row r="108" spans="2:5" x14ac:dyDescent="0.25">
      <c r="B108" s="2">
        <v>43525</v>
      </c>
      <c r="C108" s="7">
        <v>52.9</v>
      </c>
      <c r="D108" s="7">
        <f t="shared" si="4"/>
        <v>1.5</v>
      </c>
      <c r="E108" s="7">
        <f t="shared" si="5"/>
        <v>54.324999999999989</v>
      </c>
    </row>
    <row r="109" spans="2:5" x14ac:dyDescent="0.25">
      <c r="B109" s="2">
        <v>43556</v>
      </c>
      <c r="C109" s="7">
        <v>49.6</v>
      </c>
      <c r="D109" s="7">
        <f t="shared" si="4"/>
        <v>-3.2999999999999972</v>
      </c>
      <c r="E109" s="7">
        <f t="shared" si="5"/>
        <v>53.724999999999994</v>
      </c>
    </row>
    <row r="110" spans="2:5" x14ac:dyDescent="0.25">
      <c r="B110" s="2">
        <v>43586</v>
      </c>
      <c r="C110" s="7">
        <v>49.6</v>
      </c>
      <c r="D110" s="7">
        <f t="shared" si="4"/>
        <v>0</v>
      </c>
      <c r="E110" s="7">
        <f t="shared" si="5"/>
        <v>53.416666666666664</v>
      </c>
    </row>
    <row r="111" spans="2:5" x14ac:dyDescent="0.25">
      <c r="B111" s="2">
        <v>43617</v>
      </c>
      <c r="C111" s="7">
        <v>44.3</v>
      </c>
      <c r="D111" s="7">
        <f t="shared" si="4"/>
        <v>-5.3000000000000043</v>
      </c>
      <c r="E111" s="7">
        <f t="shared" si="5"/>
        <v>52.016666666666659</v>
      </c>
    </row>
    <row r="112" spans="2:5" x14ac:dyDescent="0.25">
      <c r="B112" s="2">
        <v>43647</v>
      </c>
      <c r="C112" s="7">
        <v>42.2</v>
      </c>
      <c r="D112" s="7">
        <f t="shared" si="4"/>
        <v>-2.0999999999999943</v>
      </c>
      <c r="E112" s="7">
        <f t="shared" si="5"/>
        <v>50.608333333333327</v>
      </c>
    </row>
    <row r="113" spans="2:5" x14ac:dyDescent="0.25">
      <c r="B113" s="2">
        <v>43678</v>
      </c>
      <c r="C113" s="7">
        <v>46</v>
      </c>
      <c r="D113" s="7">
        <f t="shared" si="4"/>
        <v>3.7999999999999972</v>
      </c>
      <c r="E113" s="7">
        <f t="shared" si="5"/>
        <v>49.625</v>
      </c>
    </row>
    <row r="114" spans="2:5" x14ac:dyDescent="0.25">
      <c r="B114" s="2">
        <v>43709</v>
      </c>
      <c r="C114" s="7">
        <v>43.8</v>
      </c>
      <c r="D114" s="7">
        <f t="shared" si="4"/>
        <v>-2.2000000000000028</v>
      </c>
      <c r="E114" s="7">
        <f t="shared" si="5"/>
        <v>49.074999999999996</v>
      </c>
    </row>
    <row r="115" spans="2:5" x14ac:dyDescent="0.25">
      <c r="B115" s="2">
        <v>43739</v>
      </c>
      <c r="C115" s="7">
        <v>48.4</v>
      </c>
      <c r="D115" s="7">
        <f t="shared" si="4"/>
        <v>4.6000000000000014</v>
      </c>
      <c r="E115" s="7">
        <f t="shared" si="5"/>
        <v>48.653846153846153</v>
      </c>
    </row>
    <row r="116" spans="2:5" x14ac:dyDescent="0.25">
      <c r="B116" s="2">
        <v>43739</v>
      </c>
      <c r="C116" s="7">
        <v>48.4</v>
      </c>
      <c r="D116" s="7">
        <f t="shared" ref="D116" si="6">C116-C115</f>
        <v>0</v>
      </c>
      <c r="E116" s="7">
        <f t="shared" ref="E116" si="7">IF(ROW(A116)&lt;13,"",AVERAGEIFS($C$2:$C$5000,$B$2:$B$5000,"&gt;"&amp;EDATE(B116,-12),$B$2:$B$5000,"&lt;="&amp;B116))</f>
        <v>48.653846153846153</v>
      </c>
    </row>
  </sheetData>
  <pageMargins left="0.7" right="0.7" top="0.75" bottom="0.75" header="0.3" footer="0.3"/>
  <tableParts count="1">
    <tablePart r:id="rId1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G34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1.1000000000000014</v>
      </c>
      <c r="G2" s="44">
        <f>INDEX(Qatar[12 Mth Rolling Avg.],ROWS(Qatar[12 Mth Rolling Avg.]),1)</f>
        <v>48.241666666666667</v>
      </c>
    </row>
    <row r="3" spans="1:7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7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7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7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7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7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7" x14ac:dyDescent="0.25">
      <c r="B9" s="2">
        <v>43040</v>
      </c>
      <c r="C9" s="7">
        <v>52.7</v>
      </c>
      <c r="D9" s="7">
        <f t="shared" si="1"/>
        <v>4.4000000000000057</v>
      </c>
      <c r="E9" s="7" t="str">
        <f t="shared" si="0"/>
        <v/>
      </c>
    </row>
    <row r="10" spans="1:7" x14ac:dyDescent="0.25">
      <c r="B10" s="2">
        <v>43070</v>
      </c>
      <c r="C10" s="7">
        <v>51.6</v>
      </c>
      <c r="D10" s="7">
        <f t="shared" si="1"/>
        <v>-1.1000000000000014</v>
      </c>
      <c r="E10" s="7" t="str">
        <f t="shared" si="0"/>
        <v/>
      </c>
    </row>
    <row r="11" spans="1:7" x14ac:dyDescent="0.25">
      <c r="B11" s="2">
        <v>43101</v>
      </c>
      <c r="C11" s="7">
        <v>51.3</v>
      </c>
      <c r="D11" s="7">
        <f t="shared" si="1"/>
        <v>-0.30000000000000426</v>
      </c>
      <c r="E11" s="7" t="str">
        <f t="shared" si="0"/>
        <v/>
      </c>
    </row>
    <row r="12" spans="1:7" x14ac:dyDescent="0.25">
      <c r="B12" s="2">
        <v>43132</v>
      </c>
      <c r="C12" s="7">
        <v>52.8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43160</v>
      </c>
      <c r="C13" s="7">
        <v>52.5</v>
      </c>
      <c r="D13" s="7">
        <f t="shared" si="1"/>
        <v>-0.29999999999999716</v>
      </c>
      <c r="E13" s="7">
        <f t="shared" si="0"/>
        <v>51.027272727272731</v>
      </c>
    </row>
    <row r="14" spans="1:7" x14ac:dyDescent="0.25">
      <c r="B14" s="2">
        <v>43191</v>
      </c>
      <c r="C14" s="7">
        <v>51</v>
      </c>
      <c r="D14" s="7">
        <f t="shared" si="1"/>
        <v>-1.5</v>
      </c>
      <c r="E14" s="7">
        <f t="shared" si="0"/>
        <v>51.236363636363642</v>
      </c>
    </row>
    <row r="15" spans="1:7" x14ac:dyDescent="0.25">
      <c r="B15" s="2">
        <v>43221</v>
      </c>
      <c r="C15" s="7">
        <v>52.4</v>
      </c>
      <c r="D15" s="7">
        <f t="shared" si="1"/>
        <v>1.3999999999999986</v>
      </c>
      <c r="E15" s="7">
        <f t="shared" si="0"/>
        <v>51.263636363636373</v>
      </c>
    </row>
    <row r="16" spans="1:7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51.654545454545456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51.9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51.927272727272722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51.463636363636368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51.175000000000004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50.741666666666667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50.616666666666667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50.550000000000004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50.191666666666663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49.991666666666667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2">
        <v>43770</v>
      </c>
      <c r="C33" s="7">
        <v>48.3</v>
      </c>
      <c r="D33" s="7">
        <f t="shared" si="1"/>
        <v>1</v>
      </c>
      <c r="E33" s="7">
        <f t="shared" si="0"/>
        <v>48.29999999999999</v>
      </c>
    </row>
    <row r="34" spans="2:5" x14ac:dyDescent="0.25">
      <c r="B34" s="2">
        <v>43800</v>
      </c>
      <c r="C34" s="7">
        <v>49.4</v>
      </c>
      <c r="D34" s="7">
        <f t="shared" ref="D34" si="2">C34-C33</f>
        <v>1.1000000000000014</v>
      </c>
      <c r="E34" s="7">
        <f t="shared" ref="E34" si="3">IF(ROW(A34)&lt;13,"",AVERAGEIFS($C$2:$C$5000,$B$2:$B$5000,"&gt;"&amp;EDATE(B34,-12),$B$2:$B$5000,"&lt;="&amp;B34))</f>
        <v>48.241666666666667</v>
      </c>
    </row>
  </sheetData>
  <pageMargins left="0.7" right="0.7" top="0.75" bottom="0.75" header="0.3" footer="0.3"/>
  <tableParts count="1">
    <tablePart r:id="rId1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G102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0</v>
      </c>
      <c r="G2" s="44">
        <f>INDEX(Russia[12 Mth Rolling Avg.],ROWS(Russia[12 Mth Rolling Avg.]),1)</f>
        <v>48.961538461538467</v>
      </c>
    </row>
    <row r="3" spans="1:7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</row>
    <row r="4" spans="1:7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</row>
    <row r="5" spans="1:7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</row>
    <row r="7" spans="1:7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</row>
    <row r="8" spans="1:7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</row>
    <row r="9" spans="1:7" x14ac:dyDescent="0.25">
      <c r="B9" s="2">
        <v>41000</v>
      </c>
      <c r="C9" s="7">
        <v>52.9</v>
      </c>
      <c r="D9" s="7">
        <f t="shared" si="1"/>
        <v>5.3999999999999986</v>
      </c>
      <c r="E9" s="7" t="str">
        <f t="shared" si="0"/>
        <v/>
      </c>
    </row>
    <row r="10" spans="1:7" x14ac:dyDescent="0.25">
      <c r="B10" s="2">
        <v>41030</v>
      </c>
      <c r="C10" s="7">
        <v>53.2</v>
      </c>
      <c r="D10" s="7">
        <f t="shared" si="1"/>
        <v>0.30000000000000426</v>
      </c>
      <c r="E10" s="7" t="str">
        <f t="shared" si="0"/>
        <v/>
      </c>
    </row>
    <row r="11" spans="1:7" x14ac:dyDescent="0.25">
      <c r="B11" s="2">
        <v>41061</v>
      </c>
      <c r="C11" s="7">
        <v>51</v>
      </c>
      <c r="D11" s="7">
        <f t="shared" si="1"/>
        <v>-2.2000000000000028</v>
      </c>
      <c r="E11" s="7" t="str">
        <f t="shared" si="0"/>
        <v/>
      </c>
    </row>
    <row r="12" spans="1:7" x14ac:dyDescent="0.25">
      <c r="B12" s="2">
        <v>41091</v>
      </c>
      <c r="C12" s="7">
        <v>52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41122</v>
      </c>
      <c r="C13" s="7">
        <v>50.97</v>
      </c>
      <c r="D13" s="7">
        <f t="shared" si="1"/>
        <v>-1.0300000000000011</v>
      </c>
      <c r="E13" s="7">
        <f t="shared" si="0"/>
        <v>51.479090909090907</v>
      </c>
    </row>
    <row r="14" spans="1:7" x14ac:dyDescent="0.25">
      <c r="B14" s="2">
        <v>41153</v>
      </c>
      <c r="C14" s="7">
        <v>52.4</v>
      </c>
      <c r="D14" s="7">
        <f t="shared" si="1"/>
        <v>1.4299999999999997</v>
      </c>
      <c r="E14" s="7">
        <f t="shared" si="0"/>
        <v>51.697272727272725</v>
      </c>
    </row>
    <row r="15" spans="1:7" x14ac:dyDescent="0.25">
      <c r="B15" s="2">
        <v>41183</v>
      </c>
      <c r="C15" s="7">
        <v>52.9</v>
      </c>
      <c r="D15" s="7">
        <f t="shared" si="1"/>
        <v>0.5</v>
      </c>
      <c r="E15" s="7">
        <f t="shared" si="0"/>
        <v>51.924545454545452</v>
      </c>
    </row>
    <row r="16" spans="1:7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51.897272727272714</v>
      </c>
    </row>
    <row r="17" spans="2:5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51.742727272727272</v>
      </c>
    </row>
    <row r="18" spans="2:5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51.851818181818174</v>
      </c>
    </row>
    <row r="19" spans="2:5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51.97</v>
      </c>
    </row>
    <row r="20" spans="2:5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51.872499999999995</v>
      </c>
    </row>
    <row r="21" spans="2:5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51.680833333333332</v>
      </c>
    </row>
    <row r="22" spans="2:5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51.447499999999998</v>
      </c>
    </row>
    <row r="23" spans="2:5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51.505833333333335</v>
      </c>
    </row>
    <row r="24" spans="2:5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51.272500000000008</v>
      </c>
    </row>
    <row r="25" spans="2:5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51.141666666666673</v>
      </c>
    </row>
    <row r="26" spans="2:5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</row>
    <row r="27" spans="2:5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</row>
    <row r="28" spans="2:5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</row>
    <row r="29" spans="2:5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</row>
    <row r="30" spans="2:5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</row>
    <row r="31" spans="2:5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</row>
    <row r="32" spans="2:5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</row>
    <row r="33" spans="2:5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</row>
    <row r="34" spans="2:5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</row>
    <row r="35" spans="2:5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</row>
    <row r="36" spans="2:5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</row>
    <row r="37" spans="2:5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</row>
    <row r="38" spans="2:5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</row>
    <row r="39" spans="2:5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</row>
    <row r="40" spans="2:5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</row>
    <row r="41" spans="2:5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</row>
    <row r="42" spans="2:5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</row>
    <row r="43" spans="2:5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</row>
    <row r="44" spans="2:5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</row>
    <row r="45" spans="2:5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</row>
    <row r="46" spans="2:5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</row>
    <row r="47" spans="2:5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</row>
    <row r="48" spans="2:5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</row>
    <row r="49" spans="2:5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</row>
    <row r="50" spans="2:5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</row>
    <row r="51" spans="2:5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</row>
    <row r="52" spans="2:5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</row>
    <row r="53" spans="2:5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</row>
    <row r="54" spans="2:5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</row>
    <row r="55" spans="2:5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</row>
    <row r="56" spans="2:5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</row>
    <row r="57" spans="2:5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</row>
    <row r="58" spans="2:5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</row>
    <row r="59" spans="2:5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</row>
    <row r="60" spans="2:5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</row>
    <row r="61" spans="2:5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</row>
    <row r="62" spans="2:5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</row>
    <row r="63" spans="2:5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</row>
    <row r="64" spans="2:5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</row>
    <row r="65" spans="2:5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</row>
    <row r="66" spans="2:5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</row>
    <row r="67" spans="2:5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</row>
    <row r="68" spans="2:5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</row>
    <row r="69" spans="2:5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</row>
    <row r="70" spans="2:5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</row>
    <row r="71" spans="2:5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</row>
    <row r="72" spans="2:5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</row>
    <row r="73" spans="2:5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</row>
    <row r="74" spans="2:5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</row>
    <row r="75" spans="2:5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</row>
    <row r="76" spans="2:5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</row>
    <row r="77" spans="2:5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</row>
    <row r="78" spans="2:5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</row>
    <row r="79" spans="2:5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</row>
    <row r="80" spans="2:5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</row>
    <row r="81" spans="2:5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</row>
    <row r="82" spans="2:5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</row>
    <row r="83" spans="2:5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</row>
    <row r="84" spans="2:5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</row>
    <row r="85" spans="2:5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</row>
    <row r="86" spans="2:5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</row>
    <row r="87" spans="2:5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</row>
    <row r="88" spans="2:5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</row>
    <row r="89" spans="2:5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</row>
    <row r="90" spans="2:5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</row>
    <row r="91" spans="2:5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</row>
    <row r="92" spans="2:5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</row>
    <row r="93" spans="2:5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</row>
    <row r="94" spans="2:5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</row>
    <row r="95" spans="2:5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</row>
    <row r="96" spans="2:5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</row>
    <row r="97" spans="2:5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</row>
    <row r="98" spans="2:5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</row>
    <row r="99" spans="2:5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</row>
    <row r="100" spans="2:5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</row>
    <row r="101" spans="2:5" x14ac:dyDescent="0.25">
      <c r="B101" s="2">
        <v>43800</v>
      </c>
      <c r="C101" s="7">
        <v>47.5</v>
      </c>
      <c r="D101" s="7">
        <f t="shared" si="4"/>
        <v>1.8999999999999986</v>
      </c>
      <c r="E101" s="7">
        <f t="shared" si="3"/>
        <v>48.961538461538467</v>
      </c>
    </row>
    <row r="102" spans="2:5" x14ac:dyDescent="0.25">
      <c r="B102" s="2">
        <v>43800</v>
      </c>
      <c r="C102" s="7">
        <v>47.5</v>
      </c>
      <c r="D102" s="7">
        <f t="shared" ref="D102" si="5">C102-C101</f>
        <v>0</v>
      </c>
      <c r="E102" s="7">
        <f t="shared" ref="E102" si="6">IF(ROW(A102)&lt;13,"",AVERAGEIFS($C$2:$C$5000,$B$2:$B$5000,"&gt;"&amp;EDATE(B102,-12),$B$2:$B$5000,"&lt;="&amp;B102))</f>
        <v>48.961538461538467</v>
      </c>
    </row>
  </sheetData>
  <pageMargins left="0.7" right="0.7" top="0.75" bottom="0.75" header="0.3" footer="0.3"/>
  <tableParts count="1">
    <tablePart r:id="rId1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G9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-1.3999999999999986</v>
      </c>
      <c r="G2" s="44">
        <f>INDEX(SaudiArabia[12 Mth Rolling Avg.],ROWS(SaudiArabia[12 Mth Rolling Avg.]),1)</f>
        <v>57.083333333333321</v>
      </c>
    </row>
    <row r="3" spans="1:7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7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7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7" x14ac:dyDescent="0.25">
      <c r="B9" s="2">
        <v>41091</v>
      </c>
      <c r="C9" s="7">
        <v>58.1</v>
      </c>
      <c r="D9" s="7">
        <f t="shared" si="1"/>
        <v>-0.19999999999999574</v>
      </c>
      <c r="E9" s="7" t="str">
        <f t="shared" si="0"/>
        <v/>
      </c>
    </row>
    <row r="10" spans="1:7" x14ac:dyDescent="0.25">
      <c r="B10" s="2">
        <v>41122</v>
      </c>
      <c r="C10" s="7">
        <v>58.3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41153</v>
      </c>
      <c r="C11" s="7">
        <v>60.3</v>
      </c>
      <c r="D11" s="7">
        <f t="shared" si="1"/>
        <v>2</v>
      </c>
      <c r="E11" s="7" t="str">
        <f t="shared" si="0"/>
        <v/>
      </c>
    </row>
    <row r="12" spans="1:7" x14ac:dyDescent="0.25">
      <c r="B12" s="2">
        <v>41183</v>
      </c>
      <c r="C12" s="7">
        <v>59.8</v>
      </c>
      <c r="D12" s="7">
        <f t="shared" si="1"/>
        <v>-0.5</v>
      </c>
      <c r="E12" s="7" t="str">
        <f t="shared" si="0"/>
        <v/>
      </c>
    </row>
    <row r="13" spans="1:7" x14ac:dyDescent="0.25">
      <c r="B13" s="2">
        <v>41214</v>
      </c>
      <c r="C13" s="7">
        <v>57</v>
      </c>
      <c r="D13" s="7">
        <f t="shared" si="1"/>
        <v>-2.7999999999999972</v>
      </c>
      <c r="E13" s="7">
        <f t="shared" si="0"/>
        <v>59.118181818181817</v>
      </c>
    </row>
    <row r="14" spans="1:7" x14ac:dyDescent="0.25">
      <c r="B14" s="2">
        <v>41244</v>
      </c>
      <c r="C14" s="7">
        <v>58.9</v>
      </c>
      <c r="D14" s="7">
        <f t="shared" si="1"/>
        <v>1.8999999999999986</v>
      </c>
      <c r="E14" s="7">
        <f t="shared" si="0"/>
        <v>59.227272727272727</v>
      </c>
    </row>
    <row r="15" spans="1:7" x14ac:dyDescent="0.25">
      <c r="B15" s="2">
        <v>41275</v>
      </c>
      <c r="C15" s="7">
        <v>58.1</v>
      </c>
      <c r="D15" s="7">
        <f t="shared" si="1"/>
        <v>-0.79999999999999716</v>
      </c>
      <c r="E15" s="7">
        <f t="shared" si="0"/>
        <v>59.054545454545469</v>
      </c>
    </row>
    <row r="16" spans="1:7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58.954545454545453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58.972727272727269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58.754545454545458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58.472727272727269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58.316666666666663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58.191666666666663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58.125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57.824999999999996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57.56666666666667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57.575000000000017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2">
        <v>43770</v>
      </c>
      <c r="C97" s="7">
        <v>58.3</v>
      </c>
      <c r="D97" s="7">
        <f t="shared" si="4"/>
        <v>0.5</v>
      </c>
      <c r="E97" s="7">
        <f t="shared" si="3"/>
        <v>56.883333333333326</v>
      </c>
    </row>
    <row r="98" spans="2:5" x14ac:dyDescent="0.25">
      <c r="B98" s="2">
        <v>43800</v>
      </c>
      <c r="C98" s="7">
        <v>56.9</v>
      </c>
      <c r="D98" s="7">
        <f t="shared" ref="D98" si="5">C98-C97</f>
        <v>-1.3999999999999986</v>
      </c>
      <c r="E98" s="7">
        <f t="shared" ref="E98" si="6">IF(ROW(A98)&lt;13,"",AVERAGEIFS($C$2:$C$5000,$B$2:$B$5000,"&gt;"&amp;EDATE(B98,-12),$B$2:$B$5000,"&lt;="&amp;B98))</f>
        <v>57.083333333333321</v>
      </c>
    </row>
  </sheetData>
  <pageMargins left="0.7" right="0.7" top="0.75" bottom="0.75" header="0.3" footer="0.3"/>
  <tableParts count="1">
    <tablePart r:id="rId1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G96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0.30000000000000426</v>
      </c>
      <c r="G2" s="44">
        <f>INDEX(Singapore[12 Mth Rolling Avg.],ROWS(Singapore[12 Mth Rolling Avg.]),1)</f>
        <v>50.033333333333331</v>
      </c>
    </row>
    <row r="3" spans="1:7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7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7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7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7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7" x14ac:dyDescent="0.25">
      <c r="B9" s="2">
        <v>41153</v>
      </c>
      <c r="C9" s="7">
        <v>48.7</v>
      </c>
      <c r="D9" s="7">
        <f t="shared" si="1"/>
        <v>-1.0999999999999943</v>
      </c>
      <c r="E9" s="7" t="str">
        <f t="shared" si="0"/>
        <v/>
      </c>
    </row>
    <row r="10" spans="1:7" x14ac:dyDescent="0.25">
      <c r="B10" s="2">
        <v>41183</v>
      </c>
      <c r="C10" s="7">
        <v>48.3</v>
      </c>
      <c r="D10" s="7">
        <f t="shared" si="1"/>
        <v>-0.40000000000000568</v>
      </c>
      <c r="E10" s="7" t="str">
        <f t="shared" si="0"/>
        <v/>
      </c>
    </row>
    <row r="11" spans="1:7" x14ac:dyDescent="0.25">
      <c r="B11" s="2">
        <v>41214</v>
      </c>
      <c r="C11" s="7">
        <v>48.8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41244</v>
      </c>
      <c r="C12" s="7">
        <v>48.6</v>
      </c>
      <c r="D12" s="7">
        <f t="shared" si="1"/>
        <v>-0.19999999999999574</v>
      </c>
      <c r="E12" s="7" t="str">
        <f t="shared" si="0"/>
        <v/>
      </c>
    </row>
    <row r="13" spans="1:7" x14ac:dyDescent="0.25">
      <c r="B13" s="2">
        <v>41275</v>
      </c>
      <c r="C13" s="7">
        <v>50.2</v>
      </c>
      <c r="D13" s="7">
        <f t="shared" si="1"/>
        <v>1.6000000000000014</v>
      </c>
      <c r="E13" s="7">
        <f t="shared" si="0"/>
        <v>49.590909090909101</v>
      </c>
    </row>
    <row r="14" spans="1:7" x14ac:dyDescent="0.25">
      <c r="B14" s="2">
        <v>41306</v>
      </c>
      <c r="C14" s="7">
        <v>49.4</v>
      </c>
      <c r="D14" s="7">
        <f t="shared" si="1"/>
        <v>-0.80000000000000426</v>
      </c>
      <c r="E14" s="7">
        <f t="shared" si="0"/>
        <v>49.5</v>
      </c>
    </row>
    <row r="15" spans="1:7" x14ac:dyDescent="0.25">
      <c r="B15" s="2">
        <v>41334</v>
      </c>
      <c r="C15" s="7">
        <v>50.6</v>
      </c>
      <c r="D15" s="7">
        <f t="shared" si="1"/>
        <v>1.2000000000000028</v>
      </c>
      <c r="E15" s="7">
        <f t="shared" si="0"/>
        <v>49.536363636363632</v>
      </c>
    </row>
    <row r="16" spans="1:7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49.590909090909093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49.654545454545456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49.77272727272728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49.954545454545453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50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50.15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50.391666666666673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50.558333333333337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50.650000000000006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50.675000000000004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2">
        <v>43770</v>
      </c>
      <c r="C95" s="7">
        <v>49.8</v>
      </c>
      <c r="D95" s="7">
        <f t="shared" si="4"/>
        <v>0.19999999999999574</v>
      </c>
      <c r="E95" s="7">
        <f t="shared" si="3"/>
        <v>50.116666666666667</v>
      </c>
    </row>
    <row r="96" spans="2:5" x14ac:dyDescent="0.25">
      <c r="B96" s="2">
        <v>43800</v>
      </c>
      <c r="C96" s="7">
        <v>50.1</v>
      </c>
      <c r="D96" s="7">
        <f t="shared" ref="D96" si="5">C96-C95</f>
        <v>0.30000000000000426</v>
      </c>
      <c r="E96" s="7">
        <f t="shared" ref="E96" si="6">IF(ROW(A96)&lt;13,"",AVERAGEIFS($C$2:$C$5000,$B$2:$B$5000,"&gt;"&amp;EDATE(B96,-12),$B$2:$B$5000,"&lt;="&amp;B96))</f>
        <v>50.033333333333331</v>
      </c>
    </row>
  </sheetData>
  <pageMargins left="0.7" right="0.7" top="0.75" bottom="0.75" header="0.3" footer="0.3"/>
  <tableParts count="1">
    <tablePart r:id="rId1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G245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-0.60000000000000142</v>
      </c>
      <c r="G2" s="44">
        <f>INDEX(SouthAfrica[12 Mth Rolling Avg.],ROWS(SouthAfrica[12 Mth Rolling Avg.]),1)</f>
        <v>48.146666666666668</v>
      </c>
    </row>
    <row r="3" spans="1:7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7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7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7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7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7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7" x14ac:dyDescent="0.25">
      <c r="B9" s="2">
        <v>36617</v>
      </c>
      <c r="C9" s="7">
        <v>53.77</v>
      </c>
      <c r="D9" s="7">
        <f t="shared" si="1"/>
        <v>6.07</v>
      </c>
      <c r="E9" s="7" t="str">
        <f t="shared" si="0"/>
        <v/>
      </c>
    </row>
    <row r="10" spans="1:7" x14ac:dyDescent="0.25">
      <c r="B10" s="2">
        <v>36647</v>
      </c>
      <c r="C10" s="7">
        <v>52.03</v>
      </c>
      <c r="D10" s="7">
        <f t="shared" si="1"/>
        <v>-1.740000000000002</v>
      </c>
      <c r="E10" s="7" t="str">
        <f t="shared" si="0"/>
        <v/>
      </c>
    </row>
    <row r="11" spans="1:7" x14ac:dyDescent="0.25">
      <c r="B11" s="2">
        <v>36678</v>
      </c>
      <c r="C11" s="7">
        <v>49.81</v>
      </c>
      <c r="D11" s="7">
        <f t="shared" si="1"/>
        <v>-2.2199999999999989</v>
      </c>
      <c r="E11" s="7" t="str">
        <f t="shared" si="0"/>
        <v/>
      </c>
    </row>
    <row r="12" spans="1:7" x14ac:dyDescent="0.25">
      <c r="B12" s="2">
        <v>36708</v>
      </c>
      <c r="C12" s="7">
        <v>48.64</v>
      </c>
      <c r="D12" s="7">
        <f t="shared" si="1"/>
        <v>-1.1700000000000017</v>
      </c>
      <c r="E12" s="7" t="str">
        <f t="shared" si="0"/>
        <v/>
      </c>
    </row>
    <row r="13" spans="1:7" x14ac:dyDescent="0.25">
      <c r="B13" s="2">
        <v>36739</v>
      </c>
      <c r="C13" s="7">
        <v>51.51</v>
      </c>
      <c r="D13" s="7">
        <f t="shared" si="1"/>
        <v>2.8699999999999974</v>
      </c>
      <c r="E13" s="7">
        <f t="shared" si="0"/>
        <v>51.807272727272725</v>
      </c>
    </row>
    <row r="14" spans="1:7" x14ac:dyDescent="0.25">
      <c r="B14" s="2">
        <v>36770</v>
      </c>
      <c r="C14" s="7">
        <v>49.76</v>
      </c>
      <c r="D14" s="7">
        <f t="shared" si="1"/>
        <v>-1.75</v>
      </c>
      <c r="E14" s="7">
        <f t="shared" si="0"/>
        <v>51.730909090909087</v>
      </c>
    </row>
    <row r="15" spans="1:7" x14ac:dyDescent="0.25">
      <c r="B15" s="2">
        <v>36800</v>
      </c>
      <c r="C15" s="7">
        <v>53.54</v>
      </c>
      <c r="D15" s="7">
        <f t="shared" si="1"/>
        <v>3.7800000000000011</v>
      </c>
      <c r="E15" s="7">
        <f t="shared" si="0"/>
        <v>51.973636363636359</v>
      </c>
    </row>
    <row r="16" spans="1:7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51.885454545454536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51.42909090909091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51.126363636363642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51.026363636363641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51.035000000000004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50.82166666666668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50.920000000000009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51.173333333333325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51.283333333333331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51.233333333333327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2">
        <v>43770</v>
      </c>
      <c r="C244" s="7">
        <v>47.7</v>
      </c>
      <c r="D244" s="7">
        <f t="shared" si="7"/>
        <v>-0.39999999999999858</v>
      </c>
      <c r="E244" s="7">
        <f t="shared" si="6"/>
        <v>48.4</v>
      </c>
    </row>
    <row r="245" spans="2:5" x14ac:dyDescent="0.25">
      <c r="B245" s="2">
        <v>43800</v>
      </c>
      <c r="C245" s="7">
        <v>47.1</v>
      </c>
      <c r="D245" s="7">
        <f t="shared" ref="D245" si="8">C245-C244</f>
        <v>-0.60000000000000142</v>
      </c>
      <c r="E245" s="7">
        <f t="shared" ref="E245" si="9">IF(ROW(A245)&lt;13,"",AVERAGEIFS($C$2:$C$5000,$B$2:$B$5000,"&gt;"&amp;EDATE(B245,-12),$B$2:$B$5000,"&lt;="&amp;B245))</f>
        <v>48.146666666666668</v>
      </c>
    </row>
  </sheetData>
  <pageMargins left="0.7" right="0.7" top="0.75" bottom="0.75" header="0.3" footer="0.3"/>
  <tableParts count="1">
    <tablePart r:id="rId1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G105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0.70000000000000284</v>
      </c>
      <c r="G2" s="44">
        <f>INDEX(SouthKorea[12 Mth Rolling Avg.],ROWS(SouthKorea[12 Mth Rolling Avg.]),1)</f>
        <v>48.550000000000004</v>
      </c>
    </row>
    <row r="3" spans="1:7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7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7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7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7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7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7" x14ac:dyDescent="0.25">
      <c r="B9" s="2">
        <v>40878</v>
      </c>
      <c r="C9" s="7">
        <v>46.4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40909</v>
      </c>
      <c r="C10" s="7">
        <v>49.17</v>
      </c>
      <c r="D10" s="7">
        <f t="shared" si="1"/>
        <v>2.7700000000000031</v>
      </c>
      <c r="E10" s="7" t="str">
        <f t="shared" si="0"/>
        <v/>
      </c>
    </row>
    <row r="11" spans="1:7" x14ac:dyDescent="0.25">
      <c r="B11" s="2">
        <v>40940</v>
      </c>
      <c r="C11" s="7">
        <v>50.72</v>
      </c>
      <c r="D11" s="7">
        <f t="shared" si="1"/>
        <v>1.5499999999999972</v>
      </c>
      <c r="E11" s="7" t="str">
        <f t="shared" si="0"/>
        <v/>
      </c>
    </row>
    <row r="12" spans="1:7" x14ac:dyDescent="0.25">
      <c r="B12" s="2">
        <v>40969</v>
      </c>
      <c r="C12" s="7">
        <v>51.96</v>
      </c>
      <c r="D12" s="7">
        <f t="shared" si="1"/>
        <v>1.240000000000002</v>
      </c>
      <c r="E12" s="7" t="str">
        <f t="shared" si="0"/>
        <v/>
      </c>
    </row>
    <row r="13" spans="1:7" x14ac:dyDescent="0.25">
      <c r="B13" s="2">
        <v>41000</v>
      </c>
      <c r="C13" s="7">
        <v>51.9</v>
      </c>
      <c r="D13" s="7">
        <f t="shared" si="1"/>
        <v>-6.0000000000002274E-2</v>
      </c>
      <c r="E13" s="7">
        <f t="shared" si="0"/>
        <v>49.914545454545447</v>
      </c>
    </row>
    <row r="14" spans="1:7" x14ac:dyDescent="0.25">
      <c r="B14" s="2">
        <v>41030</v>
      </c>
      <c r="C14" s="7">
        <v>51</v>
      </c>
      <c r="D14" s="7">
        <f t="shared" si="1"/>
        <v>-0.89999999999999858</v>
      </c>
      <c r="E14" s="7">
        <f t="shared" si="0"/>
        <v>49.892727272727264</v>
      </c>
    </row>
    <row r="15" spans="1:7" x14ac:dyDescent="0.25">
      <c r="B15" s="2">
        <v>41061</v>
      </c>
      <c r="C15" s="7">
        <v>49.4</v>
      </c>
      <c r="D15" s="7">
        <f t="shared" si="1"/>
        <v>-1.6000000000000014</v>
      </c>
      <c r="E15" s="7">
        <f t="shared" si="0"/>
        <v>49.735454545454552</v>
      </c>
    </row>
    <row r="16" spans="1:7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49.359999999999992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49.156363636363636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48.994545454545452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48.940909090909081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48.875833333333325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49.182499999999997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49.243333333333332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49.258333333333333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49.261666666666663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49.32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2">
        <v>43770</v>
      </c>
      <c r="C104" s="7">
        <v>49.4</v>
      </c>
      <c r="D104" s="7">
        <f t="shared" si="4"/>
        <v>1</v>
      </c>
      <c r="E104" s="7">
        <f t="shared" si="5"/>
        <v>48.524999999999999</v>
      </c>
    </row>
    <row r="105" spans="2:5" x14ac:dyDescent="0.25">
      <c r="B105" s="2">
        <v>43800</v>
      </c>
      <c r="C105" s="7">
        <v>50.1</v>
      </c>
      <c r="D105" s="7">
        <f t="shared" ref="D105" si="6">C105-C104</f>
        <v>0.70000000000000284</v>
      </c>
      <c r="E105" s="7">
        <f t="shared" ref="E105" si="7">IF(ROW(A105)&lt;13,"",AVERAGEIFS($C$2:$C$5000,$B$2:$B$5000,"&gt;"&amp;EDATE(B105,-12),$B$2:$B$5000,"&lt;="&amp;B105))</f>
        <v>48.550000000000004</v>
      </c>
    </row>
  </sheetData>
  <pageMargins left="0.7" right="0.7" top="0.75" bottom="0.75" header="0.3" footer="0.3"/>
  <tableParts count="1">
    <tablePart r:id="rId1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G106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-0.10000000000000142</v>
      </c>
      <c r="G2" s="44">
        <f>INDEX(Spain[12 Mth Rolling Avg.],ROWS(Spain[12 Mth Rolling Avg.]),1)</f>
        <v>49.116666666666667</v>
      </c>
    </row>
    <row r="3" spans="1:7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</row>
    <row r="4" spans="1:7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</row>
    <row r="5" spans="1:7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</row>
    <row r="6" spans="1:7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</row>
    <row r="7" spans="1:7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</row>
    <row r="8" spans="1:7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</row>
    <row r="9" spans="1:7" x14ac:dyDescent="0.25">
      <c r="B9" s="2">
        <v>40848</v>
      </c>
      <c r="C9" s="7">
        <v>43.8</v>
      </c>
      <c r="D9" s="7">
        <f t="shared" si="1"/>
        <v>-3.7000000000000028</v>
      </c>
      <c r="E9" s="7" t="str">
        <f t="shared" si="0"/>
        <v/>
      </c>
    </row>
    <row r="10" spans="1:7" x14ac:dyDescent="0.25">
      <c r="B10" s="2">
        <v>40878</v>
      </c>
      <c r="C10" s="7">
        <v>43.7</v>
      </c>
      <c r="D10" s="7">
        <f t="shared" si="1"/>
        <v>-9.9999999999994316E-2</v>
      </c>
      <c r="E10" s="7" t="str">
        <f t="shared" si="0"/>
        <v/>
      </c>
    </row>
    <row r="11" spans="1:7" x14ac:dyDescent="0.25">
      <c r="B11" s="2">
        <v>40909</v>
      </c>
      <c r="C11" s="7">
        <v>45.1</v>
      </c>
      <c r="D11" s="7">
        <f t="shared" si="1"/>
        <v>1.3999999999999986</v>
      </c>
      <c r="E11" s="7" t="str">
        <f t="shared" si="0"/>
        <v/>
      </c>
    </row>
    <row r="12" spans="1:7" x14ac:dyDescent="0.25">
      <c r="B12" s="2">
        <v>40940</v>
      </c>
      <c r="C12" s="7">
        <v>45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40969</v>
      </c>
      <c r="C13" s="7">
        <v>44.5</v>
      </c>
      <c r="D13" s="7">
        <f t="shared" si="1"/>
        <v>-0.5</v>
      </c>
      <c r="E13" s="7">
        <f t="shared" si="0"/>
        <v>45.718181818181819</v>
      </c>
    </row>
    <row r="14" spans="1:7" x14ac:dyDescent="0.25">
      <c r="B14" s="2">
        <v>41000</v>
      </c>
      <c r="C14" s="7">
        <v>43.5</v>
      </c>
      <c r="D14" s="7">
        <f t="shared" si="1"/>
        <v>-1</v>
      </c>
      <c r="E14" s="7">
        <f t="shared" si="0"/>
        <v>45.072727272727271</v>
      </c>
    </row>
    <row r="15" spans="1:7" x14ac:dyDescent="0.25">
      <c r="B15" s="2">
        <v>41030</v>
      </c>
      <c r="C15" s="7">
        <v>42</v>
      </c>
      <c r="D15" s="7">
        <f t="shared" si="1"/>
        <v>-1.5</v>
      </c>
      <c r="E15" s="7">
        <f t="shared" si="0"/>
        <v>44.509090909090908</v>
      </c>
    </row>
    <row r="16" spans="1:7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43.945454545454545</v>
      </c>
    </row>
    <row r="17" spans="2:5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43.63636363636364</v>
      </c>
    </row>
    <row r="18" spans="2:5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43.518181818181816</v>
      </c>
    </row>
    <row r="19" spans="2:5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43.600000000000009</v>
      </c>
    </row>
    <row r="20" spans="2:5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43.591666666666676</v>
      </c>
    </row>
    <row r="21" spans="2:5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43.716666666666669</v>
      </c>
    </row>
    <row r="22" spans="2:5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43.791666666666664</v>
      </c>
    </row>
    <row r="23" spans="2:5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43.875</v>
      </c>
    </row>
    <row r="24" spans="2:5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44.025000000000006</v>
      </c>
    </row>
    <row r="25" spans="2:5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44.000000000000007</v>
      </c>
    </row>
    <row r="26" spans="2:5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</row>
    <row r="27" spans="2:5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</row>
    <row r="28" spans="2:5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</row>
    <row r="29" spans="2:5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</row>
    <row r="30" spans="2:5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</row>
    <row r="31" spans="2:5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</row>
    <row r="32" spans="2:5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</row>
    <row r="33" spans="2:5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</row>
    <row r="34" spans="2:5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</row>
    <row r="35" spans="2:5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</row>
    <row r="36" spans="2:5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</row>
    <row r="37" spans="2:5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</row>
    <row r="38" spans="2:5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</row>
    <row r="39" spans="2:5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</row>
    <row r="40" spans="2:5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</row>
    <row r="41" spans="2:5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</row>
    <row r="42" spans="2:5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</row>
    <row r="43" spans="2:5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</row>
    <row r="44" spans="2:5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</row>
    <row r="45" spans="2:5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</row>
    <row r="46" spans="2:5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</row>
    <row r="47" spans="2:5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</row>
    <row r="48" spans="2:5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</row>
    <row r="49" spans="2:5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</row>
    <row r="50" spans="2:5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</row>
    <row r="51" spans="2:5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</row>
    <row r="52" spans="2:5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</row>
    <row r="53" spans="2:5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</row>
    <row r="54" spans="2:5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</row>
    <row r="55" spans="2:5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</row>
    <row r="56" spans="2:5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</row>
    <row r="57" spans="2:5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</row>
    <row r="58" spans="2:5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</row>
    <row r="59" spans="2:5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</row>
    <row r="60" spans="2:5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</row>
    <row r="61" spans="2:5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</row>
    <row r="62" spans="2:5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</row>
    <row r="63" spans="2:5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</row>
    <row r="64" spans="2:5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</row>
    <row r="65" spans="2:5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</row>
    <row r="66" spans="2:5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</row>
    <row r="67" spans="2:5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</row>
    <row r="68" spans="2:5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</row>
    <row r="69" spans="2:5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</row>
    <row r="70" spans="2:5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</row>
    <row r="71" spans="2:5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</row>
    <row r="72" spans="2:5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</row>
    <row r="73" spans="2:5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</row>
    <row r="74" spans="2:5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</row>
    <row r="75" spans="2:5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</row>
    <row r="76" spans="2:5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</row>
    <row r="77" spans="2:5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</row>
    <row r="78" spans="2:5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</row>
    <row r="79" spans="2:5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</row>
    <row r="80" spans="2:5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</row>
    <row r="81" spans="2:5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</row>
    <row r="82" spans="2:5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</row>
    <row r="83" spans="2:5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</row>
    <row r="84" spans="2:5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</row>
    <row r="85" spans="2:5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</row>
    <row r="86" spans="2:5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</row>
    <row r="87" spans="2:5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</row>
    <row r="88" spans="2:5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</row>
    <row r="89" spans="2:5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</row>
    <row r="90" spans="2:5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</row>
    <row r="91" spans="2:5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</row>
    <row r="92" spans="2:5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</row>
    <row r="93" spans="2:5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</row>
    <row r="94" spans="2:5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</row>
    <row r="95" spans="2:5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</row>
    <row r="96" spans="2:5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</row>
    <row r="97" spans="2:5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</row>
    <row r="98" spans="2:5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</row>
    <row r="99" spans="2:5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</row>
    <row r="100" spans="2:5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</row>
    <row r="101" spans="2:5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</row>
    <row r="102" spans="2:5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</row>
    <row r="103" spans="2:5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</row>
    <row r="104" spans="2:5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</row>
    <row r="105" spans="2:5" x14ac:dyDescent="0.25">
      <c r="B105" s="2">
        <v>43770</v>
      </c>
      <c r="C105" s="7">
        <v>47.5</v>
      </c>
      <c r="D105" s="7">
        <f t="shared" si="4"/>
        <v>0.70000000000000284</v>
      </c>
      <c r="E105" s="7">
        <f t="shared" si="5"/>
        <v>49.425000000000004</v>
      </c>
    </row>
    <row r="106" spans="2:5" x14ac:dyDescent="0.25">
      <c r="B106" s="2">
        <v>43800</v>
      </c>
      <c r="C106" s="7">
        <v>47.4</v>
      </c>
      <c r="D106" s="7">
        <f t="shared" ref="D106" si="6">C106-C105</f>
        <v>-0.10000000000000142</v>
      </c>
      <c r="E106" s="7">
        <f t="shared" ref="E106" si="7">IF(ROW(A106)&lt;13,"",AVERAGEIFS($C$2:$C$5000,$B$2:$B$5000,"&gt;"&amp;EDATE(B106,-12),$B$2:$B$5000,"&lt;="&amp;B106))</f>
        <v>49.116666666666667</v>
      </c>
    </row>
  </sheetData>
  <pageMargins left="0.7" right="0.7" top="0.75" bottom="0.75" header="0.3" footer="0.3"/>
  <tableParts count="1">
    <tablePart r:id="rId1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G57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0</v>
      </c>
      <c r="G2" s="44">
        <f>INDEX(SriLanka[12 Mth Rolling Avg.],ROWS(SriLanka[12 Mth Rolling Avg.]),1)</f>
        <v>54.446153846153848</v>
      </c>
    </row>
    <row r="3" spans="1:7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</row>
    <row r="4" spans="1:7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</row>
    <row r="5" spans="1:7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</row>
    <row r="6" spans="1:7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</row>
    <row r="7" spans="1:7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</row>
    <row r="8" spans="1:7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</row>
    <row r="9" spans="1:7" x14ac:dyDescent="0.25">
      <c r="B9" s="2">
        <v>42339</v>
      </c>
      <c r="C9" s="7">
        <v>57.9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42370</v>
      </c>
      <c r="C10" s="7">
        <v>51.9</v>
      </c>
      <c r="D10" s="7">
        <f t="shared" si="1"/>
        <v>-6</v>
      </c>
      <c r="E10" s="7" t="str">
        <f t="shared" si="0"/>
        <v/>
      </c>
    </row>
    <row r="11" spans="1:7" x14ac:dyDescent="0.25">
      <c r="B11" s="2">
        <v>42401</v>
      </c>
      <c r="C11" s="7">
        <v>55.3</v>
      </c>
      <c r="D11" s="7">
        <f t="shared" si="1"/>
        <v>3.3999999999999986</v>
      </c>
      <c r="E11" s="7" t="str">
        <f t="shared" si="0"/>
        <v/>
      </c>
    </row>
    <row r="12" spans="1:7" x14ac:dyDescent="0.25">
      <c r="B12" s="2">
        <v>42430</v>
      </c>
      <c r="C12" s="7">
        <v>60.7</v>
      </c>
      <c r="D12" s="7">
        <f t="shared" si="1"/>
        <v>5.4000000000000057</v>
      </c>
      <c r="E12" s="7" t="str">
        <f t="shared" si="0"/>
        <v/>
      </c>
    </row>
    <row r="13" spans="1:7" x14ac:dyDescent="0.25">
      <c r="B13" s="2">
        <v>42461</v>
      </c>
      <c r="C13" s="7">
        <v>41.6</v>
      </c>
      <c r="D13" s="7">
        <f t="shared" si="1"/>
        <v>-19.100000000000001</v>
      </c>
      <c r="E13" s="7">
        <f t="shared" si="0"/>
        <v>55.927272727272729</v>
      </c>
    </row>
    <row r="14" spans="1:7" x14ac:dyDescent="0.25">
      <c r="B14" s="2">
        <v>42491</v>
      </c>
      <c r="C14" s="7">
        <v>47.9</v>
      </c>
      <c r="D14" s="7">
        <f t="shared" si="1"/>
        <v>6.2999999999999972</v>
      </c>
      <c r="E14" s="7">
        <f t="shared" si="0"/>
        <v>54.163636363636357</v>
      </c>
    </row>
    <row r="15" spans="1:7" x14ac:dyDescent="0.25">
      <c r="B15" s="2">
        <v>42522</v>
      </c>
      <c r="C15" s="7">
        <v>55.1</v>
      </c>
      <c r="D15" s="7">
        <f t="shared" si="1"/>
        <v>7.2000000000000028</v>
      </c>
      <c r="E15" s="7">
        <f t="shared" si="0"/>
        <v>53.945454545454545</v>
      </c>
    </row>
    <row r="16" spans="1:7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53.5</v>
      </c>
    </row>
    <row r="17" spans="2:5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53.227272727272727</v>
      </c>
    </row>
    <row r="18" spans="2:5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53.636363636363633</v>
      </c>
    </row>
    <row r="19" spans="2:5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53.518181818181823</v>
      </c>
    </row>
    <row r="20" spans="2:5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53.925000000000004</v>
      </c>
    </row>
    <row r="21" spans="2:5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53.958333333333321</v>
      </c>
    </row>
    <row r="22" spans="2:5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54.31666666666667</v>
      </c>
    </row>
    <row r="23" spans="2:5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54.466666666666669</v>
      </c>
    </row>
    <row r="24" spans="2:5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54.949999999999996</v>
      </c>
    </row>
    <row r="25" spans="2:5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54.966666666666661</v>
      </c>
    </row>
    <row r="26" spans="2:5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</row>
    <row r="27" spans="2:5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</row>
    <row r="28" spans="2:5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</row>
    <row r="29" spans="2:5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</row>
    <row r="30" spans="2:5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</row>
    <row r="31" spans="2:5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</row>
    <row r="32" spans="2:5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</row>
    <row r="33" spans="2:5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</row>
    <row r="34" spans="2:5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</row>
    <row r="35" spans="2:5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</row>
    <row r="36" spans="2:5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</row>
    <row r="37" spans="2:5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</row>
    <row r="38" spans="2:5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</row>
    <row r="39" spans="2:5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</row>
    <row r="40" spans="2:5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</row>
    <row r="41" spans="2:5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</row>
    <row r="42" spans="2:5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</row>
    <row r="43" spans="2:5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</row>
    <row r="44" spans="2:5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</row>
    <row r="45" spans="2:5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</row>
    <row r="46" spans="2:5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</row>
    <row r="47" spans="2:5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</row>
    <row r="48" spans="2:5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</row>
    <row r="49" spans="2:5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</row>
    <row r="50" spans="2:5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</row>
    <row r="51" spans="2:5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</row>
    <row r="52" spans="2:5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</row>
    <row r="53" spans="2:5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</row>
    <row r="54" spans="2:5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</row>
    <row r="55" spans="2:5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</row>
    <row r="56" spans="2:5" x14ac:dyDescent="0.25">
      <c r="B56" s="2">
        <v>43770</v>
      </c>
      <c r="C56" s="7">
        <v>56</v>
      </c>
      <c r="D56" s="7">
        <f t="shared" si="1"/>
        <v>-1.6000000000000014</v>
      </c>
      <c r="E56" s="7">
        <f t="shared" si="2"/>
        <v>54.446153846153848</v>
      </c>
    </row>
    <row r="57" spans="2:5" x14ac:dyDescent="0.25">
      <c r="B57" s="2">
        <v>43770</v>
      </c>
      <c r="C57" s="7">
        <v>56</v>
      </c>
      <c r="D57" s="7">
        <f t="shared" ref="D57" si="3">C57-C56</f>
        <v>0</v>
      </c>
      <c r="E57" s="7">
        <f t="shared" ref="E57" si="4">IF(ROW(A57)&lt;13,"",AVERAGEIFS($C$2:$C$5000,$B$2:$B$5000,"&gt;"&amp;EDATE(B57,-12),$B$2:$B$5000,"&lt;="&amp;B57))</f>
        <v>54.446153846153848</v>
      </c>
    </row>
  </sheetData>
  <pageMargins left="0.7" right="0.7" top="0.75" bottom="0.75" header="0.3" footer="0.3"/>
  <tableParts count="1">
    <tablePart r:id="rId1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G303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1.7000000000000028</v>
      </c>
      <c r="G2" s="44">
        <f>INDEX(Sweden[12 Mth Rolling Avg.],ROWS(Sweden[12 Mth Rolling Avg.]),1)</f>
        <v>50.025000000000006</v>
      </c>
    </row>
    <row r="3" spans="1:7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</row>
    <row r="4" spans="1:7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</row>
    <row r="5" spans="1:7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</row>
    <row r="6" spans="1:7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</row>
    <row r="7" spans="1:7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</row>
    <row r="9" spans="1:7" x14ac:dyDescent="0.25">
      <c r="B9" s="2">
        <v>34851</v>
      </c>
      <c r="C9" s="7">
        <v>55.1</v>
      </c>
      <c r="D9" s="7">
        <f t="shared" si="1"/>
        <v>9.7000000000000028</v>
      </c>
      <c r="E9" s="7" t="str">
        <f t="shared" si="0"/>
        <v/>
      </c>
    </row>
    <row r="10" spans="1:7" x14ac:dyDescent="0.25">
      <c r="B10" s="2">
        <v>34881</v>
      </c>
      <c r="C10" s="7">
        <v>56.7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34912</v>
      </c>
      <c r="C11" s="7">
        <v>53.2</v>
      </c>
      <c r="D11" s="7">
        <f t="shared" si="1"/>
        <v>-3.5</v>
      </c>
      <c r="E11" s="7" t="str">
        <f t="shared" si="0"/>
        <v/>
      </c>
    </row>
    <row r="12" spans="1:7" x14ac:dyDescent="0.25">
      <c r="B12" s="2">
        <v>34943</v>
      </c>
      <c r="C12" s="7">
        <v>53.4</v>
      </c>
      <c r="D12" s="7">
        <f t="shared" si="1"/>
        <v>0.19999999999999574</v>
      </c>
      <c r="E12" s="7" t="str">
        <f t="shared" si="0"/>
        <v/>
      </c>
    </row>
    <row r="13" spans="1:7" x14ac:dyDescent="0.25">
      <c r="B13" s="2">
        <v>34973</v>
      </c>
      <c r="C13" s="7">
        <v>52.4</v>
      </c>
      <c r="D13" s="7">
        <f t="shared" si="1"/>
        <v>-1</v>
      </c>
      <c r="E13" s="7">
        <f t="shared" si="0"/>
        <v>59.945454545454545</v>
      </c>
    </row>
    <row r="14" spans="1:7" x14ac:dyDescent="0.25">
      <c r="B14" s="2">
        <v>35004</v>
      </c>
      <c r="C14" s="7">
        <v>49.3</v>
      </c>
      <c r="D14" s="7">
        <f t="shared" si="1"/>
        <v>-3.1000000000000014</v>
      </c>
      <c r="E14" s="7">
        <f t="shared" si="0"/>
        <v>58.027272727272724</v>
      </c>
    </row>
    <row r="15" spans="1:7" x14ac:dyDescent="0.25">
      <c r="B15" s="2">
        <v>35034</v>
      </c>
      <c r="C15" s="7">
        <v>48.9</v>
      </c>
      <c r="D15" s="7">
        <f t="shared" si="1"/>
        <v>-0.39999999999999858</v>
      </c>
      <c r="E15" s="7">
        <f t="shared" si="0"/>
        <v>56.372727272727268</v>
      </c>
    </row>
    <row r="16" spans="1:7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54.745454545454542</v>
      </c>
    </row>
    <row r="17" spans="2:5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53.172727272727258</v>
      </c>
    </row>
    <row r="18" spans="2:5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51.818181818181806</v>
      </c>
    </row>
    <row r="19" spans="2:5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50.527272727272724</v>
      </c>
    </row>
    <row r="20" spans="2:5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50.224999999999994</v>
      </c>
    </row>
    <row r="21" spans="2:5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49.650000000000006</v>
      </c>
    </row>
    <row r="22" spans="2:5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49.358333333333341</v>
      </c>
    </row>
    <row r="23" spans="2:5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49.1</v>
      </c>
    </row>
    <row r="24" spans="2:5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48.958333333333336</v>
      </c>
    </row>
    <row r="25" spans="2:5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48.933333333333337</v>
      </c>
    </row>
    <row r="26" spans="2:5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</row>
    <row r="27" spans="2:5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</row>
    <row r="28" spans="2:5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</row>
    <row r="29" spans="2:5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</row>
    <row r="30" spans="2:5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</row>
    <row r="31" spans="2:5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</row>
    <row r="32" spans="2:5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</row>
    <row r="33" spans="2:5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</row>
    <row r="34" spans="2:5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</row>
    <row r="35" spans="2:5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</row>
    <row r="36" spans="2:5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</row>
    <row r="37" spans="2:5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</row>
    <row r="38" spans="2:5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</row>
    <row r="39" spans="2:5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</row>
    <row r="40" spans="2:5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</row>
    <row r="41" spans="2:5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</row>
    <row r="42" spans="2:5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</row>
    <row r="43" spans="2:5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</row>
    <row r="44" spans="2:5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</row>
    <row r="45" spans="2:5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</row>
    <row r="46" spans="2:5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</row>
    <row r="47" spans="2:5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</row>
    <row r="48" spans="2:5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</row>
    <row r="49" spans="2:5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</row>
    <row r="50" spans="2:5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</row>
    <row r="51" spans="2:5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</row>
    <row r="52" spans="2:5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</row>
    <row r="53" spans="2:5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</row>
    <row r="54" spans="2:5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</row>
    <row r="55" spans="2:5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</row>
    <row r="56" spans="2:5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</row>
    <row r="57" spans="2:5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</row>
    <row r="58" spans="2:5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</row>
    <row r="59" spans="2:5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</row>
    <row r="60" spans="2:5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</row>
    <row r="61" spans="2:5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</row>
    <row r="62" spans="2:5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</row>
    <row r="63" spans="2:5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</row>
    <row r="64" spans="2:5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</row>
    <row r="65" spans="2:5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</row>
    <row r="66" spans="2:5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</row>
    <row r="67" spans="2:5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</row>
    <row r="68" spans="2:5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</row>
    <row r="69" spans="2:5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</row>
    <row r="70" spans="2:5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</row>
    <row r="71" spans="2:5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</row>
    <row r="72" spans="2:5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</row>
    <row r="73" spans="2:5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</row>
    <row r="74" spans="2:5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</row>
    <row r="75" spans="2:5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</row>
    <row r="76" spans="2:5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</row>
    <row r="77" spans="2:5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</row>
    <row r="78" spans="2:5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</row>
    <row r="79" spans="2:5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</row>
    <row r="80" spans="2:5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</row>
    <row r="81" spans="2:5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</row>
    <row r="82" spans="2:5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</row>
    <row r="83" spans="2:5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</row>
    <row r="84" spans="2:5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</row>
    <row r="85" spans="2:5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</row>
    <row r="86" spans="2:5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</row>
    <row r="87" spans="2:5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</row>
    <row r="88" spans="2:5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</row>
    <row r="89" spans="2:5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</row>
    <row r="90" spans="2:5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</row>
    <row r="91" spans="2:5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</row>
    <row r="92" spans="2:5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</row>
    <row r="93" spans="2:5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</row>
    <row r="94" spans="2:5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</row>
    <row r="95" spans="2:5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</row>
    <row r="96" spans="2:5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</row>
    <row r="97" spans="2:5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</row>
    <row r="98" spans="2:5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</row>
    <row r="99" spans="2:5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</row>
    <row r="100" spans="2:5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</row>
    <row r="101" spans="2:5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</row>
    <row r="102" spans="2:5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</row>
    <row r="103" spans="2:5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</row>
    <row r="104" spans="2:5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</row>
    <row r="105" spans="2:5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</row>
    <row r="106" spans="2:5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</row>
    <row r="107" spans="2:5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</row>
    <row r="108" spans="2:5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</row>
    <row r="109" spans="2:5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</row>
    <row r="110" spans="2:5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</row>
    <row r="111" spans="2:5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</row>
    <row r="112" spans="2:5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</row>
    <row r="113" spans="2:5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</row>
    <row r="114" spans="2:5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</row>
    <row r="115" spans="2:5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</row>
    <row r="116" spans="2:5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</row>
    <row r="117" spans="2:5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</row>
    <row r="118" spans="2:5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</row>
    <row r="119" spans="2:5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</row>
    <row r="120" spans="2:5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</row>
    <row r="121" spans="2:5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</row>
    <row r="122" spans="2:5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</row>
    <row r="123" spans="2:5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</row>
    <row r="124" spans="2:5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</row>
    <row r="125" spans="2:5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</row>
    <row r="126" spans="2:5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</row>
    <row r="127" spans="2:5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</row>
    <row r="128" spans="2:5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</row>
    <row r="129" spans="2:5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</row>
    <row r="130" spans="2:5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</row>
    <row r="131" spans="2:5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</row>
    <row r="132" spans="2:5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</row>
    <row r="133" spans="2:5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</row>
    <row r="134" spans="2:5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</row>
    <row r="135" spans="2:5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</row>
    <row r="136" spans="2:5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</row>
    <row r="137" spans="2:5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</row>
    <row r="138" spans="2:5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</row>
    <row r="139" spans="2:5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</row>
    <row r="140" spans="2:5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</row>
    <row r="141" spans="2:5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</row>
    <row r="142" spans="2:5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</row>
    <row r="143" spans="2:5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</row>
    <row r="144" spans="2:5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</row>
    <row r="145" spans="2:5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</row>
    <row r="146" spans="2:5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</row>
    <row r="147" spans="2:5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</row>
    <row r="148" spans="2:5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</row>
    <row r="149" spans="2:5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</row>
    <row r="150" spans="2:5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</row>
    <row r="151" spans="2:5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</row>
    <row r="152" spans="2:5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</row>
    <row r="153" spans="2:5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</row>
    <row r="154" spans="2:5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</row>
    <row r="155" spans="2:5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</row>
    <row r="156" spans="2:5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</row>
    <row r="157" spans="2:5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</row>
    <row r="158" spans="2:5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</row>
    <row r="159" spans="2:5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</row>
    <row r="160" spans="2:5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</row>
    <row r="161" spans="2:5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</row>
    <row r="162" spans="2:5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</row>
    <row r="163" spans="2:5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</row>
    <row r="164" spans="2:5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</row>
    <row r="165" spans="2:5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</row>
    <row r="166" spans="2:5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</row>
    <row r="167" spans="2:5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</row>
    <row r="168" spans="2:5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</row>
    <row r="169" spans="2:5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5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5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5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5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5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5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5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43770</v>
      </c>
      <c r="C302" s="7">
        <v>45.4</v>
      </c>
      <c r="D302" s="7">
        <f t="shared" si="9"/>
        <v>-0.60000000000000142</v>
      </c>
      <c r="E302" s="7">
        <f t="shared" si="8"/>
        <v>50.466666666666669</v>
      </c>
    </row>
    <row r="303" spans="2:5" x14ac:dyDescent="0.25">
      <c r="B303" s="2">
        <v>43800</v>
      </c>
      <c r="C303" s="7">
        <v>47.1</v>
      </c>
      <c r="D303" s="7">
        <f t="shared" ref="D303" si="10">C303-C302</f>
        <v>1.7000000000000028</v>
      </c>
      <c r="E303" s="7">
        <f t="shared" ref="E303" si="11">IF(ROW(A303)&lt;13,"",AVERAGEIFS($C$2:$C$5000,$B$2:$B$5000,"&gt;"&amp;EDATE(B303,-12),$B$2:$B$5000,"&lt;="&amp;B303))</f>
        <v>50.025000000000006</v>
      </c>
    </row>
  </sheetData>
  <pageMargins left="0.7" right="0.7" top="0.75" bottom="0.75" header="0.3" footer="0.3"/>
  <tableParts count="1">
    <tablePart r:id="rId1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G301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1.4000000000000057</v>
      </c>
      <c r="G2" s="44">
        <f>INDEX(Switzerland[12 Mth Rolling Avg.],ROWS(Switzerland[12 Mth Rolling Avg.]),1)</f>
        <v>49.141666666666673</v>
      </c>
    </row>
    <row r="3" spans="1:7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</row>
    <row r="5" spans="1:7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</row>
    <row r="6" spans="1:7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</row>
    <row r="7" spans="1:7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</row>
    <row r="9" spans="1:7" x14ac:dyDescent="0.25">
      <c r="B9" s="2">
        <v>34912</v>
      </c>
      <c r="C9" s="7">
        <v>53.3</v>
      </c>
      <c r="D9" s="7">
        <f t="shared" si="1"/>
        <v>4.5</v>
      </c>
      <c r="E9" s="7" t="str">
        <f t="shared" si="0"/>
        <v/>
      </c>
    </row>
    <row r="10" spans="1:7" x14ac:dyDescent="0.25">
      <c r="B10" s="2">
        <v>34943</v>
      </c>
      <c r="C10" s="7">
        <v>53.9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34973</v>
      </c>
      <c r="C11" s="7">
        <v>50.5</v>
      </c>
      <c r="D11" s="7">
        <f t="shared" si="1"/>
        <v>-3.3999999999999986</v>
      </c>
      <c r="E11" s="7" t="str">
        <f t="shared" si="0"/>
        <v/>
      </c>
    </row>
    <row r="12" spans="1:7" x14ac:dyDescent="0.25">
      <c r="B12" s="2">
        <v>35004</v>
      </c>
      <c r="C12" s="7">
        <v>48.7</v>
      </c>
      <c r="D12" s="7">
        <f t="shared" si="1"/>
        <v>-1.7999999999999972</v>
      </c>
      <c r="E12" s="7" t="str">
        <f t="shared" si="0"/>
        <v/>
      </c>
    </row>
    <row r="13" spans="1:7" x14ac:dyDescent="0.25">
      <c r="B13" s="2">
        <v>35034</v>
      </c>
      <c r="C13" s="7">
        <v>47.1</v>
      </c>
      <c r="D13" s="7">
        <f t="shared" si="1"/>
        <v>-1.6000000000000014</v>
      </c>
      <c r="E13" s="7">
        <f t="shared" si="0"/>
        <v>54.827272727272728</v>
      </c>
    </row>
    <row r="14" spans="1:7" x14ac:dyDescent="0.25">
      <c r="B14" s="2">
        <v>35065</v>
      </c>
      <c r="C14" s="7">
        <v>50.1</v>
      </c>
      <c r="D14" s="7">
        <f t="shared" si="1"/>
        <v>3</v>
      </c>
      <c r="E14" s="7">
        <f t="shared" si="0"/>
        <v>53.790909090909082</v>
      </c>
    </row>
    <row r="15" spans="1:7" x14ac:dyDescent="0.25">
      <c r="B15" s="2">
        <v>35096</v>
      </c>
      <c r="C15" s="7">
        <v>49.2</v>
      </c>
      <c r="D15" s="7">
        <f t="shared" si="1"/>
        <v>-0.89999999999999858</v>
      </c>
      <c r="E15" s="7">
        <f t="shared" si="0"/>
        <v>52.909090909090907</v>
      </c>
    </row>
    <row r="16" spans="1:7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51.918181818181822</v>
      </c>
    </row>
    <row r="17" spans="2:5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50.790909090909096</v>
      </c>
    </row>
    <row r="18" spans="2:5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49.290909090909096</v>
      </c>
    </row>
    <row r="19" spans="2:5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48.354545454545445</v>
      </c>
    </row>
    <row r="20" spans="2:5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48.258333333333326</v>
      </c>
    </row>
    <row r="21" spans="2:5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47.708333333333336</v>
      </c>
    </row>
    <row r="22" spans="2:5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47.158333333333331</v>
      </c>
    </row>
    <row r="23" spans="2:5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46.925000000000004</v>
      </c>
    </row>
    <row r="24" spans="2:5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46.708333333333336</v>
      </c>
    </row>
    <row r="25" spans="2:5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46.941666666666663</v>
      </c>
    </row>
    <row r="26" spans="2:5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</row>
    <row r="27" spans="2:5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</row>
    <row r="28" spans="2:5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</row>
    <row r="29" spans="2:5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</row>
    <row r="30" spans="2:5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</row>
    <row r="31" spans="2:5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</row>
    <row r="32" spans="2:5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</row>
    <row r="33" spans="2:5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</row>
    <row r="34" spans="2:5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</row>
    <row r="35" spans="2:5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</row>
    <row r="36" spans="2:5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</row>
    <row r="37" spans="2:5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</row>
    <row r="38" spans="2:5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</row>
    <row r="39" spans="2:5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</row>
    <row r="40" spans="2:5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</row>
    <row r="41" spans="2:5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</row>
    <row r="42" spans="2:5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</row>
    <row r="43" spans="2:5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</row>
    <row r="44" spans="2:5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</row>
    <row r="45" spans="2:5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</row>
    <row r="46" spans="2:5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</row>
    <row r="47" spans="2:5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</row>
    <row r="48" spans="2:5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43770</v>
      </c>
      <c r="C300" s="7">
        <v>48.8</v>
      </c>
      <c r="D300" s="7">
        <f t="shared" si="9"/>
        <v>-0.60000000000000142</v>
      </c>
      <c r="E300" s="7">
        <f t="shared" si="8"/>
        <v>49.75</v>
      </c>
    </row>
    <row r="301" spans="2:5" x14ac:dyDescent="0.25">
      <c r="B301" s="2">
        <v>43800</v>
      </c>
      <c r="C301" s="7">
        <v>50.2</v>
      </c>
      <c r="D301" s="7">
        <f t="shared" ref="D301" si="10">C301-C300</f>
        <v>1.4000000000000057</v>
      </c>
      <c r="E301" s="7">
        <f t="shared" ref="E301" si="11">IF(ROW(A301)&lt;13,"",AVERAGEIFS($C$2:$C$5000,$B$2:$B$5000,"&gt;"&amp;EDATE(B301,-12),$B$2:$B$5000,"&lt;="&amp;B301))</f>
        <v>49.141666666666673</v>
      </c>
    </row>
  </sheetData>
  <pageMargins left="0.7" right="0.7" top="0.75" bottom="0.75" header="0.3" footer="0.3"/>
  <tableParts count="1">
    <tablePart r:id="rId1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G9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1</v>
      </c>
      <c r="G2" s="44">
        <f>INDEX(Taiwan[12 Mth Rolling Avg.],ROWS(Taiwan[12 Mth Rolling Avg.]),1)</f>
        <v>48.441666666666663</v>
      </c>
    </row>
    <row r="3" spans="1:7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7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7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7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47.5</v>
      </c>
      <c r="D9" s="7">
        <f t="shared" si="1"/>
        <v>-2.2999999999999972</v>
      </c>
      <c r="E9" s="7" t="str">
        <f t="shared" si="0"/>
        <v/>
      </c>
    </row>
    <row r="10" spans="1:7" x14ac:dyDescent="0.25">
      <c r="B10" s="2">
        <v>41122</v>
      </c>
      <c r="C10" s="7">
        <v>46.1</v>
      </c>
      <c r="D10" s="7">
        <f t="shared" si="1"/>
        <v>-1.3999999999999986</v>
      </c>
      <c r="E10" s="7" t="str">
        <f t="shared" si="0"/>
        <v/>
      </c>
    </row>
    <row r="11" spans="1:7" x14ac:dyDescent="0.25">
      <c r="B11" s="2">
        <v>41153</v>
      </c>
      <c r="C11" s="7">
        <v>45.6</v>
      </c>
      <c r="D11" s="7">
        <f t="shared" si="1"/>
        <v>-0.5</v>
      </c>
      <c r="E11" s="7" t="str">
        <f t="shared" si="0"/>
        <v/>
      </c>
    </row>
    <row r="12" spans="1:7" x14ac:dyDescent="0.25">
      <c r="B12" s="2">
        <v>41183</v>
      </c>
      <c r="C12" s="7">
        <v>47.8</v>
      </c>
      <c r="D12" s="7">
        <f t="shared" si="1"/>
        <v>2.1999999999999957</v>
      </c>
      <c r="E12" s="7" t="str">
        <f t="shared" si="0"/>
        <v/>
      </c>
    </row>
    <row r="13" spans="1:7" x14ac:dyDescent="0.25">
      <c r="B13" s="2">
        <v>41214</v>
      </c>
      <c r="C13" s="7">
        <v>47.4</v>
      </c>
      <c r="D13" s="7">
        <f t="shared" si="1"/>
        <v>-0.39999999999999858</v>
      </c>
      <c r="E13" s="7">
        <f t="shared" si="0"/>
        <v>48.990909090909099</v>
      </c>
    </row>
    <row r="14" spans="1:7" x14ac:dyDescent="0.25">
      <c r="B14" s="2">
        <v>41244</v>
      </c>
      <c r="C14" s="7">
        <v>50.6</v>
      </c>
      <c r="D14" s="7">
        <f t="shared" si="1"/>
        <v>3.2000000000000028</v>
      </c>
      <c r="E14" s="7">
        <f t="shared" si="0"/>
        <v>49.309090909090905</v>
      </c>
    </row>
    <row r="15" spans="1:7" x14ac:dyDescent="0.25">
      <c r="B15" s="2">
        <v>41275</v>
      </c>
      <c r="C15" s="7">
        <v>51.5</v>
      </c>
      <c r="D15" s="7">
        <f t="shared" si="1"/>
        <v>0.89999999999999858</v>
      </c>
      <c r="E15" s="7">
        <f t="shared" si="0"/>
        <v>49.545454545454547</v>
      </c>
    </row>
    <row r="16" spans="1:7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49.31818181818182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49.054545454545455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49.009090909090908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48.699999999999996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48.766666666666659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48.858333333333341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49.183333333333337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49.716666666666669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50.15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50.650000000000006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2">
        <v>43770</v>
      </c>
      <c r="C97" s="7">
        <v>49.8</v>
      </c>
      <c r="D97" s="7">
        <f t="shared" si="4"/>
        <v>0</v>
      </c>
      <c r="E97" s="7">
        <f t="shared" si="3"/>
        <v>48.18333333333333</v>
      </c>
    </row>
    <row r="98" spans="2:5" x14ac:dyDescent="0.25">
      <c r="B98" s="2">
        <v>43800</v>
      </c>
      <c r="C98" s="7">
        <v>50.8</v>
      </c>
      <c r="D98" s="7">
        <f t="shared" ref="D98" si="5">C98-C97</f>
        <v>1</v>
      </c>
      <c r="E98" s="7">
        <f t="shared" ref="E98" si="6">IF(ROW(A98)&lt;13,"",AVERAGEIFS($C$2:$C$5000,$B$2:$B$5000,"&gt;"&amp;EDATE(B98,-12),$B$2:$B$5000,"&lt;="&amp;B98))</f>
        <v>48.441666666666663</v>
      </c>
    </row>
  </sheetData>
  <pageMargins left="0.7" right="0.7" top="0.75" bottom="0.75" header="0.3" footer="0.3"/>
  <tableParts count="1">
    <tablePart r:id="rId1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G43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0.80000000000000426</v>
      </c>
      <c r="G2" s="44">
        <f>INDEX(Thailand[12 Mth Rolling Avg.],ROWS(Thailand[12 Mth Rolling Avg.]),1)</f>
        <v>50.25</v>
      </c>
    </row>
    <row r="3" spans="1:7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7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7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7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7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7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7" x14ac:dyDescent="0.25">
      <c r="B9" s="2">
        <v>42767</v>
      </c>
      <c r="C9">
        <v>50.6</v>
      </c>
      <c r="D9" s="7">
        <f t="shared" si="1"/>
        <v>1.3000000000000043</v>
      </c>
      <c r="E9" t="str">
        <f t="shared" si="0"/>
        <v/>
      </c>
    </row>
    <row r="10" spans="1:7" x14ac:dyDescent="0.25">
      <c r="B10" s="2">
        <v>42795</v>
      </c>
      <c r="C10">
        <v>50.2</v>
      </c>
      <c r="D10" s="7">
        <f t="shared" si="1"/>
        <v>-0.39999999999999858</v>
      </c>
      <c r="E10" t="str">
        <f t="shared" si="0"/>
        <v/>
      </c>
    </row>
    <row r="11" spans="1:7" x14ac:dyDescent="0.25">
      <c r="B11" s="2">
        <v>42826</v>
      </c>
      <c r="C11">
        <v>49.8</v>
      </c>
      <c r="D11" s="7">
        <f t="shared" si="1"/>
        <v>-0.40000000000000568</v>
      </c>
      <c r="E11" t="str">
        <f t="shared" si="0"/>
        <v/>
      </c>
    </row>
    <row r="12" spans="1:7" x14ac:dyDescent="0.25">
      <c r="B12" s="2">
        <v>42856</v>
      </c>
      <c r="C12">
        <v>49.7</v>
      </c>
      <c r="D12" s="7">
        <f t="shared" si="1"/>
        <v>-9.9999999999994316E-2</v>
      </c>
      <c r="E12" t="str">
        <f t="shared" si="0"/>
        <v/>
      </c>
    </row>
    <row r="13" spans="1:7" x14ac:dyDescent="0.25">
      <c r="B13" s="2">
        <v>42887</v>
      </c>
      <c r="C13">
        <v>50.4</v>
      </c>
      <c r="D13" s="7">
        <f t="shared" si="1"/>
        <v>0.69999999999999574</v>
      </c>
      <c r="E13">
        <f t="shared" si="0"/>
        <v>49.654545454545456</v>
      </c>
    </row>
    <row r="14" spans="1:7" x14ac:dyDescent="0.25">
      <c r="B14" s="2">
        <v>42917</v>
      </c>
      <c r="C14">
        <v>49.6</v>
      </c>
      <c r="D14" s="7">
        <f t="shared" si="1"/>
        <v>-0.79999999999999716</v>
      </c>
      <c r="E14">
        <f t="shared" si="0"/>
        <v>49.681818181818173</v>
      </c>
    </row>
    <row r="15" spans="1:7" x14ac:dyDescent="0.25">
      <c r="B15" s="2">
        <v>42948</v>
      </c>
      <c r="C15">
        <v>49.5</v>
      </c>
      <c r="D15" s="7">
        <f t="shared" si="1"/>
        <v>-0.10000000000000142</v>
      </c>
      <c r="E15">
        <f t="shared" si="0"/>
        <v>49.654545454545456</v>
      </c>
    </row>
    <row r="16" spans="1:7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49.790909090909082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49.881818181818183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50.045454545454547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50.027272727272731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50.07500000000001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50.099999999999994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50.008333333333333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49.983333333333327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50.083333333333336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2">
        <v>43770</v>
      </c>
      <c r="C42">
        <v>49.3</v>
      </c>
      <c r="D42" s="7">
        <f t="shared" si="1"/>
        <v>-0.70000000000000284</v>
      </c>
      <c r="E42">
        <f t="shared" si="0"/>
        <v>50.266666666666673</v>
      </c>
    </row>
    <row r="43" spans="2:5" x14ac:dyDescent="0.25">
      <c r="B43" s="2">
        <v>43800</v>
      </c>
      <c r="C43">
        <v>50.1</v>
      </c>
      <c r="D43" s="7">
        <f t="shared" ref="D43" si="2">C43-C42</f>
        <v>0.80000000000000426</v>
      </c>
      <c r="E43">
        <f t="shared" ref="E43" si="3">IF(ROW(A43)&lt;13,"",AVERAGEIFS($C$2:$C$5000,$B$2:$B$5000,"&gt;"&amp;EDATE(B43,-12),$B$2:$B$5000,"&lt;="&amp;B43))</f>
        <v>50.25</v>
      </c>
    </row>
  </sheetData>
  <pageMargins left="0.7" right="0.7" top="0.75" bottom="0.75" header="0.3" footer="0.3"/>
  <tableParts count="1">
    <tablePart r:id="rId1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G9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0</v>
      </c>
      <c r="G2" s="44">
        <f>INDEX(Turkey[12 Mth Rolling Avg.],ROWS(Turkey[12 Mth Rolling Avg.]),1)</f>
        <v>47.541666666666664</v>
      </c>
    </row>
    <row r="3" spans="1:7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7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7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7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7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7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49.4</v>
      </c>
      <c r="D9" s="7">
        <f t="shared" si="1"/>
        <v>-0.10000000000000142</v>
      </c>
      <c r="E9" s="7" t="str">
        <f t="shared" si="0"/>
        <v/>
      </c>
    </row>
    <row r="10" spans="1:7" x14ac:dyDescent="0.25">
      <c r="B10" s="2">
        <v>41122</v>
      </c>
      <c r="C10" s="7">
        <v>50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41153</v>
      </c>
      <c r="C11" s="7">
        <v>52.2</v>
      </c>
      <c r="D11" s="7">
        <f t="shared" si="1"/>
        <v>2.2000000000000028</v>
      </c>
      <c r="E11" s="7" t="str">
        <f t="shared" si="0"/>
        <v/>
      </c>
    </row>
    <row r="12" spans="1:7" x14ac:dyDescent="0.25">
      <c r="B12" s="2">
        <v>41183</v>
      </c>
      <c r="C12" s="7">
        <v>52.5</v>
      </c>
      <c r="D12" s="7">
        <f t="shared" si="1"/>
        <v>0.29999999999999716</v>
      </c>
      <c r="E12" s="7" t="str">
        <f t="shared" si="0"/>
        <v/>
      </c>
    </row>
    <row r="13" spans="1:7" x14ac:dyDescent="0.25">
      <c r="B13" s="2">
        <v>41214</v>
      </c>
      <c r="C13" s="7">
        <v>51.6</v>
      </c>
      <c r="D13" s="7">
        <f t="shared" si="1"/>
        <v>-0.89999999999999858</v>
      </c>
      <c r="E13" s="7">
        <f t="shared" si="0"/>
        <v>51.009090909090901</v>
      </c>
    </row>
    <row r="14" spans="1:7" x14ac:dyDescent="0.25">
      <c r="B14" s="2">
        <v>41244</v>
      </c>
      <c r="C14" s="7">
        <v>53.1</v>
      </c>
      <c r="D14" s="7">
        <f t="shared" si="1"/>
        <v>1.5</v>
      </c>
      <c r="E14" s="7">
        <f t="shared" si="0"/>
        <v>51.109090909090902</v>
      </c>
    </row>
    <row r="15" spans="1:7" x14ac:dyDescent="0.25">
      <c r="B15" s="2">
        <v>41275</v>
      </c>
      <c r="C15" s="7">
        <v>54</v>
      </c>
      <c r="D15" s="7">
        <f t="shared" si="1"/>
        <v>0.89999999999999858</v>
      </c>
      <c r="E15" s="7">
        <f t="shared" si="0"/>
        <v>51.31818181818182</v>
      </c>
    </row>
    <row r="16" spans="1:7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51.672727272727279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51.918181818181822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51.827272727272728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51.909090909090907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51.85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51.883333333333333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51.958333333333336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52.108333333333327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52.175000000000004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52.458333333333336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2">
        <v>43770</v>
      </c>
      <c r="C97" s="7">
        <v>49.5</v>
      </c>
      <c r="D97" s="7">
        <f t="shared" si="4"/>
        <v>0.5</v>
      </c>
      <c r="E97" s="7">
        <f t="shared" si="3"/>
        <v>47.1</v>
      </c>
    </row>
    <row r="98" spans="2:5" x14ac:dyDescent="0.25">
      <c r="B98" s="2">
        <v>43800</v>
      </c>
      <c r="C98" s="7">
        <v>49.5</v>
      </c>
      <c r="D98" s="7">
        <f t="shared" ref="D98" si="5">C98-C97</f>
        <v>0</v>
      </c>
      <c r="E98" s="7">
        <f t="shared" ref="E98" si="6">IF(ROW(A98)&lt;13,"",AVERAGEIFS($C$2:$C$5000,$B$2:$B$5000,"&gt;"&amp;EDATE(B98,-12),$B$2:$B$5000,"&lt;="&amp;B98))</f>
        <v>47.541666666666664</v>
      </c>
    </row>
  </sheetData>
  <pageMargins left="0.7" right="0.7" top="0.75" bottom="0.75" header="0.3" footer="0.3"/>
  <tableParts count="1">
    <tablePart r:id="rId1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G98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-9.9999999999994316E-2</v>
      </c>
      <c r="G2" s="44">
        <f>INDEX(UnitedArabEmirates[12 Mth Rolling Avg.],ROWS(UnitedArabEmirates[12 Mth Rolling Avg.]),1)</f>
        <v>54.125</v>
      </c>
    </row>
    <row r="3" spans="1:7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7" x14ac:dyDescent="0.25">
      <c r="A4" t="s">
        <v>151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7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7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7" x14ac:dyDescent="0.25">
      <c r="B9" s="2">
        <v>41091</v>
      </c>
      <c r="C9" s="7">
        <v>53.4</v>
      </c>
      <c r="D9" s="7">
        <f t="shared" si="1"/>
        <v>3.1000000000000014</v>
      </c>
      <c r="E9" s="7" t="str">
        <f t="shared" si="0"/>
        <v/>
      </c>
    </row>
    <row r="10" spans="1:7" x14ac:dyDescent="0.25">
      <c r="B10" s="2">
        <v>41122</v>
      </c>
      <c r="C10" s="7">
        <v>53.3</v>
      </c>
      <c r="D10" s="7">
        <f t="shared" si="1"/>
        <v>-0.10000000000000142</v>
      </c>
      <c r="E10" s="7" t="str">
        <f t="shared" si="0"/>
        <v/>
      </c>
    </row>
    <row r="11" spans="1:7" x14ac:dyDescent="0.25">
      <c r="B11" s="2">
        <v>41153</v>
      </c>
      <c r="C11" s="7">
        <v>53.8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41183</v>
      </c>
      <c r="C12" s="7">
        <v>53.8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41214</v>
      </c>
      <c r="C13" s="7">
        <v>53.7</v>
      </c>
      <c r="D13" s="7">
        <f t="shared" si="1"/>
        <v>-9.9999999999994316E-2</v>
      </c>
      <c r="E13" s="7">
        <f t="shared" si="0"/>
        <v>53.06363636363637</v>
      </c>
    </row>
    <row r="14" spans="1:7" x14ac:dyDescent="0.25">
      <c r="B14" s="2">
        <v>41244</v>
      </c>
      <c r="C14" s="7">
        <v>55.6</v>
      </c>
      <c r="D14" s="7">
        <f t="shared" si="1"/>
        <v>1.8999999999999986</v>
      </c>
      <c r="E14" s="7">
        <f t="shared" si="0"/>
        <v>53.418181818181822</v>
      </c>
    </row>
    <row r="15" spans="1:7" x14ac:dyDescent="0.25">
      <c r="B15" s="2">
        <v>41275</v>
      </c>
      <c r="C15" s="7">
        <v>55</v>
      </c>
      <c r="D15" s="7">
        <f t="shared" si="1"/>
        <v>-0.60000000000000142</v>
      </c>
      <c r="E15" s="7">
        <f t="shared" si="0"/>
        <v>53.654545454545456</v>
      </c>
    </row>
    <row r="16" spans="1:7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53.963636363636368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54.145454545454548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54.190909090909095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54.327272727272721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54.30833333333333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54.4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54.5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54.733333333333341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54.94166666666667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55.308333333333337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2">
        <v>43770</v>
      </c>
      <c r="C97" s="7">
        <v>50.3</v>
      </c>
      <c r="D97" s="7">
        <f t="shared" si="4"/>
        <v>-0.80000000000000426</v>
      </c>
      <c r="E97" s="7">
        <f t="shared" si="3"/>
        <v>54.441666666666663</v>
      </c>
    </row>
    <row r="98" spans="2:5" x14ac:dyDescent="0.25">
      <c r="B98" s="2">
        <v>43800</v>
      </c>
      <c r="C98" s="7">
        <v>50.2</v>
      </c>
      <c r="D98" s="7">
        <f t="shared" ref="D98" si="5">C98-C97</f>
        <v>-9.9999999999994316E-2</v>
      </c>
      <c r="E98" s="7">
        <f t="shared" ref="E98" si="6">IF(ROW(A98)&lt;13,"",AVERAGEIFS($C$2:$C$5000,$B$2:$B$5000,"&gt;"&amp;EDATE(B98,-12),$B$2:$B$5000,"&lt;="&amp;B98))</f>
        <v>54.125</v>
      </c>
    </row>
  </sheetData>
  <pageMargins left="0.7" right="0.7" top="0.75" bottom="0.75" header="0.3" footer="0.3"/>
  <tableParts count="1">
    <tablePart r:id="rId1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G146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0.10000000000000142</v>
      </c>
      <c r="G2" s="44">
        <f>INDEX(UnitedKingdom[12 Mth Rolling Avg.],ROWS(UnitedKingdom[12 Mth Rolling Avg.]),1)</f>
        <v>49.815384615384616</v>
      </c>
    </row>
    <row r="3" spans="1:7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</row>
    <row r="4" spans="1:7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</row>
    <row r="7" spans="1:7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</row>
    <row r="8" spans="1:7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</row>
    <row r="9" spans="1:7" x14ac:dyDescent="0.25">
      <c r="B9" s="2">
        <v>39661</v>
      </c>
      <c r="C9" s="7">
        <v>45.9</v>
      </c>
      <c r="D9" s="7">
        <f t="shared" si="1"/>
        <v>-1.5</v>
      </c>
      <c r="E9" s="7" t="str">
        <f t="shared" si="0"/>
        <v/>
      </c>
    </row>
    <row r="10" spans="1:7" x14ac:dyDescent="0.25">
      <c r="B10" s="2">
        <v>39692</v>
      </c>
      <c r="C10" s="7">
        <v>41.2</v>
      </c>
      <c r="D10" s="7">
        <f t="shared" si="1"/>
        <v>-4.6999999999999957</v>
      </c>
      <c r="E10" s="7" t="str">
        <f t="shared" si="0"/>
        <v/>
      </c>
    </row>
    <row r="11" spans="1:7" x14ac:dyDescent="0.25">
      <c r="B11" s="2">
        <v>39722</v>
      </c>
      <c r="C11" s="7">
        <v>41.5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39753</v>
      </c>
      <c r="C12" s="7">
        <v>34.4</v>
      </c>
      <c r="D12" s="7">
        <f t="shared" si="1"/>
        <v>-7.1000000000000014</v>
      </c>
      <c r="E12" s="7" t="str">
        <f t="shared" si="0"/>
        <v/>
      </c>
    </row>
    <row r="13" spans="1:7" x14ac:dyDescent="0.25">
      <c r="B13" s="2">
        <v>39783</v>
      </c>
      <c r="C13" s="7">
        <v>34.9</v>
      </c>
      <c r="D13" s="7">
        <f t="shared" si="1"/>
        <v>0.5</v>
      </c>
      <c r="E13" s="7">
        <f t="shared" si="0"/>
        <v>45.25454545454545</v>
      </c>
    </row>
    <row r="14" spans="1:7" x14ac:dyDescent="0.25">
      <c r="B14" s="2">
        <v>39814</v>
      </c>
      <c r="C14" s="7">
        <v>35.799999999999997</v>
      </c>
      <c r="D14" s="7">
        <f t="shared" si="1"/>
        <v>0.89999999999999858</v>
      </c>
      <c r="E14" s="7">
        <f t="shared" si="0"/>
        <v>43.899999999999991</v>
      </c>
    </row>
    <row r="15" spans="1:7" x14ac:dyDescent="0.25">
      <c r="B15" s="2">
        <v>39845</v>
      </c>
      <c r="C15" s="7">
        <v>34.700000000000003</v>
      </c>
      <c r="D15" s="7">
        <f t="shared" si="1"/>
        <v>-1.0999999999999943</v>
      </c>
      <c r="E15" s="7">
        <f t="shared" si="0"/>
        <v>42.390909090909084</v>
      </c>
    </row>
    <row r="16" spans="1:7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41.318181818181813</v>
      </c>
    </row>
    <row r="17" spans="2:5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40.618181818181817</v>
      </c>
    </row>
    <row r="18" spans="2:5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40.199999999999996</v>
      </c>
    </row>
    <row r="19" spans="2:5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40.309090909090905</v>
      </c>
    </row>
    <row r="20" spans="2:5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41.133333333333333</v>
      </c>
    </row>
    <row r="21" spans="2:5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41.449999999999996</v>
      </c>
    </row>
    <row r="22" spans="2:5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42.141666666666666</v>
      </c>
    </row>
    <row r="23" spans="2:5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43.133333333333333</v>
      </c>
    </row>
    <row r="24" spans="2:5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44.816666666666663</v>
      </c>
    </row>
    <row r="25" spans="2:5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46.416666666666664</v>
      </c>
    </row>
    <row r="26" spans="2:5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</row>
    <row r="27" spans="2:5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</row>
    <row r="28" spans="2:5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</row>
    <row r="29" spans="2:5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</row>
    <row r="30" spans="2:5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</row>
    <row r="31" spans="2:5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</row>
    <row r="32" spans="2:5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</row>
    <row r="33" spans="2:5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</row>
    <row r="34" spans="2:5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</row>
    <row r="35" spans="2:5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</row>
    <row r="36" spans="2:5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</row>
    <row r="37" spans="2:5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</row>
    <row r="38" spans="2:5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</row>
    <row r="39" spans="2:5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</row>
    <row r="40" spans="2:5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</row>
    <row r="41" spans="2:5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</row>
    <row r="42" spans="2:5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</row>
    <row r="43" spans="2:5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</row>
    <row r="44" spans="2:5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</row>
    <row r="45" spans="2:5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</row>
    <row r="46" spans="2:5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</row>
    <row r="47" spans="2:5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</row>
    <row r="48" spans="2:5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</row>
    <row r="49" spans="2:5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</row>
    <row r="50" spans="2:5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</row>
    <row r="51" spans="2:5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</row>
    <row r="52" spans="2:5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</row>
    <row r="53" spans="2:5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</row>
    <row r="54" spans="2:5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</row>
    <row r="55" spans="2:5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</row>
    <row r="56" spans="2:5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</row>
    <row r="57" spans="2:5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</row>
    <row r="58" spans="2:5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</row>
    <row r="59" spans="2:5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</row>
    <row r="60" spans="2:5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</row>
    <row r="61" spans="2:5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</row>
    <row r="62" spans="2:5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</row>
    <row r="63" spans="2:5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</row>
    <row r="64" spans="2:5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</row>
    <row r="65" spans="2:5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</row>
    <row r="66" spans="2:5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</row>
    <row r="67" spans="2:5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</row>
    <row r="68" spans="2:5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</row>
    <row r="69" spans="2:5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</row>
    <row r="70" spans="2:5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</row>
    <row r="71" spans="2:5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</row>
    <row r="72" spans="2:5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</row>
    <row r="73" spans="2:5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</row>
    <row r="74" spans="2:5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</row>
    <row r="75" spans="2:5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</row>
    <row r="76" spans="2:5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</row>
    <row r="77" spans="2:5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</row>
    <row r="78" spans="2:5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</row>
    <row r="79" spans="2:5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</row>
    <row r="80" spans="2:5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</row>
    <row r="81" spans="2:5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</row>
    <row r="82" spans="2:5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</row>
    <row r="83" spans="2:5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</row>
    <row r="84" spans="2:5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</row>
    <row r="85" spans="2:5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</row>
    <row r="86" spans="2:5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</row>
    <row r="87" spans="2:5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</row>
    <row r="88" spans="2:5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</row>
    <row r="89" spans="2:5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</row>
    <row r="90" spans="2:5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</row>
    <row r="91" spans="2:5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</row>
    <row r="92" spans="2:5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</row>
    <row r="93" spans="2:5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</row>
    <row r="94" spans="2:5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</row>
    <row r="95" spans="2:5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</row>
    <row r="96" spans="2:5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</row>
    <row r="97" spans="2:5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</row>
    <row r="98" spans="2:5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</row>
    <row r="99" spans="2:5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</row>
    <row r="100" spans="2:5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</row>
    <row r="101" spans="2:5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</row>
    <row r="102" spans="2:5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</row>
    <row r="103" spans="2:5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</row>
    <row r="104" spans="2:5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</row>
    <row r="105" spans="2:5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</row>
    <row r="106" spans="2:5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</row>
    <row r="107" spans="2:5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</row>
    <row r="108" spans="2:5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</row>
    <row r="109" spans="2:5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</row>
    <row r="110" spans="2:5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</row>
    <row r="111" spans="2:5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</row>
    <row r="112" spans="2:5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</row>
    <row r="113" spans="2:5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</row>
    <row r="114" spans="2:5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</row>
    <row r="115" spans="2:5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</row>
    <row r="116" spans="2:5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</row>
    <row r="117" spans="2:5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</row>
    <row r="118" spans="2:5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</row>
    <row r="119" spans="2:5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</row>
    <row r="120" spans="2:5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</row>
    <row r="121" spans="2:5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</row>
    <row r="122" spans="2:5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</row>
    <row r="123" spans="2:5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</row>
    <row r="124" spans="2:5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</row>
    <row r="125" spans="2:5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</row>
    <row r="126" spans="2:5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</row>
    <row r="127" spans="2:5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</row>
    <row r="128" spans="2:5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</row>
    <row r="129" spans="2:5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</row>
    <row r="130" spans="2:5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</row>
    <row r="131" spans="2:5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</row>
    <row r="132" spans="2:5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</row>
    <row r="133" spans="2:5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</row>
    <row r="134" spans="2:5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</row>
    <row r="135" spans="2:5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</row>
    <row r="136" spans="2:5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</row>
    <row r="137" spans="2:5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</row>
    <row r="138" spans="2:5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</row>
    <row r="139" spans="2:5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</row>
    <row r="140" spans="2:5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</row>
    <row r="141" spans="2:5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</row>
    <row r="142" spans="2:5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</row>
    <row r="143" spans="2:5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</row>
    <row r="144" spans="2:5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</row>
    <row r="145" spans="2:5" x14ac:dyDescent="0.25">
      <c r="B145" s="2">
        <v>43800</v>
      </c>
      <c r="C145" s="7">
        <v>47.4</v>
      </c>
      <c r="D145" s="7">
        <f t="shared" si="7"/>
        <v>-1.5</v>
      </c>
      <c r="E145" s="7">
        <f t="shared" si="6"/>
        <v>49.815384615384616</v>
      </c>
    </row>
    <row r="146" spans="2:5" x14ac:dyDescent="0.25">
      <c r="B146" s="2">
        <v>43800</v>
      </c>
      <c r="C146" s="7">
        <v>47.5</v>
      </c>
      <c r="D146" s="7">
        <f t="shared" ref="D146" si="8">C146-C145</f>
        <v>0.10000000000000142</v>
      </c>
      <c r="E146" s="7">
        <f t="shared" ref="E146" si="9">IF(ROW(A146)&lt;13,"",AVERAGEIFS($C$2:$C$5000,$B$2:$B$5000,"&gt;"&amp;EDATE(B146,-12),$B$2:$B$5000,"&lt;="&amp;B146))</f>
        <v>49.815384615384616</v>
      </c>
    </row>
  </sheetData>
  <pageMargins left="0.7" right="0.7" top="0.75" bottom="0.75" header="0.3" footer="0.3"/>
  <tableParts count="1">
    <tablePart r:id="rId1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G93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-0.10000000000000142</v>
      </c>
      <c r="G2" s="44">
        <f>INDEX(UnitedStates[12 Mth Rolling Avg.],ROWS(UnitedStates[12 Mth Rolling Avg.]),1)</f>
        <v>51.892307692307696</v>
      </c>
    </row>
    <row r="3" spans="1:7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</row>
    <row r="4" spans="1:7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</row>
    <row r="8" spans="1:7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</row>
    <row r="9" spans="1:7" x14ac:dyDescent="0.25">
      <c r="B9" s="2">
        <v>41275</v>
      </c>
      <c r="C9" s="7">
        <v>54</v>
      </c>
      <c r="D9" s="7">
        <f t="shared" si="1"/>
        <v>1.5</v>
      </c>
      <c r="E9" s="7" t="str">
        <f t="shared" si="0"/>
        <v/>
      </c>
    </row>
    <row r="10" spans="1:7" x14ac:dyDescent="0.25">
      <c r="B10" s="2">
        <v>41306</v>
      </c>
      <c r="C10" s="7">
        <v>55.8</v>
      </c>
      <c r="D10" s="7">
        <f t="shared" si="1"/>
        <v>1.7999999999999972</v>
      </c>
      <c r="E10" s="7" t="str">
        <f t="shared" si="0"/>
        <v/>
      </c>
    </row>
    <row r="11" spans="1:7" x14ac:dyDescent="0.25">
      <c r="B11" s="2">
        <v>41334</v>
      </c>
      <c r="C11" s="7">
        <v>54.3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41365</v>
      </c>
      <c r="C12" s="7">
        <v>54.6</v>
      </c>
      <c r="D12" s="7">
        <f t="shared" si="1"/>
        <v>0.30000000000000426</v>
      </c>
      <c r="E12" s="7" t="str">
        <f t="shared" si="0"/>
        <v/>
      </c>
    </row>
    <row r="13" spans="1:7" x14ac:dyDescent="0.25">
      <c r="B13" s="2">
        <v>41395</v>
      </c>
      <c r="C13" s="7">
        <v>52.1</v>
      </c>
      <c r="D13" s="7">
        <f t="shared" si="1"/>
        <v>-2.5</v>
      </c>
      <c r="E13" s="7">
        <f t="shared" si="0"/>
        <v>52.936363636363645</v>
      </c>
    </row>
    <row r="14" spans="1:7" x14ac:dyDescent="0.25">
      <c r="B14" s="2">
        <v>41426</v>
      </c>
      <c r="C14" s="7">
        <v>52.3</v>
      </c>
      <c r="D14" s="7">
        <f t="shared" si="1"/>
        <v>0.19999999999999574</v>
      </c>
      <c r="E14" s="7">
        <f t="shared" si="0"/>
        <v>52.781818181818181</v>
      </c>
    </row>
    <row r="15" spans="1:7" x14ac:dyDescent="0.25">
      <c r="B15" s="2">
        <v>41456</v>
      </c>
      <c r="C15" s="7">
        <v>53.7</v>
      </c>
      <c r="D15" s="7">
        <f t="shared" si="1"/>
        <v>1.4000000000000057</v>
      </c>
      <c r="E15" s="7">
        <f t="shared" si="0"/>
        <v>52.890909090909098</v>
      </c>
    </row>
    <row r="16" spans="1:7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53.045454545454554</v>
      </c>
    </row>
    <row r="17" spans="2:5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53.163636363636357</v>
      </c>
    </row>
    <row r="18" spans="2:5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53.227272727272727</v>
      </c>
    </row>
    <row r="19" spans="2:5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53.56363636363637</v>
      </c>
    </row>
    <row r="20" spans="2:5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53.683333333333337</v>
      </c>
    </row>
    <row r="21" spans="2:5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53.658333333333339</v>
      </c>
    </row>
    <row r="22" spans="2:5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53.76666666666668</v>
      </c>
    </row>
    <row r="23" spans="2:5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53.866666666666674</v>
      </c>
    </row>
    <row r="24" spans="2:5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53.93333333333333</v>
      </c>
    </row>
    <row r="25" spans="2:5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54.291666666666664</v>
      </c>
    </row>
    <row r="26" spans="2:5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</row>
    <row r="27" spans="2:5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</row>
    <row r="28" spans="2:5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</row>
    <row r="29" spans="2:5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</row>
    <row r="30" spans="2:5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</row>
    <row r="31" spans="2:5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</row>
    <row r="32" spans="2:5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</row>
    <row r="33" spans="2:5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</row>
    <row r="34" spans="2:5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</row>
    <row r="35" spans="2:5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</row>
    <row r="36" spans="2:5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</row>
    <row r="37" spans="2:5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</row>
    <row r="38" spans="2:5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</row>
    <row r="39" spans="2:5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</row>
    <row r="40" spans="2:5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</row>
    <row r="41" spans="2:5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</row>
    <row r="42" spans="2:5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</row>
    <row r="43" spans="2:5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</row>
    <row r="44" spans="2:5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</row>
    <row r="45" spans="2:5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</row>
    <row r="46" spans="2:5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</row>
    <row r="47" spans="2:5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</row>
    <row r="48" spans="2:5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</row>
    <row r="49" spans="2:5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</row>
    <row r="50" spans="2:5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</row>
    <row r="51" spans="2:5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</row>
    <row r="52" spans="2:5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</row>
    <row r="53" spans="2:5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</row>
    <row r="54" spans="2:5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</row>
    <row r="55" spans="2:5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</row>
    <row r="56" spans="2:5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</row>
    <row r="57" spans="2:5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</row>
    <row r="58" spans="2:5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</row>
    <row r="59" spans="2:5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</row>
    <row r="60" spans="2:5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</row>
    <row r="61" spans="2:5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</row>
    <row r="62" spans="2:5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</row>
    <row r="63" spans="2:5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</row>
    <row r="64" spans="2:5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</row>
    <row r="65" spans="2:5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</row>
    <row r="66" spans="2:5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</row>
    <row r="67" spans="2:5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</row>
    <row r="68" spans="2:5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</row>
    <row r="69" spans="2:5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</row>
    <row r="70" spans="2:5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</row>
    <row r="71" spans="2:5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</row>
    <row r="72" spans="2:5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</row>
    <row r="73" spans="2:5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</row>
    <row r="74" spans="2:5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</row>
    <row r="75" spans="2:5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</row>
    <row r="76" spans="2:5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</row>
    <row r="77" spans="2:5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5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5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5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43800</v>
      </c>
      <c r="C92" s="7">
        <v>52.5</v>
      </c>
      <c r="D92" s="7">
        <f t="shared" si="4"/>
        <v>-0.10000000000000142</v>
      </c>
      <c r="E92" s="7">
        <f t="shared" si="3"/>
        <v>51.892307692307696</v>
      </c>
    </row>
    <row r="93" spans="2:5" x14ac:dyDescent="0.25">
      <c r="B93" s="2">
        <v>43800</v>
      </c>
      <c r="C93" s="7">
        <v>52.4</v>
      </c>
      <c r="D93" s="7">
        <f t="shared" ref="D93" si="5">C93-C92</f>
        <v>-0.10000000000000142</v>
      </c>
      <c r="E93" s="7">
        <f t="shared" ref="E93" si="6">IF(ROW(A93)&lt;13,"",AVERAGEIFS($C$2:$C$5000,$B$2:$B$5000,"&gt;"&amp;EDATE(B93,-12),$B$2:$B$5000,"&lt;="&amp;B93))</f>
        <v>51.892307692307696</v>
      </c>
    </row>
  </sheetData>
  <pageMargins left="0.7" right="0.7" top="0.75" bottom="0.75" header="0.3" footer="0.3"/>
  <tableParts count="1">
    <tablePart r:id="rId1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G91"/>
  <sheetViews>
    <sheetView workbookViewId="0">
      <selection activeCell="F2" sqref="F2:G2"/>
    </sheetView>
  </sheetViews>
  <sheetFormatPr defaultRowHeight="15" x14ac:dyDescent="0.25"/>
  <cols>
    <col min="1" max="1" width="12.28515625" customWidth="1"/>
    <col min="2" max="2" width="12.28515625" style="2" customWidth="1"/>
    <col min="3" max="3" width="12.28515625" style="7" customWidth="1"/>
    <col min="4" max="4" width="11.7109375" customWidth="1"/>
    <col min="6" max="6" width="19.28515625" customWidth="1"/>
    <col min="7" max="7" width="25.425781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4" t="s">
        <v>153</v>
      </c>
      <c r="F1" s="33" t="s">
        <v>150</v>
      </c>
      <c r="G1" s="33" t="s">
        <v>152</v>
      </c>
    </row>
    <row r="2" spans="1:7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-0.20000000000000284</v>
      </c>
      <c r="G2" s="44">
        <f>INDEX(Vietnam[12 Mth Rolling Avg.],ROWS(Vietnam[12 Mth Rolling Avg.]),1)</f>
        <v>51.524999999999999</v>
      </c>
    </row>
    <row r="3" spans="1:7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7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7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7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7" x14ac:dyDescent="0.25">
      <c r="B9" s="2">
        <v>41306</v>
      </c>
      <c r="C9" s="7">
        <v>48.3</v>
      </c>
      <c r="D9" s="7">
        <f t="shared" si="1"/>
        <v>-2.7000000000000028</v>
      </c>
      <c r="E9" s="7" t="str">
        <f t="shared" si="0"/>
        <v/>
      </c>
    </row>
    <row r="10" spans="1:7" x14ac:dyDescent="0.25">
      <c r="B10" s="2">
        <v>41334</v>
      </c>
      <c r="C10" s="7">
        <v>50.8</v>
      </c>
      <c r="D10" s="7">
        <f t="shared" si="1"/>
        <v>2.5</v>
      </c>
      <c r="E10" s="7" t="str">
        <f t="shared" si="0"/>
        <v/>
      </c>
    </row>
    <row r="11" spans="1:7" x14ac:dyDescent="0.25">
      <c r="B11" s="2">
        <v>41365</v>
      </c>
      <c r="C11" s="7">
        <v>51</v>
      </c>
      <c r="D11" s="7">
        <f t="shared" si="1"/>
        <v>0.20000000000000284</v>
      </c>
      <c r="E11" s="7" t="str">
        <f t="shared" si="0"/>
        <v/>
      </c>
    </row>
    <row r="12" spans="1:7" x14ac:dyDescent="0.25">
      <c r="B12" s="2">
        <v>41395</v>
      </c>
      <c r="C12" s="7">
        <v>48.8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41426</v>
      </c>
      <c r="C13" s="7">
        <v>46.4</v>
      </c>
      <c r="D13" s="7">
        <f t="shared" si="1"/>
        <v>-2.3999999999999986</v>
      </c>
      <c r="E13" s="7">
        <f t="shared" si="0"/>
        <v>48.590909090909093</v>
      </c>
    </row>
    <row r="14" spans="1:7" x14ac:dyDescent="0.25">
      <c r="B14" s="2">
        <v>41456</v>
      </c>
      <c r="C14" s="7">
        <v>48.5</v>
      </c>
      <c r="D14" s="7">
        <f t="shared" si="1"/>
        <v>2.1000000000000014</v>
      </c>
      <c r="E14" s="7">
        <f t="shared" si="0"/>
        <v>49.036363636363646</v>
      </c>
    </row>
    <row r="15" spans="1:7" x14ac:dyDescent="0.25">
      <c r="B15" s="2">
        <v>41487</v>
      </c>
      <c r="C15" s="7">
        <v>49.4</v>
      </c>
      <c r="D15" s="7">
        <f t="shared" si="1"/>
        <v>0.89999999999999858</v>
      </c>
      <c r="E15" s="7">
        <f t="shared" si="0"/>
        <v>49.172727272727272</v>
      </c>
    </row>
    <row r="16" spans="1:7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49.381818181818183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49.636363636363633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49.618181818181817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49.845454545454544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50.033333333333331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50.258333333333333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50.300000000000004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50.475000000000001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50.783333333333339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51.274999999999999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2">
        <v>43770</v>
      </c>
      <c r="C90" s="7">
        <v>51</v>
      </c>
      <c r="D90" s="7">
        <f t="shared" si="4"/>
        <v>1</v>
      </c>
      <c r="E90" s="7">
        <f t="shared" si="3"/>
        <v>51.774999999999999</v>
      </c>
    </row>
    <row r="91" spans="2:5" x14ac:dyDescent="0.25">
      <c r="B91" s="2">
        <v>43800</v>
      </c>
      <c r="C91" s="7">
        <v>50.8</v>
      </c>
      <c r="D91" s="7">
        <f t="shared" ref="D91" si="5">C91-C90</f>
        <v>-0.20000000000000284</v>
      </c>
      <c r="E91" s="7">
        <f t="shared" ref="E91" si="6">IF(ROW(A91)&lt;13,"",AVERAGEIFS($C$2:$C$5000,$B$2:$B$5000,"&gt;"&amp;EDATE(B91,-12),$B$2:$B$5000,"&lt;="&amp;B91))</f>
        <v>51.524999999999999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51</vt:i4>
      </vt:variant>
    </vt:vector>
  </HeadingPairs>
  <TitlesOfParts>
    <vt:vector size="51" baseType="lpstr">
      <vt:lpstr>PMI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cp:lastPrinted>2020-01-01T20:05:37Z</cp:lastPrinted>
  <dcterms:created xsi:type="dcterms:W3CDTF">2019-12-30T21:39:35Z</dcterms:created>
  <dcterms:modified xsi:type="dcterms:W3CDTF">2020-01-14T21:33:09Z</dcterms:modified>
</cp:coreProperties>
</file>