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erveur-donnees\SCPI\0-Bdd\Simulateur\"/>
    </mc:Choice>
  </mc:AlternateContent>
  <bookViews>
    <workbookView xWindow="0" yWindow="0" windowWidth="28800" windowHeight="13020"/>
  </bookViews>
  <sheets>
    <sheet name="Comparateur" sheetId="8" r:id="rId1"/>
    <sheet name="Brouillon" sheetId="6" state="hidden" r:id="rId2"/>
    <sheet name="Feuil2" sheetId="7" state="hidden" r:id="rId3"/>
    <sheet name="Feuil3" sheetId="11" state="hidden" r:id="rId4"/>
    <sheet name="Prix" sheetId="2" r:id="rId5"/>
    <sheet name="Interet" sheetId="3" r:id="rId6"/>
    <sheet name="FraisSCPI" sheetId="10" state="hidden" r:id="rId7"/>
    <sheet name="Info comparatif" sheetId="4" state="hidden" r:id="rId8"/>
    <sheet name="Feuil1" sheetId="5" state="hidden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8" i="3" l="1"/>
  <c r="Q4" i="11" l="1"/>
  <c r="Q5" i="11"/>
  <c r="Q6" i="11"/>
  <c r="Q7" i="11"/>
  <c r="Q8" i="11"/>
  <c r="Q9" i="11"/>
  <c r="Q10" i="11"/>
  <c r="Q11" i="11"/>
  <c r="Q12" i="11"/>
  <c r="Q13" i="11"/>
  <c r="Q14" i="11"/>
  <c r="Q15" i="11"/>
  <c r="Q16" i="11"/>
  <c r="Q17" i="11"/>
  <c r="Q18" i="11"/>
  <c r="Q19" i="11"/>
  <c r="Q20" i="11"/>
  <c r="Q21" i="11"/>
  <c r="Q22" i="11"/>
  <c r="Q23" i="11"/>
  <c r="Q24" i="11"/>
  <c r="Q25" i="11"/>
  <c r="Q26" i="11"/>
  <c r="Q27" i="11"/>
  <c r="Q28" i="11"/>
  <c r="Q29" i="11"/>
  <c r="Q30" i="11"/>
  <c r="Q31" i="11"/>
  <c r="Q32" i="11"/>
  <c r="Q33" i="11"/>
  <c r="Q34" i="11"/>
  <c r="Q35" i="11"/>
  <c r="Q36" i="11"/>
  <c r="Q37" i="11"/>
  <c r="Q38" i="11"/>
  <c r="Q39" i="11"/>
  <c r="Q40" i="11"/>
  <c r="Q41" i="11"/>
  <c r="Q42" i="11"/>
  <c r="Q3" i="11"/>
  <c r="P4" i="11"/>
  <c r="P5" i="11"/>
  <c r="P6" i="11"/>
  <c r="P7" i="11"/>
  <c r="P8" i="11"/>
  <c r="P9" i="11"/>
  <c r="P10" i="11"/>
  <c r="P11" i="11"/>
  <c r="P12" i="11"/>
  <c r="P13" i="11"/>
  <c r="P14" i="11"/>
  <c r="P15" i="11"/>
  <c r="P16" i="11"/>
  <c r="P17" i="11"/>
  <c r="P18" i="11"/>
  <c r="P19" i="11"/>
  <c r="P20" i="11"/>
  <c r="P21" i="11"/>
  <c r="P22" i="11"/>
  <c r="P23" i="11"/>
  <c r="P24" i="11"/>
  <c r="P25" i="11"/>
  <c r="P26" i="11"/>
  <c r="P27" i="11"/>
  <c r="P28" i="11"/>
  <c r="P29" i="11"/>
  <c r="P30" i="11"/>
  <c r="P31" i="11"/>
  <c r="P32" i="11"/>
  <c r="P33" i="11"/>
  <c r="P34" i="11"/>
  <c r="P35" i="11"/>
  <c r="P36" i="11"/>
  <c r="P37" i="11"/>
  <c r="P38" i="11"/>
  <c r="P39" i="11"/>
  <c r="P40" i="11"/>
  <c r="P41" i="11"/>
  <c r="P42" i="11"/>
  <c r="P3" i="11"/>
  <c r="O4" i="11"/>
  <c r="O5" i="11"/>
  <c r="O6" i="11"/>
  <c r="O7" i="11"/>
  <c r="O8" i="11"/>
  <c r="O9" i="11"/>
  <c r="O10" i="11"/>
  <c r="O11" i="11"/>
  <c r="O12" i="11"/>
  <c r="O13" i="11"/>
  <c r="O14" i="11"/>
  <c r="O15" i="11"/>
  <c r="O16" i="11"/>
  <c r="O17" i="11"/>
  <c r="O18" i="11"/>
  <c r="O19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O34" i="11"/>
  <c r="O35" i="11"/>
  <c r="O36" i="11"/>
  <c r="O37" i="11"/>
  <c r="O38" i="11"/>
  <c r="O39" i="11"/>
  <c r="O40" i="11"/>
  <c r="O41" i="11"/>
  <c r="O42" i="11"/>
  <c r="O3" i="11"/>
  <c r="N4" i="11"/>
  <c r="N5" i="11"/>
  <c r="N6" i="11"/>
  <c r="N7" i="11"/>
  <c r="N8" i="11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N36" i="11"/>
  <c r="N37" i="11"/>
  <c r="N38" i="11"/>
  <c r="N39" i="11"/>
  <c r="N40" i="11"/>
  <c r="N41" i="11"/>
  <c r="N42" i="11"/>
  <c r="N3" i="11"/>
  <c r="M4" i="11"/>
  <c r="M5" i="11"/>
  <c r="M6" i="11"/>
  <c r="M7" i="11"/>
  <c r="M8" i="11"/>
  <c r="M9" i="11"/>
  <c r="M10" i="11"/>
  <c r="M11" i="11"/>
  <c r="M12" i="11"/>
  <c r="M13" i="11"/>
  <c r="M14" i="11"/>
  <c r="M15" i="11"/>
  <c r="M16" i="11"/>
  <c r="M17" i="11"/>
  <c r="M18" i="11"/>
  <c r="M19" i="11"/>
  <c r="M20" i="11"/>
  <c r="M21" i="11"/>
  <c r="M22" i="11"/>
  <c r="M23" i="11"/>
  <c r="M24" i="11"/>
  <c r="M25" i="11"/>
  <c r="M26" i="11"/>
  <c r="M27" i="11"/>
  <c r="M28" i="11"/>
  <c r="M29" i="11"/>
  <c r="M30" i="11"/>
  <c r="M31" i="11"/>
  <c r="M32" i="11"/>
  <c r="M33" i="11"/>
  <c r="M34" i="11"/>
  <c r="M35" i="11"/>
  <c r="M36" i="11"/>
  <c r="M37" i="11"/>
  <c r="M38" i="11"/>
  <c r="M39" i="11"/>
  <c r="M40" i="11"/>
  <c r="M41" i="11"/>
  <c r="M42" i="11"/>
  <c r="M3" i="11"/>
  <c r="L4" i="11"/>
  <c r="L5" i="11"/>
  <c r="L6" i="11"/>
  <c r="L7" i="11"/>
  <c r="L8" i="11"/>
  <c r="L9" i="11"/>
  <c r="L10" i="11"/>
  <c r="L11" i="11"/>
  <c r="L12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3" i="11"/>
  <c r="K4" i="11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3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3" i="11"/>
  <c r="I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3" i="11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3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3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3" i="11"/>
  <c r="D41" i="11"/>
  <c r="D42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3" i="11"/>
  <c r="B42" i="7"/>
  <c r="M4" i="5" l="1"/>
  <c r="L4" i="5"/>
  <c r="K4" i="5"/>
  <c r="F3" i="5"/>
  <c r="G3" i="5"/>
  <c r="H3" i="5" s="1"/>
  <c r="I3" i="5" s="1"/>
  <c r="J3" i="5" s="1"/>
  <c r="K3" i="5" s="1"/>
  <c r="L3" i="5" s="1"/>
  <c r="M3" i="5" s="1"/>
  <c r="E3" i="5"/>
  <c r="D3" i="5"/>
  <c r="C3" i="5"/>
  <c r="B8" i="4" l="1"/>
  <c r="D16" i="4"/>
  <c r="K38" i="7"/>
  <c r="M22" i="7"/>
  <c r="A26" i="7"/>
  <c r="J24" i="7"/>
  <c r="C13" i="7"/>
  <c r="L20" i="7"/>
  <c r="E36" i="7"/>
  <c r="N20" i="7"/>
  <c r="A35" i="7"/>
  <c r="O35" i="7"/>
  <c r="F10" i="7"/>
  <c r="I36" i="7"/>
  <c r="P6" i="7"/>
  <c r="P19" i="7"/>
  <c r="N38" i="7"/>
  <c r="A20" i="11"/>
  <c r="F19" i="7"/>
  <c r="G24" i="7"/>
  <c r="O17" i="7"/>
  <c r="M5" i="7"/>
  <c r="J5" i="7"/>
  <c r="K18" i="7"/>
  <c r="K30" i="7"/>
  <c r="D27" i="7"/>
  <c r="E10" i="7"/>
  <c r="O27" i="7"/>
  <c r="M13" i="7"/>
  <c r="N15" i="7"/>
  <c r="J2" i="7"/>
  <c r="C9" i="7"/>
  <c r="M14" i="7"/>
  <c r="A23" i="11"/>
  <c r="E19" i="7"/>
  <c r="F2" i="7"/>
  <c r="H10" i="7"/>
  <c r="A8" i="11"/>
  <c r="J37" i="7"/>
  <c r="I6" i="7"/>
  <c r="L35" i="7"/>
  <c r="M31" i="7"/>
  <c r="J11" i="7"/>
  <c r="I31" i="7"/>
  <c r="M7" i="7"/>
  <c r="E9" i="7"/>
  <c r="F8" i="7"/>
  <c r="H27" i="7"/>
  <c r="L37" i="7"/>
  <c r="A19" i="11"/>
  <c r="H11" i="7"/>
  <c r="P23" i="7"/>
  <c r="D12" i="7"/>
  <c r="N24" i="7"/>
  <c r="O22" i="7"/>
  <c r="I7" i="7"/>
  <c r="A38" i="7"/>
  <c r="A24" i="11"/>
  <c r="L17" i="7"/>
  <c r="K37" i="7"/>
  <c r="F25" i="7"/>
  <c r="K29" i="7"/>
  <c r="M35" i="7"/>
  <c r="M25" i="7"/>
  <c r="C26" i="7"/>
  <c r="N34" i="7"/>
  <c r="I27" i="7"/>
  <c r="C28" i="7"/>
  <c r="J15" i="7"/>
  <c r="F31" i="7"/>
  <c r="D34" i="7"/>
  <c r="D18" i="7"/>
  <c r="F18" i="7"/>
  <c r="C39" i="7"/>
  <c r="D35" i="7"/>
  <c r="G32" i="7"/>
  <c r="K15" i="7"/>
  <c r="A27" i="11"/>
  <c r="K14" i="7"/>
  <c r="K20" i="7"/>
  <c r="N32" i="7"/>
  <c r="L24" i="7"/>
  <c r="A34" i="11"/>
  <c r="D38" i="7"/>
  <c r="A37" i="11"/>
  <c r="A37" i="7"/>
  <c r="J25" i="7"/>
  <c r="M24" i="7"/>
  <c r="C12" i="7"/>
  <c r="N8" i="7"/>
  <c r="C7" i="7"/>
  <c r="G9" i="7"/>
  <c r="O19" i="7"/>
  <c r="N31" i="7"/>
  <c r="O9" i="7"/>
  <c r="L5" i="7"/>
  <c r="E28" i="7"/>
  <c r="A25" i="7"/>
  <c r="O13" i="7"/>
  <c r="A32" i="7"/>
  <c r="E32" i="7"/>
  <c r="F15" i="7"/>
  <c r="A35" i="11"/>
  <c r="M12" i="7"/>
  <c r="D13" i="7"/>
  <c r="O24" i="7"/>
  <c r="D10" i="7"/>
  <c r="C30" i="7"/>
  <c r="F12" i="7"/>
  <c r="J36" i="7"/>
  <c r="K8" i="7"/>
  <c r="A38" i="11"/>
  <c r="H39" i="7"/>
  <c r="E39" i="7"/>
  <c r="G10" i="7"/>
  <c r="P2" i="7"/>
  <c r="N10" i="7"/>
  <c r="M10" i="7"/>
  <c r="D19" i="7"/>
  <c r="P10" i="7"/>
  <c r="J39" i="7"/>
  <c r="E37" i="7"/>
  <c r="K33" i="7"/>
  <c r="C22" i="7"/>
  <c r="L26" i="7"/>
  <c r="M32" i="7"/>
  <c r="K32" i="7"/>
  <c r="L33" i="7"/>
  <c r="C3" i="7"/>
  <c r="H26" i="7"/>
  <c r="M15" i="7"/>
  <c r="A16" i="11"/>
  <c r="O3" i="7"/>
  <c r="G23" i="7"/>
  <c r="F34" i="7"/>
  <c r="O32" i="7"/>
  <c r="F13" i="7"/>
  <c r="L31" i="7"/>
  <c r="F3" i="7"/>
  <c r="H7" i="7"/>
  <c r="K11" i="7"/>
  <c r="D31" i="7"/>
  <c r="A21" i="11"/>
  <c r="F22" i="7"/>
  <c r="E30" i="7"/>
  <c r="G16" i="7"/>
  <c r="L34" i="7"/>
  <c r="A14" i="7"/>
  <c r="I39" i="7"/>
  <c r="K23" i="7"/>
  <c r="O7" i="7"/>
  <c r="E12" i="7"/>
  <c r="M39" i="7"/>
  <c r="H18" i="7"/>
  <c r="P33" i="7"/>
  <c r="F27" i="7"/>
  <c r="G33" i="7"/>
  <c r="J27" i="7"/>
  <c r="N6" i="7"/>
  <c r="A9" i="11"/>
  <c r="N14" i="7"/>
  <c r="D26" i="7"/>
  <c r="O36" i="7"/>
  <c r="I16" i="7"/>
  <c r="M19" i="7"/>
  <c r="K35" i="7"/>
  <c r="H17" i="7"/>
  <c r="C37" i="7"/>
  <c r="A31" i="11"/>
  <c r="F29" i="7"/>
  <c r="O18" i="7"/>
  <c r="I38" i="7"/>
  <c r="P12" i="7"/>
  <c r="L21" i="7"/>
  <c r="D9" i="7"/>
  <c r="M33" i="7"/>
  <c r="H29" i="7"/>
  <c r="J21" i="7"/>
  <c r="J8" i="7"/>
  <c r="L27" i="7"/>
  <c r="P18" i="7"/>
  <c r="D37" i="7"/>
  <c r="A3" i="11"/>
  <c r="A14" i="11"/>
  <c r="I11" i="7"/>
  <c r="C2" i="7"/>
  <c r="K7" i="7"/>
  <c r="K13" i="7"/>
  <c r="P39" i="7"/>
  <c r="G5" i="7"/>
  <c r="A28" i="7"/>
  <c r="M21" i="7"/>
  <c r="A26" i="11"/>
  <c r="A39" i="7"/>
  <c r="L22" i="7"/>
  <c r="H9" i="7"/>
  <c r="I3" i="7"/>
  <c r="M30" i="7"/>
  <c r="K22" i="7"/>
  <c r="P5" i="7"/>
  <c r="P35" i="7"/>
  <c r="O21" i="7"/>
  <c r="O31" i="7"/>
  <c r="D14" i="7"/>
  <c r="J18" i="7"/>
  <c r="F23" i="7"/>
  <c r="J13" i="7"/>
  <c r="O6" i="7"/>
  <c r="K31" i="7"/>
  <c r="N12" i="7"/>
  <c r="G29" i="7"/>
  <c r="G34" i="7"/>
  <c r="E4" i="7"/>
  <c r="K3" i="7"/>
  <c r="H25" i="7"/>
  <c r="E18" i="7"/>
  <c r="N29" i="7"/>
  <c r="P25" i="7"/>
  <c r="F4" i="7"/>
  <c r="C8" i="7"/>
  <c r="I10" i="7"/>
  <c r="C16" i="7"/>
  <c r="C32" i="7"/>
  <c r="P36" i="7"/>
  <c r="A12" i="7"/>
  <c r="P37" i="7"/>
  <c r="A8" i="7"/>
  <c r="M28" i="7"/>
  <c r="L2" i="7"/>
  <c r="N26" i="7"/>
  <c r="D11" i="7"/>
  <c r="A36" i="11"/>
  <c r="A7" i="7"/>
  <c r="A3" i="7"/>
  <c r="C5" i="7"/>
  <c r="J38" i="7"/>
  <c r="D36" i="7"/>
  <c r="N27" i="7"/>
  <c r="I15" i="7"/>
  <c r="M9" i="7"/>
  <c r="A30" i="7"/>
  <c r="E22" i="7"/>
  <c r="D17" i="7"/>
  <c r="H19" i="7"/>
  <c r="P13" i="7"/>
  <c r="G38" i="7"/>
  <c r="F35" i="7"/>
  <c r="D8" i="7"/>
  <c r="P4" i="7"/>
  <c r="I26" i="7"/>
  <c r="L8" i="7"/>
  <c r="G13" i="7"/>
  <c r="I25" i="7"/>
  <c r="C24" i="7"/>
  <c r="M8" i="7"/>
  <c r="A17" i="7"/>
  <c r="G3" i="7"/>
  <c r="D30" i="7"/>
  <c r="A11" i="7"/>
  <c r="M34" i="7"/>
  <c r="L25" i="7"/>
  <c r="N33" i="7"/>
  <c r="D39" i="7"/>
  <c r="N17" i="7"/>
  <c r="A27" i="7"/>
  <c r="K26" i="7"/>
  <c r="H4" i="7"/>
  <c r="O16" i="7"/>
  <c r="K10" i="7"/>
  <c r="N37" i="7"/>
  <c r="F38" i="7"/>
  <c r="K17" i="7"/>
  <c r="F6" i="7"/>
  <c r="N11" i="7"/>
  <c r="N18" i="7"/>
  <c r="C10" i="7"/>
  <c r="M11" i="7"/>
  <c r="H12" i="7"/>
  <c r="O39" i="7"/>
  <c r="L18" i="7"/>
  <c r="L28" i="7"/>
  <c r="N30" i="7"/>
  <c r="P9" i="7"/>
  <c r="P7" i="7"/>
  <c r="A21" i="7"/>
  <c r="N25" i="7"/>
  <c r="F33" i="7"/>
  <c r="A40" i="11"/>
  <c r="F14" i="7"/>
  <c r="J17" i="7"/>
  <c r="E5" i="7"/>
  <c r="M26" i="7"/>
  <c r="K16" i="7"/>
  <c r="N19" i="7"/>
  <c r="J6" i="7"/>
  <c r="H24" i="7"/>
  <c r="D33" i="7"/>
  <c r="C4" i="7"/>
  <c r="P17" i="7"/>
  <c r="N7" i="7"/>
  <c r="M16" i="7"/>
  <c r="G27" i="7"/>
  <c r="G28" i="7"/>
  <c r="A18" i="11"/>
  <c r="A22" i="7"/>
  <c r="D5" i="7"/>
  <c r="C34" i="7"/>
  <c r="J26" i="7"/>
  <c r="I29" i="7"/>
  <c r="H15" i="7"/>
  <c r="M4" i="7"/>
  <c r="E34" i="7"/>
  <c r="L32" i="7"/>
  <c r="L30" i="7"/>
  <c r="D24" i="7"/>
  <c r="L23" i="7"/>
  <c r="J28" i="7"/>
  <c r="O5" i="7"/>
  <c r="F32" i="7"/>
  <c r="A4" i="7"/>
  <c r="I35" i="7"/>
  <c r="J10" i="7"/>
  <c r="G22" i="7"/>
  <c r="O37" i="7"/>
  <c r="O34" i="7"/>
  <c r="J23" i="7"/>
  <c r="E27" i="7"/>
  <c r="D29" i="7"/>
  <c r="K39" i="7"/>
  <c r="E11" i="7"/>
  <c r="F24" i="7"/>
  <c r="C35" i="7"/>
  <c r="K34" i="7"/>
  <c r="F30" i="7"/>
  <c r="N36" i="7"/>
  <c r="J14" i="7"/>
  <c r="O20" i="7"/>
  <c r="J3" i="7"/>
  <c r="O12" i="7"/>
  <c r="G6" i="7"/>
  <c r="F11" i="7"/>
  <c r="I20" i="7"/>
  <c r="I9" i="7"/>
  <c r="I14" i="7"/>
  <c r="C31" i="7"/>
  <c r="A5" i="11"/>
  <c r="G17" i="7"/>
  <c r="E24" i="7"/>
  <c r="O29" i="7"/>
  <c r="H38" i="7"/>
  <c r="J19" i="7"/>
  <c r="F39" i="7"/>
  <c r="N4" i="7"/>
  <c r="G18" i="7"/>
  <c r="C14" i="7"/>
  <c r="H20" i="7"/>
  <c r="F36" i="7"/>
  <c r="H3" i="7"/>
  <c r="L36" i="7"/>
  <c r="A10" i="7"/>
  <c r="C17" i="7"/>
  <c r="P28" i="7"/>
  <c r="H14" i="7"/>
  <c r="F9" i="7"/>
  <c r="F28" i="7"/>
  <c r="A30" i="11"/>
  <c r="A17" i="11"/>
  <c r="I4" i="7"/>
  <c r="A15" i="7"/>
  <c r="A22" i="11"/>
  <c r="P14" i="7"/>
  <c r="K9" i="7"/>
  <c r="H13" i="7"/>
  <c r="I24" i="7"/>
  <c r="E16" i="7"/>
  <c r="L14" i="7"/>
  <c r="C23" i="7"/>
  <c r="C25" i="7"/>
  <c r="G37" i="7"/>
  <c r="H32" i="7"/>
  <c r="J20" i="7"/>
  <c r="N35" i="7"/>
  <c r="M23" i="7"/>
  <c r="L19" i="7"/>
  <c r="H37" i="7"/>
  <c r="E25" i="7"/>
  <c r="D21" i="7"/>
  <c r="O33" i="7"/>
  <c r="H8" i="7"/>
  <c r="K27" i="7"/>
  <c r="H5" i="7"/>
  <c r="M17" i="7"/>
  <c r="O15" i="7"/>
  <c r="J33" i="7"/>
  <c r="A16" i="7"/>
  <c r="I2" i="7"/>
  <c r="D6" i="7"/>
  <c r="D7" i="7"/>
  <c r="F20" i="7"/>
  <c r="L13" i="7"/>
  <c r="L9" i="7"/>
  <c r="A24" i="7"/>
  <c r="J31" i="7"/>
  <c r="I30" i="7"/>
  <c r="E35" i="7"/>
  <c r="G4" i="7"/>
  <c r="E8" i="7"/>
  <c r="O25" i="7"/>
  <c r="P21" i="7"/>
  <c r="L7" i="7"/>
  <c r="A19" i="7"/>
  <c r="J32" i="7"/>
  <c r="C36" i="7"/>
  <c r="O14" i="7"/>
  <c r="M29" i="7"/>
  <c r="A32" i="11"/>
  <c r="E14" i="7"/>
  <c r="K28" i="7"/>
  <c r="C27" i="7"/>
  <c r="K36" i="7"/>
  <c r="A18" i="7"/>
  <c r="A34" i="7"/>
  <c r="D22" i="7"/>
  <c r="M6" i="7"/>
  <c r="M27" i="7"/>
  <c r="A28" i="11"/>
  <c r="A13" i="11"/>
  <c r="C29" i="7"/>
  <c r="O2" i="7"/>
  <c r="I18" i="7"/>
  <c r="J12" i="7"/>
  <c r="P11" i="7"/>
  <c r="D25" i="7"/>
  <c r="F7" i="7"/>
  <c r="J7" i="7"/>
  <c r="F16" i="7"/>
  <c r="D23" i="7"/>
  <c r="J4" i="7"/>
  <c r="H31" i="7"/>
  <c r="A20" i="7"/>
  <c r="O38" i="7"/>
  <c r="D16" i="7"/>
  <c r="A29" i="7"/>
  <c r="N23" i="7"/>
  <c r="E23" i="7"/>
  <c r="E33" i="7"/>
  <c r="P16" i="7"/>
  <c r="A6" i="7"/>
  <c r="C20" i="7"/>
  <c r="F21" i="7"/>
  <c r="E3" i="7"/>
  <c r="G19" i="7"/>
  <c r="H21" i="7"/>
  <c r="C21" i="7"/>
  <c r="D2" i="7"/>
  <c r="G36" i="7"/>
  <c r="L38" i="7"/>
  <c r="I8" i="7"/>
  <c r="D3" i="7"/>
  <c r="A12" i="11"/>
  <c r="I5" i="7"/>
  <c r="A4" i="11"/>
  <c r="P34" i="7"/>
  <c r="L11" i="7"/>
  <c r="G20" i="7"/>
  <c r="I12" i="7"/>
  <c r="P24" i="7"/>
  <c r="F26" i="7"/>
  <c r="L29" i="7"/>
  <c r="C33" i="7"/>
  <c r="P15" i="7"/>
  <c r="N16" i="7"/>
  <c r="K25" i="7"/>
  <c r="G8" i="7"/>
  <c r="E26" i="7"/>
  <c r="F37" i="7"/>
  <c r="E7" i="7"/>
  <c r="L39" i="7"/>
  <c r="N2" i="7"/>
  <c r="M2" i="7"/>
  <c r="E15" i="7"/>
  <c r="H30" i="7"/>
  <c r="C18" i="7"/>
  <c r="E21" i="7"/>
  <c r="C11" i="7"/>
  <c r="J22" i="7"/>
  <c r="O28" i="7"/>
  <c r="A13" i="7"/>
  <c r="A36" i="7"/>
  <c r="K19" i="7"/>
  <c r="I34" i="7"/>
  <c r="E29" i="7"/>
  <c r="D15" i="7"/>
  <c r="N9" i="7"/>
  <c r="A6" i="11"/>
  <c r="H34" i="7"/>
  <c r="E17" i="7"/>
  <c r="P30" i="7"/>
  <c r="K4" i="7"/>
  <c r="I28" i="7"/>
  <c r="A33" i="11"/>
  <c r="G35" i="7"/>
  <c r="M36" i="7"/>
  <c r="G25" i="7"/>
  <c r="G11" i="7"/>
  <c r="J34" i="7"/>
  <c r="C38" i="7"/>
  <c r="A7" i="11"/>
  <c r="N22" i="7"/>
  <c r="G12" i="7"/>
  <c r="N13" i="7"/>
  <c r="E13" i="7"/>
  <c r="K2" i="7"/>
  <c r="H33" i="7"/>
  <c r="H35" i="7"/>
  <c r="D4" i="7"/>
  <c r="G31" i="7"/>
  <c r="H16" i="7"/>
  <c r="H23" i="7"/>
  <c r="H2" i="7"/>
  <c r="L10" i="7"/>
  <c r="J29" i="7"/>
  <c r="I32" i="7"/>
  <c r="L15" i="7"/>
  <c r="E38" i="7"/>
  <c r="H6" i="7"/>
  <c r="C15" i="7"/>
  <c r="P38" i="7"/>
  <c r="I17" i="7"/>
  <c r="E31" i="7"/>
  <c r="H28" i="7"/>
  <c r="A10" i="11"/>
  <c r="J30" i="7"/>
  <c r="J35" i="7"/>
  <c r="N28" i="7"/>
  <c r="O8" i="7"/>
  <c r="O30" i="7"/>
  <c r="E2" i="7"/>
  <c r="F17" i="7"/>
  <c r="K24" i="7"/>
  <c r="L4" i="7"/>
  <c r="A31" i="7"/>
  <c r="O10" i="7"/>
  <c r="O26" i="7"/>
  <c r="P26" i="7"/>
  <c r="P20" i="7"/>
  <c r="M18" i="7"/>
  <c r="P22" i="7"/>
  <c r="I13" i="7"/>
  <c r="D20" i="7"/>
  <c r="P29" i="7"/>
  <c r="M3" i="7"/>
  <c r="A33" i="7"/>
  <c r="G2" i="7"/>
  <c r="N39" i="7"/>
  <c r="E6" i="7"/>
  <c r="G14" i="7"/>
  <c r="C19" i="7"/>
  <c r="O4" i="7"/>
  <c r="H22" i="7"/>
  <c r="G7" i="7"/>
  <c r="N3" i="7"/>
  <c r="F5" i="7"/>
  <c r="G15" i="7"/>
  <c r="K6" i="7"/>
  <c r="E20" i="7"/>
  <c r="K5" i="7"/>
  <c r="D28" i="7"/>
  <c r="I22" i="7"/>
  <c r="I37" i="7"/>
  <c r="J9" i="7"/>
  <c r="H36" i="7"/>
  <c r="M20" i="7"/>
  <c r="L3" i="7"/>
  <c r="G21" i="7"/>
  <c r="N21" i="7"/>
  <c r="C6" i="7"/>
  <c r="L16" i="7"/>
  <c r="K12" i="7"/>
  <c r="A39" i="11"/>
  <c r="J16" i="7"/>
  <c r="A15" i="11"/>
  <c r="G30" i="7"/>
  <c r="I23" i="7"/>
  <c r="G26" i="7"/>
  <c r="M37" i="7"/>
  <c r="I21" i="7"/>
  <c r="K21" i="7"/>
  <c r="L12" i="7"/>
  <c r="M38" i="7"/>
  <c r="O11" i="7"/>
  <c r="A11" i="11"/>
  <c r="A29" i="11"/>
  <c r="P27" i="7"/>
  <c r="I33" i="7"/>
  <c r="P3" i="7"/>
  <c r="N5" i="7"/>
  <c r="A2" i="7"/>
  <c r="I19" i="7"/>
  <c r="A9" i="7"/>
  <c r="A5" i="7"/>
  <c r="G39" i="7"/>
  <c r="A25" i="11"/>
  <c r="L6" i="7"/>
  <c r="O23" i="7"/>
  <c r="P31" i="7"/>
  <c r="D32" i="7"/>
  <c r="P32" i="7"/>
  <c r="P8" i="7"/>
  <c r="A23" i="7"/>
  <c r="G42" i="7" l="1"/>
  <c r="E42" i="7"/>
  <c r="H42" i="7"/>
  <c r="K42" i="7"/>
  <c r="M42" i="7"/>
  <c r="N42" i="7"/>
  <c r="D42" i="7"/>
  <c r="O42" i="7"/>
  <c r="I42" i="7"/>
  <c r="L42" i="7"/>
  <c r="C42" i="7"/>
  <c r="P42" i="7"/>
  <c r="F42" i="7"/>
  <c r="J42" i="7"/>
</calcChain>
</file>

<file path=xl/sharedStrings.xml><?xml version="1.0" encoding="utf-8"?>
<sst xmlns="http://schemas.openxmlformats.org/spreadsheetml/2006/main" count="294" uniqueCount="259">
  <si>
    <t>ACCES VALEUR PIERRE</t>
  </si>
  <si>
    <t>ACCIMMO-PIERRE</t>
  </si>
  <si>
    <t>ACTIPIERRE 1</t>
  </si>
  <si>
    <t>ACTIPIERRE 2</t>
  </si>
  <si>
    <t>ACTIPIERRE 3</t>
  </si>
  <si>
    <t>ACTIPIERRE EUROPE</t>
  </si>
  <si>
    <t>AFFINITES PIERRE</t>
  </si>
  <si>
    <t>ALLIANZ DOMIDURABLE</t>
  </si>
  <si>
    <t>ALLIANZ DOMIDURABLE 2</t>
  </si>
  <si>
    <t>ALLIANZ DOMIDURABLE 3</t>
  </si>
  <si>
    <t>ALLIANZ DOMIDURABLE 4</t>
  </si>
  <si>
    <t>ALLIANZ PIERRE</t>
  </si>
  <si>
    <t>ALTIXIA CADENCE XII</t>
  </si>
  <si>
    <t>AMUNDI DEFI FONCIER</t>
  </si>
  <si>
    <t>AMUNDI DEFI FONCIER 2</t>
  </si>
  <si>
    <t>AMUNDI SELECTION LOGEMENT</t>
  </si>
  <si>
    <t>ATLANTIQUE MUR REGIONS</t>
  </si>
  <si>
    <t>ATLANTIQUE PIERRE 1</t>
  </si>
  <si>
    <t>ATOUT PIERRE DIVERSIFICATION</t>
  </si>
  <si>
    <t>ATREAM HOTELS</t>
  </si>
  <si>
    <t>BP RESIDENCE PATRIMOINE 2</t>
  </si>
  <si>
    <t>BUROBOUTIC</t>
  </si>
  <si>
    <t>CAPIFORCE PIERRE</t>
  </si>
  <si>
    <t>CARAC PERSPECTIVES IMMO</t>
  </si>
  <si>
    <t>CIFOCOMA</t>
  </si>
  <si>
    <t>CIFOCOMA 2</t>
  </si>
  <si>
    <t>CILOGER HABITAT</t>
  </si>
  <si>
    <t>CILOGER HABITAT 2</t>
  </si>
  <si>
    <t>CILOGER HABITAT 3</t>
  </si>
  <si>
    <t>CILOGER HABITAT 4</t>
  </si>
  <si>
    <t>CILOGER HABITAT 5</t>
  </si>
  <si>
    <t>CM-CIC PIERRE INVESTISSEMENT</t>
  </si>
  <si>
    <t>CŒUR DE REGIONS</t>
  </si>
  <si>
    <t>COEUR DE VILLE</t>
  </si>
  <si>
    <t>CORUM ORIGIN</t>
  </si>
  <si>
    <t>CORUM PATRIMOINE RESIDENTIEL 1</t>
  </si>
  <si>
    <t>CORUM XL</t>
  </si>
  <si>
    <t>CREDIT MUTUEL PIERRE 1</t>
  </si>
  <si>
    <t>CRISTAL RENTE</t>
  </si>
  <si>
    <t>DOMIVALOR 3</t>
  </si>
  <si>
    <t>DOMIVALOR 4</t>
  </si>
  <si>
    <t>DROUOT ESTATEIMMOCENTRE</t>
  </si>
  <si>
    <t>EDISSIMMO</t>
  </si>
  <si>
    <t>EFIMMO 1</t>
  </si>
  <si>
    <t>ELYSEES PIERRE</t>
  </si>
  <si>
    <t>ELYSEES RESIDENCE 5</t>
  </si>
  <si>
    <t>EPARGNE FONCIERE</t>
  </si>
  <si>
    <t>EPARGNE HABITAT</t>
  </si>
  <si>
    <t>EPARGNE PIERRE</t>
  </si>
  <si>
    <t>EUROFONCIERE 2</t>
  </si>
  <si>
    <t>EUROPIMMO MARKET</t>
  </si>
  <si>
    <t>EUROVALYS</t>
  </si>
  <si>
    <t>FAIR INVEST</t>
  </si>
  <si>
    <t>FICOMMERCE</t>
  </si>
  <si>
    <t>FONCIA CAP'HEBERGIMMO</t>
  </si>
  <si>
    <t>FONCIA PIERRE RENDEMENT</t>
  </si>
  <si>
    <t>FONCIERE REMUSAT</t>
  </si>
  <si>
    <t>FRANCE INVESTIPIERRE</t>
  </si>
  <si>
    <t>FRUCTIPIERRE</t>
  </si>
  <si>
    <t>FRUCTIREGIONS EUROPE</t>
  </si>
  <si>
    <t>FRUCTIRESIDENCE</t>
  </si>
  <si>
    <t>FRUCTIRESIDENCE BBC</t>
  </si>
  <si>
    <t>GEMMEO COMMERCE</t>
  </si>
  <si>
    <t>GENEPIERRE</t>
  </si>
  <si>
    <t>GRAND PARIS PIERRE</t>
  </si>
  <si>
    <t>GRAND PARIS PIERRE CAPITALISATION</t>
  </si>
  <si>
    <t>IMMO EVOLUTIF</t>
  </si>
  <si>
    <t>IMMO PLACEMENT</t>
  </si>
  <si>
    <t>IMMORENTE</t>
  </si>
  <si>
    <t>IMMORENTE 2</t>
  </si>
  <si>
    <t>INTERPIERRE FRANCE</t>
  </si>
  <si>
    <t>KYANEOS PIERRE</t>
  </si>
  <si>
    <t>LA FRANÇAISE PIERRE</t>
  </si>
  <si>
    <t>LAFFITTE PIERRE</t>
  </si>
  <si>
    <t>LE PATRIMOINE FONCIER</t>
  </si>
  <si>
    <t>LF EUROPIMMO</t>
  </si>
  <si>
    <t>LF OPPORTUNITE IMMO</t>
  </si>
  <si>
    <t>LFP RENOVIMMO</t>
  </si>
  <si>
    <t>LOGIPIERRE 1</t>
  </si>
  <si>
    <t>LOGIPIERRE 3</t>
  </si>
  <si>
    <t>MULTIHABITATION</t>
  </si>
  <si>
    <t>MULTIHABITATION 10</t>
  </si>
  <si>
    <t>MULTIHABITATION 2</t>
  </si>
  <si>
    <t>MULTIHABITATION 3</t>
  </si>
  <si>
    <t>MULTIHABITATION 4</t>
  </si>
  <si>
    <t>MULTIHABITATION 5</t>
  </si>
  <si>
    <t>MULTIHABITATION 6</t>
  </si>
  <si>
    <t>MULTIHABITATION 7</t>
  </si>
  <si>
    <t>MULTIHABITATION 8</t>
  </si>
  <si>
    <t>MULTIHABITATION 9</t>
  </si>
  <si>
    <t>MULTIMMOBILIER 2</t>
  </si>
  <si>
    <t>MY SHARE SCPI</t>
  </si>
  <si>
    <t>NORD EST HORIZON</t>
  </si>
  <si>
    <t>NOTAPIERRE</t>
  </si>
  <si>
    <t>NOVAPIERRE 1</t>
  </si>
  <si>
    <t>NOVAPIERRE ALLEMAGNE</t>
  </si>
  <si>
    <t>OPPORTUNITE HABITAT</t>
  </si>
  <si>
    <t>OPUS REAL</t>
  </si>
  <si>
    <t>OUEST CAP ATLANTIQUE</t>
  </si>
  <si>
    <t>OUSTAL DES AVEYRONNAIS</t>
  </si>
  <si>
    <t>PATRIMMO COMMERCE</t>
  </si>
  <si>
    <t>PATRIMMO CROISSANCE</t>
  </si>
  <si>
    <t>PATRIMMO HABITATION 1</t>
  </si>
  <si>
    <t>PATRIMOINE PIERRE</t>
  </si>
  <si>
    <t>PF GRAND PARIS</t>
  </si>
  <si>
    <t>PFO (PARTICIPATION FONCIERE OPPORTUNITE)</t>
  </si>
  <si>
    <t>PFO 2</t>
  </si>
  <si>
    <t>PIERRE ALTITUDE</t>
  </si>
  <si>
    <t>PIERRE AVENIR</t>
  </si>
  <si>
    <t>PIERRE AVENIR 2</t>
  </si>
  <si>
    <t>PIERRE AVENIR 3</t>
  </si>
  <si>
    <t>PIERRE CAPITALE</t>
  </si>
  <si>
    <t>PIERRE CAPITALISATION</t>
  </si>
  <si>
    <t>PIERRE EXPANSION</t>
  </si>
  <si>
    <t>PIERRE INVESTISSEMENT 3</t>
  </si>
  <si>
    <t>PIERRE INVESTISSEMENT 4</t>
  </si>
  <si>
    <t>PIERRE INVESTISSEMENT 5</t>
  </si>
  <si>
    <t>PIERRE INVESTISSEMENT 6</t>
  </si>
  <si>
    <t>PIERRE INVESTISSEMENT 7</t>
  </si>
  <si>
    <t>PIERRE INVESTISSEMENT 8</t>
  </si>
  <si>
    <t>PIERRE INVESTISSEMENT 9</t>
  </si>
  <si>
    <t>PIERRE PLUS</t>
  </si>
  <si>
    <t>PIERRE PRIVILEGE</t>
  </si>
  <si>
    <t>PIERRE SELECTION</t>
  </si>
  <si>
    <t>PIERREVENUS</t>
  </si>
  <si>
    <t>PIERVAL</t>
  </si>
  <si>
    <t>PIERVAL SANTE</t>
  </si>
  <si>
    <t>PLACEMENT CILOGER 3</t>
  </si>
  <si>
    <t>PLACEMENT PIERRE</t>
  </si>
  <si>
    <t>PREMELY HABITAT</t>
  </si>
  <si>
    <t>PREMELY HABITAT 2</t>
  </si>
  <si>
    <t>PREMELY HABITAT 3 BBC</t>
  </si>
  <si>
    <t>PRIMO 1</t>
  </si>
  <si>
    <t>PRIMOFAMILY</t>
  </si>
  <si>
    <t>PRIMOPIERRE</t>
  </si>
  <si>
    <t>PRIMOVIE</t>
  </si>
  <si>
    <t>RENOGREEN</t>
  </si>
  <si>
    <t>RENOVALOR 1</t>
  </si>
  <si>
    <t>RENOVALOR 2</t>
  </si>
  <si>
    <t>RENOVALYS</t>
  </si>
  <si>
    <t>RENOVALYS 2</t>
  </si>
  <si>
    <t>RENOVALYS 3</t>
  </si>
  <si>
    <t>RENOVALYS 4</t>
  </si>
  <si>
    <t>RENOVALYS 5</t>
  </si>
  <si>
    <t>RENOVALYS 6</t>
  </si>
  <si>
    <t>RENOVALYS PATRIMOINE</t>
  </si>
  <si>
    <t>REXIMMO PATRIMOINE</t>
  </si>
  <si>
    <t>REXIMMO PATRIMOINE 2</t>
  </si>
  <si>
    <t>REXIMMO PATRIMOINE 3</t>
  </si>
  <si>
    <t>REXIMMO PATRIMOINE 4</t>
  </si>
  <si>
    <t>RHONE ALPES MEDITERRANEE</t>
  </si>
  <si>
    <t>RIVOLI AVENIR PATRIMOINE</t>
  </si>
  <si>
    <t>SELECTINVEST 1</t>
  </si>
  <si>
    <t>SELECTIPIERRE 2</t>
  </si>
  <si>
    <t>SOFIPIERRE</t>
  </si>
  <si>
    <t>SOFIPRIME</t>
  </si>
  <si>
    <t>SOPRORENTE</t>
  </si>
  <si>
    <t>UFG PIERRE ET VACANCES CONSEIL IMMOBILIER MOSELLE</t>
  </si>
  <si>
    <t>UFIFRANCE IMMOBILIER</t>
  </si>
  <si>
    <t>UNIDELTA</t>
  </si>
  <si>
    <t>URBAN CŒUR COMMERCE</t>
  </si>
  <si>
    <t>URBAN PATRIMOINE</t>
  </si>
  <si>
    <t>URBAN PATRIMOINE 2</t>
  </si>
  <si>
    <t>URBAN PIERRE</t>
  </si>
  <si>
    <t>URBAN PIERRE 2</t>
  </si>
  <si>
    <t>URBAN PIERRE 3</t>
  </si>
  <si>
    <t>URBAN PIERRE 4</t>
  </si>
  <si>
    <t>URBAN PRESTIGIMMO</t>
  </si>
  <si>
    <t>URBAN PRESTIGIMMO 2</t>
  </si>
  <si>
    <t>URBAN PRESTIGIMMO 3</t>
  </si>
  <si>
    <t>URBAN VITALIM</t>
  </si>
  <si>
    <t>URBAN VITALIM 2</t>
  </si>
  <si>
    <t>VENDOME REGIONS</t>
  </si>
  <si>
    <t>Evolution rémunération livret A pendant l'année</t>
  </si>
  <si>
    <t>Année de référence (fin d'année)</t>
  </si>
  <si>
    <t>Taux d'inflation</t>
  </si>
  <si>
    <t>Nom de la SCPI</t>
  </si>
  <si>
    <t>Nombre de parts</t>
  </si>
  <si>
    <t>Montant investi</t>
  </si>
  <si>
    <t>variation cac 40</t>
  </si>
  <si>
    <t>Nom de la donnée</t>
  </si>
  <si>
    <t>Prix de la part</t>
  </si>
  <si>
    <t>Nombre de part</t>
  </si>
  <si>
    <t>% comparé</t>
  </si>
  <si>
    <t>Montant total données comparé</t>
  </si>
  <si>
    <t>Dividende</t>
  </si>
  <si>
    <t>Montant total dividende</t>
  </si>
  <si>
    <t>Date de départ</t>
  </si>
  <si>
    <t>Date de fin</t>
  </si>
  <si>
    <t>Prix de la part départ</t>
  </si>
  <si>
    <t>Total dividende</t>
  </si>
  <si>
    <t>Montant total</t>
  </si>
  <si>
    <t>Date de début</t>
  </si>
  <si>
    <t>Dividendes</t>
  </si>
  <si>
    <t>id_fonds</t>
  </si>
  <si>
    <t>nom_fonds</t>
  </si>
  <si>
    <t>&lt;&gt;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</si>
  <si>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</si>
  <si>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</si>
  <si>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</si>
  <si>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</si>
  <si>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</si>
  <si>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</si>
  <si>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</si>
  <si>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</si>
  <si>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</si>
  <si>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</si>
  <si>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</si>
  <si>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FONCIERE DES PRATICIENS</t>
  </si>
  <si>
    <t>NOVAPIERRE RESIDENTIEL</t>
  </si>
  <si>
    <t>UNION CIVILE EPARGNE IMMOB FRANCE 2</t>
  </si>
  <si>
    <t>CAP FONCIERES &amp; TERRITOIRES</t>
  </si>
  <si>
    <t>LF GRAND PARIS PATRIMOINE</t>
  </si>
  <si>
    <t>Reliquat</t>
  </si>
  <si>
    <t>Capital</t>
  </si>
  <si>
    <t>Total investissement hors rompu</t>
  </si>
  <si>
    <t>Total dividende cumulé</t>
  </si>
  <si>
    <t>Total investissement I</t>
  </si>
  <si>
    <t>Action</t>
  </si>
  <si>
    <t>Dividende 2018</t>
  </si>
  <si>
    <t>Dividende 2017</t>
  </si>
  <si>
    <t>Dividende 2016</t>
  </si>
  <si>
    <t>Dividende 2015</t>
  </si>
  <si>
    <t>Dividende 2014</t>
  </si>
  <si>
    <t>Dividende 2013</t>
  </si>
  <si>
    <t>Dividende 2012</t>
  </si>
  <si>
    <t>Dividende 2011</t>
  </si>
  <si>
    <t>Dividende 2010</t>
  </si>
  <si>
    <t>Dividende 2009</t>
  </si>
  <si>
    <t>Dividende 2008</t>
  </si>
  <si>
    <t>Dividende 2007</t>
  </si>
  <si>
    <t>Dividende 2006</t>
  </si>
  <si>
    <t>Dividende 2005</t>
  </si>
  <si>
    <t>Thales</t>
  </si>
  <si>
    <t>Hermes</t>
  </si>
  <si>
    <t>TOTAL</t>
  </si>
  <si>
    <t>31/12/2009</t>
  </si>
  <si>
    <t xml:space="preserve"> </t>
  </si>
  <si>
    <t>non</t>
  </si>
  <si>
    <t>LIVRET A</t>
  </si>
  <si>
    <t>LIVRET B</t>
  </si>
  <si>
    <t>LIVRET C</t>
  </si>
  <si>
    <t>LIVRET D</t>
  </si>
  <si>
    <t>LIVRET E</t>
  </si>
  <si>
    <t>LIVRET F</t>
  </si>
  <si>
    <t>LIVRET G</t>
  </si>
  <si>
    <t>LIVRET H</t>
  </si>
  <si>
    <t>LIVRET I</t>
  </si>
  <si>
    <t>LIVRET J</t>
  </si>
  <si>
    <t>LIVRET K</t>
  </si>
  <si>
    <t>LIVRET L</t>
  </si>
  <si>
    <t>LIVRET M</t>
  </si>
  <si>
    <t>LIVRET N</t>
  </si>
  <si>
    <t>LIVRET O</t>
  </si>
  <si>
    <t>LIVRET P</t>
  </si>
  <si>
    <t>LIVRET Q</t>
  </si>
  <si>
    <t xml:space="preserve">Nom  </t>
  </si>
  <si>
    <t>31/12/2017</t>
  </si>
  <si>
    <t>223,1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</si>
</sst>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\ \€"/>
    <numFmt numFmtId="165" formatCode="#,##0.00\ [$€-1]"/>
    <numFmt numFmtId="166" formatCode="_-* #,##0.00\ [$€-40C]_-;\-* #,##0.00\ [$€-40C]_-;_-* &quot;-&quot;??\ [$€-40C]_-;_-@_-"/>
    <numFmt numFmtId="167" formatCode="_-* #,##0\ &quot;€&quot;_-;\-* #,##0\ &quot;€&quot;_-;_-* &quot;-&quot;??\ &quot;€&quot;_-;_-@_-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70C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sz val="11"/>
      <color rgb="FF000000"/>
      <name val="Inconsolata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7" fillId="0" borderId="0"/>
    <xf numFmtId="44" fontId="2" fillId="0" borderId="0" applyFont="0" applyFill="0" applyBorder="0" applyAlignment="0" applyProtection="0"/>
  </cellStyleXfs>
  <cellXfs count="78">
    <xf numFmtId="0" fontId="0" fillId="0" borderId="0" xfId="0"/>
    <xf numFmtId="0" fontId="1" fillId="2" borderId="0" xfId="0" applyFont="1" applyFill="1" applyBorder="1"/>
    <xf numFmtId="14" fontId="1" fillId="2" borderId="0" xfId="0" applyNumberFormat="1" applyFont="1" applyFill="1" applyBorder="1" applyAlignment="1">
      <alignment horizontal="center"/>
    </xf>
    <xf numFmtId="14" fontId="1" fillId="2" borderId="0" xfId="0" applyNumberFormat="1" applyFont="1" applyFill="1" applyBorder="1"/>
    <xf numFmtId="14" fontId="0" fillId="0" borderId="0" xfId="0" applyNumberFormat="1"/>
    <xf numFmtId="10" fontId="0" fillId="0" borderId="0" xfId="1" applyNumberFormat="1" applyFont="1"/>
    <xf numFmtId="0" fontId="0" fillId="4" borderId="2" xfId="0" applyFill="1" applyBorder="1"/>
    <xf numFmtId="0" fontId="0" fillId="4" borderId="5" xfId="0" applyFill="1" applyBorder="1"/>
    <xf numFmtId="0" fontId="0" fillId="4" borderId="10" xfId="0" applyFill="1" applyBorder="1"/>
    <xf numFmtId="0" fontId="0" fillId="4" borderId="12" xfId="0" applyFill="1" applyBorder="1"/>
    <xf numFmtId="0" fontId="0" fillId="3" borderId="0" xfId="0" applyFill="1" applyBorder="1"/>
    <xf numFmtId="0" fontId="3" fillId="0" borderId="13" xfId="0" applyFont="1" applyBorder="1"/>
    <xf numFmtId="0" fontId="3" fillId="0" borderId="11" xfId="0" applyFont="1" applyBorder="1"/>
    <xf numFmtId="0" fontId="3" fillId="0" borderId="2" xfId="0" applyFont="1" applyBorder="1"/>
    <xf numFmtId="0" fontId="3" fillId="0" borderId="4" xfId="0" applyFont="1" applyBorder="1"/>
    <xf numFmtId="0" fontId="3" fillId="0" borderId="1" xfId="0" applyFont="1" applyBorder="1"/>
    <xf numFmtId="0" fontId="3" fillId="0" borderId="15" xfId="0" applyFont="1" applyBorder="1"/>
    <xf numFmtId="0" fontId="0" fillId="4" borderId="16" xfId="0" applyFill="1" applyBorder="1"/>
    <xf numFmtId="0" fontId="3" fillId="0" borderId="17" xfId="0" applyFont="1" applyBorder="1"/>
    <xf numFmtId="0" fontId="0" fillId="4" borderId="18" xfId="0" applyFill="1" applyBorder="1"/>
    <xf numFmtId="0" fontId="3" fillId="0" borderId="18" xfId="0" applyFont="1" applyBorder="1"/>
    <xf numFmtId="0" fontId="0" fillId="4" borderId="19" xfId="0" applyFill="1" applyBorder="1"/>
    <xf numFmtId="0" fontId="0" fillId="4" borderId="3" xfId="0" applyFill="1" applyBorder="1" applyAlignment="1">
      <alignment wrapText="1"/>
    </xf>
    <xf numFmtId="10" fontId="0" fillId="4" borderId="14" xfId="0" applyNumberFormat="1" applyFill="1" applyBorder="1"/>
    <xf numFmtId="0" fontId="0" fillId="4" borderId="11" xfId="0" applyFill="1" applyBorder="1"/>
    <xf numFmtId="0" fontId="0" fillId="0" borderId="5" xfId="0" applyBorder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5" fillId="0" borderId="1" xfId="0" applyFont="1" applyBorder="1"/>
    <xf numFmtId="0" fontId="5" fillId="0" borderId="4" xfId="0" applyFont="1" applyBorder="1"/>
    <xf numFmtId="0" fontId="5" fillId="0" borderId="7" xfId="0" applyFont="1" applyBorder="1"/>
    <xf numFmtId="0" fontId="5" fillId="0" borderId="2" xfId="0" applyFont="1" applyBorder="1"/>
    <xf numFmtId="0" fontId="5" fillId="0" borderId="5" xfId="0" applyFont="1" applyBorder="1"/>
    <xf numFmtId="0" fontId="5" fillId="0" borderId="8" xfId="0" applyFont="1" applyBorder="1"/>
    <xf numFmtId="0" fontId="0" fillId="0" borderId="0" xfId="0" applyNumberFormat="1"/>
    <xf numFmtId="0" fontId="0" fillId="0" borderId="0" xfId="0" applyAlignment="1">
      <alignment wrapText="1"/>
    </xf>
    <xf numFmtId="0" fontId="0" fillId="0" borderId="0" xfId="1" applyNumberFormat="1" applyFont="1"/>
    <xf numFmtId="0" fontId="6" fillId="6" borderId="20" xfId="2" applyFont="1" applyFill="1" applyBorder="1" applyAlignment="1">
      <alignment horizontal="center"/>
    </xf>
    <xf numFmtId="0" fontId="6" fillId="0" borderId="21" xfId="2" applyFont="1" applyFill="1" applyBorder="1" applyAlignment="1">
      <alignment horizontal="right" wrapText="1"/>
    </xf>
    <xf numFmtId="0" fontId="6" fillId="0" borderId="21" xfId="2" applyFont="1" applyFill="1" applyBorder="1" applyAlignment="1">
      <alignment wrapText="1"/>
    </xf>
    <xf numFmtId="10" fontId="6" fillId="6" borderId="20" xfId="1" applyNumberFormat="1" applyFont="1" applyFill="1" applyBorder="1" applyAlignment="1">
      <alignment horizontal="center"/>
    </xf>
    <xf numFmtId="10" fontId="7" fillId="0" borderId="0" xfId="1" applyNumberFormat="1" applyFont="1"/>
    <xf numFmtId="10" fontId="6" fillId="0" borderId="21" xfId="1" applyNumberFormat="1" applyFont="1" applyFill="1" applyBorder="1" applyAlignment="1">
      <alignment horizontal="right" wrapText="1"/>
    </xf>
    <xf numFmtId="0" fontId="0" fillId="4" borderId="3" xfId="0" applyFill="1" applyBorder="1" applyAlignment="1">
      <alignment horizontal="right" wrapText="1"/>
    </xf>
    <xf numFmtId="0" fontId="0" fillId="4" borderId="6" xfId="0" applyFill="1" applyBorder="1" applyAlignment="1">
      <alignment horizontal="right" wrapText="1"/>
    </xf>
    <xf numFmtId="164" fontId="0" fillId="4" borderId="6" xfId="0" applyNumberFormat="1" applyFill="1" applyBorder="1" applyAlignment="1">
      <alignment horizontal="right" wrapText="1"/>
    </xf>
    <xf numFmtId="3" fontId="0" fillId="4" borderId="6" xfId="0" applyNumberFormat="1" applyFill="1" applyBorder="1" applyAlignment="1">
      <alignment horizontal="right" wrapText="1"/>
    </xf>
    <xf numFmtId="0" fontId="0" fillId="7" borderId="5" xfId="0" applyFill="1" applyBorder="1" applyAlignment="1">
      <alignment wrapText="1"/>
    </xf>
    <xf numFmtId="0" fontId="0" fillId="7" borderId="11" xfId="0" applyFill="1" applyBorder="1" applyAlignment="1">
      <alignment wrapText="1"/>
    </xf>
    <xf numFmtId="164" fontId="0" fillId="8" borderId="19" xfId="0" applyNumberFormat="1" applyFill="1" applyBorder="1" applyAlignment="1">
      <alignment horizontal="right" wrapText="1"/>
    </xf>
    <xf numFmtId="0" fontId="0" fillId="7" borderId="13" xfId="0" applyFill="1" applyBorder="1" applyAlignment="1">
      <alignment wrapText="1"/>
    </xf>
    <xf numFmtId="0" fontId="0" fillId="0" borderId="0" xfId="0" applyFont="1" applyAlignment="1"/>
    <xf numFmtId="0" fontId="9" fillId="0" borderId="5" xfId="0" applyFont="1" applyFill="1" applyBorder="1" applyAlignment="1">
      <alignment horizontal="center" vertical="top" wrapText="1"/>
    </xf>
    <xf numFmtId="165" fontId="9" fillId="0" borderId="5" xfId="0" applyNumberFormat="1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left" vertical="top" wrapText="1"/>
    </xf>
    <xf numFmtId="10" fontId="9" fillId="0" borderId="5" xfId="0" applyNumberFormat="1" applyFont="1" applyFill="1" applyBorder="1" applyAlignment="1">
      <alignment horizontal="center"/>
    </xf>
    <xf numFmtId="165" fontId="8" fillId="0" borderId="5" xfId="0" applyNumberFormat="1" applyFont="1" applyFill="1" applyBorder="1" applyAlignment="1">
      <alignment horizontal="center"/>
    </xf>
    <xf numFmtId="0" fontId="10" fillId="0" borderId="0" xfId="0" applyFont="1" applyAlignment="1"/>
    <xf numFmtId="9" fontId="8" fillId="0" borderId="0" xfId="0" applyNumberFormat="1" applyFont="1"/>
    <xf numFmtId="2" fontId="8" fillId="0" borderId="0" xfId="0" applyNumberFormat="1" applyFont="1"/>
    <xf numFmtId="0" fontId="11" fillId="9" borderId="0" xfId="0" applyFont="1" applyFill="1"/>
    <xf numFmtId="165" fontId="0" fillId="0" borderId="0" xfId="0" applyNumberFormat="1" applyFont="1" applyAlignment="1"/>
    <xf numFmtId="166" fontId="0" fillId="0" borderId="0" xfId="0" applyNumberFormat="1"/>
    <xf numFmtId="164" fontId="0" fillId="7" borderId="12" xfId="0" applyNumberFormat="1" applyFill="1" applyBorder="1" applyAlignment="1">
      <alignment horizontal="right" wrapText="1"/>
    </xf>
    <xf numFmtId="0" fontId="0" fillId="0" borderId="0" xfId="0" quotePrefix="1"/>
    <xf numFmtId="0" fontId="1" fillId="0" borderId="0" xfId="0" applyFont="1"/>
    <xf numFmtId="167" fontId="0" fillId="5" borderId="19" xfId="3" applyNumberFormat="1" applyFont="1" applyFill="1" applyBorder="1" applyAlignment="1">
      <alignment wrapText="1"/>
    </xf>
    <xf numFmtId="0" fontId="0" fillId="0" borderId="0" xfId="0" applyFill="1" applyBorder="1"/>
    <xf numFmtId="0" fontId="0" fillId="10" borderId="1" xfId="0" applyFont="1" applyFill="1" applyBorder="1"/>
    <xf numFmtId="0" fontId="0" fillId="10" borderId="4" xfId="0" applyFont="1" applyFill="1" applyBorder="1"/>
    <xf numFmtId="0" fontId="0" fillId="10" borderId="15" xfId="0" applyFont="1" applyFill="1" applyBorder="1"/>
    <xf numFmtId="0" fontId="0" fillId="10" borderId="5" xfId="0" applyFont="1" applyFill="1" applyBorder="1" applyAlignment="1">
      <alignment wrapText="1"/>
    </xf>
    <xf numFmtId="0" fontId="0" fillId="10" borderId="11" xfId="0" applyFont="1" applyFill="1" applyBorder="1" applyAlignment="1">
      <alignment wrapText="1"/>
    </xf>
    <xf numFmtId="0" fontId="1" fillId="10" borderId="17" xfId="0" applyFont="1" applyFill="1" applyBorder="1" applyAlignment="1">
      <alignment wrapText="1"/>
    </xf>
    <xf numFmtId="0" fontId="0" fillId="10" borderId="13" xfId="0" applyFont="1" applyFill="1" applyBorder="1" applyAlignment="1">
      <alignment wrapText="1"/>
    </xf>
  </cellXfs>
  <cellStyles count="4">
    <cellStyle name="Monétaire" xfId="3" builtinId="4"/>
    <cellStyle name="Normal" xfId="0" builtinId="0"/>
    <cellStyle name="Normal_FraisSCPI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1066800</xdr:colOff>
      <xdr:row>15</xdr:row>
      <xdr:rowOff>95250</xdr:rowOff>
    </xdr:from>
    <xdr:to>
      <xdr:col>2</xdr:col>
      <xdr:colOff>600075</xdr:colOff>
      <xdr:row>18</xdr:row>
      <xdr:rowOff>152400</xdr:rowOff>
    </xdr:to>
    <xdr:sp macro="[0]!OuvreFormulaire" textlink="">
      <xdr:nvSpPr>
        <xdr:cNvPr id="3" name="Rectangle 2"/>
        <xdr:cNvSpPr/>
      </xdr:nvSpPr>
      <xdr:spPr>
        <a:xfrm>
          <a:off x="3362325" y="3000375"/>
          <a:ext cx="1085850" cy="628650"/>
        </a:xfrm>
        <a:prstGeom prst="rect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1438275</xdr:colOff>
          <xdr:row>10</xdr:row>
          <xdr:rowOff>9525</xdr:rowOff>
        </xdr:from>
        <xdr:to>
          <xdr:col>2</xdr:col>
          <xdr:colOff>333375</xdr:colOff>
          <xdr:row>12</xdr:row>
          <xdr:rowOff>114300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6</xdr:row>
          <xdr:rowOff>9525</xdr:rowOff>
        </xdr:from>
        <xdr:to>
          <xdr:col>4</xdr:col>
          <xdr:colOff>714375</xdr:colOff>
          <xdr:row>7</xdr:row>
          <xdr:rowOff>57150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32"/>
  <sheetViews>
    <sheetView tabSelected="1" workbookViewId="0">
      <selection activeCell="B5" sqref="B5"/>
    </sheetView>
  </sheetViews>
  <sheetFormatPr baseColWidth="10" defaultRowHeight="15"/>
  <cols>
    <col min="1" max="1" width="34.42578125" customWidth="1"/>
    <col min="2" max="2" width="23.28515625" customWidth="1"/>
    <col min="4" max="4" width="20.85546875" customWidth="1"/>
    <col min="5" max="5" width="20" customWidth="1"/>
    <col min="6" max="6" width="22.85546875" customWidth="1"/>
  </cols>
  <sheetData>
    <row r="1" spans="1:4" ht="15.75" thickBot="1"/>
    <row r="2" spans="1:4">
      <c r="A2" s="71" t="s">
        <v>256</v>
      </c>
      <c r="B2" s="46" t="s">
        <v>239</v>
      </c>
      <c r="D2" s="70"/>
    </row>
    <row r="3" spans="1:4">
      <c r="A3" s="72" t="s">
        <v>192</v>
      </c>
      <c r="B3" s="47" t="s">
        <v>236</v>
      </c>
      <c r="D3" s="70"/>
    </row>
    <row r="4" spans="1:4">
      <c r="A4" s="72" t="s">
        <v>188</v>
      </c>
      <c r="B4" s="47" t="s">
        <v>257</v>
      </c>
      <c r="D4" s="70"/>
    </row>
    <row r="5" spans="1:4">
      <c r="A5" s="72" t="s">
        <v>178</v>
      </c>
      <c r="B5" s="48">
        <v>15000</v>
      </c>
      <c r="D5" s="70"/>
    </row>
    <row r="6" spans="1:4">
      <c r="A6" s="72" t="s">
        <v>181</v>
      </c>
      <c r="B6" s="48">
        <v>495</v>
      </c>
      <c r="D6" s="70"/>
    </row>
    <row r="7" spans="1:4">
      <c r="A7" s="72" t="s">
        <v>177</v>
      </c>
      <c r="B7" s="49">
        <v>30</v>
      </c>
      <c r="D7" s="70"/>
    </row>
    <row r="8" spans="1:4">
      <c r="A8" s="73" t="s">
        <v>193</v>
      </c>
      <c r="B8" s="66" t="s">
        <v>258</v>
      </c>
      <c r="D8" s="70"/>
    </row>
    <row r="9" spans="1:4">
      <c r="A9" s="74" t="s">
        <v>213</v>
      </c>
      <c r="B9" s="50">
        <v>150</v>
      </c>
      <c r="D9" s="70"/>
    </row>
    <row r="10" spans="1:4" ht="15.75" thickBot="1">
      <c r="A10" s="75" t="s">
        <v>214</v>
      </c>
      <c r="B10" s="51"/>
    </row>
    <row r="11" spans="1:4" ht="15.75" thickBot="1">
      <c r="A11" s="76" t="s">
        <v>217</v>
      </c>
      <c r="B11" s="52">
        <v>21693</v>
      </c>
    </row>
    <row r="12" spans="1:4" ht="15.75" thickBot="1">
      <c r="A12" s="77" t="s">
        <v>216</v>
      </c>
      <c r="B12" s="53">
        <v>6693</v>
      </c>
    </row>
    <row r="13" spans="1:4" ht="15.75" thickBot="1">
      <c r="A13" s="76" t="s">
        <v>215</v>
      </c>
      <c r="B13" s="69">
        <v>21543</v>
      </c>
    </row>
    <row r="16" spans="1:4">
      <c r="C16" t="s">
        <v>237</v>
      </c>
    </row>
    <row r="24" spans="1:1">
      <c r="A24" s="68"/>
    </row>
    <row r="30" spans="1:1">
      <c r="A30" s="67"/>
    </row>
    <row r="31" spans="1:1">
      <c r="A31" s="67"/>
    </row>
    <row r="32" spans="1:1">
      <c r="A32" s="6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L8"/>
  <sheetViews>
    <sheetView workbookViewId="0">
      <selection activeCell="C20" sqref="C20"/>
    </sheetView>
  </sheetViews>
  <sheetFormatPr baseColWidth="10" defaultRowHeight="15"/>
  <cols>
    <col min="1" max="1" width="23.42578125" customWidth="1"/>
    <col min="2" max="2" width="12.42578125" customWidth="1"/>
    <col min="3" max="3" width="29.85546875" customWidth="1"/>
    <col min="4" max="4" width="21" customWidth="1"/>
    <col min="5" max="5" width="12" customWidth="1"/>
    <col min="9" max="9" width="19.5703125" customWidth="1"/>
    <col min="11" max="11" width="17.42578125" customWidth="1"/>
  </cols>
  <sheetData>
    <row r="1" spans="1:12" ht="15.75" thickBot="1"/>
    <row r="2" spans="1:12" ht="30.75" customHeight="1">
      <c r="A2" s="15" t="s">
        <v>176</v>
      </c>
      <c r="B2" s="6"/>
      <c r="C2" s="13" t="s">
        <v>180</v>
      </c>
      <c r="D2" s="22"/>
      <c r="I2" s="31" t="s">
        <v>176</v>
      </c>
      <c r="J2" s="26"/>
      <c r="K2" s="34" t="s">
        <v>180</v>
      </c>
      <c r="L2" s="27"/>
    </row>
    <row r="3" spans="1:12">
      <c r="A3" s="14" t="s">
        <v>192</v>
      </c>
      <c r="B3" s="7"/>
      <c r="C3" s="12" t="s">
        <v>188</v>
      </c>
      <c r="D3" s="9"/>
      <c r="I3" s="32" t="s">
        <v>187</v>
      </c>
      <c r="J3" s="25"/>
      <c r="K3" s="35" t="s">
        <v>187</v>
      </c>
      <c r="L3" s="28"/>
    </row>
    <row r="4" spans="1:12">
      <c r="A4" s="14" t="s">
        <v>178</v>
      </c>
      <c r="B4" s="8"/>
      <c r="C4" s="10"/>
      <c r="D4" s="10"/>
      <c r="I4" s="32" t="s">
        <v>188</v>
      </c>
      <c r="J4" s="25"/>
      <c r="K4" s="35" t="s">
        <v>188</v>
      </c>
      <c r="L4" s="28"/>
    </row>
    <row r="5" spans="1:12">
      <c r="A5" s="14" t="s">
        <v>181</v>
      </c>
      <c r="B5" s="7"/>
      <c r="C5" s="11" t="s">
        <v>183</v>
      </c>
      <c r="D5" s="23"/>
      <c r="I5" s="32" t="s">
        <v>189</v>
      </c>
      <c r="J5" s="25"/>
      <c r="K5" s="35"/>
      <c r="L5" s="28"/>
    </row>
    <row r="6" spans="1:12">
      <c r="A6" s="16" t="s">
        <v>182</v>
      </c>
      <c r="B6" s="17">
        <v>71</v>
      </c>
      <c r="C6" s="10"/>
      <c r="D6" s="10"/>
      <c r="I6" s="32" t="s">
        <v>182</v>
      </c>
      <c r="J6" s="25"/>
      <c r="K6" s="35"/>
      <c r="L6" s="28"/>
    </row>
    <row r="7" spans="1:12" ht="15.75" thickBot="1">
      <c r="A7" s="12" t="s">
        <v>185</v>
      </c>
      <c r="B7" s="24"/>
      <c r="C7" s="10"/>
      <c r="D7" s="10"/>
      <c r="I7" s="32" t="s">
        <v>190</v>
      </c>
      <c r="J7" s="25"/>
      <c r="K7" s="35"/>
      <c r="L7" s="28"/>
    </row>
    <row r="8" spans="1:12" ht="15.75" thickBot="1">
      <c r="A8" s="18" t="s">
        <v>186</v>
      </c>
      <c r="B8" s="19">
        <v>600</v>
      </c>
      <c r="C8" s="20" t="s">
        <v>184</v>
      </c>
      <c r="D8" s="21">
        <v>187.5</v>
      </c>
      <c r="I8" s="33" t="s">
        <v>191</v>
      </c>
      <c r="J8" s="29"/>
      <c r="K8" s="36"/>
      <c r="L8" s="3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Feuil6.Formulaire_Click">
                <anchor moveWithCells="1">
                  <from>
                    <xdr:col>0</xdr:col>
                    <xdr:colOff>1438275</xdr:colOff>
                    <xdr:row>10</xdr:row>
                    <xdr:rowOff>9525</xdr:rowOff>
                  </from>
                  <to>
                    <xdr:col>2</xdr:col>
                    <xdr:colOff>333375</xdr:colOff>
                    <xdr:row>12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43"/>
  <sheetViews>
    <sheetView workbookViewId="0">
      <selection activeCell="D42" sqref="D42"/>
    </sheetView>
  </sheetViews>
  <sheetFormatPr baseColWidth="10" defaultColWidth="14.42578125" defaultRowHeight="15"/>
  <cols>
    <col min="1" max="1" width="25.85546875" style="54" customWidth="1"/>
    <col min="2" max="2" width="13.85546875" style="54" customWidth="1"/>
    <col min="3" max="16" width="18.140625" style="54" customWidth="1"/>
    <col min="17" max="16384" width="14.42578125" style="54"/>
  </cols>
  <sheetData>
    <row r="1" spans="1:16" ht="15.75">
      <c r="A1" s="55" t="s">
        <v>218</v>
      </c>
      <c r="B1" s="56"/>
      <c r="C1" s="56" t="s">
        <v>219</v>
      </c>
      <c r="D1" s="56" t="s">
        <v>220</v>
      </c>
      <c r="E1" s="56" t="s">
        <v>221</v>
      </c>
      <c r="F1" s="56" t="s">
        <v>222</v>
      </c>
      <c r="G1" s="56" t="s">
        <v>223</v>
      </c>
      <c r="H1" s="56" t="s">
        <v>224</v>
      </c>
      <c r="I1" s="56" t="s">
        <v>225</v>
      </c>
      <c r="J1" s="56" t="s">
        <v>226</v>
      </c>
      <c r="K1" s="56" t="s">
        <v>227</v>
      </c>
      <c r="L1" s="56" t="s">
        <v>228</v>
      </c>
      <c r="M1" s="56" t="s">
        <v>229</v>
      </c>
      <c r="N1" s="56" t="s">
        <v>230</v>
      </c>
      <c r="O1" s="56" t="s">
        <v>231</v>
      </c>
      <c r="P1" s="56" t="s">
        <v>232</v>
      </c>
    </row>
    <row r="2" spans="1:16" ht="15.75">
      <c r="A2" s="57" t="str">
        <f ca="1">IFERROR(__xludf.DUMMYFUNCTION("QUERY(Feuille1!$A1:$R40,""order by D desc"")"),"Renault")</f>
        <v>Renault</v>
      </c>
      <c r="B2" s="58">
        <v>6.4999999999999997E-3</v>
      </c>
      <c r="C2" s="59">
        <f ca="1">IFERROR(__xludf.DUMMYFUNCTION("""COMPUTED_VALUE"""),3.55)</f>
        <v>3.55</v>
      </c>
      <c r="D2" s="59">
        <f ca="1">IFERROR(__xludf.DUMMYFUNCTION("""COMPUTED_VALUE"""),3.55)</f>
        <v>3.55</v>
      </c>
      <c r="E2" s="59">
        <f ca="1">IFERROR(__xludf.DUMMYFUNCTION("""COMPUTED_VALUE"""),3.15)</f>
        <v>3.15</v>
      </c>
      <c r="F2" s="59">
        <f ca="1">IFERROR(__xludf.DUMMYFUNCTION("""COMPUTED_VALUE"""),2.4)</f>
        <v>2.4</v>
      </c>
      <c r="G2" s="59">
        <f ca="1">IFERROR(__xludf.DUMMYFUNCTION("""COMPUTED_VALUE"""),1.9)</f>
        <v>1.9</v>
      </c>
      <c r="H2" s="59">
        <f ca="1">IFERROR(__xludf.DUMMYFUNCTION("""COMPUTED_VALUE"""),1.72)</f>
        <v>1.72</v>
      </c>
      <c r="I2" s="59">
        <f ca="1">IFERROR(__xludf.DUMMYFUNCTION("""COMPUTED_VALUE"""),1.72)</f>
        <v>1.72</v>
      </c>
      <c r="J2" s="59">
        <f ca="1">IFERROR(__xludf.DUMMYFUNCTION("""COMPUTED_VALUE"""),1.6)</f>
        <v>1.6</v>
      </c>
      <c r="K2" s="59">
        <f ca="1">IFERROR(__xludf.DUMMYFUNCTION("""COMPUTED_VALUE"""),0.3)</f>
        <v>0.3</v>
      </c>
      <c r="L2" s="59">
        <f ca="1">IFERROR(__xludf.DUMMYFUNCTION("""COMPUTED_VALUE"""),0)</f>
        <v>0</v>
      </c>
      <c r="M2" s="59">
        <f ca="1">IFERROR(__xludf.DUMMYFUNCTION("""COMPUTED_VALUE"""),0)</f>
        <v>0</v>
      </c>
      <c r="N2" s="59">
        <f ca="1">IFERROR(__xludf.DUMMYFUNCTION("""COMPUTED_VALUE"""),3.8)</f>
        <v>3.8</v>
      </c>
      <c r="O2" s="59">
        <f ca="1">IFERROR(__xludf.DUMMYFUNCTION("""COMPUTED_VALUE"""),3.1)</f>
        <v>3.1</v>
      </c>
      <c r="P2" s="59">
        <f ca="1">IFERROR(__xludf.DUMMYFUNCTION("""COMPUTED_VALUE"""),2.4)</f>
        <v>2.4</v>
      </c>
    </row>
    <row r="3" spans="1:16" ht="15.75">
      <c r="A3" s="57" t="str">
        <f ca="1">IFERROR(__xludf.DUMMYFUNCTION("""COMPUTED_VALUE"""),"Unibail-Rodamco")</f>
        <v>Unibail-Rodamco</v>
      </c>
      <c r="B3" s="58">
        <v>1.4500000000000001E-2</v>
      </c>
      <c r="C3" s="59">
        <f ca="1">IFERROR(__xludf.DUMMYFUNCTION("""COMPUTED_VALUE"""),10.8)</f>
        <v>10.8</v>
      </c>
      <c r="D3" s="59">
        <f ca="1">IFERROR(__xludf.DUMMYFUNCTION("""COMPUTED_VALUE"""),10.8)</f>
        <v>10.8</v>
      </c>
      <c r="E3" s="59">
        <f ca="1">IFERROR(__xludf.DUMMYFUNCTION("""COMPUTED_VALUE"""),10.2)</f>
        <v>10.199999999999999</v>
      </c>
      <c r="F3" s="59">
        <f ca="1">IFERROR(__xludf.DUMMYFUNCTION("""COMPUTED_VALUE"""),9.7)</f>
        <v>9.6999999999999993</v>
      </c>
      <c r="G3" s="59">
        <f ca="1">IFERROR(__xludf.DUMMYFUNCTION("""COMPUTED_VALUE"""),9.6)</f>
        <v>9.6</v>
      </c>
      <c r="H3" s="59">
        <f ca="1">IFERROR(__xludf.DUMMYFUNCTION("""COMPUTED_VALUE"""),8.9)</f>
        <v>8.9</v>
      </c>
      <c r="I3" s="59">
        <f ca="1">IFERROR(__xludf.DUMMYFUNCTION("""COMPUTED_VALUE"""),8.4)</f>
        <v>8.4</v>
      </c>
      <c r="J3" s="59">
        <f ca="1">IFERROR(__xludf.DUMMYFUNCTION("""COMPUTED_VALUE"""),8)</f>
        <v>8</v>
      </c>
      <c r="K3" s="59">
        <f ca="1">IFERROR(__xludf.DUMMYFUNCTION("""COMPUTED_VALUE"""),8)</f>
        <v>8</v>
      </c>
      <c r="L3" s="59">
        <f ca="1">IFERROR(__xludf.DUMMYFUNCTION("""COMPUTED_VALUE"""),8)</f>
        <v>8</v>
      </c>
      <c r="M3" s="59">
        <f ca="1">IFERROR(__xludf.DUMMYFUNCTION("""COMPUTED_VALUE"""),7.5)</f>
        <v>7.5</v>
      </c>
      <c r="N3" s="59">
        <f ca="1">IFERROR(__xludf.DUMMYFUNCTION("""COMPUTED_VALUE"""),7)</f>
        <v>7</v>
      </c>
      <c r="O3" s="59">
        <f ca="1">IFERROR(__xludf.DUMMYFUNCTION("""COMPUTED_VALUE"""),5)</f>
        <v>5</v>
      </c>
      <c r="P3" s="59">
        <f ca="1">IFERROR(__xludf.DUMMYFUNCTION("""COMPUTED_VALUE"""),4)</f>
        <v>4</v>
      </c>
    </row>
    <row r="4" spans="1:16" ht="15.75">
      <c r="A4" s="57" t="str">
        <f ca="1">IFERROR(__xludf.DUMMYFUNCTION("""COMPUTED_VALUE"""),"Société Générale")</f>
        <v>Société Générale</v>
      </c>
      <c r="B4" s="58">
        <v>1.8800000000000001E-2</v>
      </c>
      <c r="C4" s="59">
        <f ca="1">IFERROR(__xludf.DUMMYFUNCTION("""COMPUTED_VALUE"""),2.2)</f>
        <v>2.2000000000000002</v>
      </c>
      <c r="D4" s="59">
        <f ca="1">IFERROR(__xludf.DUMMYFUNCTION("""COMPUTED_VALUE"""),2.2)</f>
        <v>2.2000000000000002</v>
      </c>
      <c r="E4" s="59">
        <f ca="1">IFERROR(__xludf.DUMMYFUNCTION("""COMPUTED_VALUE"""),2.2)</f>
        <v>2.2000000000000002</v>
      </c>
      <c r="F4" s="59">
        <f ca="1">IFERROR(__xludf.DUMMYFUNCTION("""COMPUTED_VALUE"""),2)</f>
        <v>2</v>
      </c>
      <c r="G4" s="59">
        <f ca="1">IFERROR(__xludf.DUMMYFUNCTION("""COMPUTED_VALUE"""),1.2)</f>
        <v>1.2</v>
      </c>
      <c r="H4" s="59">
        <f ca="1">IFERROR(__xludf.DUMMYFUNCTION("""COMPUTED_VALUE"""),1)</f>
        <v>1</v>
      </c>
      <c r="I4" s="59">
        <f ca="1">IFERROR(__xludf.DUMMYFUNCTION("""COMPUTED_VALUE"""),0.45)</f>
        <v>0.45</v>
      </c>
      <c r="J4" s="59">
        <f ca="1">IFERROR(__xludf.DUMMYFUNCTION("""COMPUTED_VALUE"""),0)</f>
        <v>0</v>
      </c>
      <c r="K4" s="59">
        <f ca="1">IFERROR(__xludf.DUMMYFUNCTION("""COMPUTED_VALUE"""),1.75)</f>
        <v>1.75</v>
      </c>
      <c r="L4" s="59">
        <f ca="1">IFERROR(__xludf.DUMMYFUNCTION("""COMPUTED_VALUE"""),0.25)</f>
        <v>0.25</v>
      </c>
      <c r="M4" s="59">
        <f ca="1">IFERROR(__xludf.DUMMYFUNCTION("""COMPUTED_VALUE"""),1.2)</f>
        <v>1.2</v>
      </c>
      <c r="N4" s="59">
        <f ca="1">IFERROR(__xludf.DUMMYFUNCTION("""COMPUTED_VALUE"""),0.9)</f>
        <v>0.9</v>
      </c>
      <c r="O4" s="59">
        <f ca="1">IFERROR(__xludf.DUMMYFUNCTION("""COMPUTED_VALUE"""),5.2)</f>
        <v>5.2</v>
      </c>
      <c r="P4" s="59">
        <f ca="1">IFERROR(__xludf.DUMMYFUNCTION("""COMPUTED_VALUE"""),4.5)</f>
        <v>4.5</v>
      </c>
    </row>
    <row r="5" spans="1:16" ht="15.75">
      <c r="A5" s="57" t="str">
        <f ca="1">IFERROR(__xludf.DUMMYFUNCTION("""COMPUTED_VALUE"""),"BNP Paribas")</f>
        <v>BNP Paribas</v>
      </c>
      <c r="B5" s="58">
        <v>4.4400000000000002E-2</v>
      </c>
      <c r="C5" s="59">
        <f ca="1">IFERROR(__xludf.DUMMYFUNCTION("""COMPUTED_VALUE"""),3.02)</f>
        <v>3.02</v>
      </c>
      <c r="D5" s="59">
        <f ca="1">IFERROR(__xludf.DUMMYFUNCTION("""COMPUTED_VALUE"""),3.02)</f>
        <v>3.02</v>
      </c>
      <c r="E5" s="59">
        <f ca="1">IFERROR(__xludf.DUMMYFUNCTION("""COMPUTED_VALUE"""),2.7)</f>
        <v>2.7</v>
      </c>
      <c r="F5" s="59">
        <f ca="1">IFERROR(__xludf.DUMMYFUNCTION("""COMPUTED_VALUE"""),2.31)</f>
        <v>2.31</v>
      </c>
      <c r="G5" s="59">
        <f ca="1">IFERROR(__xludf.DUMMYFUNCTION("""COMPUTED_VALUE"""),1.5)</f>
        <v>1.5</v>
      </c>
      <c r="H5" s="59">
        <f ca="1">IFERROR(__xludf.DUMMYFUNCTION("""COMPUTED_VALUE"""),1.5)</f>
        <v>1.5</v>
      </c>
      <c r="I5" s="59">
        <f ca="1">IFERROR(__xludf.DUMMYFUNCTION("""COMPUTED_VALUE"""),1.5)</f>
        <v>1.5</v>
      </c>
      <c r="J5" s="59">
        <f ca="1">IFERROR(__xludf.DUMMYFUNCTION("""COMPUTED_VALUE"""),1.2)</f>
        <v>1.2</v>
      </c>
      <c r="K5" s="59">
        <f ca="1">IFERROR(__xludf.DUMMYFUNCTION("""COMPUTED_VALUE"""),2.1)</f>
        <v>2.1</v>
      </c>
      <c r="L5" s="59">
        <f ca="1">IFERROR(__xludf.DUMMYFUNCTION("""COMPUTED_VALUE"""),1.5)</f>
        <v>1.5</v>
      </c>
      <c r="M5" s="59">
        <f ca="1">IFERROR(__xludf.DUMMYFUNCTION("""COMPUTED_VALUE"""),0.97)</f>
        <v>0.97</v>
      </c>
      <c r="N5" s="59">
        <f ca="1">IFERROR(__xludf.DUMMYFUNCTION("""COMPUTED_VALUE"""),3.26)</f>
        <v>3.26</v>
      </c>
      <c r="O5" s="59">
        <f ca="1">IFERROR(__xludf.DUMMYFUNCTION("""COMPUTED_VALUE"""),3.01)</f>
        <v>3.01</v>
      </c>
      <c r="P5" s="59">
        <f ca="1">IFERROR(__xludf.DUMMYFUNCTION("""COMPUTED_VALUE"""),2.53)</f>
        <v>2.5299999999999998</v>
      </c>
    </row>
    <row r="6" spans="1:16" ht="15.75">
      <c r="A6" s="57" t="str">
        <f ca="1">IFERROR(__xludf.DUMMYFUNCTION("""COMPUTED_VALUE"""),"Axa")</f>
        <v>Axa</v>
      </c>
      <c r="B6" s="58">
        <v>3.6200000000000003E-2</v>
      </c>
      <c r="C6" s="59">
        <f ca="1">IFERROR(__xludf.DUMMYFUNCTION("""COMPUTED_VALUE"""),1.34)</f>
        <v>1.34</v>
      </c>
      <c r="D6" s="59">
        <f ca="1">IFERROR(__xludf.DUMMYFUNCTION("""COMPUTED_VALUE"""),1.26)</f>
        <v>1.26</v>
      </c>
      <c r="E6" s="59">
        <f ca="1">IFERROR(__xludf.DUMMYFUNCTION("""COMPUTED_VALUE"""),1.16)</f>
        <v>1.1599999999999999</v>
      </c>
      <c r="F6" s="59">
        <f ca="1">IFERROR(__xludf.DUMMYFUNCTION("""COMPUTED_VALUE"""),1.1)</f>
        <v>1.1000000000000001</v>
      </c>
      <c r="G6" s="59">
        <f ca="1">IFERROR(__xludf.DUMMYFUNCTION("""COMPUTED_VALUE"""),0.95)</f>
        <v>0.95</v>
      </c>
      <c r="H6" s="59">
        <f ca="1">IFERROR(__xludf.DUMMYFUNCTION("""COMPUTED_VALUE"""),0.81)</f>
        <v>0.81</v>
      </c>
      <c r="I6" s="59">
        <f ca="1">IFERROR(__xludf.DUMMYFUNCTION("""COMPUTED_VALUE"""),0.72)</f>
        <v>0.72</v>
      </c>
      <c r="J6" s="59">
        <f ca="1">IFERROR(__xludf.DUMMYFUNCTION("""COMPUTED_VALUE"""),0.69)</f>
        <v>0.69</v>
      </c>
      <c r="K6" s="59">
        <f ca="1">IFERROR(__xludf.DUMMYFUNCTION("""COMPUTED_VALUE"""),0.69)</f>
        <v>0.69</v>
      </c>
      <c r="L6" s="59">
        <f ca="1">IFERROR(__xludf.DUMMYFUNCTION("""COMPUTED_VALUE"""),0.55)</f>
        <v>0.55000000000000004</v>
      </c>
      <c r="M6" s="59">
        <f ca="1">IFERROR(__xludf.DUMMYFUNCTION("""COMPUTED_VALUE"""),0.4)</f>
        <v>0.4</v>
      </c>
      <c r="N6" s="59">
        <f ca="1">IFERROR(__xludf.DUMMYFUNCTION("""COMPUTED_VALUE"""),1.2)</f>
        <v>1.2</v>
      </c>
      <c r="O6" s="59">
        <f ca="1">IFERROR(__xludf.DUMMYFUNCTION("""COMPUTED_VALUE"""),1.06)</f>
        <v>1.06</v>
      </c>
      <c r="P6" s="59">
        <f ca="1">IFERROR(__xludf.DUMMYFUNCTION("""COMPUTED_VALUE"""),0.88)</f>
        <v>0.88</v>
      </c>
    </row>
    <row r="7" spans="1:16" ht="15.75">
      <c r="A7" s="57" t="str">
        <f ca="1">IFERROR(__xludf.DUMMYFUNCTION("""COMPUTED_VALUE"""),"Crédit Agricole")</f>
        <v>Crédit Agricole</v>
      </c>
      <c r="B7" s="58">
        <v>1.11E-2</v>
      </c>
      <c r="C7" s="59">
        <f ca="1">IFERROR(__xludf.DUMMYFUNCTION("""COMPUTED_VALUE"""),0.69)</f>
        <v>0.69</v>
      </c>
      <c r="D7" s="59">
        <f ca="1">IFERROR(__xludf.DUMMYFUNCTION("""COMPUTED_VALUE"""),0.63)</f>
        <v>0.63</v>
      </c>
      <c r="E7" s="59">
        <f ca="1">IFERROR(__xludf.DUMMYFUNCTION("""COMPUTED_VALUE"""),0.6)</f>
        <v>0.6</v>
      </c>
      <c r="F7" s="59">
        <f ca="1">IFERROR(__xludf.DUMMYFUNCTION("""COMPUTED_VALUE"""),0.6)</f>
        <v>0.6</v>
      </c>
      <c r="G7" s="59">
        <f ca="1">IFERROR(__xludf.DUMMYFUNCTION("""COMPUTED_VALUE"""),0.35)</f>
        <v>0.35</v>
      </c>
      <c r="H7" s="59">
        <f ca="1">IFERROR(__xludf.DUMMYFUNCTION("""COMPUTED_VALUE"""),0.35)</f>
        <v>0.35</v>
      </c>
      <c r="I7" s="59">
        <f ca="1">IFERROR(__xludf.DUMMYFUNCTION("""COMPUTED_VALUE"""),0)</f>
        <v>0</v>
      </c>
      <c r="J7" s="59">
        <f ca="1">IFERROR(__xludf.DUMMYFUNCTION("""COMPUTED_VALUE"""),0)</f>
        <v>0</v>
      </c>
      <c r="K7" s="59">
        <f ca="1">IFERROR(__xludf.DUMMYFUNCTION("""COMPUTED_VALUE"""),0.45)</f>
        <v>0.45</v>
      </c>
      <c r="L7" s="59">
        <f ca="1">IFERROR(__xludf.DUMMYFUNCTION("""COMPUTED_VALUE"""),0.45)</f>
        <v>0.45</v>
      </c>
      <c r="M7" s="59">
        <f ca="1">IFERROR(__xludf.DUMMYFUNCTION("""COMPUTED_VALUE"""),0.45)</f>
        <v>0.45</v>
      </c>
      <c r="N7" s="59">
        <f ca="1">IFERROR(__xludf.DUMMYFUNCTION("""COMPUTED_VALUE"""),1.11)</f>
        <v>1.1100000000000001</v>
      </c>
      <c r="O7" s="59">
        <f ca="1">IFERROR(__xludf.DUMMYFUNCTION("""COMPUTED_VALUE"""),1.06)</f>
        <v>1.06</v>
      </c>
      <c r="P7" s="59">
        <f ca="1">IFERROR(__xludf.DUMMYFUNCTION("""COMPUTED_VALUE"""),0.85)</f>
        <v>0.85</v>
      </c>
    </row>
    <row r="8" spans="1:16" ht="15.75">
      <c r="A8" s="57" t="str">
        <f ca="1">IFERROR(__xludf.DUMMYFUNCTION("""COMPUTED_VALUE"""),"Orange")</f>
        <v>Orange</v>
      </c>
      <c r="B8" s="58">
        <v>1.8200000000000001E-2</v>
      </c>
      <c r="C8" s="59">
        <f ca="1">IFERROR(__xludf.DUMMYFUNCTION("""COMPUTED_VALUE"""),0.7)</f>
        <v>0.7</v>
      </c>
      <c r="D8" s="59">
        <f ca="1">IFERROR(__xludf.DUMMYFUNCTION("""COMPUTED_VALUE"""),0.65)</f>
        <v>0.65</v>
      </c>
      <c r="E8" s="59">
        <f ca="1">IFERROR(__xludf.DUMMYFUNCTION("""COMPUTED_VALUE"""),0.6)</f>
        <v>0.6</v>
      </c>
      <c r="F8" s="59">
        <f ca="1">IFERROR(__xludf.DUMMYFUNCTION("""COMPUTED_VALUE"""),0.6)</f>
        <v>0.6</v>
      </c>
      <c r="G8" s="59">
        <f ca="1">IFERROR(__xludf.DUMMYFUNCTION("""COMPUTED_VALUE"""),0.6)</f>
        <v>0.6</v>
      </c>
      <c r="H8" s="59">
        <f ca="1">IFERROR(__xludf.DUMMYFUNCTION("""COMPUTED_VALUE"""),0.8)</f>
        <v>0.8</v>
      </c>
      <c r="I8" s="59">
        <f ca="1">IFERROR(__xludf.DUMMYFUNCTION("""COMPUTED_VALUE"""),0.8)</f>
        <v>0.8</v>
      </c>
      <c r="J8" s="59">
        <f ca="1">IFERROR(__xludf.DUMMYFUNCTION("""COMPUTED_VALUE"""),1.4)</f>
        <v>1.4</v>
      </c>
      <c r="K8" s="59">
        <f ca="1">IFERROR(__xludf.DUMMYFUNCTION("""COMPUTED_VALUE"""),1.4)</f>
        <v>1.4</v>
      </c>
      <c r="L8" s="59">
        <f ca="1">IFERROR(__xludf.DUMMYFUNCTION("""COMPUTED_VALUE"""),1.4)</f>
        <v>1.4</v>
      </c>
      <c r="M8" s="59">
        <f ca="1">IFERROR(__xludf.DUMMYFUNCTION("""COMPUTED_VALUE"""),1.4)</f>
        <v>1.4</v>
      </c>
      <c r="N8" s="59">
        <f ca="1">IFERROR(__xludf.DUMMYFUNCTION("""COMPUTED_VALUE"""),1.3)</f>
        <v>1.3</v>
      </c>
      <c r="O8" s="59">
        <f ca="1">IFERROR(__xludf.DUMMYFUNCTION("""COMPUTED_VALUE"""),1.2)</f>
        <v>1.2</v>
      </c>
      <c r="P8" s="59">
        <f ca="1">IFERROR(__xludf.DUMMYFUNCTION("""COMPUTED_VALUE"""),1)</f>
        <v>1</v>
      </c>
    </row>
    <row r="9" spans="1:16" ht="15.75">
      <c r="A9" s="57" t="str">
        <f ca="1">IFERROR(__xludf.DUMMYFUNCTION("""COMPUTED_VALUE"""),"Total")</f>
        <v>Total</v>
      </c>
      <c r="B9" s="58">
        <v>9.3100000000000002E-2</v>
      </c>
      <c r="C9" s="59">
        <f ca="1">IFERROR(__xludf.DUMMYFUNCTION("""COMPUTED_VALUE"""),2.56)</f>
        <v>2.56</v>
      </c>
      <c r="D9" s="59">
        <f ca="1">IFERROR(__xludf.DUMMYFUNCTION("""COMPUTED_VALUE"""),2.48)</f>
        <v>2.48</v>
      </c>
      <c r="E9" s="59">
        <f ca="1">IFERROR(__xludf.DUMMYFUNCTION("""COMPUTED_VALUE"""),2.45)</f>
        <v>2.4500000000000002</v>
      </c>
      <c r="F9" s="59">
        <f ca="1">IFERROR(__xludf.DUMMYFUNCTION("""COMPUTED_VALUE"""),2.44)</f>
        <v>2.44</v>
      </c>
      <c r="G9" s="59">
        <f ca="1">IFERROR(__xludf.DUMMYFUNCTION("""COMPUTED_VALUE"""),2.44)</f>
        <v>2.44</v>
      </c>
      <c r="H9" s="59">
        <f ca="1">IFERROR(__xludf.DUMMYFUNCTION("""COMPUTED_VALUE"""),2.38)</f>
        <v>2.38</v>
      </c>
      <c r="I9" s="59">
        <f ca="1">IFERROR(__xludf.DUMMYFUNCTION("""COMPUTED_VALUE"""),2.34)</f>
        <v>2.34</v>
      </c>
      <c r="J9" s="59">
        <f ca="1">IFERROR(__xludf.DUMMYFUNCTION("""COMPUTED_VALUE"""),2.28)</f>
        <v>2.2799999999999998</v>
      </c>
      <c r="K9" s="59">
        <f ca="1">IFERROR(__xludf.DUMMYFUNCTION("""COMPUTED_VALUE"""),2.28)</f>
        <v>2.2799999999999998</v>
      </c>
      <c r="L9" s="59">
        <f ca="1">IFERROR(__xludf.DUMMYFUNCTION("""COMPUTED_VALUE"""),2.28)</f>
        <v>2.2799999999999998</v>
      </c>
      <c r="M9" s="59">
        <f ca="1">IFERROR(__xludf.DUMMYFUNCTION("""COMPUTED_VALUE"""),2.07)</f>
        <v>2.0699999999999998</v>
      </c>
      <c r="N9" s="59">
        <f ca="1">IFERROR(__xludf.DUMMYFUNCTION("""COMPUTED_VALUE"""),1.87)</f>
        <v>1.87</v>
      </c>
      <c r="O9" s="59">
        <f ca="1">IFERROR(__xludf.DUMMYFUNCTION("""COMPUTED_VALUE"""),1.62)</f>
        <v>1.62</v>
      </c>
      <c r="P9" s="59">
        <f ca="1">IFERROR(__xludf.DUMMYFUNCTION("""COMPUTED_VALUE"""),1.35)</f>
        <v>1.35</v>
      </c>
    </row>
    <row r="10" spans="1:16" ht="15.75">
      <c r="A10" s="57" t="str">
        <f ca="1">IFERROR(__xludf.DUMMYFUNCTION("""COMPUTED_VALUE"""),"Publicis")</f>
        <v>Publicis</v>
      </c>
      <c r="B10" s="58">
        <v>6.4999999999999997E-3</v>
      </c>
      <c r="C10" s="59">
        <f ca="1">IFERROR(__xludf.DUMMYFUNCTION("""COMPUTED_VALUE"""),2.12)</f>
        <v>2.12</v>
      </c>
      <c r="D10" s="59">
        <f ca="1">IFERROR(__xludf.DUMMYFUNCTION("""COMPUTED_VALUE"""),2)</f>
        <v>2</v>
      </c>
      <c r="E10" s="59">
        <f ca="1">IFERROR(__xludf.DUMMYFUNCTION("""COMPUTED_VALUE"""),1.85)</f>
        <v>1.85</v>
      </c>
      <c r="F10" s="59">
        <f ca="1">IFERROR(__xludf.DUMMYFUNCTION("""COMPUTED_VALUE"""),1.6)</f>
        <v>1.6</v>
      </c>
      <c r="G10" s="59">
        <f ca="1">IFERROR(__xludf.DUMMYFUNCTION("""COMPUTED_VALUE"""),1.2)</f>
        <v>1.2</v>
      </c>
      <c r="H10" s="59">
        <f ca="1">IFERROR(__xludf.DUMMYFUNCTION("""COMPUTED_VALUE"""),1.1)</f>
        <v>1.1000000000000001</v>
      </c>
      <c r="I10" s="59">
        <f ca="1">IFERROR(__xludf.DUMMYFUNCTION("""COMPUTED_VALUE"""),0.9)</f>
        <v>0.9</v>
      </c>
      <c r="J10" s="59">
        <f ca="1">IFERROR(__xludf.DUMMYFUNCTION("""COMPUTED_VALUE"""),0.7)</f>
        <v>0.7</v>
      </c>
      <c r="K10" s="59">
        <f ca="1">IFERROR(__xludf.DUMMYFUNCTION("""COMPUTED_VALUE"""),0.7)</f>
        <v>0.7</v>
      </c>
      <c r="L10" s="59">
        <f ca="1">IFERROR(__xludf.DUMMYFUNCTION("""COMPUTED_VALUE"""),0.6)</f>
        <v>0.6</v>
      </c>
      <c r="M10" s="59">
        <f ca="1">IFERROR(__xludf.DUMMYFUNCTION("""COMPUTED_VALUE"""),0.6)</f>
        <v>0.6</v>
      </c>
      <c r="N10" s="59">
        <f ca="1">IFERROR(__xludf.DUMMYFUNCTION("""COMPUTED_VALUE"""),0.6)</f>
        <v>0.6</v>
      </c>
      <c r="O10" s="59">
        <f ca="1">IFERROR(__xludf.DUMMYFUNCTION("""COMPUTED_VALUE"""),0.5)</f>
        <v>0.5</v>
      </c>
      <c r="P10" s="59">
        <f ca="1">IFERROR(__xludf.DUMMYFUNCTION("""COMPUTED_VALUE"""),0.36)</f>
        <v>0.36</v>
      </c>
    </row>
    <row r="11" spans="1:16" ht="15.75">
      <c r="A11" s="57" t="str">
        <f ca="1">IFERROR(__xludf.DUMMYFUNCTION("""COMPUTED_VALUE"""),"Engie")</f>
        <v>Engie</v>
      </c>
      <c r="B11" s="58">
        <v>1.9599999999999999E-2</v>
      </c>
      <c r="C11" s="59">
        <f ca="1">IFERROR(__xludf.DUMMYFUNCTION("""COMPUTED_VALUE"""),1.12)</f>
        <v>1.1200000000000001</v>
      </c>
      <c r="D11" s="59">
        <f ca="1">IFERROR(__xludf.DUMMYFUNCTION("""COMPUTED_VALUE"""),0.7)</f>
        <v>0.7</v>
      </c>
      <c r="E11" s="59">
        <f ca="1">IFERROR(__xludf.DUMMYFUNCTION("""COMPUTED_VALUE"""),1)</f>
        <v>1</v>
      </c>
      <c r="F11" s="59">
        <f ca="1">IFERROR(__xludf.DUMMYFUNCTION("""COMPUTED_VALUE"""),1)</f>
        <v>1</v>
      </c>
      <c r="G11" s="59">
        <f ca="1">IFERROR(__xludf.DUMMYFUNCTION("""COMPUTED_VALUE"""),1)</f>
        <v>1</v>
      </c>
      <c r="H11" s="59">
        <f ca="1">IFERROR(__xludf.DUMMYFUNCTION("""COMPUTED_VALUE"""),1.5)</f>
        <v>1.5</v>
      </c>
      <c r="I11" s="59">
        <f ca="1">IFERROR(__xludf.DUMMYFUNCTION("""COMPUTED_VALUE"""),1.5)</f>
        <v>1.5</v>
      </c>
      <c r="J11" s="59">
        <f ca="1">IFERROR(__xludf.DUMMYFUNCTION("""COMPUTED_VALUE"""),1.5)</f>
        <v>1.5</v>
      </c>
      <c r="K11" s="59">
        <f ca="1">IFERROR(__xludf.DUMMYFUNCTION("""COMPUTED_VALUE"""),1.5)</f>
        <v>1.5</v>
      </c>
      <c r="L11" s="59">
        <f ca="1">IFERROR(__xludf.DUMMYFUNCTION("""COMPUTED_VALUE"""),1.47)</f>
        <v>1.47</v>
      </c>
      <c r="M11" s="59">
        <f ca="1">IFERROR(__xludf.DUMMYFUNCTION("""COMPUTED_VALUE"""),2.2)</f>
        <v>2.2000000000000002</v>
      </c>
      <c r="N11" s="59">
        <f ca="1">IFERROR(__xludf.DUMMYFUNCTION("""COMPUTED_VALUE"""),1.26)</f>
        <v>1.26</v>
      </c>
      <c r="O11" s="59">
        <f ca="1">IFERROR(__xludf.DUMMYFUNCTION("""COMPUTED_VALUE"""),1.2)</f>
        <v>1.2</v>
      </c>
      <c r="P11" s="59">
        <f ca="1">IFERROR(__xludf.DUMMYFUNCTION("""COMPUTED_VALUE"""),0.68)</f>
        <v>0.68</v>
      </c>
    </row>
    <row r="12" spans="1:16" ht="15.75">
      <c r="A12" s="57" t="str">
        <f ca="1">IFERROR(__xludf.DUMMYFUNCTION("""COMPUTED_VALUE"""),"Bouygues")</f>
        <v>Bouygues</v>
      </c>
      <c r="B12" s="58">
        <v>6.3E-3</v>
      </c>
      <c r="C12" s="59">
        <f ca="1">IFERROR(__xludf.DUMMYFUNCTION("""COMPUTED_VALUE"""),1.7)</f>
        <v>1.7</v>
      </c>
      <c r="D12" s="59">
        <f ca="1">IFERROR(__xludf.DUMMYFUNCTION("""COMPUTED_VALUE"""),1.7)</f>
        <v>1.7</v>
      </c>
      <c r="E12" s="59">
        <f ca="1">IFERROR(__xludf.DUMMYFUNCTION("""COMPUTED_VALUE"""),1.6)</f>
        <v>1.6</v>
      </c>
      <c r="F12" s="59">
        <f ca="1">IFERROR(__xludf.DUMMYFUNCTION("""COMPUTED_VALUE"""),1.6)</f>
        <v>1.6</v>
      </c>
      <c r="G12" s="59">
        <f ca="1">IFERROR(__xludf.DUMMYFUNCTION("""COMPUTED_VALUE"""),1.6)</f>
        <v>1.6</v>
      </c>
      <c r="H12" s="59">
        <f ca="1">IFERROR(__xludf.DUMMYFUNCTION("""COMPUTED_VALUE"""),1.6)</f>
        <v>1.6</v>
      </c>
      <c r="I12" s="59">
        <f ca="1">IFERROR(__xludf.DUMMYFUNCTION("""COMPUTED_VALUE"""),1.6)</f>
        <v>1.6</v>
      </c>
      <c r="J12" s="59">
        <f ca="1">IFERROR(__xludf.DUMMYFUNCTION("""COMPUTED_VALUE"""),1.6)</f>
        <v>1.6</v>
      </c>
      <c r="K12" s="59">
        <f ca="1">IFERROR(__xludf.DUMMYFUNCTION("""COMPUTED_VALUE"""),1.6)</f>
        <v>1.6</v>
      </c>
      <c r="L12" s="59">
        <f ca="1">IFERROR(__xludf.DUMMYFUNCTION("""COMPUTED_VALUE"""),1.6)</f>
        <v>1.6</v>
      </c>
      <c r="M12" s="59">
        <f ca="1">IFERROR(__xludf.DUMMYFUNCTION("""COMPUTED_VALUE"""),1.6)</f>
        <v>1.6</v>
      </c>
      <c r="N12" s="59">
        <f ca="1">IFERROR(__xludf.DUMMYFUNCTION("""COMPUTED_VALUE"""),1.5)</f>
        <v>1.5</v>
      </c>
      <c r="O12" s="59">
        <f ca="1">IFERROR(__xludf.DUMMYFUNCTION("""COMPUTED_VALUE"""),1.2)</f>
        <v>1.2</v>
      </c>
      <c r="P12" s="59">
        <f ca="1">IFERROR(__xludf.DUMMYFUNCTION("""COMPUTED_VALUE"""),0.9)</f>
        <v>0.9</v>
      </c>
    </row>
    <row r="13" spans="1:16" ht="15.75">
      <c r="A13" s="57" t="str">
        <f ca="1">IFERROR(__xludf.DUMMYFUNCTION("""COMPUTED_VALUE"""),"Peugeot")</f>
        <v>Peugeot</v>
      </c>
      <c r="B13" s="58">
        <v>9.4000000000000004E-3</v>
      </c>
      <c r="C13" s="59">
        <f ca="1">IFERROR(__xludf.DUMMYFUNCTION("""COMPUTED_VALUE"""),0.78)</f>
        <v>0.78</v>
      </c>
      <c r="D13" s="59">
        <f ca="1">IFERROR(__xludf.DUMMYFUNCTION("""COMPUTED_VALUE"""),0.53)</f>
        <v>0.53</v>
      </c>
      <c r="E13" s="59">
        <f ca="1">IFERROR(__xludf.DUMMYFUNCTION("""COMPUTED_VALUE"""),0.48)</f>
        <v>0.48</v>
      </c>
      <c r="F13" s="59">
        <f ca="1">IFERROR(__xludf.DUMMYFUNCTION("""COMPUTED_VALUE"""),0)</f>
        <v>0</v>
      </c>
      <c r="G13" s="59">
        <f ca="1">IFERROR(__xludf.DUMMYFUNCTION("""COMPUTED_VALUE"""),0)</f>
        <v>0</v>
      </c>
      <c r="H13" s="59">
        <f ca="1">IFERROR(__xludf.DUMMYFUNCTION("""COMPUTED_VALUE"""),0)</f>
        <v>0</v>
      </c>
      <c r="I13" s="59">
        <f ca="1">IFERROR(__xludf.DUMMYFUNCTION("""COMPUTED_VALUE"""),0)</f>
        <v>0</v>
      </c>
      <c r="J13" s="59">
        <f ca="1">IFERROR(__xludf.DUMMYFUNCTION("""COMPUTED_VALUE"""),0)</f>
        <v>0</v>
      </c>
      <c r="K13" s="59">
        <f ca="1">IFERROR(__xludf.DUMMYFUNCTION("""COMPUTED_VALUE"""),1.1)</f>
        <v>1.1000000000000001</v>
      </c>
      <c r="L13" s="59">
        <f ca="1">IFERROR(__xludf.DUMMYFUNCTION("""COMPUTED_VALUE"""),0)</f>
        <v>0</v>
      </c>
      <c r="M13" s="59">
        <f ca="1">IFERROR(__xludf.DUMMYFUNCTION("""COMPUTED_VALUE"""),0)</f>
        <v>0</v>
      </c>
      <c r="N13" s="59">
        <f ca="1">IFERROR(__xludf.DUMMYFUNCTION("""COMPUTED_VALUE"""),1.5)</f>
        <v>1.5</v>
      </c>
      <c r="O13" s="59">
        <f ca="1">IFERROR(__xludf.DUMMYFUNCTION("""COMPUTED_VALUE"""),1.35)</f>
        <v>1.35</v>
      </c>
      <c r="P13" s="59">
        <f ca="1">IFERROR(__xludf.DUMMYFUNCTION("""COMPUTED_VALUE"""),1.35)</f>
        <v>1.35</v>
      </c>
    </row>
    <row r="14" spans="1:16" ht="15.75">
      <c r="A14" s="57" t="str">
        <f ca="1">IFERROR(__xludf.DUMMYFUNCTION("""COMPUTED_VALUE"""),"Saint Gobain")</f>
        <v>Saint Gobain</v>
      </c>
      <c r="B14" s="58">
        <v>1.34E-2</v>
      </c>
      <c r="C14" s="59">
        <f ca="1">IFERROR(__xludf.DUMMYFUNCTION("""COMPUTED_VALUE"""),1.33)</f>
        <v>1.33</v>
      </c>
      <c r="D14" s="59">
        <f ca="1">IFERROR(__xludf.DUMMYFUNCTION("""COMPUTED_VALUE"""),1.3)</f>
        <v>1.3</v>
      </c>
      <c r="E14" s="59">
        <f ca="1">IFERROR(__xludf.DUMMYFUNCTION("""COMPUTED_VALUE"""),1.26)</f>
        <v>1.26</v>
      </c>
      <c r="F14" s="59">
        <f ca="1">IFERROR(__xludf.DUMMYFUNCTION("""COMPUTED_VALUE"""),1.24)</f>
        <v>1.24</v>
      </c>
      <c r="G14" s="59">
        <f ca="1">IFERROR(__xludf.DUMMYFUNCTION("""COMPUTED_VALUE"""),1.24)</f>
        <v>1.24</v>
      </c>
      <c r="H14" s="59">
        <f ca="1">IFERROR(__xludf.DUMMYFUNCTION("""COMPUTED_VALUE"""),1.24)</f>
        <v>1.24</v>
      </c>
      <c r="I14" s="59">
        <f ca="1">IFERROR(__xludf.DUMMYFUNCTION("""COMPUTED_VALUE"""),1.24)</f>
        <v>1.24</v>
      </c>
      <c r="J14" s="59">
        <f ca="1">IFERROR(__xludf.DUMMYFUNCTION("""COMPUTED_VALUE"""),1.24)</f>
        <v>1.24</v>
      </c>
      <c r="K14" s="59">
        <f ca="1">IFERROR(__xludf.DUMMYFUNCTION("""COMPUTED_VALUE"""),1.15)</f>
        <v>1.1499999999999999</v>
      </c>
      <c r="L14" s="59">
        <f ca="1">IFERROR(__xludf.DUMMYFUNCTION("""COMPUTED_VALUE"""),1)</f>
        <v>1</v>
      </c>
      <c r="M14" s="59">
        <f ca="1">IFERROR(__xludf.DUMMYFUNCTION("""COMPUTED_VALUE"""),1)</f>
        <v>1</v>
      </c>
      <c r="N14" s="59">
        <f ca="1">IFERROR(__xludf.DUMMYFUNCTION("""COMPUTED_VALUE"""),2.05)</f>
        <v>2.0499999999999998</v>
      </c>
      <c r="O14" s="59">
        <f ca="1">IFERROR(__xludf.DUMMYFUNCTION("""COMPUTED_VALUE"""),1.7)</f>
        <v>1.7</v>
      </c>
      <c r="P14" s="59">
        <f ca="1">IFERROR(__xludf.DUMMYFUNCTION("""COMPUTED_VALUE"""),1.36)</f>
        <v>1.36</v>
      </c>
    </row>
    <row r="15" spans="1:16" ht="15.75">
      <c r="A15" s="57" t="str">
        <f ca="1">IFERROR(__xludf.DUMMYFUNCTION("""COMPUTED_VALUE"""),"Veolia")</f>
        <v>Veolia</v>
      </c>
      <c r="B15" s="58">
        <v>0.01</v>
      </c>
      <c r="C15" s="59">
        <f ca="1">IFERROR(__xludf.DUMMYFUNCTION("""COMPUTED_VALUE"""),0.92)</f>
        <v>0.92</v>
      </c>
      <c r="D15" s="59">
        <f ca="1">IFERROR(__xludf.DUMMYFUNCTION("""COMPUTED_VALUE"""),0.84)</f>
        <v>0.84</v>
      </c>
      <c r="E15" s="59">
        <f ca="1">IFERROR(__xludf.DUMMYFUNCTION("""COMPUTED_VALUE"""),0.8)</f>
        <v>0.8</v>
      </c>
      <c r="F15" s="59">
        <f ca="1">IFERROR(__xludf.DUMMYFUNCTION("""COMPUTED_VALUE"""),0.73)</f>
        <v>0.73</v>
      </c>
      <c r="G15" s="59">
        <f ca="1">IFERROR(__xludf.DUMMYFUNCTION("""COMPUTED_VALUE"""),0.7)</f>
        <v>0.7</v>
      </c>
      <c r="H15" s="59">
        <f ca="1">IFERROR(__xludf.DUMMYFUNCTION("""COMPUTED_VALUE"""),0.7)</f>
        <v>0.7</v>
      </c>
      <c r="I15" s="59">
        <f ca="1">IFERROR(__xludf.DUMMYFUNCTION("""COMPUTED_VALUE"""),0.7)</f>
        <v>0.7</v>
      </c>
      <c r="J15" s="59">
        <f ca="1">IFERROR(__xludf.DUMMYFUNCTION("""COMPUTED_VALUE"""),0.7)</f>
        <v>0.7</v>
      </c>
      <c r="K15" s="59">
        <f ca="1">IFERROR(__xludf.DUMMYFUNCTION("""COMPUTED_VALUE"""),1.21)</f>
        <v>1.21</v>
      </c>
      <c r="L15" s="59">
        <f ca="1">IFERROR(__xludf.DUMMYFUNCTION("""COMPUTED_VALUE"""),1.21)</f>
        <v>1.21</v>
      </c>
      <c r="M15" s="59">
        <f ca="1">IFERROR(__xludf.DUMMYFUNCTION("""COMPUTED_VALUE"""),1.21)</f>
        <v>1.21</v>
      </c>
      <c r="N15" s="59">
        <f ca="1">IFERROR(__xludf.DUMMYFUNCTION("""COMPUTED_VALUE"""),1.21)</f>
        <v>1.21</v>
      </c>
      <c r="O15" s="59">
        <f ca="1">IFERROR(__xludf.DUMMYFUNCTION("""COMPUTED_VALUE"""),1.05)</f>
        <v>1.05</v>
      </c>
      <c r="P15" s="59">
        <f ca="1">IFERROR(__xludf.DUMMYFUNCTION("""COMPUTED_VALUE"""),0.85)</f>
        <v>0.85</v>
      </c>
    </row>
    <row r="16" spans="1:16" ht="15.75">
      <c r="A16" s="57" t="str">
        <f ca="1">IFERROR(__xludf.DUMMYFUNCTION("""COMPUTED_VALUE"""),"Michelin")</f>
        <v>Michelin</v>
      </c>
      <c r="B16" s="58">
        <v>1.47E-2</v>
      </c>
      <c r="C16" s="59">
        <f ca="1">IFERROR(__xludf.DUMMYFUNCTION("""COMPUTED_VALUE"""),3.7)</f>
        <v>3.7</v>
      </c>
      <c r="D16" s="59">
        <f ca="1">IFERROR(__xludf.DUMMYFUNCTION("""COMPUTED_VALUE"""),3.55)</f>
        <v>3.55</v>
      </c>
      <c r="E16" s="59">
        <f ca="1">IFERROR(__xludf.DUMMYFUNCTION("""COMPUTED_VALUE"""),3.25)</f>
        <v>3.25</v>
      </c>
      <c r="F16" s="59">
        <f ca="1">IFERROR(__xludf.DUMMYFUNCTION("""COMPUTED_VALUE"""),2.85)</f>
        <v>2.85</v>
      </c>
      <c r="G16" s="59">
        <f ca="1">IFERROR(__xludf.DUMMYFUNCTION("""COMPUTED_VALUE"""),2.5)</f>
        <v>2.5</v>
      </c>
      <c r="H16" s="59">
        <f ca="1">IFERROR(__xludf.DUMMYFUNCTION("""COMPUTED_VALUE"""),2.5)</f>
        <v>2.5</v>
      </c>
      <c r="I16" s="59">
        <f ca="1">IFERROR(__xludf.DUMMYFUNCTION("""COMPUTED_VALUE"""),2.4)</f>
        <v>2.4</v>
      </c>
      <c r="J16" s="59">
        <f ca="1">IFERROR(__xludf.DUMMYFUNCTION("""COMPUTED_VALUE"""),2.1)</f>
        <v>2.1</v>
      </c>
      <c r="K16" s="59">
        <f ca="1">IFERROR(__xludf.DUMMYFUNCTION("""COMPUTED_VALUE"""),1.78)</f>
        <v>1.78</v>
      </c>
      <c r="L16" s="59">
        <f ca="1">IFERROR(__xludf.DUMMYFUNCTION("""COMPUTED_VALUE"""),1)</f>
        <v>1</v>
      </c>
      <c r="M16" s="59">
        <f ca="1">IFERROR(__xludf.DUMMYFUNCTION("""COMPUTED_VALUE"""),1)</f>
        <v>1</v>
      </c>
      <c r="N16" s="59">
        <f ca="1">IFERROR(__xludf.DUMMYFUNCTION("""COMPUTED_VALUE"""),1.6)</f>
        <v>1.6</v>
      </c>
      <c r="O16" s="59">
        <f ca="1">IFERROR(__xludf.DUMMYFUNCTION("""COMPUTED_VALUE"""),1.45)</f>
        <v>1.45</v>
      </c>
      <c r="P16" s="59">
        <f ca="1">IFERROR(__xludf.DUMMYFUNCTION("""COMPUTED_VALUE"""),1.35)</f>
        <v>1.35</v>
      </c>
    </row>
    <row r="17" spans="1:16" ht="15.75">
      <c r="A17" s="57" t="str">
        <f ca="1">IFERROR(__xludf.DUMMYFUNCTION("""COMPUTED_VALUE"""),"Sanofi")</f>
        <v>Sanofi</v>
      </c>
      <c r="B17" s="58">
        <v>7.5399999999999995E-2</v>
      </c>
      <c r="C17" s="59">
        <f ca="1">IFERROR(__xludf.DUMMYFUNCTION("""COMPUTED_VALUE"""),3.07)</f>
        <v>3.07</v>
      </c>
      <c r="D17" s="59">
        <f ca="1">IFERROR(__xludf.DUMMYFUNCTION("""COMPUTED_VALUE"""),3.03)</f>
        <v>3.03</v>
      </c>
      <c r="E17" s="59">
        <f ca="1">IFERROR(__xludf.DUMMYFUNCTION("""COMPUTED_VALUE"""),2.96)</f>
        <v>2.96</v>
      </c>
      <c r="F17" s="59">
        <f ca="1">IFERROR(__xludf.DUMMYFUNCTION("""COMPUTED_VALUE"""),2.93)</f>
        <v>2.93</v>
      </c>
      <c r="G17" s="59">
        <f ca="1">IFERROR(__xludf.DUMMYFUNCTION("""COMPUTED_VALUE"""),2.85)</f>
        <v>2.85</v>
      </c>
      <c r="H17" s="59">
        <f ca="1">IFERROR(__xludf.DUMMYFUNCTION("""COMPUTED_VALUE"""),2.8)</f>
        <v>2.8</v>
      </c>
      <c r="I17" s="59">
        <f ca="1">IFERROR(__xludf.DUMMYFUNCTION("""COMPUTED_VALUE"""),2.77)</f>
        <v>2.77</v>
      </c>
      <c r="J17" s="59">
        <f ca="1">IFERROR(__xludf.DUMMYFUNCTION("""COMPUTED_VALUE"""),2.65)</f>
        <v>2.65</v>
      </c>
      <c r="K17" s="59">
        <f ca="1">IFERROR(__xludf.DUMMYFUNCTION("""COMPUTED_VALUE"""),2.5)</f>
        <v>2.5</v>
      </c>
      <c r="L17" s="59">
        <f ca="1">IFERROR(__xludf.DUMMYFUNCTION("""COMPUTED_VALUE"""),2.4)</f>
        <v>2.4</v>
      </c>
      <c r="M17" s="59">
        <f ca="1">IFERROR(__xludf.DUMMYFUNCTION("""COMPUTED_VALUE"""),2.2)</f>
        <v>2.2000000000000002</v>
      </c>
      <c r="N17" s="59">
        <f ca="1">IFERROR(__xludf.DUMMYFUNCTION("""COMPUTED_VALUE"""),2.07)</f>
        <v>2.0699999999999998</v>
      </c>
      <c r="O17" s="59">
        <f ca="1">IFERROR(__xludf.DUMMYFUNCTION("""COMPUTED_VALUE"""),1.75)</f>
        <v>1.75</v>
      </c>
      <c r="P17" s="59">
        <f ca="1">IFERROR(__xludf.DUMMYFUNCTION("""COMPUTED_VALUE"""),1.52)</f>
        <v>1.52</v>
      </c>
    </row>
    <row r="18" spans="1:16" ht="15.75">
      <c r="A18" s="57" t="str">
        <f ca="1">IFERROR(__xludf.DUMMYFUNCTION("""COMPUTED_VALUE"""),"Carrefour")</f>
        <v>Carrefour</v>
      </c>
      <c r="B18" s="58">
        <v>6.7999999999999996E-3</v>
      </c>
      <c r="C18" s="59">
        <f ca="1">IFERROR(__xludf.DUMMYFUNCTION("""COMPUTED_VALUE"""),0.46)</f>
        <v>0.46</v>
      </c>
      <c r="D18" s="59">
        <f ca="1">IFERROR(__xludf.DUMMYFUNCTION("""COMPUTED_VALUE"""),0.46)</f>
        <v>0.46</v>
      </c>
      <c r="E18" s="59">
        <f ca="1">IFERROR(__xludf.DUMMYFUNCTION("""COMPUTED_VALUE"""),0.7)</f>
        <v>0.7</v>
      </c>
      <c r="F18" s="59">
        <f ca="1">IFERROR(__xludf.DUMMYFUNCTION("""COMPUTED_VALUE"""),0.7)</f>
        <v>0.7</v>
      </c>
      <c r="G18" s="59">
        <f ca="1">IFERROR(__xludf.DUMMYFUNCTION("""COMPUTED_VALUE"""),0.68)</f>
        <v>0.68</v>
      </c>
      <c r="H18" s="59">
        <f ca="1">IFERROR(__xludf.DUMMYFUNCTION("""COMPUTED_VALUE"""),0.62)</f>
        <v>0.62</v>
      </c>
      <c r="I18" s="59">
        <f ca="1">IFERROR(__xludf.DUMMYFUNCTION("""COMPUTED_VALUE"""),0.58)</f>
        <v>0.57999999999999996</v>
      </c>
      <c r="J18" s="59">
        <f ca="1">IFERROR(__xludf.DUMMYFUNCTION("""COMPUTED_VALUE"""),0.52)</f>
        <v>0.52</v>
      </c>
      <c r="K18" s="59">
        <f ca="1">IFERROR(__xludf.DUMMYFUNCTION("""COMPUTED_VALUE"""),1.08)</f>
        <v>1.08</v>
      </c>
      <c r="L18" s="59">
        <f ca="1">IFERROR(__xludf.DUMMYFUNCTION("""COMPUTED_VALUE"""),1.08)</f>
        <v>1.08</v>
      </c>
      <c r="M18" s="59">
        <f ca="1">IFERROR(__xludf.DUMMYFUNCTION("""COMPUTED_VALUE"""),1.08)</f>
        <v>1.08</v>
      </c>
      <c r="N18" s="59">
        <f ca="1">IFERROR(__xludf.DUMMYFUNCTION("""COMPUTED_VALUE"""),1.08)</f>
        <v>1.08</v>
      </c>
      <c r="O18" s="59">
        <f ca="1">IFERROR(__xludf.DUMMYFUNCTION("""COMPUTED_VALUE"""),1.03)</f>
        <v>1.03</v>
      </c>
      <c r="P18" s="59">
        <f ca="1">IFERROR(__xludf.DUMMYFUNCTION("""COMPUTED_VALUE"""),1)</f>
        <v>1</v>
      </c>
    </row>
    <row r="19" spans="1:16" ht="15.75">
      <c r="A19" s="57" t="str">
        <f ca="1">IFERROR(__xludf.DUMMYFUNCTION("""COMPUTED_VALUE"""),"Technip")</f>
        <v>Technip</v>
      </c>
      <c r="B19" s="58">
        <v>6.3E-3</v>
      </c>
      <c r="C19" s="59">
        <f ca="1">IFERROR(__xludf.DUMMYFUNCTION("""COMPUTED_VALUE"""),0.52)</f>
        <v>0.52</v>
      </c>
      <c r="D19" s="59">
        <f ca="1">IFERROR(__xludf.DUMMYFUNCTION("""COMPUTED_VALUE"""),0.44)</f>
        <v>0.44</v>
      </c>
      <c r="E19" s="59">
        <f ca="1">IFERROR(__xludf.DUMMYFUNCTION("""COMPUTED_VALUE"""),0)</f>
        <v>0</v>
      </c>
      <c r="F19" s="59">
        <f ca="1">IFERROR(__xludf.DUMMYFUNCTION("""COMPUTED_VALUE"""),2)</f>
        <v>2</v>
      </c>
      <c r="G19" s="59">
        <f ca="1">IFERROR(__xludf.DUMMYFUNCTION("""COMPUTED_VALUE"""),2)</f>
        <v>2</v>
      </c>
      <c r="H19" s="59">
        <f ca="1">IFERROR(__xludf.DUMMYFUNCTION("""COMPUTED_VALUE"""),1.85)</f>
        <v>1.85</v>
      </c>
      <c r="I19" s="59">
        <f ca="1">IFERROR(__xludf.DUMMYFUNCTION("""COMPUTED_VALUE"""),1.68)</f>
        <v>1.68</v>
      </c>
      <c r="J19" s="59">
        <f ca="1">IFERROR(__xludf.DUMMYFUNCTION("""COMPUTED_VALUE"""),1.58)</f>
        <v>1.58</v>
      </c>
      <c r="K19" s="59">
        <f ca="1">IFERROR(__xludf.DUMMYFUNCTION("""COMPUTED_VALUE"""),1.45)</f>
        <v>1.45</v>
      </c>
      <c r="L19" s="59">
        <f ca="1">IFERROR(__xludf.DUMMYFUNCTION("""COMPUTED_VALUE"""),1.35)</f>
        <v>1.35</v>
      </c>
      <c r="M19" s="59">
        <f ca="1">IFERROR(__xludf.DUMMYFUNCTION("""COMPUTED_VALUE"""),1.2)</f>
        <v>1.2</v>
      </c>
      <c r="N19" s="59">
        <f ca="1">IFERROR(__xludf.DUMMYFUNCTION("""COMPUTED_VALUE"""),1.2)</f>
        <v>1.2</v>
      </c>
      <c r="O19" s="59">
        <f ca="1">IFERROR(__xludf.DUMMYFUNCTION("""COMPUTED_VALUE"""),3.15)</f>
        <v>3.15</v>
      </c>
      <c r="P19" s="59">
        <f ca="1">IFERROR(__xludf.DUMMYFUNCTION("""COMPUTED_VALUE"""),0.92)</f>
        <v>0.92</v>
      </c>
    </row>
    <row r="20" spans="1:16" ht="15.75">
      <c r="A20" s="57" t="str">
        <f ca="1">IFERROR(__xludf.DUMMYFUNCTION("""COMPUTED_VALUE"""),"Vinci")</f>
        <v>Vinci</v>
      </c>
      <c r="B20" s="58">
        <v>3.78E-2</v>
      </c>
      <c r="C20" s="59">
        <f ca="1">IFERROR(__xludf.DUMMYFUNCTION("""COMPUTED_VALUE"""),2.67)</f>
        <v>2.67</v>
      </c>
      <c r="D20" s="59">
        <f ca="1">IFERROR(__xludf.DUMMYFUNCTION("""COMPUTED_VALUE"""),2.45)</f>
        <v>2.4500000000000002</v>
      </c>
      <c r="E20" s="59">
        <f ca="1">IFERROR(__xludf.DUMMYFUNCTION("""COMPUTED_VALUE"""),2.1)</f>
        <v>2.1</v>
      </c>
      <c r="F20" s="59">
        <f ca="1">IFERROR(__xludf.DUMMYFUNCTION("""COMPUTED_VALUE"""),1.84)</f>
        <v>1.84</v>
      </c>
      <c r="G20" s="59">
        <f ca="1">IFERROR(__xludf.DUMMYFUNCTION("""COMPUTED_VALUE"""),2.22)</f>
        <v>2.2200000000000002</v>
      </c>
      <c r="H20" s="59">
        <f ca="1">IFERROR(__xludf.DUMMYFUNCTION("""COMPUTED_VALUE"""),1.77)</f>
        <v>1.77</v>
      </c>
      <c r="I20" s="59">
        <f ca="1">IFERROR(__xludf.DUMMYFUNCTION("""COMPUTED_VALUE"""),1.77)</f>
        <v>1.77</v>
      </c>
      <c r="J20" s="59">
        <f ca="1">IFERROR(__xludf.DUMMYFUNCTION("""COMPUTED_VALUE"""),1.77)</f>
        <v>1.77</v>
      </c>
      <c r="K20" s="59">
        <f ca="1">IFERROR(__xludf.DUMMYFUNCTION("""COMPUTED_VALUE"""),1.67)</f>
        <v>1.67</v>
      </c>
      <c r="L20" s="59">
        <f ca="1">IFERROR(__xludf.DUMMYFUNCTION("""COMPUTED_VALUE"""),1.62)</f>
        <v>1.62</v>
      </c>
      <c r="M20" s="59">
        <f ca="1">IFERROR(__xludf.DUMMYFUNCTION("""COMPUTED_VALUE"""),1.62)</f>
        <v>1.62</v>
      </c>
      <c r="N20" s="59">
        <f ca="1">IFERROR(__xludf.DUMMYFUNCTION("""COMPUTED_VALUE"""),1.52)</f>
        <v>1.52</v>
      </c>
      <c r="O20" s="59">
        <f ca="1">IFERROR(__xludf.DUMMYFUNCTION("""COMPUTED_VALUE"""),1.33)</f>
        <v>1.33</v>
      </c>
      <c r="P20" s="59">
        <f ca="1">IFERROR(__xludf.DUMMYFUNCTION("""COMPUTED_VALUE"""),1)</f>
        <v>1</v>
      </c>
    </row>
    <row r="21" spans="1:16" ht="15.75">
      <c r="A21" s="57" t="str">
        <f ca="1">IFERROR(__xludf.DUMMYFUNCTION("""COMPUTED_VALUE"""),"Sodexo")</f>
        <v>Sodexo</v>
      </c>
      <c r="B21" s="58">
        <v>7.0000000000000001E-3</v>
      </c>
      <c r="C21" s="59">
        <f ca="1">IFERROR(__xludf.DUMMYFUNCTION("""COMPUTED_VALUE"""),2.75)</f>
        <v>2.75</v>
      </c>
      <c r="D21" s="59">
        <f ca="1">IFERROR(__xludf.DUMMYFUNCTION("""COMPUTED_VALUE"""),2.75)</f>
        <v>2.75</v>
      </c>
      <c r="E21" s="59">
        <f ca="1">IFERROR(__xludf.DUMMYFUNCTION("""COMPUTED_VALUE"""),2.4)</f>
        <v>2.4</v>
      </c>
      <c r="F21" s="59">
        <f ca="1">IFERROR(__xludf.DUMMYFUNCTION("""COMPUTED_VALUE"""),2.2)</f>
        <v>2.2000000000000002</v>
      </c>
      <c r="G21" s="59">
        <f ca="1">IFERROR(__xludf.DUMMYFUNCTION("""COMPUTED_VALUE"""),1.8)</f>
        <v>1.8</v>
      </c>
      <c r="H21" s="59">
        <f ca="1">IFERROR(__xludf.DUMMYFUNCTION("""COMPUTED_VALUE"""),1.62)</f>
        <v>1.62</v>
      </c>
      <c r="I21" s="59">
        <f ca="1">IFERROR(__xludf.DUMMYFUNCTION("""COMPUTED_VALUE"""),1.59)</f>
        <v>1.59</v>
      </c>
      <c r="J21" s="59">
        <f ca="1">IFERROR(__xludf.DUMMYFUNCTION("""COMPUTED_VALUE"""),1.46)</f>
        <v>1.46</v>
      </c>
      <c r="K21" s="59">
        <f ca="1">IFERROR(__xludf.DUMMYFUNCTION("""COMPUTED_VALUE"""),1.35)</f>
        <v>1.35</v>
      </c>
      <c r="L21" s="59">
        <f ca="1">IFERROR(__xludf.DUMMYFUNCTION("""COMPUTED_VALUE"""),1.27)</f>
        <v>1.27</v>
      </c>
      <c r="M21" s="59">
        <f ca="1">IFERROR(__xludf.DUMMYFUNCTION("""COMPUTED_VALUE"""),1.27)</f>
        <v>1.27</v>
      </c>
      <c r="N21" s="59">
        <f ca="1">IFERROR(__xludf.DUMMYFUNCTION("""COMPUTED_VALUE"""),1.15)</f>
        <v>1.1499999999999999</v>
      </c>
      <c r="O21" s="59">
        <f ca="1">IFERROR(__xludf.DUMMYFUNCTION("""COMPUTED_VALUE"""),0.95)</f>
        <v>0.95</v>
      </c>
      <c r="P21" s="59">
        <f ca="1">IFERROR(__xludf.DUMMYFUNCTION("""COMPUTED_VALUE"""),0.75)</f>
        <v>0.75</v>
      </c>
    </row>
    <row r="22" spans="1:16" ht="15.75">
      <c r="A22" s="57" t="str">
        <f ca="1">IFERROR(__xludf.DUMMYFUNCTION("""COMPUTED_VALUE"""),"Danone")</f>
        <v>Danone</v>
      </c>
      <c r="B22" s="58">
        <v>3.5999999999999997E-2</v>
      </c>
      <c r="C22" s="59">
        <f ca="1">IFERROR(__xludf.DUMMYFUNCTION("""COMPUTED_VALUE"""),1.94)</f>
        <v>1.94</v>
      </c>
      <c r="D22" s="59">
        <f ca="1">IFERROR(__xludf.DUMMYFUNCTION("""COMPUTED_VALUE"""),1.9)</f>
        <v>1.9</v>
      </c>
      <c r="E22" s="59">
        <f ca="1">IFERROR(__xludf.DUMMYFUNCTION("""COMPUTED_VALUE"""),1.7)</f>
        <v>1.7</v>
      </c>
      <c r="F22" s="59">
        <f ca="1">IFERROR(__xludf.DUMMYFUNCTION("""COMPUTED_VALUE"""),1.6)</f>
        <v>1.6</v>
      </c>
      <c r="G22" s="59">
        <f ca="1">IFERROR(__xludf.DUMMYFUNCTION("""COMPUTED_VALUE"""),1.5)</f>
        <v>1.5</v>
      </c>
      <c r="H22" s="59">
        <f ca="1">IFERROR(__xludf.DUMMYFUNCTION("""COMPUTED_VALUE"""),1.45)</f>
        <v>1.45</v>
      </c>
      <c r="I22" s="59">
        <f ca="1">IFERROR(__xludf.DUMMYFUNCTION("""COMPUTED_VALUE"""),1.45)</f>
        <v>1.45</v>
      </c>
      <c r="J22" s="59">
        <f ca="1">IFERROR(__xludf.DUMMYFUNCTION("""COMPUTED_VALUE"""),1.39)</f>
        <v>1.39</v>
      </c>
      <c r="K22" s="59">
        <f ca="1">IFERROR(__xludf.DUMMYFUNCTION("""COMPUTED_VALUE"""),1.3)</f>
        <v>1.3</v>
      </c>
      <c r="L22" s="59">
        <f ca="1">IFERROR(__xludf.DUMMYFUNCTION("""COMPUTED_VALUE"""),1.2)</f>
        <v>1.2</v>
      </c>
      <c r="M22" s="59">
        <f ca="1">IFERROR(__xludf.DUMMYFUNCTION("""COMPUTED_VALUE"""),1.1)</f>
        <v>1.1000000000000001</v>
      </c>
      <c r="N22" s="59">
        <f ca="1">IFERROR(__xludf.DUMMYFUNCTION("""COMPUTED_VALUE"""),1)</f>
        <v>1</v>
      </c>
      <c r="O22" s="59">
        <f ca="1">IFERROR(__xludf.DUMMYFUNCTION("""COMPUTED_VALUE"""),0.85)</f>
        <v>0.85</v>
      </c>
      <c r="P22" s="59">
        <f ca="1">IFERROR(__xludf.DUMMYFUNCTION("""COMPUTED_VALUE"""),0.68)</f>
        <v>0.68</v>
      </c>
    </row>
    <row r="23" spans="1:16" ht="15.75">
      <c r="A23" s="57" t="str">
        <f ca="1">IFERROR(__xludf.DUMMYFUNCTION("""COMPUTED_VALUE"""),"Accor")</f>
        <v>Accor</v>
      </c>
      <c r="B23" s="58">
        <v>5.8999999999999999E-3</v>
      </c>
      <c r="C23" s="59">
        <f ca="1">IFERROR(__xludf.DUMMYFUNCTION("""COMPUTED_VALUE"""),1.05)</f>
        <v>1.05</v>
      </c>
      <c r="D23" s="59">
        <f ca="1">IFERROR(__xludf.DUMMYFUNCTION("""COMPUTED_VALUE"""),1.05)</f>
        <v>1.05</v>
      </c>
      <c r="E23" s="59">
        <f ca="1">IFERROR(__xludf.DUMMYFUNCTION("""COMPUTED_VALUE"""),1.05)</f>
        <v>1.05</v>
      </c>
      <c r="F23" s="59">
        <f ca="1">IFERROR(__xludf.DUMMYFUNCTION("""COMPUTED_VALUE"""),1)</f>
        <v>1</v>
      </c>
      <c r="G23" s="59">
        <f ca="1">IFERROR(__xludf.DUMMYFUNCTION("""COMPUTED_VALUE"""),0.95)</f>
        <v>0.95</v>
      </c>
      <c r="H23" s="59">
        <f ca="1">IFERROR(__xludf.DUMMYFUNCTION("""COMPUTED_VALUE"""),0.8)</f>
        <v>0.8</v>
      </c>
      <c r="I23" s="59">
        <f ca="1">IFERROR(__xludf.DUMMYFUNCTION("""COMPUTED_VALUE"""),0.76)</f>
        <v>0.76</v>
      </c>
      <c r="J23" s="59">
        <f ca="1">IFERROR(__xludf.DUMMYFUNCTION("""COMPUTED_VALUE"""),1.15)</f>
        <v>1.1499999999999999</v>
      </c>
      <c r="K23" s="59">
        <f ca="1">IFERROR(__xludf.DUMMYFUNCTION("""COMPUTED_VALUE"""),1.62)</f>
        <v>1.62</v>
      </c>
      <c r="L23" s="59">
        <f ca="1">IFERROR(__xludf.DUMMYFUNCTION("""COMPUTED_VALUE"""),1.05)</f>
        <v>1.05</v>
      </c>
      <c r="M23" s="59">
        <f ca="1">IFERROR(__xludf.DUMMYFUNCTION("""COMPUTED_VALUE"""),1.65)</f>
        <v>1.65</v>
      </c>
      <c r="N23" s="59">
        <f ca="1">IFERROR(__xludf.DUMMYFUNCTION("""COMPUTED_VALUE"""),3.15)</f>
        <v>3.15</v>
      </c>
      <c r="O23" s="59">
        <f ca="1">IFERROR(__xludf.DUMMYFUNCTION("""COMPUTED_VALUE"""),2.95)</f>
        <v>2.95</v>
      </c>
      <c r="P23" s="59">
        <f ca="1">IFERROR(__xludf.DUMMYFUNCTION("""COMPUTED_VALUE"""),1.15)</f>
        <v>1.1499999999999999</v>
      </c>
    </row>
    <row r="24" spans="1:16" ht="15.75">
      <c r="A24" s="57" t="str">
        <f ca="1">IFERROR(__xludf.DUMMYFUNCTION("""COMPUTED_VALUE"""),"Schneider Electric")</f>
        <v>Schneider Electric</v>
      </c>
      <c r="B24" s="58">
        <v>3.78E-2</v>
      </c>
      <c r="C24" s="59">
        <f ca="1">IFERROR(__xludf.DUMMYFUNCTION("""COMPUTED_VALUE"""),2.35)</f>
        <v>2.35</v>
      </c>
      <c r="D24" s="59">
        <f ca="1">IFERROR(__xludf.DUMMYFUNCTION("""COMPUTED_VALUE"""),2.2)</f>
        <v>2.2000000000000002</v>
      </c>
      <c r="E24" s="59">
        <f ca="1">IFERROR(__xludf.DUMMYFUNCTION("""COMPUTED_VALUE"""),2.04)</f>
        <v>2.04</v>
      </c>
      <c r="F24" s="59">
        <f ca="1">IFERROR(__xludf.DUMMYFUNCTION("""COMPUTED_VALUE"""),2)</f>
        <v>2</v>
      </c>
      <c r="G24" s="59">
        <f ca="1">IFERROR(__xludf.DUMMYFUNCTION("""COMPUTED_VALUE"""),1.92)</f>
        <v>1.92</v>
      </c>
      <c r="H24" s="59">
        <f ca="1">IFERROR(__xludf.DUMMYFUNCTION("""COMPUTED_VALUE"""),1.87)</f>
        <v>1.87</v>
      </c>
      <c r="I24" s="59">
        <f ca="1">IFERROR(__xludf.DUMMYFUNCTION("""COMPUTED_VALUE"""),1.87)</f>
        <v>1.87</v>
      </c>
      <c r="J24" s="59">
        <f ca="1">IFERROR(__xludf.DUMMYFUNCTION("""COMPUTED_VALUE"""),1.7)</f>
        <v>1.7</v>
      </c>
      <c r="K24" s="59">
        <f ca="1">IFERROR(__xludf.DUMMYFUNCTION("""COMPUTED_VALUE"""),1.6)</f>
        <v>1.6</v>
      </c>
      <c r="L24" s="59">
        <f ca="1">IFERROR(__xludf.DUMMYFUNCTION("""COMPUTED_VALUE"""),1.025)</f>
        <v>1.0249999999999999</v>
      </c>
      <c r="M24" s="59">
        <f ca="1">IFERROR(__xludf.DUMMYFUNCTION("""COMPUTED_VALUE"""),1.725)</f>
        <v>1.7250000000000001</v>
      </c>
      <c r="N24" s="59">
        <f ca="1">IFERROR(__xludf.DUMMYFUNCTION("""COMPUTED_VALUE"""),1.65)</f>
        <v>1.65</v>
      </c>
      <c r="O24" s="59">
        <f ca="1">IFERROR(__xludf.DUMMYFUNCTION("""COMPUTED_VALUE"""),1.5)</f>
        <v>1.5</v>
      </c>
      <c r="P24" s="59">
        <f ca="1">IFERROR(__xludf.DUMMYFUNCTION("""COMPUTED_VALUE"""),1.125)</f>
        <v>1.125</v>
      </c>
    </row>
    <row r="25" spans="1:16" ht="15.75">
      <c r="A25" s="57" t="str">
        <f ca="1">IFERROR(__xludf.DUMMYFUNCTION("""COMPUTED_VALUE"""),"Atos")</f>
        <v>Atos</v>
      </c>
      <c r="B25" s="58">
        <v>5.4999999999999997E-3</v>
      </c>
      <c r="C25" s="59">
        <f ca="1">IFERROR(__xludf.DUMMYFUNCTION("""COMPUTED_VALUE"""),1.7)</f>
        <v>1.7</v>
      </c>
      <c r="D25" s="59">
        <f ca="1">IFERROR(__xludf.DUMMYFUNCTION("""COMPUTED_VALUE"""),1.7)</f>
        <v>1.7</v>
      </c>
      <c r="E25" s="59">
        <f ca="1">IFERROR(__xludf.DUMMYFUNCTION("""COMPUTED_VALUE"""),1.6)</f>
        <v>1.6</v>
      </c>
      <c r="F25" s="59">
        <f ca="1">IFERROR(__xludf.DUMMYFUNCTION("""COMPUTED_VALUE"""),1.1)</f>
        <v>1.1000000000000001</v>
      </c>
      <c r="G25" s="59">
        <f ca="1">IFERROR(__xludf.DUMMYFUNCTION("""COMPUTED_VALUE"""),0.8)</f>
        <v>0.8</v>
      </c>
      <c r="H25" s="59">
        <f ca="1">IFERROR(__xludf.DUMMYFUNCTION("""COMPUTED_VALUE"""),0.7)</f>
        <v>0.7</v>
      </c>
      <c r="I25" s="59">
        <f ca="1">IFERROR(__xludf.DUMMYFUNCTION("""COMPUTED_VALUE"""),0.6)</f>
        <v>0.6</v>
      </c>
      <c r="J25" s="59">
        <f ca="1">IFERROR(__xludf.DUMMYFUNCTION("""COMPUTED_VALUE"""),0.5)</f>
        <v>0.5</v>
      </c>
      <c r="K25" s="59">
        <f ca="1">IFERROR(__xludf.DUMMYFUNCTION("""COMPUTED_VALUE"""),0.5)</f>
        <v>0.5</v>
      </c>
      <c r="L25" s="59">
        <f ca="1">IFERROR(__xludf.DUMMYFUNCTION("""COMPUTED_VALUE"""),0)</f>
        <v>0</v>
      </c>
      <c r="M25" s="59">
        <f ca="1">IFERROR(__xludf.DUMMYFUNCTION("""COMPUTED_VALUE"""),0)</f>
        <v>0</v>
      </c>
      <c r="N25" s="59">
        <f ca="1">IFERROR(__xludf.DUMMYFUNCTION("""COMPUTED_VALUE"""),0.4)</f>
        <v>0.4</v>
      </c>
      <c r="O25" s="59">
        <f ca="1">IFERROR(__xludf.DUMMYFUNCTION("""COMPUTED_VALUE"""),0)</f>
        <v>0</v>
      </c>
      <c r="P25" s="59">
        <f ca="1">IFERROR(__xludf.DUMMYFUNCTION("""COMPUTED_VALUE"""),0)</f>
        <v>0</v>
      </c>
    </row>
    <row r="26" spans="1:16" ht="15.75">
      <c r="A26" s="57" t="str">
        <f ca="1">IFERROR(__xludf.DUMMYFUNCTION("""COMPUTED_VALUE"""),"Kering")</f>
        <v>Kering</v>
      </c>
      <c r="B26" s="58">
        <v>3.3099999999999997E-2</v>
      </c>
      <c r="C26" s="59">
        <f ca="1">IFERROR(__xludf.DUMMYFUNCTION("""COMPUTED_VALUE"""),10.4)</f>
        <v>10.4</v>
      </c>
      <c r="D26" s="59">
        <f ca="1">IFERROR(__xludf.DUMMYFUNCTION("""COMPUTED_VALUE"""),6)</f>
        <v>6</v>
      </c>
      <c r="E26" s="59">
        <f ca="1">IFERROR(__xludf.DUMMYFUNCTION("""COMPUTED_VALUE"""),4.6)</f>
        <v>4.5999999999999996</v>
      </c>
      <c r="F26" s="59">
        <f ca="1">IFERROR(__xludf.DUMMYFUNCTION("""COMPUTED_VALUE"""),4)</f>
        <v>4</v>
      </c>
      <c r="G26" s="59">
        <f ca="1">IFERROR(__xludf.DUMMYFUNCTION("""COMPUTED_VALUE"""),4)</f>
        <v>4</v>
      </c>
      <c r="H26" s="59">
        <f ca="1">IFERROR(__xludf.DUMMYFUNCTION("""COMPUTED_VALUE"""),3.75)</f>
        <v>3.75</v>
      </c>
      <c r="I26" s="59">
        <f ca="1">IFERROR(__xludf.DUMMYFUNCTION("""COMPUTED_VALUE"""),3.75)</f>
        <v>3.75</v>
      </c>
      <c r="J26" s="59">
        <f ca="1">IFERROR(__xludf.DUMMYFUNCTION("""COMPUTED_VALUE"""),3.5)</f>
        <v>3.5</v>
      </c>
      <c r="K26" s="59">
        <f ca="1">IFERROR(__xludf.DUMMYFUNCTION("""COMPUTED_VALUE"""),3.5)</f>
        <v>3.5</v>
      </c>
      <c r="L26" s="59">
        <f ca="1">IFERROR(__xludf.DUMMYFUNCTION("""COMPUTED_VALUE"""),3.3)</f>
        <v>3.3</v>
      </c>
      <c r="M26" s="59">
        <f ca="1">IFERROR(__xludf.DUMMYFUNCTION("""COMPUTED_VALUE"""),3.3)</f>
        <v>3.3</v>
      </c>
      <c r="N26" s="59">
        <f ca="1">IFERROR(__xludf.DUMMYFUNCTION("""COMPUTED_VALUE"""),3.45)</f>
        <v>3.45</v>
      </c>
      <c r="O26" s="59">
        <f ca="1">IFERROR(__xludf.DUMMYFUNCTION("""COMPUTED_VALUE"""),3)</f>
        <v>3</v>
      </c>
      <c r="P26" s="59">
        <f ca="1">IFERROR(__xludf.DUMMYFUNCTION("""COMPUTED_VALUE"""),2.72)</f>
        <v>2.72</v>
      </c>
    </row>
    <row r="27" spans="1:16" ht="15.75">
      <c r="A27" s="57" t="str">
        <f ca="1">IFERROR(__xludf.DUMMYFUNCTION("""COMPUTED_VALUE"""),"Air Liquide")</f>
        <v>Air Liquide</v>
      </c>
      <c r="B27" s="58">
        <v>4.4400000000000002E-2</v>
      </c>
      <c r="C27" s="59">
        <f ca="1">IFERROR(__xludf.DUMMYFUNCTION("""COMPUTED_VALUE"""),2.65)</f>
        <v>2.65</v>
      </c>
      <c r="D27" s="59">
        <f ca="1">IFERROR(__xludf.DUMMYFUNCTION("""COMPUTED_VALUE"""),2.65)</f>
        <v>2.65</v>
      </c>
      <c r="E27" s="59">
        <f ca="1">IFERROR(__xludf.DUMMYFUNCTION("""COMPUTED_VALUE"""),2.6)</f>
        <v>2.6</v>
      </c>
      <c r="F27" s="59">
        <f ca="1">IFERROR(__xludf.DUMMYFUNCTION("""COMPUTED_VALUE"""),2.6)</f>
        <v>2.6</v>
      </c>
      <c r="G27" s="59">
        <f ca="1">IFERROR(__xludf.DUMMYFUNCTION("""COMPUTED_VALUE"""),2.55)</f>
        <v>2.5499999999999998</v>
      </c>
      <c r="H27" s="59">
        <f ca="1">IFERROR(__xludf.DUMMYFUNCTION("""COMPUTED_VALUE"""),2.55)</f>
        <v>2.5499999999999998</v>
      </c>
      <c r="I27" s="59">
        <f ca="1">IFERROR(__xludf.DUMMYFUNCTION("""COMPUTED_VALUE"""),2.5)</f>
        <v>2.5</v>
      </c>
      <c r="J27" s="59">
        <f ca="1">IFERROR(__xludf.DUMMYFUNCTION("""COMPUTED_VALUE"""),2.5)</f>
        <v>2.5</v>
      </c>
      <c r="K27" s="59">
        <f ca="1">IFERROR(__xludf.DUMMYFUNCTION("""COMPUTED_VALUE"""),2.35)</f>
        <v>2.35</v>
      </c>
      <c r="L27" s="59">
        <f ca="1">IFERROR(__xludf.DUMMYFUNCTION("""COMPUTED_VALUE"""),2.25)</f>
        <v>2.25</v>
      </c>
      <c r="M27" s="59">
        <f ca="1">IFERROR(__xludf.DUMMYFUNCTION("""COMPUTED_VALUE"""),2.25)</f>
        <v>2.25</v>
      </c>
      <c r="N27" s="59">
        <f ca="1">IFERROR(__xludf.DUMMYFUNCTION("""COMPUTED_VALUE"""),2.25)</f>
        <v>2.25</v>
      </c>
      <c r="O27" s="59">
        <f ca="1">IFERROR(__xludf.DUMMYFUNCTION("""COMPUTED_VALUE"""),2.05)</f>
        <v>2.0499999999999998</v>
      </c>
      <c r="P27" s="59">
        <f ca="1">IFERROR(__xludf.DUMMYFUNCTION("""COMPUTED_VALUE"""),2)</f>
        <v>2</v>
      </c>
    </row>
    <row r="28" spans="1:16" ht="15.75">
      <c r="A28" s="57" t="str">
        <f ca="1">IFERROR(__xludf.DUMMYFUNCTION("""COMPUTED_VALUE"""),"Vivendi")</f>
        <v>Vivendi</v>
      </c>
      <c r="B28" s="58">
        <v>1.6500000000000001E-2</v>
      </c>
      <c r="C28" s="59">
        <f ca="1">IFERROR(__xludf.DUMMYFUNCTION("""COMPUTED_VALUE"""),0.5)</f>
        <v>0.5</v>
      </c>
      <c r="D28" s="59">
        <f ca="1">IFERROR(__xludf.DUMMYFUNCTION("""COMPUTED_VALUE"""),0.45)</f>
        <v>0.45</v>
      </c>
      <c r="E28" s="59">
        <f ca="1">IFERROR(__xludf.DUMMYFUNCTION("""COMPUTED_VALUE"""),1)</f>
        <v>1</v>
      </c>
      <c r="F28" s="59">
        <f ca="1">IFERROR(__xludf.DUMMYFUNCTION("""COMPUTED_VALUE"""),3)</f>
        <v>3</v>
      </c>
      <c r="G28" s="59">
        <f ca="1">IFERROR(__xludf.DUMMYFUNCTION("""COMPUTED_VALUE"""),1)</f>
        <v>1</v>
      </c>
      <c r="H28" s="59">
        <f ca="1">IFERROR(__xludf.DUMMYFUNCTION("""COMPUTED_VALUE"""),1)</f>
        <v>1</v>
      </c>
      <c r="I28" s="59">
        <f ca="1">IFERROR(__xludf.DUMMYFUNCTION("""COMPUTED_VALUE"""),1)</f>
        <v>1</v>
      </c>
      <c r="J28" s="59">
        <f ca="1">IFERROR(__xludf.DUMMYFUNCTION("""COMPUTED_VALUE"""),1)</f>
        <v>1</v>
      </c>
      <c r="K28" s="59">
        <f ca="1">IFERROR(__xludf.DUMMYFUNCTION("""COMPUTED_VALUE"""),1.4)</f>
        <v>1.4</v>
      </c>
      <c r="L28" s="59">
        <f ca="1">IFERROR(__xludf.DUMMYFUNCTION("""COMPUTED_VALUE"""),1.4)</f>
        <v>1.4</v>
      </c>
      <c r="M28" s="59" t="str">
        <f ca="1">IFERROR(__xludf.DUMMYFUNCTION("""COMPUTED_VALUE"""),"")</f>
        <v/>
      </c>
      <c r="N28" s="59" t="str">
        <f ca="1">IFERROR(__xludf.DUMMYFUNCTION("""COMPUTED_VALUE"""),"")</f>
        <v/>
      </c>
      <c r="O28" s="59" t="str">
        <f ca="1">IFERROR(__xludf.DUMMYFUNCTION("""COMPUTED_VALUE"""),"")</f>
        <v/>
      </c>
      <c r="P28" s="59" t="str">
        <f ca="1">IFERROR(__xludf.DUMMYFUNCTION("""COMPUTED_VALUE"""),"")</f>
        <v/>
      </c>
    </row>
    <row r="29" spans="1:16" ht="15.75">
      <c r="A29" s="57" t="str">
        <f ca="1">IFERROR(__xludf.DUMMYFUNCTION("""COMPUTED_VALUE"""),"Legrand")</f>
        <v>Legrand</v>
      </c>
      <c r="B29" s="58">
        <v>1.4500000000000001E-2</v>
      </c>
      <c r="C29" s="59">
        <f ca="1">IFERROR(__xludf.DUMMYFUNCTION("""COMPUTED_VALUE"""),1.34)</f>
        <v>1.34</v>
      </c>
      <c r="D29" s="59">
        <f ca="1">IFERROR(__xludf.DUMMYFUNCTION("""COMPUTED_VALUE"""),1.26)</f>
        <v>1.26</v>
      </c>
      <c r="E29" s="59">
        <f ca="1">IFERROR(__xludf.DUMMYFUNCTION("""COMPUTED_VALUE"""),1.19)</f>
        <v>1.19</v>
      </c>
      <c r="F29" s="59">
        <f ca="1">IFERROR(__xludf.DUMMYFUNCTION("""COMPUTED_VALUE"""),1.15)</f>
        <v>1.1499999999999999</v>
      </c>
      <c r="G29" s="59">
        <f ca="1">IFERROR(__xludf.DUMMYFUNCTION("""COMPUTED_VALUE"""),1.1)</f>
        <v>1.1000000000000001</v>
      </c>
      <c r="H29" s="59">
        <f ca="1">IFERROR(__xludf.DUMMYFUNCTION("""COMPUTED_VALUE"""),1.05)</f>
        <v>1.05</v>
      </c>
      <c r="I29" s="59">
        <f ca="1">IFERROR(__xludf.DUMMYFUNCTION("""COMPUTED_VALUE"""),1)</f>
        <v>1</v>
      </c>
      <c r="J29" s="59">
        <f ca="1">IFERROR(__xludf.DUMMYFUNCTION("""COMPUTED_VALUE"""),0.93)</f>
        <v>0.93</v>
      </c>
      <c r="K29" s="59">
        <f ca="1">IFERROR(__xludf.DUMMYFUNCTION("""COMPUTED_VALUE"""),0.88)</f>
        <v>0.88</v>
      </c>
      <c r="L29" s="59">
        <f ca="1">IFERROR(__xludf.DUMMYFUNCTION("""COMPUTED_VALUE"""),0.7)</f>
        <v>0.7</v>
      </c>
      <c r="M29" s="59">
        <f ca="1">IFERROR(__xludf.DUMMYFUNCTION("""COMPUTED_VALUE"""),0.7)</f>
        <v>0.7</v>
      </c>
      <c r="N29" s="59">
        <f ca="1">IFERROR(__xludf.DUMMYFUNCTION("""COMPUTED_VALUE"""),0.7)</f>
        <v>0.7</v>
      </c>
      <c r="O29" s="59">
        <f ca="1">IFERROR(__xludf.DUMMYFUNCTION("""COMPUTED_VALUE"""),0.5)</f>
        <v>0.5</v>
      </c>
      <c r="P29" s="59">
        <f ca="1">IFERROR(__xludf.DUMMYFUNCTION("""COMPUTED_VALUE"""),0.41)</f>
        <v>0.41</v>
      </c>
    </row>
    <row r="30" spans="1:16" ht="15.75">
      <c r="A30" s="57" t="str">
        <f ca="1">IFERROR(__xludf.DUMMYFUNCTION("""COMPUTED_VALUE"""),"ArcelorMittal")</f>
        <v>ArcelorMittal</v>
      </c>
      <c r="B30" s="58">
        <v>7.7999999999999996E-3</v>
      </c>
      <c r="C30" s="59">
        <f ca="1">IFERROR(__xludf.DUMMYFUNCTION("""COMPUTED_VALUE"""),0.2)</f>
        <v>0.2</v>
      </c>
      <c r="D30" s="59">
        <f ca="1">IFERROR(__xludf.DUMMYFUNCTION("""COMPUTED_VALUE"""),0.1)</f>
        <v>0.1</v>
      </c>
      <c r="E30" s="59">
        <f ca="1">IFERROR(__xludf.DUMMYFUNCTION("""COMPUTED_VALUE"""),0)</f>
        <v>0</v>
      </c>
      <c r="F30" s="59">
        <f ca="1">IFERROR(__xludf.DUMMYFUNCTION("""COMPUTED_VALUE"""),0)</f>
        <v>0</v>
      </c>
      <c r="G30" s="59">
        <f ca="1">IFERROR(__xludf.DUMMYFUNCTION("""COMPUTED_VALUE"""),0.2)</f>
        <v>0.2</v>
      </c>
      <c r="H30" s="59">
        <f ca="1">IFERROR(__xludf.DUMMYFUNCTION("""COMPUTED_VALUE"""),0.2)</f>
        <v>0.2</v>
      </c>
      <c r="I30" s="59">
        <f ca="1">IFERROR(__xludf.DUMMYFUNCTION("""COMPUTED_VALUE"""),0.2)</f>
        <v>0.2</v>
      </c>
      <c r="J30" s="59">
        <f ca="1">IFERROR(__xludf.DUMMYFUNCTION("""COMPUTED_VALUE"""),0.752)</f>
        <v>0.752</v>
      </c>
      <c r="K30" s="59">
        <f ca="1">IFERROR(__xludf.DUMMYFUNCTION("""COMPUTED_VALUE"""),0.752)</f>
        <v>0.752</v>
      </c>
      <c r="L30" s="59">
        <f ca="1">IFERROR(__xludf.DUMMYFUNCTION("""COMPUTED_VALUE"""),0.752)</f>
        <v>0.752</v>
      </c>
      <c r="M30" s="59">
        <f ca="1">IFERROR(__xludf.DUMMYFUNCTION("""COMPUTED_VALUE"""),1.3)</f>
        <v>1.3</v>
      </c>
      <c r="N30" s="59">
        <f ca="1">IFERROR(__xludf.DUMMYFUNCTION("""COMPUTED_VALUE"""),1.5)</f>
        <v>1.5</v>
      </c>
      <c r="O30" s="59">
        <f ca="1">IFERROR(__xludf.DUMMYFUNCTION("""COMPUTED_VALUE"""),1.3)</f>
        <v>1.3</v>
      </c>
      <c r="P30" s="59" t="str">
        <f ca="1">IFERROR(__xludf.DUMMYFUNCTION("""COMPUTED_VALUE"""),"")</f>
        <v/>
      </c>
    </row>
    <row r="31" spans="1:16" ht="15.75">
      <c r="A31" s="57" t="str">
        <f ca="1">IFERROR(__xludf.DUMMYFUNCTION("""COMPUTED_VALUE"""),"LVMH")</f>
        <v>LVMH</v>
      </c>
      <c r="B31" s="58">
        <v>8.5999999999999993E-2</v>
      </c>
      <c r="C31" s="59">
        <f ca="1">IFERROR(__xludf.DUMMYFUNCTION("""COMPUTED_VALUE"""),6)</f>
        <v>6</v>
      </c>
      <c r="D31" s="59">
        <f ca="1">IFERROR(__xludf.DUMMYFUNCTION("""COMPUTED_VALUE"""),5)</f>
        <v>5</v>
      </c>
      <c r="E31" s="59">
        <f ca="1">IFERROR(__xludf.DUMMYFUNCTION("""COMPUTED_VALUE"""),4)</f>
        <v>4</v>
      </c>
      <c r="F31" s="59">
        <f ca="1">IFERROR(__xludf.DUMMYFUNCTION("""COMPUTED_VALUE"""),3.55)</f>
        <v>3.55</v>
      </c>
      <c r="G31" s="59">
        <f ca="1">IFERROR(__xludf.DUMMYFUNCTION("""COMPUTED_VALUE"""),3.2)</f>
        <v>3.2</v>
      </c>
      <c r="H31" s="59">
        <f ca="1">IFERROR(__xludf.DUMMYFUNCTION("""COMPUTED_VALUE"""),3.1)</f>
        <v>3.1</v>
      </c>
      <c r="I31" s="59">
        <f ca="1">IFERROR(__xludf.DUMMYFUNCTION("""COMPUTED_VALUE"""),2.9)</f>
        <v>2.9</v>
      </c>
      <c r="J31" s="59">
        <f ca="1">IFERROR(__xludf.DUMMYFUNCTION("""COMPUTED_VALUE"""),2.6)</f>
        <v>2.6</v>
      </c>
      <c r="K31" s="59">
        <f ca="1">IFERROR(__xludf.DUMMYFUNCTION("""COMPUTED_VALUE"""),2.1)</f>
        <v>2.1</v>
      </c>
      <c r="L31" s="59">
        <f ca="1">IFERROR(__xludf.DUMMYFUNCTION("""COMPUTED_VALUE"""),1.65)</f>
        <v>1.65</v>
      </c>
      <c r="M31" s="59">
        <f ca="1">IFERROR(__xludf.DUMMYFUNCTION("""COMPUTED_VALUE"""),1.6)</f>
        <v>1.6</v>
      </c>
      <c r="N31" s="59">
        <f ca="1">IFERROR(__xludf.DUMMYFUNCTION("""COMPUTED_VALUE"""),1.6)</f>
        <v>1.6</v>
      </c>
      <c r="O31" s="59">
        <f ca="1">IFERROR(__xludf.DUMMYFUNCTION("""COMPUTED_VALUE"""),1.4)</f>
        <v>1.4</v>
      </c>
      <c r="P31" s="59">
        <f ca="1">IFERROR(__xludf.DUMMYFUNCTION("""COMPUTED_VALUE"""),1.15)</f>
        <v>1.1499999999999999</v>
      </c>
    </row>
    <row r="32" spans="1:16" ht="15.75">
      <c r="A32" s="57" t="str">
        <f ca="1">IFERROR(__xludf.DUMMYFUNCTION("""COMPUTED_VALUE"""),"Essilor")</f>
        <v>Essilor</v>
      </c>
      <c r="B32" s="58">
        <v>3.1E-2</v>
      </c>
      <c r="C32" s="59">
        <f ca="1">IFERROR(__xludf.DUMMYFUNCTION("""COMPUTED_VALUE"""),2.04)</f>
        <v>2.04</v>
      </c>
      <c r="D32" s="59">
        <f ca="1">IFERROR(__xludf.DUMMYFUNCTION("""COMPUTED_VALUE"""),1.53)</f>
        <v>1.53</v>
      </c>
      <c r="E32" s="59">
        <f ca="1">IFERROR(__xludf.DUMMYFUNCTION("""COMPUTED_VALUE"""),1.5)</f>
        <v>1.5</v>
      </c>
      <c r="F32" s="59">
        <f ca="1">IFERROR(__xludf.DUMMYFUNCTION("""COMPUTED_VALUE"""),1.11)</f>
        <v>1.1100000000000001</v>
      </c>
      <c r="G32" s="59">
        <f ca="1">IFERROR(__xludf.DUMMYFUNCTION("""COMPUTED_VALUE"""),1.02)</f>
        <v>1.02</v>
      </c>
      <c r="H32" s="59">
        <f ca="1">IFERROR(__xludf.DUMMYFUNCTION("""COMPUTED_VALUE"""),0.94)</f>
        <v>0.94</v>
      </c>
      <c r="I32" s="59">
        <f ca="1">IFERROR(__xludf.DUMMYFUNCTION("""COMPUTED_VALUE"""),0.88)</f>
        <v>0.88</v>
      </c>
      <c r="J32" s="59">
        <f ca="1">IFERROR(__xludf.DUMMYFUNCTION("""COMPUTED_VALUE"""),0.85)</f>
        <v>0.85</v>
      </c>
      <c r="K32" s="59">
        <f ca="1">IFERROR(__xludf.DUMMYFUNCTION("""COMPUTED_VALUE"""),0.83)</f>
        <v>0.83</v>
      </c>
      <c r="L32" s="59">
        <f ca="1">IFERROR(__xludf.DUMMYFUNCTION("""COMPUTED_VALUE"""),0.7)</f>
        <v>0.7</v>
      </c>
      <c r="M32" s="59">
        <f ca="1">IFERROR(__xludf.DUMMYFUNCTION("""COMPUTED_VALUE"""),0.66)</f>
        <v>0.66</v>
      </c>
      <c r="N32" s="59">
        <f ca="1">IFERROR(__xludf.DUMMYFUNCTION("""COMPUTED_VALUE"""),0.62)</f>
        <v>0.62</v>
      </c>
      <c r="O32" s="59">
        <f ca="1">IFERROR(__xludf.DUMMYFUNCTION("""COMPUTED_VALUE"""),0.55)</f>
        <v>0.55000000000000004</v>
      </c>
      <c r="P32" s="59">
        <f ca="1">IFERROR(__xludf.DUMMYFUNCTION("""COMPUTED_VALUE"""),0.47)</f>
        <v>0.47</v>
      </c>
    </row>
    <row r="33" spans="1:16" ht="15.75">
      <c r="A33" s="57" t="str">
        <f ca="1">IFERROR(__xludf.DUMMYFUNCTION("""COMPUTED_VALUE"""),"L'Oréal")</f>
        <v>L'Oréal</v>
      </c>
      <c r="B33" s="58">
        <v>4.9799999999999997E-2</v>
      </c>
      <c r="C33" s="59">
        <f ca="1">IFERROR(__xludf.DUMMYFUNCTION("""COMPUTED_VALUE"""),3.85)</f>
        <v>3.85</v>
      </c>
      <c r="D33" s="59">
        <f ca="1">IFERROR(__xludf.DUMMYFUNCTION("""COMPUTED_VALUE"""),3.55)</f>
        <v>3.55</v>
      </c>
      <c r="E33" s="59">
        <f ca="1">IFERROR(__xludf.DUMMYFUNCTION("""COMPUTED_VALUE"""),3.3)</f>
        <v>3.3</v>
      </c>
      <c r="F33" s="59">
        <f ca="1">IFERROR(__xludf.DUMMYFUNCTION("""COMPUTED_VALUE"""),3.1)</f>
        <v>3.1</v>
      </c>
      <c r="G33" s="59">
        <f ca="1">IFERROR(__xludf.DUMMYFUNCTION("""COMPUTED_VALUE"""),2.7)</f>
        <v>2.7</v>
      </c>
      <c r="H33" s="59">
        <f ca="1">IFERROR(__xludf.DUMMYFUNCTION("""COMPUTED_VALUE"""),2.5)</f>
        <v>2.5</v>
      </c>
      <c r="I33" s="59">
        <f ca="1">IFERROR(__xludf.DUMMYFUNCTION("""COMPUTED_VALUE"""),2.3)</f>
        <v>2.2999999999999998</v>
      </c>
      <c r="J33" s="59">
        <f ca="1">IFERROR(__xludf.DUMMYFUNCTION("""COMPUTED_VALUE"""),2)</f>
        <v>2</v>
      </c>
      <c r="K33" s="59">
        <f ca="1">IFERROR(__xludf.DUMMYFUNCTION("""COMPUTED_VALUE"""),1.8)</f>
        <v>1.8</v>
      </c>
      <c r="L33" s="59">
        <f ca="1">IFERROR(__xludf.DUMMYFUNCTION("""COMPUTED_VALUE"""),1.5)</f>
        <v>1.5</v>
      </c>
      <c r="M33" s="59">
        <f ca="1">IFERROR(__xludf.DUMMYFUNCTION("""COMPUTED_VALUE"""),1.44)</f>
        <v>1.44</v>
      </c>
      <c r="N33" s="59">
        <f ca="1">IFERROR(__xludf.DUMMYFUNCTION("""COMPUTED_VALUE"""),1.38)</f>
        <v>1.38</v>
      </c>
      <c r="O33" s="59">
        <f ca="1">IFERROR(__xludf.DUMMYFUNCTION("""COMPUTED_VALUE"""),1.18)</f>
        <v>1.18</v>
      </c>
      <c r="P33" s="59">
        <f ca="1">IFERROR(__xludf.DUMMYFUNCTION("""COMPUTED_VALUE"""),1)</f>
        <v>1</v>
      </c>
    </row>
    <row r="34" spans="1:16" ht="15.75">
      <c r="A34" s="57" t="str">
        <f ca="1">IFERROR(__xludf.DUMMYFUNCTION("""COMPUTED_VALUE"""),"Capgemini")</f>
        <v>Capgemini</v>
      </c>
      <c r="B34" s="58">
        <v>1.29E-2</v>
      </c>
      <c r="C34" s="59">
        <f ca="1">IFERROR(__xludf.DUMMYFUNCTION("""COMPUTED_VALUE"""),1.7)</f>
        <v>1.7</v>
      </c>
      <c r="D34" s="59">
        <f ca="1">IFERROR(__xludf.DUMMYFUNCTION("""COMPUTED_VALUE"""),1.7)</f>
        <v>1.7</v>
      </c>
      <c r="E34" s="59">
        <f ca="1">IFERROR(__xludf.DUMMYFUNCTION("""COMPUTED_VALUE"""),1.55)</f>
        <v>1.55</v>
      </c>
      <c r="F34" s="59">
        <f ca="1">IFERROR(__xludf.DUMMYFUNCTION("""COMPUTED_VALUE"""),1.35)</f>
        <v>1.35</v>
      </c>
      <c r="G34" s="59">
        <f ca="1">IFERROR(__xludf.DUMMYFUNCTION("""COMPUTED_VALUE"""),1.2)</f>
        <v>1.2</v>
      </c>
      <c r="H34" s="59">
        <f ca="1">IFERROR(__xludf.DUMMYFUNCTION("""COMPUTED_VALUE"""),1.1)</f>
        <v>1.1000000000000001</v>
      </c>
      <c r="I34" s="59">
        <f ca="1">IFERROR(__xludf.DUMMYFUNCTION("""COMPUTED_VALUE"""),1)</f>
        <v>1</v>
      </c>
      <c r="J34" s="59">
        <f ca="1">IFERROR(__xludf.DUMMYFUNCTION("""COMPUTED_VALUE"""),1)</f>
        <v>1</v>
      </c>
      <c r="K34" s="59">
        <f ca="1">IFERROR(__xludf.DUMMYFUNCTION("""COMPUTED_VALUE"""),1)</f>
        <v>1</v>
      </c>
      <c r="L34" s="59">
        <f ca="1">IFERROR(__xludf.DUMMYFUNCTION("""COMPUTED_VALUE"""),0.8)</f>
        <v>0.8</v>
      </c>
      <c r="M34" s="59">
        <f ca="1">IFERROR(__xludf.DUMMYFUNCTION("""COMPUTED_VALUE"""),1)</f>
        <v>1</v>
      </c>
      <c r="N34" s="59">
        <f ca="1">IFERROR(__xludf.DUMMYFUNCTION("""COMPUTED_VALUE"""),1)</f>
        <v>1</v>
      </c>
      <c r="O34" s="59">
        <f ca="1">IFERROR(__xludf.DUMMYFUNCTION("""COMPUTED_VALUE"""),0.7)</f>
        <v>0.7</v>
      </c>
      <c r="P34" s="59">
        <f ca="1">IFERROR(__xludf.DUMMYFUNCTION("""COMPUTED_VALUE"""),0.5)</f>
        <v>0.5</v>
      </c>
    </row>
    <row r="35" spans="1:16" ht="15.75">
      <c r="A35" s="57" t="str">
        <f ca="1">IFERROR(__xludf.DUMMYFUNCTION("""COMPUTED_VALUE"""),"Safran")</f>
        <v>Safran</v>
      </c>
      <c r="B35" s="58">
        <v>3.3599999999999998E-2</v>
      </c>
      <c r="C35" s="59">
        <f ca="1">IFERROR(__xludf.DUMMYFUNCTION("""COMPUTED_VALUE"""),1.82)</f>
        <v>1.82</v>
      </c>
      <c r="D35" s="59">
        <f ca="1">IFERROR(__xludf.DUMMYFUNCTION("""COMPUTED_VALUE"""),1.6)</f>
        <v>1.6</v>
      </c>
      <c r="E35" s="59">
        <f ca="1">IFERROR(__xludf.DUMMYFUNCTION("""COMPUTED_VALUE"""),1.52)</f>
        <v>1.52</v>
      </c>
      <c r="F35" s="59">
        <f ca="1">IFERROR(__xludf.DUMMYFUNCTION("""COMPUTED_VALUE"""),1.38)</f>
        <v>1.38</v>
      </c>
      <c r="G35" s="59">
        <f ca="1">IFERROR(__xludf.DUMMYFUNCTION("""COMPUTED_VALUE"""),1.2)</f>
        <v>1.2</v>
      </c>
      <c r="H35" s="59">
        <f ca="1">IFERROR(__xludf.DUMMYFUNCTION("""COMPUTED_VALUE"""),0.98)</f>
        <v>0.98</v>
      </c>
      <c r="I35" s="59">
        <f ca="1">IFERROR(__xludf.DUMMYFUNCTION("""COMPUTED_VALUE"""),0.96)</f>
        <v>0.96</v>
      </c>
      <c r="J35" s="59">
        <f ca="1">IFERROR(__xludf.DUMMYFUNCTION("""COMPUTED_VALUE"""),0.62)</f>
        <v>0.62</v>
      </c>
      <c r="K35" s="59">
        <f ca="1">IFERROR(__xludf.DUMMYFUNCTION("""COMPUTED_VALUE"""),0.5)</f>
        <v>0.5</v>
      </c>
      <c r="L35" s="59">
        <f ca="1">IFERROR(__xludf.DUMMYFUNCTION("""COMPUTED_VALUE"""),0.38)</f>
        <v>0.38</v>
      </c>
      <c r="M35" s="59">
        <f ca="1">IFERROR(__xludf.DUMMYFUNCTION("""COMPUTED_VALUE"""),0.25)</f>
        <v>0.25</v>
      </c>
      <c r="N35" s="59">
        <f ca="1">IFERROR(__xludf.DUMMYFUNCTION("""COMPUTED_VALUE"""),0.4)</f>
        <v>0.4</v>
      </c>
      <c r="O35" s="59">
        <f ca="1">IFERROR(__xludf.DUMMYFUNCTION("""COMPUTED_VALUE"""),0.22)</f>
        <v>0.22</v>
      </c>
      <c r="P35" s="59">
        <f ca="1">IFERROR(__xludf.DUMMYFUNCTION("""COMPUTED_VALUE"""),0.36)</f>
        <v>0.36</v>
      </c>
    </row>
    <row r="36" spans="1:16" ht="15.75">
      <c r="A36" s="57" t="str">
        <f ca="1">IFERROR(__xludf.DUMMYFUNCTION("""COMPUTED_VALUE"""),"Airbus")</f>
        <v>Airbus</v>
      </c>
      <c r="B36" s="58">
        <v>5.6899999999999999E-2</v>
      </c>
      <c r="C36" s="59">
        <f ca="1">IFERROR(__xludf.DUMMYFUNCTION("""COMPUTED_VALUE"""),1.65)</f>
        <v>1.65</v>
      </c>
      <c r="D36" s="59">
        <f ca="1">IFERROR(__xludf.DUMMYFUNCTION("""COMPUTED_VALUE"""),1.5)</f>
        <v>1.5</v>
      </c>
      <c r="E36" s="59">
        <f ca="1">IFERROR(__xludf.DUMMYFUNCTION("""COMPUTED_VALUE"""),1.35)</f>
        <v>1.35</v>
      </c>
      <c r="F36" s="59">
        <f ca="1">IFERROR(__xludf.DUMMYFUNCTION("""COMPUTED_VALUE"""),1.3)</f>
        <v>1.3</v>
      </c>
      <c r="G36" s="59">
        <f ca="1">IFERROR(__xludf.DUMMYFUNCTION("""COMPUTED_VALUE"""),1.2)</f>
        <v>1.2</v>
      </c>
      <c r="H36" s="59">
        <f ca="1">IFERROR(__xludf.DUMMYFUNCTION("""COMPUTED_VALUE"""),0.75)</f>
        <v>0.75</v>
      </c>
      <c r="I36" s="59">
        <f ca="1">IFERROR(__xludf.DUMMYFUNCTION("""COMPUTED_VALUE"""),0.6)</f>
        <v>0.6</v>
      </c>
      <c r="J36" s="59">
        <f ca="1">IFERROR(__xludf.DUMMYFUNCTION("""COMPUTED_VALUE"""),0.45)</f>
        <v>0.45</v>
      </c>
      <c r="K36" s="59">
        <f ca="1">IFERROR(__xludf.DUMMYFUNCTION("""COMPUTED_VALUE"""),0.22)</f>
        <v>0.22</v>
      </c>
      <c r="L36" s="59">
        <f ca="1">IFERROR(__xludf.DUMMYFUNCTION("""COMPUTED_VALUE"""),0)</f>
        <v>0</v>
      </c>
      <c r="M36" s="59">
        <f ca="1">IFERROR(__xludf.DUMMYFUNCTION("""COMPUTED_VALUE"""),0.2)</f>
        <v>0.2</v>
      </c>
      <c r="N36" s="59">
        <f ca="1">IFERROR(__xludf.DUMMYFUNCTION("""COMPUTED_VALUE"""),0.12)</f>
        <v>0.12</v>
      </c>
      <c r="O36" s="59">
        <f ca="1">IFERROR(__xludf.DUMMYFUNCTION("""COMPUTED_VALUE"""),0.12)</f>
        <v>0.12</v>
      </c>
      <c r="P36" s="59">
        <f ca="1">IFERROR(__xludf.DUMMYFUNCTION("""COMPUTED_VALUE"""),0.65)</f>
        <v>0.65</v>
      </c>
    </row>
    <row r="37" spans="1:16" ht="15.75">
      <c r="A37" s="57" t="str">
        <f ca="1">IFERROR(__xludf.DUMMYFUNCTION("""COMPUTED_VALUE"""),"Pernod Ricard")</f>
        <v>Pernod Ricard</v>
      </c>
      <c r="B37" s="58">
        <v>2.3699999999999999E-2</v>
      </c>
      <c r="C37" s="59">
        <f ca="1">IFERROR(__xludf.DUMMYFUNCTION("""COMPUTED_VALUE"""),3.12)</f>
        <v>3.12</v>
      </c>
      <c r="D37" s="59">
        <f ca="1">IFERROR(__xludf.DUMMYFUNCTION("""COMPUTED_VALUE"""),2.36)</f>
        <v>2.36</v>
      </c>
      <c r="E37" s="59">
        <f ca="1">IFERROR(__xludf.DUMMYFUNCTION("""COMPUTED_VALUE"""),2.02)</f>
        <v>2.02</v>
      </c>
      <c r="F37" s="59">
        <f ca="1">IFERROR(__xludf.DUMMYFUNCTION("""COMPUTED_VALUE"""),1.88)</f>
        <v>1.88</v>
      </c>
      <c r="G37" s="59">
        <f ca="1">IFERROR(__xludf.DUMMYFUNCTION("""COMPUTED_VALUE"""),1.8)</f>
        <v>1.8</v>
      </c>
      <c r="H37" s="59">
        <f ca="1">IFERROR(__xludf.DUMMYFUNCTION("""COMPUTED_VALUE"""),1.64)</f>
        <v>1.64</v>
      </c>
      <c r="I37" s="59">
        <f ca="1">IFERROR(__xludf.DUMMYFUNCTION("""COMPUTED_VALUE"""),1.64)</f>
        <v>1.64</v>
      </c>
      <c r="J37" s="59">
        <f ca="1">IFERROR(__xludf.DUMMYFUNCTION("""COMPUTED_VALUE"""),1.58)</f>
        <v>1.58</v>
      </c>
      <c r="K37" s="59">
        <f ca="1">IFERROR(__xludf.DUMMYFUNCTION("""COMPUTED_VALUE"""),1.44)</f>
        <v>1.44</v>
      </c>
      <c r="L37" s="59">
        <f ca="1">IFERROR(__xludf.DUMMYFUNCTION("""COMPUTED_VALUE"""),1.34)</f>
        <v>1.34</v>
      </c>
      <c r="M37" s="59">
        <f ca="1">IFERROR(__xludf.DUMMYFUNCTION("""COMPUTED_VALUE"""),1.23)</f>
        <v>1.23</v>
      </c>
      <c r="N37" s="59">
        <f ca="1">IFERROR(__xludf.DUMMYFUNCTION("""COMPUTED_VALUE"""),1.18)</f>
        <v>1.18</v>
      </c>
      <c r="O37" s="59">
        <f ca="1">IFERROR(__xludf.DUMMYFUNCTION("""COMPUTED_VALUE"""),1.18)</f>
        <v>1.18</v>
      </c>
      <c r="P37" s="59">
        <f ca="1">IFERROR(__xludf.DUMMYFUNCTION("""COMPUTED_VALUE"""),1.06)</f>
        <v>1.06</v>
      </c>
    </row>
    <row r="38" spans="1:16" ht="15.75">
      <c r="A38" s="57" t="str">
        <f ca="1">IFERROR(__xludf.DUMMYFUNCTION("""COMPUTED_VALUE"""),"STMicroelectronics")</f>
        <v>STMicroelectronics</v>
      </c>
      <c r="B38" s="58">
        <v>1.14E-2</v>
      </c>
      <c r="C38" s="59">
        <f ca="1">IFERROR(__xludf.DUMMYFUNCTION("""COMPUTED_VALUE"""),0.24)</f>
        <v>0.24</v>
      </c>
      <c r="D38" s="59">
        <f ca="1">IFERROR(__xludf.DUMMYFUNCTION("""COMPUTED_VALUE"""),0.215)</f>
        <v>0.215</v>
      </c>
      <c r="E38" s="59">
        <f ca="1">IFERROR(__xludf.DUMMYFUNCTION("""COMPUTED_VALUE"""),0.22)</f>
        <v>0.22</v>
      </c>
      <c r="F38" s="59">
        <f ca="1">IFERROR(__xludf.DUMMYFUNCTION("""COMPUTED_VALUE"""),0.359)</f>
        <v>0.35899999999999999</v>
      </c>
      <c r="G38" s="59">
        <f ca="1">IFERROR(__xludf.DUMMYFUNCTION("""COMPUTED_VALUE"""),0.323)</f>
        <v>0.32300000000000001</v>
      </c>
      <c r="H38" s="59">
        <f ca="1">IFERROR(__xludf.DUMMYFUNCTION("""COMPUTED_VALUE"""),0)</f>
        <v>0</v>
      </c>
      <c r="I38" s="59">
        <f ca="1">IFERROR(__xludf.DUMMYFUNCTION("""COMPUTED_VALUE"""),0.298)</f>
        <v>0.29799999999999999</v>
      </c>
      <c r="J38" s="59">
        <f ca="1">IFERROR(__xludf.DUMMYFUNCTION("""COMPUTED_VALUE"""),0.314)</f>
        <v>0.314</v>
      </c>
      <c r="K38" s="59">
        <f ca="1">IFERROR(__xludf.DUMMYFUNCTION("""COMPUTED_VALUE"""),0.292)</f>
        <v>0.29199999999999998</v>
      </c>
      <c r="L38" s="59">
        <f ca="1">IFERROR(__xludf.DUMMYFUNCTION("""COMPUTED_VALUE"""),0.28)</f>
        <v>0.28000000000000003</v>
      </c>
      <c r="M38" s="59">
        <f ca="1">IFERROR(__xludf.DUMMYFUNCTION("""COMPUTED_VALUE"""),0.084)</f>
        <v>8.4000000000000005E-2</v>
      </c>
      <c r="N38" s="59">
        <f ca="1">IFERROR(__xludf.DUMMYFUNCTION("""COMPUTED_VALUE"""),0.26)</f>
        <v>0.26</v>
      </c>
      <c r="O38" s="59">
        <f ca="1">IFERROR(__xludf.DUMMYFUNCTION("""COMPUTED_VALUE"""),0.223)</f>
        <v>0.223</v>
      </c>
      <c r="P38" s="59">
        <f ca="1">IFERROR(__xludf.DUMMYFUNCTION("""COMPUTED_VALUE"""),0.093)</f>
        <v>9.2999999999999999E-2</v>
      </c>
    </row>
    <row r="39" spans="1:16" ht="15.75">
      <c r="A39" s="57" t="str">
        <f ca="1">IFERROR(__xludf.DUMMYFUNCTION("""COMPUTED_VALUE"""),"Dassault Systemes")</f>
        <v>Dassault Systemes</v>
      </c>
      <c r="B39" s="58">
        <v>1.44E-2</v>
      </c>
      <c r="C39" s="59">
        <f ca="1">IFERROR(__xludf.DUMMYFUNCTION("""COMPUTED_VALUE"""),0.65)</f>
        <v>0.65</v>
      </c>
      <c r="D39" s="59">
        <f ca="1">IFERROR(__xludf.DUMMYFUNCTION("""COMPUTED_VALUE"""),0.58)</f>
        <v>0.57999999999999996</v>
      </c>
      <c r="E39" s="59">
        <f ca="1">IFERROR(__xludf.DUMMYFUNCTION("""COMPUTED_VALUE"""),0.53)</f>
        <v>0.53</v>
      </c>
      <c r="F39" s="59">
        <f ca="1">IFERROR(__xludf.DUMMYFUNCTION("""COMPUTED_VALUE"""),0.47)</f>
        <v>0.47</v>
      </c>
      <c r="G39" s="59">
        <f ca="1">IFERROR(__xludf.DUMMYFUNCTION("""COMPUTED_VALUE"""),0.43)</f>
        <v>0.43</v>
      </c>
      <c r="H39" s="59">
        <f ca="1">IFERROR(__xludf.DUMMYFUNCTION("""COMPUTED_VALUE"""),0.42)</f>
        <v>0.42</v>
      </c>
      <c r="I39" s="59">
        <f ca="1">IFERROR(__xludf.DUMMYFUNCTION("""COMPUTED_VALUE"""),0.4)</f>
        <v>0.4</v>
      </c>
      <c r="J39" s="59">
        <f ca="1">IFERROR(__xludf.DUMMYFUNCTION("""COMPUTED_VALUE"""),0.35)</f>
        <v>0.35</v>
      </c>
      <c r="K39" s="59">
        <f ca="1">IFERROR(__xludf.DUMMYFUNCTION("""COMPUTED_VALUE"""),0.27)</f>
        <v>0.27</v>
      </c>
      <c r="L39" s="59">
        <f ca="1">IFERROR(__xludf.DUMMYFUNCTION("""COMPUTED_VALUE"""),0.23)</f>
        <v>0.23</v>
      </c>
      <c r="M39" s="59">
        <f ca="1">IFERROR(__xludf.DUMMYFUNCTION("""COMPUTED_VALUE"""),0.23)</f>
        <v>0.23</v>
      </c>
      <c r="N39" s="59">
        <f ca="1">IFERROR(__xludf.DUMMYFUNCTION("""COMPUTED_VALUE"""),0.23)</f>
        <v>0.23</v>
      </c>
      <c r="O39" s="59">
        <f ca="1">IFERROR(__xludf.DUMMYFUNCTION("""COMPUTED_VALUE"""),0.22)</f>
        <v>0.22</v>
      </c>
      <c r="P39" s="59">
        <f ca="1">IFERROR(__xludf.DUMMYFUNCTION("""COMPUTED_VALUE"""),0.21)</f>
        <v>0.21</v>
      </c>
    </row>
    <row r="40" spans="1:16" ht="15.75">
      <c r="A40" s="57" t="s">
        <v>233</v>
      </c>
      <c r="B40" s="58">
        <v>7.4000000000000003E-3</v>
      </c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</row>
    <row r="41" spans="1:16" ht="15.75">
      <c r="A41" s="57" t="s">
        <v>234</v>
      </c>
      <c r="B41" s="58">
        <v>1.5800000000000002E-2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</row>
    <row r="42" spans="1:16">
      <c r="A42" s="60" t="s">
        <v>235</v>
      </c>
      <c r="B42" s="61">
        <f>SUM(B2:B41)</f>
        <v>1.0003999999999997</v>
      </c>
      <c r="C42" s="62">
        <f ca="1">SUM(C2:C41)</f>
        <v>89.200000000000031</v>
      </c>
      <c r="D42" s="62">
        <f ca="1">SUM(D2:D41)</f>
        <v>79.685000000000002</v>
      </c>
      <c r="E42" s="62">
        <f t="shared" ref="E42:P42" ca="1" si="0">SUM(E2:E41)</f>
        <v>73.23</v>
      </c>
      <c r="F42" s="62">
        <f t="shared" ca="1" si="0"/>
        <v>70.788999999999987</v>
      </c>
      <c r="G42" s="62">
        <f t="shared" ca="1" si="0"/>
        <v>63.423000000000016</v>
      </c>
      <c r="H42" s="62">
        <f t="shared" ca="1" si="0"/>
        <v>59.56</v>
      </c>
      <c r="I42" s="62">
        <f t="shared" ca="1" si="0"/>
        <v>56.768000000000001</v>
      </c>
      <c r="J42" s="62">
        <f t="shared" ca="1" si="0"/>
        <v>54.176000000000002</v>
      </c>
      <c r="K42" s="62">
        <f t="shared" ca="1" si="0"/>
        <v>56.414000000000001</v>
      </c>
      <c r="L42" s="62">
        <f t="shared" ca="1" si="0"/>
        <v>47.587000000000003</v>
      </c>
      <c r="M42" s="62">
        <f t="shared" ca="1" si="0"/>
        <v>47.688999999999993</v>
      </c>
      <c r="N42" s="62">
        <f t="shared" ca="1" si="0"/>
        <v>58.07</v>
      </c>
      <c r="O42" s="62">
        <f t="shared" ca="1" si="0"/>
        <v>55.852999999999987</v>
      </c>
      <c r="P42" s="62">
        <f t="shared" ca="1" si="0"/>
        <v>43.128</v>
      </c>
    </row>
    <row r="43" spans="1:16">
      <c r="A43" s="63"/>
      <c r="C43" s="6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Q42"/>
  <sheetViews>
    <sheetView workbookViewId="0">
      <selection activeCell="D3" sqref="D3"/>
    </sheetView>
  </sheetViews>
  <sheetFormatPr baseColWidth="10" defaultRowHeight="15"/>
  <cols>
    <col min="1" max="1" width="23.140625" customWidth="1"/>
  </cols>
  <sheetData>
    <row r="1" spans="1:17">
      <c r="D1">
        <v>2018</v>
      </c>
      <c r="E1">
        <v>2017</v>
      </c>
      <c r="F1">
        <v>2016</v>
      </c>
      <c r="G1">
        <v>2015</v>
      </c>
      <c r="H1">
        <v>2014</v>
      </c>
      <c r="I1">
        <v>2013</v>
      </c>
      <c r="J1">
        <v>2012</v>
      </c>
      <c r="K1">
        <v>2011</v>
      </c>
      <c r="L1">
        <v>2010</v>
      </c>
      <c r="M1">
        <v>2009</v>
      </c>
      <c r="N1">
        <v>2008</v>
      </c>
      <c r="O1">
        <v>2007</v>
      </c>
      <c r="P1">
        <v>2006</v>
      </c>
      <c r="Q1">
        <v>2005</v>
      </c>
    </row>
    <row r="2" spans="1:17" ht="15.75">
      <c r="A2" s="55" t="s">
        <v>218</v>
      </c>
      <c r="B2" s="56"/>
      <c r="C2" t="s">
        <v>235</v>
      </c>
      <c r="D2" s="65">
        <v>89.200000000000031</v>
      </c>
      <c r="E2" s="65">
        <v>79.685000000000002</v>
      </c>
      <c r="F2" s="65">
        <v>73.23</v>
      </c>
      <c r="G2" s="65">
        <v>70.788999999999987</v>
      </c>
      <c r="H2" s="65">
        <v>63.423000000000016</v>
      </c>
      <c r="I2" s="65">
        <v>59.56</v>
      </c>
      <c r="J2" s="65">
        <v>56.768000000000001</v>
      </c>
      <c r="K2" s="65">
        <v>54.176000000000002</v>
      </c>
      <c r="L2" s="65">
        <v>56.414000000000001</v>
      </c>
      <c r="M2" s="65">
        <v>47.587000000000003</v>
      </c>
      <c r="N2" s="65">
        <v>47.688999999999993</v>
      </c>
      <c r="O2" s="65">
        <v>58.07</v>
      </c>
      <c r="P2" s="65">
        <v>55.852999999999987</v>
      </c>
      <c r="Q2" s="65">
        <v>43.128</v>
      </c>
    </row>
    <row r="3" spans="1:17" ht="15.75">
      <c r="A3" s="57" t="str">
        <f ca="1">IFERROR(__xludf.DUMMYFUNCTION("QUERY(Feuille1!$A1:$R40,""order by D desc"")"),"Renault")</f>
        <v>Renault</v>
      </c>
      <c r="B3" s="58">
        <v>6.4999999999999997E-3</v>
      </c>
      <c r="D3" s="65">
        <f>$D$2*B3</f>
        <v>0.5798000000000002</v>
      </c>
      <c r="E3" s="65">
        <f>$E$2*B3</f>
        <v>0.51795250000000004</v>
      </c>
      <c r="F3" s="65">
        <f>$F$2*B3</f>
        <v>0.475995</v>
      </c>
      <c r="G3" s="65">
        <f>$G$2*B3</f>
        <v>0.46012849999999988</v>
      </c>
      <c r="H3" s="65">
        <f>$H$2*B3</f>
        <v>0.4122495000000001</v>
      </c>
      <c r="I3" s="65">
        <f>$I$2*B3</f>
        <v>0.38713999999999998</v>
      </c>
      <c r="J3" s="65">
        <f>$J$2*B3</f>
        <v>0.36899199999999999</v>
      </c>
      <c r="K3" s="65">
        <f>$K$2*B3</f>
        <v>0.35214400000000001</v>
      </c>
      <c r="L3" s="65">
        <f>$L$2*B3</f>
        <v>0.36669099999999999</v>
      </c>
      <c r="M3" s="65">
        <f>$M$2*B3</f>
        <v>0.30931550000000002</v>
      </c>
      <c r="N3" s="65">
        <f>$N$2*B3</f>
        <v>0.30997849999999993</v>
      </c>
      <c r="O3" s="65">
        <f>$O$2*B3</f>
        <v>0.37745499999999998</v>
      </c>
      <c r="P3" s="65">
        <f>$P$2*B3</f>
        <v>0.36304449999999988</v>
      </c>
      <c r="Q3" s="65">
        <f>Q$2*B3</f>
        <v>0.28033199999999997</v>
      </c>
    </row>
    <row r="4" spans="1:17" ht="15.75">
      <c r="A4" s="57" t="str">
        <f ca="1">IFERROR(__xludf.DUMMYFUNCTION("""COMPUTED_VALUE"""),"Unibail-Rodamco")</f>
        <v>Unibail-Rodamco</v>
      </c>
      <c r="B4" s="58">
        <v>1.4500000000000001E-2</v>
      </c>
      <c r="D4" s="65">
        <f t="shared" ref="D4:D42" si="0">$D$2*B4</f>
        <v>1.2934000000000005</v>
      </c>
      <c r="E4" s="65">
        <f t="shared" ref="E4:E42" si="1">$E$2*B4</f>
        <v>1.1554325000000001</v>
      </c>
      <c r="F4" s="65">
        <f t="shared" ref="F4:F42" si="2">$F$2*B4</f>
        <v>1.0618350000000001</v>
      </c>
      <c r="G4" s="65">
        <f t="shared" ref="G4:G42" si="3">$G$2*B4</f>
        <v>1.0264404999999999</v>
      </c>
      <c r="H4" s="65">
        <f t="shared" ref="H4:H42" si="4">$H$2*B4</f>
        <v>0.91963350000000033</v>
      </c>
      <c r="I4" s="65">
        <f t="shared" ref="I4:I42" si="5">$I$2*B4</f>
        <v>0.86362000000000005</v>
      </c>
      <c r="J4" s="65">
        <f t="shared" ref="J4:J42" si="6">$J$2*B4</f>
        <v>0.82313600000000009</v>
      </c>
      <c r="K4" s="65">
        <f t="shared" ref="K4:K42" si="7">$K$2*B4</f>
        <v>0.78555200000000003</v>
      </c>
      <c r="L4" s="65">
        <f t="shared" ref="L4:L42" si="8">$L$2*B4</f>
        <v>0.81800300000000004</v>
      </c>
      <c r="M4" s="65">
        <f t="shared" ref="M4:M42" si="9">$M$2*B4</f>
        <v>0.69001150000000011</v>
      </c>
      <c r="N4" s="65">
        <f t="shared" ref="N4:N42" si="10">$N$2*B4</f>
        <v>0.6914904999999999</v>
      </c>
      <c r="O4" s="65">
        <f t="shared" ref="O4:O42" si="11">$O$2*B4</f>
        <v>0.84201500000000007</v>
      </c>
      <c r="P4" s="65">
        <f t="shared" ref="P4:P42" si="12">$P$2*B4</f>
        <v>0.80986849999999988</v>
      </c>
      <c r="Q4" s="65">
        <f t="shared" ref="Q4:Q42" si="13">Q$2*B4</f>
        <v>0.62535600000000002</v>
      </c>
    </row>
    <row r="5" spans="1:17" ht="15.75">
      <c r="A5" s="57" t="str">
        <f ca="1">IFERROR(__xludf.DUMMYFUNCTION("""COMPUTED_VALUE"""),"Société Générale")</f>
        <v>Société Générale</v>
      </c>
      <c r="B5" s="58">
        <v>1.8800000000000001E-2</v>
      </c>
      <c r="D5" s="65">
        <f t="shared" si="0"/>
        <v>1.6769600000000007</v>
      </c>
      <c r="E5" s="65">
        <f t="shared" si="1"/>
        <v>1.498078</v>
      </c>
      <c r="F5" s="65">
        <f t="shared" si="2"/>
        <v>1.3767240000000001</v>
      </c>
      <c r="G5" s="65">
        <f t="shared" si="3"/>
        <v>1.3308331999999998</v>
      </c>
      <c r="H5" s="65">
        <f t="shared" si="4"/>
        <v>1.1923524000000003</v>
      </c>
      <c r="I5" s="65">
        <f t="shared" si="5"/>
        <v>1.1197280000000001</v>
      </c>
      <c r="J5" s="65">
        <f t="shared" si="6"/>
        <v>1.0672384000000001</v>
      </c>
      <c r="K5" s="65">
        <f t="shared" si="7"/>
        <v>1.0185088</v>
      </c>
      <c r="L5" s="65">
        <f t="shared" si="8"/>
        <v>1.0605832000000002</v>
      </c>
      <c r="M5" s="65">
        <f t="shared" si="9"/>
        <v>0.89463560000000009</v>
      </c>
      <c r="N5" s="65">
        <f t="shared" si="10"/>
        <v>0.89655319999999994</v>
      </c>
      <c r="O5" s="65">
        <f t="shared" si="11"/>
        <v>1.0917160000000001</v>
      </c>
      <c r="P5" s="65">
        <f t="shared" si="12"/>
        <v>1.0500363999999998</v>
      </c>
      <c r="Q5" s="65">
        <f t="shared" si="13"/>
        <v>0.81080640000000004</v>
      </c>
    </row>
    <row r="6" spans="1:17" ht="15.75">
      <c r="A6" s="57" t="str">
        <f ca="1">IFERROR(__xludf.DUMMYFUNCTION("""COMPUTED_VALUE"""),"BNP Paribas")</f>
        <v>BNP Paribas</v>
      </c>
      <c r="B6" s="58">
        <v>4.4400000000000002E-2</v>
      </c>
      <c r="D6" s="65">
        <f t="shared" si="0"/>
        <v>3.9604800000000018</v>
      </c>
      <c r="E6" s="65">
        <f t="shared" si="1"/>
        <v>3.5380140000000004</v>
      </c>
      <c r="F6" s="65">
        <f t="shared" si="2"/>
        <v>3.2514120000000002</v>
      </c>
      <c r="G6" s="65">
        <f t="shared" si="3"/>
        <v>3.1430315999999996</v>
      </c>
      <c r="H6" s="65">
        <f t="shared" si="4"/>
        <v>2.8159812000000009</v>
      </c>
      <c r="I6" s="65">
        <f t="shared" si="5"/>
        <v>2.6444640000000001</v>
      </c>
      <c r="J6" s="65">
        <f t="shared" si="6"/>
        <v>2.5204992000000002</v>
      </c>
      <c r="K6" s="65">
        <f t="shared" si="7"/>
        <v>2.4054144000000002</v>
      </c>
      <c r="L6" s="65">
        <f t="shared" si="8"/>
        <v>2.5047816000000003</v>
      </c>
      <c r="M6" s="65">
        <f t="shared" si="9"/>
        <v>2.1128628000000003</v>
      </c>
      <c r="N6" s="65">
        <f t="shared" si="10"/>
        <v>2.1173915999999999</v>
      </c>
      <c r="O6" s="65">
        <f t="shared" si="11"/>
        <v>2.5783080000000003</v>
      </c>
      <c r="P6" s="65">
        <f t="shared" si="12"/>
        <v>2.4798731999999997</v>
      </c>
      <c r="Q6" s="65">
        <f t="shared" si="13"/>
        <v>1.9148832</v>
      </c>
    </row>
    <row r="7" spans="1:17" ht="15.75">
      <c r="A7" s="57" t="str">
        <f ca="1">IFERROR(__xludf.DUMMYFUNCTION("""COMPUTED_VALUE"""),"Axa")</f>
        <v>Axa</v>
      </c>
      <c r="B7" s="58">
        <v>3.6200000000000003E-2</v>
      </c>
      <c r="D7" s="65">
        <f t="shared" si="0"/>
        <v>3.2290400000000012</v>
      </c>
      <c r="E7" s="65">
        <f t="shared" si="1"/>
        <v>2.8845970000000003</v>
      </c>
      <c r="F7" s="65">
        <f t="shared" si="2"/>
        <v>2.6509260000000006</v>
      </c>
      <c r="G7" s="65">
        <f t="shared" si="3"/>
        <v>2.5625617999999997</v>
      </c>
      <c r="H7" s="65">
        <f t="shared" si="4"/>
        <v>2.2959126000000007</v>
      </c>
      <c r="I7" s="65">
        <f t="shared" si="5"/>
        <v>2.1560720000000004</v>
      </c>
      <c r="J7" s="65">
        <f t="shared" si="6"/>
        <v>2.0550016000000002</v>
      </c>
      <c r="K7" s="65">
        <f t="shared" si="7"/>
        <v>1.9611712000000003</v>
      </c>
      <c r="L7" s="65">
        <f t="shared" si="8"/>
        <v>2.0421868000000001</v>
      </c>
      <c r="M7" s="65">
        <f t="shared" si="9"/>
        <v>1.7226494000000003</v>
      </c>
      <c r="N7" s="65">
        <f t="shared" si="10"/>
        <v>1.7263417999999999</v>
      </c>
      <c r="O7" s="65">
        <f t="shared" si="11"/>
        <v>2.1021340000000004</v>
      </c>
      <c r="P7" s="65">
        <f t="shared" si="12"/>
        <v>2.0218785999999995</v>
      </c>
      <c r="Q7" s="65">
        <f t="shared" si="13"/>
        <v>1.5612336000000002</v>
      </c>
    </row>
    <row r="8" spans="1:17" ht="15.75">
      <c r="A8" s="57" t="str">
        <f ca="1">IFERROR(__xludf.DUMMYFUNCTION("""COMPUTED_VALUE"""),"Crédit Agricole")</f>
        <v>Crédit Agricole</v>
      </c>
      <c r="B8" s="58">
        <v>1.11E-2</v>
      </c>
      <c r="D8" s="65">
        <f t="shared" si="0"/>
        <v>0.99012000000000044</v>
      </c>
      <c r="E8" s="65">
        <f t="shared" si="1"/>
        <v>0.88450350000000011</v>
      </c>
      <c r="F8" s="65">
        <f t="shared" si="2"/>
        <v>0.81285300000000005</v>
      </c>
      <c r="G8" s="65">
        <f t="shared" si="3"/>
        <v>0.7857578999999999</v>
      </c>
      <c r="H8" s="65">
        <f t="shared" si="4"/>
        <v>0.70399530000000021</v>
      </c>
      <c r="I8" s="65">
        <f t="shared" si="5"/>
        <v>0.66111600000000004</v>
      </c>
      <c r="J8" s="65">
        <f t="shared" si="6"/>
        <v>0.63012480000000004</v>
      </c>
      <c r="K8" s="65">
        <f t="shared" si="7"/>
        <v>0.60135360000000004</v>
      </c>
      <c r="L8" s="65">
        <f t="shared" si="8"/>
        <v>0.62619540000000007</v>
      </c>
      <c r="M8" s="65">
        <f t="shared" si="9"/>
        <v>0.52821570000000007</v>
      </c>
      <c r="N8" s="65">
        <f t="shared" si="10"/>
        <v>0.52934789999999998</v>
      </c>
      <c r="O8" s="65">
        <f t="shared" si="11"/>
        <v>0.64457700000000007</v>
      </c>
      <c r="P8" s="65">
        <f t="shared" si="12"/>
        <v>0.61996829999999992</v>
      </c>
      <c r="Q8" s="65">
        <f t="shared" si="13"/>
        <v>0.4787208</v>
      </c>
    </row>
    <row r="9" spans="1:17" ht="15.75">
      <c r="A9" s="57" t="str">
        <f ca="1">IFERROR(__xludf.DUMMYFUNCTION("""COMPUTED_VALUE"""),"Orange")</f>
        <v>Orange</v>
      </c>
      <c r="B9" s="58">
        <v>1.8200000000000001E-2</v>
      </c>
      <c r="D9" s="65">
        <f t="shared" si="0"/>
        <v>1.6234400000000007</v>
      </c>
      <c r="E9" s="65">
        <f t="shared" si="1"/>
        <v>1.4502670000000002</v>
      </c>
      <c r="F9" s="65">
        <f t="shared" si="2"/>
        <v>1.3327860000000002</v>
      </c>
      <c r="G9" s="65">
        <f t="shared" si="3"/>
        <v>1.2883597999999998</v>
      </c>
      <c r="H9" s="65">
        <f t="shared" si="4"/>
        <v>1.1542986000000004</v>
      </c>
      <c r="I9" s="65">
        <f t="shared" si="5"/>
        <v>1.0839920000000001</v>
      </c>
      <c r="J9" s="65">
        <f t="shared" si="6"/>
        <v>1.0331776000000001</v>
      </c>
      <c r="K9" s="65">
        <f t="shared" si="7"/>
        <v>0.98600320000000008</v>
      </c>
      <c r="L9" s="65">
        <f t="shared" si="8"/>
        <v>1.0267348000000001</v>
      </c>
      <c r="M9" s="65">
        <f t="shared" si="9"/>
        <v>0.86608340000000006</v>
      </c>
      <c r="N9" s="65">
        <f t="shared" si="10"/>
        <v>0.86793979999999993</v>
      </c>
      <c r="O9" s="65">
        <f t="shared" si="11"/>
        <v>1.0568740000000001</v>
      </c>
      <c r="P9" s="65">
        <f t="shared" si="12"/>
        <v>1.0165245999999999</v>
      </c>
      <c r="Q9" s="65">
        <f t="shared" si="13"/>
        <v>0.78492960000000001</v>
      </c>
    </row>
    <row r="10" spans="1:17" ht="15.75">
      <c r="A10" s="57" t="str">
        <f ca="1">IFERROR(__xludf.DUMMYFUNCTION("""COMPUTED_VALUE"""),"Total")</f>
        <v>Total</v>
      </c>
      <c r="B10" s="58">
        <v>9.3100000000000002E-2</v>
      </c>
      <c r="D10" s="65">
        <f t="shared" si="0"/>
        <v>8.3045200000000037</v>
      </c>
      <c r="E10" s="65">
        <f t="shared" si="1"/>
        <v>7.4186735000000006</v>
      </c>
      <c r="F10" s="65">
        <f t="shared" si="2"/>
        <v>6.8177130000000004</v>
      </c>
      <c r="G10" s="65">
        <f t="shared" si="3"/>
        <v>6.5904558999999994</v>
      </c>
      <c r="H10" s="65">
        <f t="shared" si="4"/>
        <v>5.9046813000000018</v>
      </c>
      <c r="I10" s="65">
        <f t="shared" si="5"/>
        <v>5.5450360000000005</v>
      </c>
      <c r="J10" s="65">
        <f t="shared" si="6"/>
        <v>5.2851008000000004</v>
      </c>
      <c r="K10" s="65">
        <f t="shared" si="7"/>
        <v>5.0437856000000005</v>
      </c>
      <c r="L10" s="65">
        <f t="shared" si="8"/>
        <v>5.2521434000000005</v>
      </c>
      <c r="M10" s="65">
        <f t="shared" si="9"/>
        <v>4.4303497000000007</v>
      </c>
      <c r="N10" s="65">
        <f t="shared" si="10"/>
        <v>4.439845899999999</v>
      </c>
      <c r="O10" s="65">
        <f t="shared" si="11"/>
        <v>5.4063170000000005</v>
      </c>
      <c r="P10" s="65">
        <f t="shared" si="12"/>
        <v>5.1999142999999988</v>
      </c>
      <c r="Q10" s="65">
        <f t="shared" si="13"/>
        <v>4.0152168000000001</v>
      </c>
    </row>
    <row r="11" spans="1:17" ht="15.75">
      <c r="A11" s="57" t="str">
        <f ca="1">IFERROR(__xludf.DUMMYFUNCTION("""COMPUTED_VALUE"""),"Publicis")</f>
        <v>Publicis</v>
      </c>
      <c r="B11" s="58">
        <v>6.4999999999999997E-3</v>
      </c>
      <c r="D11" s="65">
        <f t="shared" si="0"/>
        <v>0.5798000000000002</v>
      </c>
      <c r="E11" s="65">
        <f t="shared" si="1"/>
        <v>0.51795250000000004</v>
      </c>
      <c r="F11" s="65">
        <f t="shared" si="2"/>
        <v>0.475995</v>
      </c>
      <c r="G11" s="65">
        <f t="shared" si="3"/>
        <v>0.46012849999999988</v>
      </c>
      <c r="H11" s="65">
        <f t="shared" si="4"/>
        <v>0.4122495000000001</v>
      </c>
      <c r="I11" s="65">
        <f t="shared" si="5"/>
        <v>0.38713999999999998</v>
      </c>
      <c r="J11" s="65">
        <f t="shared" si="6"/>
        <v>0.36899199999999999</v>
      </c>
      <c r="K11" s="65">
        <f t="shared" si="7"/>
        <v>0.35214400000000001</v>
      </c>
      <c r="L11" s="65">
        <f t="shared" si="8"/>
        <v>0.36669099999999999</v>
      </c>
      <c r="M11" s="65">
        <f t="shared" si="9"/>
        <v>0.30931550000000002</v>
      </c>
      <c r="N11" s="65">
        <f t="shared" si="10"/>
        <v>0.30997849999999993</v>
      </c>
      <c r="O11" s="65">
        <f t="shared" si="11"/>
        <v>0.37745499999999998</v>
      </c>
      <c r="P11" s="65">
        <f t="shared" si="12"/>
        <v>0.36304449999999988</v>
      </c>
      <c r="Q11" s="65">
        <f t="shared" si="13"/>
        <v>0.28033199999999997</v>
      </c>
    </row>
    <row r="12" spans="1:17" ht="15.75">
      <c r="A12" s="57" t="str">
        <f ca="1">IFERROR(__xludf.DUMMYFUNCTION("""COMPUTED_VALUE"""),"Engie")</f>
        <v>Engie</v>
      </c>
      <c r="B12" s="58">
        <v>1.9599999999999999E-2</v>
      </c>
      <c r="D12" s="65">
        <f t="shared" si="0"/>
        <v>1.7483200000000005</v>
      </c>
      <c r="E12" s="65">
        <f t="shared" si="1"/>
        <v>1.5618259999999999</v>
      </c>
      <c r="F12" s="65">
        <f t="shared" si="2"/>
        <v>1.435308</v>
      </c>
      <c r="G12" s="65">
        <f t="shared" si="3"/>
        <v>1.3874643999999996</v>
      </c>
      <c r="H12" s="65">
        <f t="shared" si="4"/>
        <v>1.2430908000000003</v>
      </c>
      <c r="I12" s="65">
        <f t="shared" si="5"/>
        <v>1.167376</v>
      </c>
      <c r="J12" s="65">
        <f t="shared" si="6"/>
        <v>1.1126528</v>
      </c>
      <c r="K12" s="65">
        <f t="shared" si="7"/>
        <v>1.0618495999999999</v>
      </c>
      <c r="L12" s="65">
        <f t="shared" si="8"/>
        <v>1.1057144000000001</v>
      </c>
      <c r="M12" s="65">
        <f t="shared" si="9"/>
        <v>0.93270520000000001</v>
      </c>
      <c r="N12" s="65">
        <f t="shared" si="10"/>
        <v>0.93470439999999988</v>
      </c>
      <c r="O12" s="65">
        <f t="shared" si="11"/>
        <v>1.138172</v>
      </c>
      <c r="P12" s="65">
        <f t="shared" si="12"/>
        <v>1.0947187999999997</v>
      </c>
      <c r="Q12" s="65">
        <f t="shared" si="13"/>
        <v>0.84530879999999997</v>
      </c>
    </row>
    <row r="13" spans="1:17" ht="15.75">
      <c r="A13" s="57" t="str">
        <f ca="1">IFERROR(__xludf.DUMMYFUNCTION("""COMPUTED_VALUE"""),"Bouygues")</f>
        <v>Bouygues</v>
      </c>
      <c r="B13" s="58">
        <v>6.3E-3</v>
      </c>
      <c r="D13" s="65">
        <f t="shared" si="0"/>
        <v>0.56196000000000024</v>
      </c>
      <c r="E13" s="65">
        <f t="shared" si="1"/>
        <v>0.50201550000000006</v>
      </c>
      <c r="F13" s="65">
        <f t="shared" si="2"/>
        <v>0.46134900000000001</v>
      </c>
      <c r="G13" s="65">
        <f t="shared" si="3"/>
        <v>0.44597069999999994</v>
      </c>
      <c r="H13" s="65">
        <f t="shared" si="4"/>
        <v>0.39956490000000011</v>
      </c>
      <c r="I13" s="65">
        <f t="shared" si="5"/>
        <v>0.37522800000000001</v>
      </c>
      <c r="J13" s="65">
        <f t="shared" si="6"/>
        <v>0.35763840000000002</v>
      </c>
      <c r="K13" s="65">
        <f t="shared" si="7"/>
        <v>0.34130880000000002</v>
      </c>
      <c r="L13" s="65">
        <f t="shared" si="8"/>
        <v>0.35540820000000001</v>
      </c>
      <c r="M13" s="65">
        <f t="shared" si="9"/>
        <v>0.29979810000000001</v>
      </c>
      <c r="N13" s="65">
        <f t="shared" si="10"/>
        <v>0.30044069999999995</v>
      </c>
      <c r="O13" s="65">
        <f t="shared" si="11"/>
        <v>0.36584100000000003</v>
      </c>
      <c r="P13" s="65">
        <f t="shared" si="12"/>
        <v>0.35187389999999991</v>
      </c>
      <c r="Q13" s="65">
        <f t="shared" si="13"/>
        <v>0.27170640000000001</v>
      </c>
    </row>
    <row r="14" spans="1:17" ht="15.75">
      <c r="A14" s="57" t="str">
        <f ca="1">IFERROR(__xludf.DUMMYFUNCTION("""COMPUTED_VALUE"""),"Peugeot")</f>
        <v>Peugeot</v>
      </c>
      <c r="B14" s="58">
        <v>9.4000000000000004E-3</v>
      </c>
      <c r="D14" s="65">
        <f t="shared" si="0"/>
        <v>0.83848000000000034</v>
      </c>
      <c r="E14" s="65">
        <f t="shared" si="1"/>
        <v>0.74903900000000001</v>
      </c>
      <c r="F14" s="65">
        <f t="shared" si="2"/>
        <v>0.68836200000000003</v>
      </c>
      <c r="G14" s="65">
        <f t="shared" si="3"/>
        <v>0.66541659999999991</v>
      </c>
      <c r="H14" s="65">
        <f t="shared" si="4"/>
        <v>0.59617620000000016</v>
      </c>
      <c r="I14" s="65">
        <f t="shared" si="5"/>
        <v>0.55986400000000003</v>
      </c>
      <c r="J14" s="65">
        <f t="shared" si="6"/>
        <v>0.53361920000000007</v>
      </c>
      <c r="K14" s="65">
        <f t="shared" si="7"/>
        <v>0.5092544</v>
      </c>
      <c r="L14" s="65">
        <f t="shared" si="8"/>
        <v>0.53029160000000009</v>
      </c>
      <c r="M14" s="65">
        <f t="shared" si="9"/>
        <v>0.44731780000000004</v>
      </c>
      <c r="N14" s="65">
        <f t="shared" si="10"/>
        <v>0.44827659999999997</v>
      </c>
      <c r="O14" s="65">
        <f t="shared" si="11"/>
        <v>0.54585800000000007</v>
      </c>
      <c r="P14" s="65">
        <f t="shared" si="12"/>
        <v>0.52501819999999988</v>
      </c>
      <c r="Q14" s="65">
        <f t="shared" si="13"/>
        <v>0.40540320000000002</v>
      </c>
    </row>
    <row r="15" spans="1:17" ht="15.75">
      <c r="A15" s="57" t="str">
        <f ca="1">IFERROR(__xludf.DUMMYFUNCTION("""COMPUTED_VALUE"""),"Saint Gobain")</f>
        <v>Saint Gobain</v>
      </c>
      <c r="B15" s="58">
        <v>1.34E-2</v>
      </c>
      <c r="D15" s="65">
        <f t="shared" si="0"/>
        <v>1.1952800000000006</v>
      </c>
      <c r="E15" s="65">
        <f t="shared" si="1"/>
        <v>1.067779</v>
      </c>
      <c r="F15" s="65">
        <f t="shared" si="2"/>
        <v>0.9812820000000001</v>
      </c>
      <c r="G15" s="65">
        <f t="shared" si="3"/>
        <v>0.94857259999999988</v>
      </c>
      <c r="H15" s="65">
        <f t="shared" si="4"/>
        <v>0.8498682000000003</v>
      </c>
      <c r="I15" s="65">
        <f t="shared" si="5"/>
        <v>0.79810400000000004</v>
      </c>
      <c r="J15" s="65">
        <f t="shared" si="6"/>
        <v>0.76069120000000001</v>
      </c>
      <c r="K15" s="65">
        <f t="shared" si="7"/>
        <v>0.7259584</v>
      </c>
      <c r="L15" s="65">
        <f t="shared" si="8"/>
        <v>0.75594760000000005</v>
      </c>
      <c r="M15" s="65">
        <f t="shared" si="9"/>
        <v>0.63766580000000006</v>
      </c>
      <c r="N15" s="65">
        <f t="shared" si="10"/>
        <v>0.63903259999999995</v>
      </c>
      <c r="O15" s="65">
        <f t="shared" si="11"/>
        <v>0.778138</v>
      </c>
      <c r="P15" s="65">
        <f t="shared" si="12"/>
        <v>0.74843019999999982</v>
      </c>
      <c r="Q15" s="65">
        <f t="shared" si="13"/>
        <v>0.57791520000000007</v>
      </c>
    </row>
    <row r="16" spans="1:17" ht="15.75">
      <c r="A16" s="57" t="str">
        <f ca="1">IFERROR(__xludf.DUMMYFUNCTION("""COMPUTED_VALUE"""),"Veolia")</f>
        <v>Veolia</v>
      </c>
      <c r="B16" s="58">
        <v>0.01</v>
      </c>
      <c r="D16" s="65">
        <f t="shared" si="0"/>
        <v>0.89200000000000035</v>
      </c>
      <c r="E16" s="65">
        <f t="shared" si="1"/>
        <v>0.79685000000000006</v>
      </c>
      <c r="F16" s="65">
        <f t="shared" si="2"/>
        <v>0.73230000000000006</v>
      </c>
      <c r="G16" s="65">
        <f t="shared" si="3"/>
        <v>0.70788999999999991</v>
      </c>
      <c r="H16" s="65">
        <f t="shared" si="4"/>
        <v>0.63423000000000018</v>
      </c>
      <c r="I16" s="65">
        <f t="shared" si="5"/>
        <v>0.59560000000000002</v>
      </c>
      <c r="J16" s="65">
        <f t="shared" si="6"/>
        <v>0.56768000000000007</v>
      </c>
      <c r="K16" s="65">
        <f t="shared" si="7"/>
        <v>0.54176000000000002</v>
      </c>
      <c r="L16" s="65">
        <f t="shared" si="8"/>
        <v>0.56413999999999997</v>
      </c>
      <c r="M16" s="65">
        <f t="shared" si="9"/>
        <v>0.47587000000000002</v>
      </c>
      <c r="N16" s="65">
        <f t="shared" si="10"/>
        <v>0.47688999999999993</v>
      </c>
      <c r="O16" s="65">
        <f t="shared" si="11"/>
        <v>0.58069999999999999</v>
      </c>
      <c r="P16" s="65">
        <f t="shared" si="12"/>
        <v>0.55852999999999986</v>
      </c>
      <c r="Q16" s="65">
        <f t="shared" si="13"/>
        <v>0.43128</v>
      </c>
    </row>
    <row r="17" spans="1:17" ht="15.75">
      <c r="A17" s="57" t="str">
        <f ca="1">IFERROR(__xludf.DUMMYFUNCTION("""COMPUTED_VALUE"""),"Michelin")</f>
        <v>Michelin</v>
      </c>
      <c r="B17" s="58">
        <v>1.47E-2</v>
      </c>
      <c r="D17" s="65">
        <f t="shared" si="0"/>
        <v>1.3112400000000004</v>
      </c>
      <c r="E17" s="65">
        <f t="shared" si="1"/>
        <v>1.1713695</v>
      </c>
      <c r="F17" s="65">
        <f t="shared" si="2"/>
        <v>1.076481</v>
      </c>
      <c r="G17" s="65">
        <f t="shared" si="3"/>
        <v>1.0405982999999999</v>
      </c>
      <c r="H17" s="65">
        <f t="shared" si="4"/>
        <v>0.93231810000000026</v>
      </c>
      <c r="I17" s="65">
        <f t="shared" si="5"/>
        <v>0.87553199999999998</v>
      </c>
      <c r="J17" s="65">
        <f t="shared" si="6"/>
        <v>0.83448959999999994</v>
      </c>
      <c r="K17" s="65">
        <f t="shared" si="7"/>
        <v>0.79638719999999996</v>
      </c>
      <c r="L17" s="65">
        <f t="shared" si="8"/>
        <v>0.82928579999999996</v>
      </c>
      <c r="M17" s="65">
        <f t="shared" si="9"/>
        <v>0.69952890000000001</v>
      </c>
      <c r="N17" s="65">
        <f t="shared" si="10"/>
        <v>0.70102829999999983</v>
      </c>
      <c r="O17" s="65">
        <f t="shared" si="11"/>
        <v>0.85362899999999997</v>
      </c>
      <c r="P17" s="65">
        <f t="shared" si="12"/>
        <v>0.8210390999999998</v>
      </c>
      <c r="Q17" s="65">
        <f t="shared" si="13"/>
        <v>0.63398160000000003</v>
      </c>
    </row>
    <row r="18" spans="1:17" ht="15.75">
      <c r="A18" s="57" t="str">
        <f ca="1">IFERROR(__xludf.DUMMYFUNCTION("""COMPUTED_VALUE"""),"Sanofi")</f>
        <v>Sanofi</v>
      </c>
      <c r="B18" s="58">
        <v>7.5399999999999995E-2</v>
      </c>
      <c r="D18" s="65">
        <f t="shared" si="0"/>
        <v>6.7256800000000023</v>
      </c>
      <c r="E18" s="65">
        <f t="shared" si="1"/>
        <v>6.0082490000000002</v>
      </c>
      <c r="F18" s="65">
        <f t="shared" si="2"/>
        <v>5.5215420000000002</v>
      </c>
      <c r="G18" s="65">
        <f t="shared" si="3"/>
        <v>5.3374905999999989</v>
      </c>
      <c r="H18" s="65">
        <f t="shared" si="4"/>
        <v>4.7820942000000013</v>
      </c>
      <c r="I18" s="65">
        <f t="shared" si="5"/>
        <v>4.4908239999999999</v>
      </c>
      <c r="J18" s="65">
        <f t="shared" si="6"/>
        <v>4.2803071999999993</v>
      </c>
      <c r="K18" s="65">
        <f t="shared" si="7"/>
        <v>4.0848703999999998</v>
      </c>
      <c r="L18" s="65">
        <f t="shared" si="8"/>
        <v>4.2536155999999998</v>
      </c>
      <c r="M18" s="65">
        <f t="shared" si="9"/>
        <v>3.5880597999999999</v>
      </c>
      <c r="N18" s="65">
        <f t="shared" si="10"/>
        <v>3.5957505999999992</v>
      </c>
      <c r="O18" s="65">
        <f t="shared" si="11"/>
        <v>4.3784779999999994</v>
      </c>
      <c r="P18" s="65">
        <f t="shared" si="12"/>
        <v>4.2113161999999988</v>
      </c>
      <c r="Q18" s="65">
        <f t="shared" si="13"/>
        <v>3.2518511999999999</v>
      </c>
    </row>
    <row r="19" spans="1:17" ht="15.75">
      <c r="A19" s="57" t="str">
        <f ca="1">IFERROR(__xludf.DUMMYFUNCTION("""COMPUTED_VALUE"""),"Carrefour")</f>
        <v>Carrefour</v>
      </c>
      <c r="B19" s="58">
        <v>6.7999999999999996E-3</v>
      </c>
      <c r="D19" s="65">
        <f t="shared" si="0"/>
        <v>0.60656000000000021</v>
      </c>
      <c r="E19" s="65">
        <f t="shared" si="1"/>
        <v>0.54185799999999995</v>
      </c>
      <c r="F19" s="65">
        <f t="shared" si="2"/>
        <v>0.49796400000000002</v>
      </c>
      <c r="G19" s="65">
        <f t="shared" si="3"/>
        <v>0.48136519999999988</v>
      </c>
      <c r="H19" s="65">
        <f t="shared" si="4"/>
        <v>0.43127640000000006</v>
      </c>
      <c r="I19" s="65">
        <f t="shared" si="5"/>
        <v>0.40500799999999998</v>
      </c>
      <c r="J19" s="65">
        <f t="shared" si="6"/>
        <v>0.38602239999999999</v>
      </c>
      <c r="K19" s="65">
        <f t="shared" si="7"/>
        <v>0.36839679999999997</v>
      </c>
      <c r="L19" s="65">
        <f t="shared" si="8"/>
        <v>0.38361519999999999</v>
      </c>
      <c r="M19" s="65">
        <f t="shared" si="9"/>
        <v>0.32359159999999998</v>
      </c>
      <c r="N19" s="65">
        <f t="shared" si="10"/>
        <v>0.32428519999999994</v>
      </c>
      <c r="O19" s="65">
        <f t="shared" si="11"/>
        <v>0.394876</v>
      </c>
      <c r="P19" s="65">
        <f t="shared" si="12"/>
        <v>0.37980039999999987</v>
      </c>
      <c r="Q19" s="65">
        <f t="shared" si="13"/>
        <v>0.29327039999999999</v>
      </c>
    </row>
    <row r="20" spans="1:17" ht="15.75">
      <c r="A20" s="57" t="str">
        <f ca="1">IFERROR(__xludf.DUMMYFUNCTION("""COMPUTED_VALUE"""),"Technip")</f>
        <v>Technip</v>
      </c>
      <c r="B20" s="58">
        <v>6.3E-3</v>
      </c>
      <c r="D20" s="65">
        <f t="shared" si="0"/>
        <v>0.56196000000000024</v>
      </c>
      <c r="E20" s="65">
        <f t="shared" si="1"/>
        <v>0.50201550000000006</v>
      </c>
      <c r="F20" s="65">
        <f t="shared" si="2"/>
        <v>0.46134900000000001</v>
      </c>
      <c r="G20" s="65">
        <f t="shared" si="3"/>
        <v>0.44597069999999994</v>
      </c>
      <c r="H20" s="65">
        <f t="shared" si="4"/>
        <v>0.39956490000000011</v>
      </c>
      <c r="I20" s="65">
        <f t="shared" si="5"/>
        <v>0.37522800000000001</v>
      </c>
      <c r="J20" s="65">
        <f t="shared" si="6"/>
        <v>0.35763840000000002</v>
      </c>
      <c r="K20" s="65">
        <f t="shared" si="7"/>
        <v>0.34130880000000002</v>
      </c>
      <c r="L20" s="65">
        <f t="shared" si="8"/>
        <v>0.35540820000000001</v>
      </c>
      <c r="M20" s="65">
        <f t="shared" si="9"/>
        <v>0.29979810000000001</v>
      </c>
      <c r="N20" s="65">
        <f t="shared" si="10"/>
        <v>0.30044069999999995</v>
      </c>
      <c r="O20" s="65">
        <f t="shared" si="11"/>
        <v>0.36584100000000003</v>
      </c>
      <c r="P20" s="65">
        <f t="shared" si="12"/>
        <v>0.35187389999999991</v>
      </c>
      <c r="Q20" s="65">
        <f t="shared" si="13"/>
        <v>0.27170640000000001</v>
      </c>
    </row>
    <row r="21" spans="1:17" ht="15.75">
      <c r="A21" s="57" t="str">
        <f ca="1">IFERROR(__xludf.DUMMYFUNCTION("""COMPUTED_VALUE"""),"Vinci")</f>
        <v>Vinci</v>
      </c>
      <c r="B21" s="58">
        <v>3.78E-2</v>
      </c>
      <c r="D21" s="65">
        <f t="shared" si="0"/>
        <v>3.3717600000000014</v>
      </c>
      <c r="E21" s="65">
        <f t="shared" si="1"/>
        <v>3.0120930000000001</v>
      </c>
      <c r="F21" s="65">
        <f t="shared" si="2"/>
        <v>2.7680940000000001</v>
      </c>
      <c r="G21" s="65">
        <f t="shared" si="3"/>
        <v>2.6758241999999997</v>
      </c>
      <c r="H21" s="65">
        <f t="shared" si="4"/>
        <v>2.3973894000000007</v>
      </c>
      <c r="I21" s="65">
        <f t="shared" si="5"/>
        <v>2.2513680000000003</v>
      </c>
      <c r="J21" s="65">
        <f t="shared" si="6"/>
        <v>2.1458303999999999</v>
      </c>
      <c r="K21" s="65">
        <f t="shared" si="7"/>
        <v>2.0478528000000003</v>
      </c>
      <c r="L21" s="65">
        <f t="shared" si="8"/>
        <v>2.1324491999999999</v>
      </c>
      <c r="M21" s="65">
        <f t="shared" si="9"/>
        <v>1.7987886000000002</v>
      </c>
      <c r="N21" s="65">
        <f t="shared" si="10"/>
        <v>1.8026441999999998</v>
      </c>
      <c r="O21" s="65">
        <f t="shared" si="11"/>
        <v>2.1950460000000001</v>
      </c>
      <c r="P21" s="65">
        <f t="shared" si="12"/>
        <v>2.1112433999999993</v>
      </c>
      <c r="Q21" s="65">
        <f t="shared" si="13"/>
        <v>1.6302384000000001</v>
      </c>
    </row>
    <row r="22" spans="1:17" ht="15.75">
      <c r="A22" s="57" t="str">
        <f ca="1">IFERROR(__xludf.DUMMYFUNCTION("""COMPUTED_VALUE"""),"Sodexo")</f>
        <v>Sodexo</v>
      </c>
      <c r="B22" s="58">
        <v>7.0000000000000001E-3</v>
      </c>
      <c r="D22" s="65">
        <f t="shared" si="0"/>
        <v>0.62440000000000018</v>
      </c>
      <c r="E22" s="65">
        <f t="shared" si="1"/>
        <v>0.55779500000000004</v>
      </c>
      <c r="F22" s="65">
        <f t="shared" si="2"/>
        <v>0.51261000000000001</v>
      </c>
      <c r="G22" s="65">
        <f t="shared" si="3"/>
        <v>0.49552299999999994</v>
      </c>
      <c r="H22" s="65">
        <f t="shared" si="4"/>
        <v>0.44396100000000011</v>
      </c>
      <c r="I22" s="65">
        <f t="shared" si="5"/>
        <v>0.41692000000000001</v>
      </c>
      <c r="J22" s="65">
        <f t="shared" si="6"/>
        <v>0.39737600000000001</v>
      </c>
      <c r="K22" s="65">
        <f t="shared" si="7"/>
        <v>0.37923200000000001</v>
      </c>
      <c r="L22" s="65">
        <f t="shared" si="8"/>
        <v>0.39489800000000003</v>
      </c>
      <c r="M22" s="65">
        <f t="shared" si="9"/>
        <v>0.33310900000000004</v>
      </c>
      <c r="N22" s="65">
        <f t="shared" si="10"/>
        <v>0.33382299999999998</v>
      </c>
      <c r="O22" s="65">
        <f t="shared" si="11"/>
        <v>0.40649000000000002</v>
      </c>
      <c r="P22" s="65">
        <f t="shared" si="12"/>
        <v>0.3909709999999999</v>
      </c>
      <c r="Q22" s="65">
        <f t="shared" si="13"/>
        <v>0.301896</v>
      </c>
    </row>
    <row r="23" spans="1:17" ht="15.75">
      <c r="A23" s="57" t="str">
        <f ca="1">IFERROR(__xludf.DUMMYFUNCTION("""COMPUTED_VALUE"""),"Danone")</f>
        <v>Danone</v>
      </c>
      <c r="B23" s="58">
        <v>3.5999999999999997E-2</v>
      </c>
      <c r="D23" s="65">
        <f t="shared" si="0"/>
        <v>3.2112000000000007</v>
      </c>
      <c r="E23" s="65">
        <f t="shared" si="1"/>
        <v>2.8686599999999998</v>
      </c>
      <c r="F23" s="65">
        <f t="shared" si="2"/>
        <v>2.6362799999999997</v>
      </c>
      <c r="G23" s="65">
        <f t="shared" si="3"/>
        <v>2.5484039999999992</v>
      </c>
      <c r="H23" s="65">
        <f t="shared" si="4"/>
        <v>2.2832280000000003</v>
      </c>
      <c r="I23" s="65">
        <f t="shared" si="5"/>
        <v>2.1441599999999998</v>
      </c>
      <c r="J23" s="65">
        <f t="shared" si="6"/>
        <v>2.0436479999999997</v>
      </c>
      <c r="K23" s="65">
        <f t="shared" si="7"/>
        <v>1.9503359999999998</v>
      </c>
      <c r="L23" s="65">
        <f t="shared" si="8"/>
        <v>2.030904</v>
      </c>
      <c r="M23" s="65">
        <f t="shared" si="9"/>
        <v>1.7131320000000001</v>
      </c>
      <c r="N23" s="65">
        <f t="shared" si="10"/>
        <v>1.7168039999999996</v>
      </c>
      <c r="O23" s="65">
        <f t="shared" si="11"/>
        <v>2.0905199999999997</v>
      </c>
      <c r="P23" s="65">
        <f t="shared" si="12"/>
        <v>2.0107079999999993</v>
      </c>
      <c r="Q23" s="65">
        <f t="shared" si="13"/>
        <v>1.552608</v>
      </c>
    </row>
    <row r="24" spans="1:17" ht="15.75">
      <c r="A24" s="57" t="str">
        <f ca="1">IFERROR(__xludf.DUMMYFUNCTION("""COMPUTED_VALUE"""),"Accor")</f>
        <v>Accor</v>
      </c>
      <c r="B24" s="58">
        <v>5.8999999999999999E-3</v>
      </c>
      <c r="D24" s="65">
        <f t="shared" si="0"/>
        <v>0.52628000000000019</v>
      </c>
      <c r="E24" s="65">
        <f t="shared" si="1"/>
        <v>0.47014149999999999</v>
      </c>
      <c r="F24" s="65">
        <f t="shared" si="2"/>
        <v>0.43205700000000002</v>
      </c>
      <c r="G24" s="65">
        <f t="shared" si="3"/>
        <v>0.41765509999999989</v>
      </c>
      <c r="H24" s="65">
        <f t="shared" si="4"/>
        <v>0.37419570000000008</v>
      </c>
      <c r="I24" s="65">
        <f t="shared" si="5"/>
        <v>0.35140399999999999</v>
      </c>
      <c r="J24" s="65">
        <f t="shared" si="6"/>
        <v>0.33493119999999998</v>
      </c>
      <c r="K24" s="65">
        <f t="shared" si="7"/>
        <v>0.31963839999999999</v>
      </c>
      <c r="L24" s="65">
        <f t="shared" si="8"/>
        <v>0.33284259999999999</v>
      </c>
      <c r="M24" s="65">
        <f t="shared" si="9"/>
        <v>0.28076329999999999</v>
      </c>
      <c r="N24" s="65">
        <f t="shared" si="10"/>
        <v>0.28136509999999998</v>
      </c>
      <c r="O24" s="65">
        <f t="shared" si="11"/>
        <v>0.342613</v>
      </c>
      <c r="P24" s="65">
        <f t="shared" si="12"/>
        <v>0.3295326999999999</v>
      </c>
      <c r="Q24" s="65">
        <f t="shared" si="13"/>
        <v>0.25445519999999999</v>
      </c>
    </row>
    <row r="25" spans="1:17" ht="15.75">
      <c r="A25" s="57" t="str">
        <f ca="1">IFERROR(__xludf.DUMMYFUNCTION("""COMPUTED_VALUE"""),"Schneider Electric")</f>
        <v>Schneider Electric</v>
      </c>
      <c r="B25" s="58">
        <v>3.78E-2</v>
      </c>
      <c r="D25" s="65">
        <f t="shared" si="0"/>
        <v>3.3717600000000014</v>
      </c>
      <c r="E25" s="65">
        <f t="shared" si="1"/>
        <v>3.0120930000000001</v>
      </c>
      <c r="F25" s="65">
        <f t="shared" si="2"/>
        <v>2.7680940000000001</v>
      </c>
      <c r="G25" s="65">
        <f t="shared" si="3"/>
        <v>2.6758241999999997</v>
      </c>
      <c r="H25" s="65">
        <f t="shared" si="4"/>
        <v>2.3973894000000007</v>
      </c>
      <c r="I25" s="65">
        <f t="shared" si="5"/>
        <v>2.2513680000000003</v>
      </c>
      <c r="J25" s="65">
        <f t="shared" si="6"/>
        <v>2.1458303999999999</v>
      </c>
      <c r="K25" s="65">
        <f t="shared" si="7"/>
        <v>2.0478528000000003</v>
      </c>
      <c r="L25" s="65">
        <f t="shared" si="8"/>
        <v>2.1324491999999999</v>
      </c>
      <c r="M25" s="65">
        <f t="shared" si="9"/>
        <v>1.7987886000000002</v>
      </c>
      <c r="N25" s="65">
        <f t="shared" si="10"/>
        <v>1.8026441999999998</v>
      </c>
      <c r="O25" s="65">
        <f t="shared" si="11"/>
        <v>2.1950460000000001</v>
      </c>
      <c r="P25" s="65">
        <f t="shared" si="12"/>
        <v>2.1112433999999993</v>
      </c>
      <c r="Q25" s="65">
        <f t="shared" si="13"/>
        <v>1.6302384000000001</v>
      </c>
    </row>
    <row r="26" spans="1:17" ht="15.75">
      <c r="A26" s="57" t="str">
        <f ca="1">IFERROR(__xludf.DUMMYFUNCTION("""COMPUTED_VALUE"""),"Atos")</f>
        <v>Atos</v>
      </c>
      <c r="B26" s="58">
        <v>5.4999999999999997E-3</v>
      </c>
      <c r="D26" s="65">
        <f t="shared" si="0"/>
        <v>0.49060000000000015</v>
      </c>
      <c r="E26" s="65">
        <f t="shared" si="1"/>
        <v>0.43826749999999998</v>
      </c>
      <c r="F26" s="65">
        <f t="shared" si="2"/>
        <v>0.40276499999999998</v>
      </c>
      <c r="G26" s="65">
        <f t="shared" si="3"/>
        <v>0.38933949999999989</v>
      </c>
      <c r="H26" s="65">
        <f t="shared" si="4"/>
        <v>0.34882650000000009</v>
      </c>
      <c r="I26" s="65">
        <f t="shared" si="5"/>
        <v>0.32757999999999998</v>
      </c>
      <c r="J26" s="65">
        <f t="shared" si="6"/>
        <v>0.312224</v>
      </c>
      <c r="K26" s="65">
        <f t="shared" si="7"/>
        <v>0.29796800000000001</v>
      </c>
      <c r="L26" s="65">
        <f t="shared" si="8"/>
        <v>0.31027699999999997</v>
      </c>
      <c r="M26" s="65">
        <f t="shared" si="9"/>
        <v>0.26172850000000003</v>
      </c>
      <c r="N26" s="65">
        <f t="shared" si="10"/>
        <v>0.26228949999999995</v>
      </c>
      <c r="O26" s="65">
        <f t="shared" si="11"/>
        <v>0.31938499999999997</v>
      </c>
      <c r="P26" s="65">
        <f t="shared" si="12"/>
        <v>0.3071914999999999</v>
      </c>
      <c r="Q26" s="65">
        <f t="shared" si="13"/>
        <v>0.237204</v>
      </c>
    </row>
    <row r="27" spans="1:17" ht="15.75">
      <c r="A27" s="57" t="str">
        <f ca="1">IFERROR(__xludf.DUMMYFUNCTION("""COMPUTED_VALUE"""),"Kering")</f>
        <v>Kering</v>
      </c>
      <c r="B27" s="58">
        <v>3.3099999999999997E-2</v>
      </c>
      <c r="D27" s="65">
        <f t="shared" si="0"/>
        <v>2.9525200000000007</v>
      </c>
      <c r="E27" s="65">
        <f t="shared" si="1"/>
        <v>2.6375734999999998</v>
      </c>
      <c r="F27" s="65">
        <f t="shared" si="2"/>
        <v>2.4239129999999998</v>
      </c>
      <c r="G27" s="65">
        <f t="shared" si="3"/>
        <v>2.3431158999999995</v>
      </c>
      <c r="H27" s="65">
        <f t="shared" si="4"/>
        <v>2.0993013000000005</v>
      </c>
      <c r="I27" s="65">
        <f t="shared" si="5"/>
        <v>1.971436</v>
      </c>
      <c r="J27" s="65">
        <f t="shared" si="6"/>
        <v>1.8790207999999999</v>
      </c>
      <c r="K27" s="65">
        <f t="shared" si="7"/>
        <v>1.7932256</v>
      </c>
      <c r="L27" s="65">
        <f t="shared" si="8"/>
        <v>1.8673033999999999</v>
      </c>
      <c r="M27" s="65">
        <f t="shared" si="9"/>
        <v>1.5751297</v>
      </c>
      <c r="N27" s="65">
        <f t="shared" si="10"/>
        <v>1.5785058999999997</v>
      </c>
      <c r="O27" s="65">
        <f t="shared" si="11"/>
        <v>1.9221169999999999</v>
      </c>
      <c r="P27" s="65">
        <f t="shared" si="12"/>
        <v>1.8487342999999994</v>
      </c>
      <c r="Q27" s="65">
        <f t="shared" si="13"/>
        <v>1.4275367999999999</v>
      </c>
    </row>
    <row r="28" spans="1:17" ht="15.75">
      <c r="A28" s="57" t="str">
        <f ca="1">IFERROR(__xludf.DUMMYFUNCTION("""COMPUTED_VALUE"""),"Air Liquide")</f>
        <v>Air Liquide</v>
      </c>
      <c r="B28" s="58">
        <v>4.4400000000000002E-2</v>
      </c>
      <c r="D28" s="65">
        <f t="shared" si="0"/>
        <v>3.9604800000000018</v>
      </c>
      <c r="E28" s="65">
        <f t="shared" si="1"/>
        <v>3.5380140000000004</v>
      </c>
      <c r="F28" s="65">
        <f t="shared" si="2"/>
        <v>3.2514120000000002</v>
      </c>
      <c r="G28" s="65">
        <f t="shared" si="3"/>
        <v>3.1430315999999996</v>
      </c>
      <c r="H28" s="65">
        <f t="shared" si="4"/>
        <v>2.8159812000000009</v>
      </c>
      <c r="I28" s="65">
        <f t="shared" si="5"/>
        <v>2.6444640000000001</v>
      </c>
      <c r="J28" s="65">
        <f t="shared" si="6"/>
        <v>2.5204992000000002</v>
      </c>
      <c r="K28" s="65">
        <f t="shared" si="7"/>
        <v>2.4054144000000002</v>
      </c>
      <c r="L28" s="65">
        <f t="shared" si="8"/>
        <v>2.5047816000000003</v>
      </c>
      <c r="M28" s="65">
        <f t="shared" si="9"/>
        <v>2.1128628000000003</v>
      </c>
      <c r="N28" s="65">
        <f t="shared" si="10"/>
        <v>2.1173915999999999</v>
      </c>
      <c r="O28" s="65">
        <f t="shared" si="11"/>
        <v>2.5783080000000003</v>
      </c>
      <c r="P28" s="65">
        <f t="shared" si="12"/>
        <v>2.4798731999999997</v>
      </c>
      <c r="Q28" s="65">
        <f t="shared" si="13"/>
        <v>1.9148832</v>
      </c>
    </row>
    <row r="29" spans="1:17" ht="15.75">
      <c r="A29" s="57" t="str">
        <f ca="1">IFERROR(__xludf.DUMMYFUNCTION("""COMPUTED_VALUE"""),"Vivendi")</f>
        <v>Vivendi</v>
      </c>
      <c r="B29" s="58">
        <v>1.6500000000000001E-2</v>
      </c>
      <c r="D29" s="65">
        <f t="shared" si="0"/>
        <v>1.4718000000000007</v>
      </c>
      <c r="E29" s="65">
        <f t="shared" si="1"/>
        <v>1.3148025000000001</v>
      </c>
      <c r="F29" s="65">
        <f t="shared" si="2"/>
        <v>1.2082950000000001</v>
      </c>
      <c r="G29" s="65">
        <f t="shared" si="3"/>
        <v>1.1680184999999998</v>
      </c>
      <c r="H29" s="65">
        <f t="shared" si="4"/>
        <v>1.0464795000000002</v>
      </c>
      <c r="I29" s="65">
        <f t="shared" si="5"/>
        <v>0.98274000000000006</v>
      </c>
      <c r="J29" s="65">
        <f t="shared" si="6"/>
        <v>0.93667200000000006</v>
      </c>
      <c r="K29" s="65">
        <f t="shared" si="7"/>
        <v>0.89390400000000003</v>
      </c>
      <c r="L29" s="65">
        <f t="shared" si="8"/>
        <v>0.93083100000000008</v>
      </c>
      <c r="M29" s="65">
        <f t="shared" si="9"/>
        <v>0.78518550000000009</v>
      </c>
      <c r="N29" s="65">
        <f t="shared" si="10"/>
        <v>0.78686849999999997</v>
      </c>
      <c r="O29" s="65">
        <f t="shared" si="11"/>
        <v>0.95815500000000009</v>
      </c>
      <c r="P29" s="65">
        <f t="shared" si="12"/>
        <v>0.92157449999999985</v>
      </c>
      <c r="Q29" s="65">
        <f t="shared" si="13"/>
        <v>0.71161200000000002</v>
      </c>
    </row>
    <row r="30" spans="1:17" ht="15.75">
      <c r="A30" s="57" t="str">
        <f ca="1">IFERROR(__xludf.DUMMYFUNCTION("""COMPUTED_VALUE"""),"Legrand")</f>
        <v>Legrand</v>
      </c>
      <c r="B30" s="58">
        <v>1.4500000000000001E-2</v>
      </c>
      <c r="D30" s="65">
        <f t="shared" si="0"/>
        <v>1.2934000000000005</v>
      </c>
      <c r="E30" s="65">
        <f t="shared" si="1"/>
        <v>1.1554325000000001</v>
      </c>
      <c r="F30" s="65">
        <f t="shared" si="2"/>
        <v>1.0618350000000001</v>
      </c>
      <c r="G30" s="65">
        <f t="shared" si="3"/>
        <v>1.0264404999999999</v>
      </c>
      <c r="H30" s="65">
        <f t="shared" si="4"/>
        <v>0.91963350000000033</v>
      </c>
      <c r="I30" s="65">
        <f t="shared" si="5"/>
        <v>0.86362000000000005</v>
      </c>
      <c r="J30" s="65">
        <f t="shared" si="6"/>
        <v>0.82313600000000009</v>
      </c>
      <c r="K30" s="65">
        <f t="shared" si="7"/>
        <v>0.78555200000000003</v>
      </c>
      <c r="L30" s="65">
        <f t="shared" si="8"/>
        <v>0.81800300000000004</v>
      </c>
      <c r="M30" s="65">
        <f t="shared" si="9"/>
        <v>0.69001150000000011</v>
      </c>
      <c r="N30" s="65">
        <f t="shared" si="10"/>
        <v>0.6914904999999999</v>
      </c>
      <c r="O30" s="65">
        <f t="shared" si="11"/>
        <v>0.84201500000000007</v>
      </c>
      <c r="P30" s="65">
        <f t="shared" si="12"/>
        <v>0.80986849999999988</v>
      </c>
      <c r="Q30" s="65">
        <f t="shared" si="13"/>
        <v>0.62535600000000002</v>
      </c>
    </row>
    <row r="31" spans="1:17" ht="15.75">
      <c r="A31" s="57" t="str">
        <f ca="1">IFERROR(__xludf.DUMMYFUNCTION("""COMPUTED_VALUE"""),"ArcelorMittal")</f>
        <v>ArcelorMittal</v>
      </c>
      <c r="B31" s="58">
        <v>7.7999999999999996E-3</v>
      </c>
      <c r="D31" s="65">
        <f t="shared" si="0"/>
        <v>0.69576000000000027</v>
      </c>
      <c r="E31" s="65">
        <f t="shared" si="1"/>
        <v>0.62154299999999996</v>
      </c>
      <c r="F31" s="65">
        <f t="shared" si="2"/>
        <v>0.57119399999999998</v>
      </c>
      <c r="G31" s="65">
        <f t="shared" si="3"/>
        <v>0.55215419999999993</v>
      </c>
      <c r="H31" s="65">
        <f t="shared" si="4"/>
        <v>0.49469940000000012</v>
      </c>
      <c r="I31" s="65">
        <f t="shared" si="5"/>
        <v>0.46456799999999998</v>
      </c>
      <c r="J31" s="65">
        <f t="shared" si="6"/>
        <v>0.44279039999999997</v>
      </c>
      <c r="K31" s="65">
        <f t="shared" si="7"/>
        <v>0.42257279999999997</v>
      </c>
      <c r="L31" s="65">
        <f t="shared" si="8"/>
        <v>0.44002920000000001</v>
      </c>
      <c r="M31" s="65">
        <f t="shared" si="9"/>
        <v>0.37117860000000003</v>
      </c>
      <c r="N31" s="65">
        <f t="shared" si="10"/>
        <v>0.37197419999999992</v>
      </c>
      <c r="O31" s="65">
        <f t="shared" si="11"/>
        <v>0.45294599999999996</v>
      </c>
      <c r="P31" s="65">
        <f t="shared" si="12"/>
        <v>0.43565339999999986</v>
      </c>
      <c r="Q31" s="65">
        <f t="shared" si="13"/>
        <v>0.33639839999999999</v>
      </c>
    </row>
    <row r="32" spans="1:17" ht="15.75">
      <c r="A32" s="57" t="str">
        <f ca="1">IFERROR(__xludf.DUMMYFUNCTION("""COMPUTED_VALUE"""),"LVMH")</f>
        <v>LVMH</v>
      </c>
      <c r="B32" s="58">
        <v>8.5999999999999993E-2</v>
      </c>
      <c r="D32" s="65">
        <f t="shared" si="0"/>
        <v>7.6712000000000025</v>
      </c>
      <c r="E32" s="65">
        <f t="shared" si="1"/>
        <v>6.8529099999999996</v>
      </c>
      <c r="F32" s="65">
        <f t="shared" si="2"/>
        <v>6.2977799999999995</v>
      </c>
      <c r="G32" s="65">
        <f t="shared" si="3"/>
        <v>6.0878539999999983</v>
      </c>
      <c r="H32" s="65">
        <f t="shared" si="4"/>
        <v>5.4543780000000011</v>
      </c>
      <c r="I32" s="65">
        <f t="shared" si="5"/>
        <v>5.12216</v>
      </c>
      <c r="J32" s="65">
        <f t="shared" si="6"/>
        <v>4.8820479999999993</v>
      </c>
      <c r="K32" s="65">
        <f t="shared" si="7"/>
        <v>4.6591360000000002</v>
      </c>
      <c r="L32" s="65">
        <f t="shared" si="8"/>
        <v>4.851604</v>
      </c>
      <c r="M32" s="65">
        <f t="shared" si="9"/>
        <v>4.0924820000000004</v>
      </c>
      <c r="N32" s="65">
        <f t="shared" si="10"/>
        <v>4.1012539999999991</v>
      </c>
      <c r="O32" s="65">
        <f t="shared" si="11"/>
        <v>4.9940199999999999</v>
      </c>
      <c r="P32" s="65">
        <f t="shared" si="12"/>
        <v>4.8033579999999985</v>
      </c>
      <c r="Q32" s="65">
        <f t="shared" si="13"/>
        <v>3.7090079999999999</v>
      </c>
    </row>
    <row r="33" spans="1:17" ht="15.75">
      <c r="A33" s="57" t="str">
        <f ca="1">IFERROR(__xludf.DUMMYFUNCTION("""COMPUTED_VALUE"""),"Essilor")</f>
        <v>Essilor</v>
      </c>
      <c r="B33" s="58">
        <v>3.1E-2</v>
      </c>
      <c r="D33" s="65">
        <f t="shared" si="0"/>
        <v>2.765200000000001</v>
      </c>
      <c r="E33" s="65">
        <f t="shared" si="1"/>
        <v>2.4702350000000002</v>
      </c>
      <c r="F33" s="65">
        <f t="shared" si="2"/>
        <v>2.27013</v>
      </c>
      <c r="G33" s="65">
        <f t="shared" si="3"/>
        <v>2.1944589999999997</v>
      </c>
      <c r="H33" s="65">
        <f t="shared" si="4"/>
        <v>1.9661130000000004</v>
      </c>
      <c r="I33" s="65">
        <f t="shared" si="5"/>
        <v>1.84636</v>
      </c>
      <c r="J33" s="65">
        <f t="shared" si="6"/>
        <v>1.759808</v>
      </c>
      <c r="K33" s="65">
        <f t="shared" si="7"/>
        <v>1.6794560000000001</v>
      </c>
      <c r="L33" s="65">
        <f t="shared" si="8"/>
        <v>1.748834</v>
      </c>
      <c r="M33" s="65">
        <f t="shared" si="9"/>
        <v>1.4751970000000001</v>
      </c>
      <c r="N33" s="65">
        <f t="shared" si="10"/>
        <v>1.4783589999999998</v>
      </c>
      <c r="O33" s="65">
        <f t="shared" si="11"/>
        <v>1.80017</v>
      </c>
      <c r="P33" s="65">
        <f t="shared" si="12"/>
        <v>1.7314429999999996</v>
      </c>
      <c r="Q33" s="65">
        <f t="shared" si="13"/>
        <v>1.3369679999999999</v>
      </c>
    </row>
    <row r="34" spans="1:17" ht="15.75">
      <c r="A34" s="57" t="str">
        <f ca="1">IFERROR(__xludf.DUMMYFUNCTION("""COMPUTED_VALUE"""),"L'Oréal")</f>
        <v>L'Oréal</v>
      </c>
      <c r="B34" s="58">
        <v>4.9799999999999997E-2</v>
      </c>
      <c r="D34" s="65">
        <f t="shared" si="0"/>
        <v>4.4421600000000012</v>
      </c>
      <c r="E34" s="65">
        <f t="shared" si="1"/>
        <v>3.9683129999999998</v>
      </c>
      <c r="F34" s="65">
        <f t="shared" si="2"/>
        <v>3.6468539999999998</v>
      </c>
      <c r="G34" s="65">
        <f t="shared" si="3"/>
        <v>3.5252921999999991</v>
      </c>
      <c r="H34" s="65">
        <f t="shared" si="4"/>
        <v>3.1584654000000008</v>
      </c>
      <c r="I34" s="65">
        <f t="shared" si="5"/>
        <v>2.9660880000000001</v>
      </c>
      <c r="J34" s="65">
        <f t="shared" si="6"/>
        <v>2.8270464</v>
      </c>
      <c r="K34" s="65">
        <f t="shared" si="7"/>
        <v>2.6979647999999998</v>
      </c>
      <c r="L34" s="65">
        <f t="shared" si="8"/>
        <v>2.8094171999999999</v>
      </c>
      <c r="M34" s="65">
        <f t="shared" si="9"/>
        <v>2.3698326000000001</v>
      </c>
      <c r="N34" s="65">
        <f t="shared" si="10"/>
        <v>2.3749121999999994</v>
      </c>
      <c r="O34" s="65">
        <f t="shared" si="11"/>
        <v>2.891886</v>
      </c>
      <c r="P34" s="65">
        <f t="shared" si="12"/>
        <v>2.7814793999999994</v>
      </c>
      <c r="Q34" s="65">
        <f t="shared" si="13"/>
        <v>2.1477743999999999</v>
      </c>
    </row>
    <row r="35" spans="1:17" ht="15.75">
      <c r="A35" s="57" t="str">
        <f ca="1">IFERROR(__xludf.DUMMYFUNCTION("""COMPUTED_VALUE"""),"Capgemini")</f>
        <v>Capgemini</v>
      </c>
      <c r="B35" s="58">
        <v>1.29E-2</v>
      </c>
      <c r="D35" s="65">
        <f t="shared" si="0"/>
        <v>1.1506800000000004</v>
      </c>
      <c r="E35" s="65">
        <f t="shared" si="1"/>
        <v>1.0279365</v>
      </c>
      <c r="F35" s="65">
        <f t="shared" si="2"/>
        <v>0.94466700000000003</v>
      </c>
      <c r="G35" s="65">
        <f t="shared" si="3"/>
        <v>0.91317809999999988</v>
      </c>
      <c r="H35" s="65">
        <f t="shared" si="4"/>
        <v>0.81815670000000018</v>
      </c>
      <c r="I35" s="65">
        <f t="shared" si="5"/>
        <v>0.76832400000000001</v>
      </c>
      <c r="J35" s="65">
        <f t="shared" si="6"/>
        <v>0.73230720000000005</v>
      </c>
      <c r="K35" s="65">
        <f t="shared" si="7"/>
        <v>0.6988704</v>
      </c>
      <c r="L35" s="65">
        <f t="shared" si="8"/>
        <v>0.72774060000000007</v>
      </c>
      <c r="M35" s="65">
        <f t="shared" si="9"/>
        <v>0.61387230000000004</v>
      </c>
      <c r="N35" s="65">
        <f t="shared" si="10"/>
        <v>0.6151880999999999</v>
      </c>
      <c r="O35" s="65">
        <f t="shared" si="11"/>
        <v>0.74910299999999996</v>
      </c>
      <c r="P35" s="65">
        <f t="shared" si="12"/>
        <v>0.72050369999999986</v>
      </c>
      <c r="Q35" s="65">
        <f t="shared" si="13"/>
        <v>0.55635120000000005</v>
      </c>
    </row>
    <row r="36" spans="1:17" ht="15.75">
      <c r="A36" s="57" t="str">
        <f ca="1">IFERROR(__xludf.DUMMYFUNCTION("""COMPUTED_VALUE"""),"Safran")</f>
        <v>Safran</v>
      </c>
      <c r="B36" s="58">
        <v>3.3599999999999998E-2</v>
      </c>
      <c r="D36" s="65">
        <f t="shared" si="0"/>
        <v>2.9971200000000007</v>
      </c>
      <c r="E36" s="65">
        <f t="shared" si="1"/>
        <v>2.677416</v>
      </c>
      <c r="F36" s="65">
        <f t="shared" si="2"/>
        <v>2.460528</v>
      </c>
      <c r="G36" s="65">
        <f t="shared" si="3"/>
        <v>2.3785103999999992</v>
      </c>
      <c r="H36" s="65">
        <f t="shared" si="4"/>
        <v>2.1310128000000006</v>
      </c>
      <c r="I36" s="65">
        <f t="shared" si="5"/>
        <v>2.0012159999999999</v>
      </c>
      <c r="J36" s="65">
        <f t="shared" si="6"/>
        <v>1.9074047999999999</v>
      </c>
      <c r="K36" s="65">
        <f t="shared" si="7"/>
        <v>1.8203136</v>
      </c>
      <c r="L36" s="65">
        <f t="shared" si="8"/>
        <v>1.8955104</v>
      </c>
      <c r="M36" s="65">
        <f t="shared" si="9"/>
        <v>1.5989232</v>
      </c>
      <c r="N36" s="65">
        <f t="shared" si="10"/>
        <v>1.6023503999999997</v>
      </c>
      <c r="O36" s="65">
        <f t="shared" si="11"/>
        <v>1.951152</v>
      </c>
      <c r="P36" s="65">
        <f t="shared" si="12"/>
        <v>1.8766607999999994</v>
      </c>
      <c r="Q36" s="65">
        <f t="shared" si="13"/>
        <v>1.4491007999999999</v>
      </c>
    </row>
    <row r="37" spans="1:17" ht="15.75">
      <c r="A37" s="57" t="str">
        <f ca="1">IFERROR(__xludf.DUMMYFUNCTION("""COMPUTED_VALUE"""),"Airbus")</f>
        <v>Airbus</v>
      </c>
      <c r="B37" s="58">
        <v>5.6899999999999999E-2</v>
      </c>
      <c r="D37" s="65">
        <f t="shared" si="0"/>
        <v>5.0754800000000015</v>
      </c>
      <c r="E37" s="65">
        <f t="shared" si="1"/>
        <v>4.5340765000000003</v>
      </c>
      <c r="F37" s="65">
        <f t="shared" si="2"/>
        <v>4.1667870000000002</v>
      </c>
      <c r="G37" s="65">
        <f t="shared" si="3"/>
        <v>4.0278940999999993</v>
      </c>
      <c r="H37" s="65">
        <f t="shared" si="4"/>
        <v>3.6087687000000011</v>
      </c>
      <c r="I37" s="65">
        <f t="shared" si="5"/>
        <v>3.3889640000000001</v>
      </c>
      <c r="J37" s="65">
        <f t="shared" si="6"/>
        <v>3.2300992000000002</v>
      </c>
      <c r="K37" s="65">
        <f t="shared" si="7"/>
        <v>3.0826144000000002</v>
      </c>
      <c r="L37" s="65">
        <f t="shared" si="8"/>
        <v>3.2099565999999999</v>
      </c>
      <c r="M37" s="65">
        <f t="shared" si="9"/>
        <v>2.7077002999999999</v>
      </c>
      <c r="N37" s="65">
        <f t="shared" si="10"/>
        <v>2.7135040999999998</v>
      </c>
      <c r="O37" s="65">
        <f t="shared" si="11"/>
        <v>3.3041830000000001</v>
      </c>
      <c r="P37" s="65">
        <f t="shared" si="12"/>
        <v>3.1780356999999992</v>
      </c>
      <c r="Q37" s="65">
        <f t="shared" si="13"/>
        <v>2.4539832000000001</v>
      </c>
    </row>
    <row r="38" spans="1:17" ht="15.75">
      <c r="A38" s="57" t="str">
        <f ca="1">IFERROR(__xludf.DUMMYFUNCTION("""COMPUTED_VALUE"""),"Pernod Ricard")</f>
        <v>Pernod Ricard</v>
      </c>
      <c r="B38" s="58">
        <v>2.3699999999999999E-2</v>
      </c>
      <c r="D38" s="65">
        <f t="shared" si="0"/>
        <v>2.1140400000000006</v>
      </c>
      <c r="E38" s="65">
        <f t="shared" si="1"/>
        <v>1.8885345</v>
      </c>
      <c r="F38" s="65">
        <f t="shared" si="2"/>
        <v>1.7355510000000001</v>
      </c>
      <c r="G38" s="65">
        <f t="shared" si="3"/>
        <v>1.6776992999999996</v>
      </c>
      <c r="H38" s="65">
        <f t="shared" si="4"/>
        <v>1.5031251000000003</v>
      </c>
      <c r="I38" s="65">
        <f t="shared" si="5"/>
        <v>1.411572</v>
      </c>
      <c r="J38" s="65">
        <f t="shared" si="6"/>
        <v>1.3454016</v>
      </c>
      <c r="K38" s="65">
        <f t="shared" si="7"/>
        <v>1.2839712000000001</v>
      </c>
      <c r="L38" s="65">
        <f t="shared" si="8"/>
        <v>1.3370118</v>
      </c>
      <c r="M38" s="65">
        <f t="shared" si="9"/>
        <v>1.1278119</v>
      </c>
      <c r="N38" s="65">
        <f t="shared" si="10"/>
        <v>1.1302292999999999</v>
      </c>
      <c r="O38" s="65">
        <f t="shared" si="11"/>
        <v>1.3762589999999999</v>
      </c>
      <c r="P38" s="65">
        <f t="shared" si="12"/>
        <v>1.3237160999999997</v>
      </c>
      <c r="Q38" s="65">
        <f t="shared" si="13"/>
        <v>1.0221335999999999</v>
      </c>
    </row>
    <row r="39" spans="1:17" ht="15.75">
      <c r="A39" s="57" t="str">
        <f ca="1">IFERROR(__xludf.DUMMYFUNCTION("""COMPUTED_VALUE"""),"STMicroelectronics")</f>
        <v>STMicroelectronics</v>
      </c>
      <c r="B39" s="58">
        <v>1.14E-2</v>
      </c>
      <c r="D39" s="65">
        <f t="shared" si="0"/>
        <v>1.0168800000000005</v>
      </c>
      <c r="E39" s="65">
        <f t="shared" si="1"/>
        <v>0.90840900000000002</v>
      </c>
      <c r="F39" s="65">
        <f t="shared" si="2"/>
        <v>0.83482200000000006</v>
      </c>
      <c r="G39" s="65">
        <f t="shared" si="3"/>
        <v>0.8069945999999999</v>
      </c>
      <c r="H39" s="65">
        <f t="shared" si="4"/>
        <v>0.72302220000000017</v>
      </c>
      <c r="I39" s="65">
        <f t="shared" si="5"/>
        <v>0.67898400000000003</v>
      </c>
      <c r="J39" s="65">
        <f t="shared" si="6"/>
        <v>0.64715520000000004</v>
      </c>
      <c r="K39" s="65">
        <f t="shared" si="7"/>
        <v>0.6176064</v>
      </c>
      <c r="L39" s="65">
        <f t="shared" si="8"/>
        <v>0.64311960000000001</v>
      </c>
      <c r="M39" s="65">
        <f t="shared" si="9"/>
        <v>0.54249180000000008</v>
      </c>
      <c r="N39" s="65">
        <f t="shared" si="10"/>
        <v>0.54365459999999999</v>
      </c>
      <c r="O39" s="65">
        <f t="shared" si="11"/>
        <v>0.66199799999999998</v>
      </c>
      <c r="P39" s="65">
        <f t="shared" si="12"/>
        <v>0.63672419999999985</v>
      </c>
      <c r="Q39" s="65">
        <f t="shared" si="13"/>
        <v>0.49165920000000002</v>
      </c>
    </row>
    <row r="40" spans="1:17" ht="15.75">
      <c r="A40" s="57" t="str">
        <f ca="1">IFERROR(__xludf.DUMMYFUNCTION("""COMPUTED_VALUE"""),"Dassault Systemes")</f>
        <v>Dassault Systemes</v>
      </c>
      <c r="B40" s="58">
        <v>1.44E-2</v>
      </c>
      <c r="D40" s="65">
        <f t="shared" si="0"/>
        <v>1.2844800000000005</v>
      </c>
      <c r="E40" s="65">
        <f t="shared" si="1"/>
        <v>1.147464</v>
      </c>
      <c r="F40" s="65">
        <f t="shared" si="2"/>
        <v>1.0545120000000001</v>
      </c>
      <c r="G40" s="65">
        <f t="shared" si="3"/>
        <v>1.0193615999999999</v>
      </c>
      <c r="H40" s="65">
        <f t="shared" si="4"/>
        <v>0.91329120000000019</v>
      </c>
      <c r="I40" s="65">
        <f t="shared" si="5"/>
        <v>0.85766399999999998</v>
      </c>
      <c r="J40" s="65">
        <f t="shared" si="6"/>
        <v>0.81745919999999994</v>
      </c>
      <c r="K40" s="65">
        <f t="shared" si="7"/>
        <v>0.78013440000000001</v>
      </c>
      <c r="L40" s="65">
        <f t="shared" si="8"/>
        <v>0.81236160000000002</v>
      </c>
      <c r="M40" s="65">
        <f t="shared" si="9"/>
        <v>0.6852528</v>
      </c>
      <c r="N40" s="65">
        <f t="shared" si="10"/>
        <v>0.68672159999999993</v>
      </c>
      <c r="O40" s="65">
        <f t="shared" si="11"/>
        <v>0.83620799999999995</v>
      </c>
      <c r="P40" s="65">
        <f t="shared" si="12"/>
        <v>0.80428319999999975</v>
      </c>
      <c r="Q40" s="65">
        <f t="shared" si="13"/>
        <v>0.62104320000000002</v>
      </c>
    </row>
    <row r="41" spans="1:17" ht="15.75">
      <c r="A41" s="57" t="s">
        <v>233</v>
      </c>
      <c r="B41" s="58">
        <v>7.4000000000000003E-3</v>
      </c>
      <c r="D41" s="65">
        <f>$D$2*B41</f>
        <v>0.66008000000000022</v>
      </c>
      <c r="E41" s="65">
        <f t="shared" si="1"/>
        <v>0.589669</v>
      </c>
      <c r="F41" s="65">
        <f t="shared" si="2"/>
        <v>0.54190200000000011</v>
      </c>
      <c r="G41" s="65">
        <f t="shared" si="3"/>
        <v>0.52383859999999993</v>
      </c>
      <c r="H41" s="65">
        <f t="shared" si="4"/>
        <v>0.46933020000000014</v>
      </c>
      <c r="I41" s="65">
        <f t="shared" si="5"/>
        <v>0.44074400000000002</v>
      </c>
      <c r="J41" s="65">
        <f t="shared" si="6"/>
        <v>0.42008320000000005</v>
      </c>
      <c r="K41" s="65">
        <f t="shared" si="7"/>
        <v>0.40090240000000005</v>
      </c>
      <c r="L41" s="65">
        <f t="shared" si="8"/>
        <v>0.41746360000000005</v>
      </c>
      <c r="M41" s="65">
        <f t="shared" si="9"/>
        <v>0.35214380000000006</v>
      </c>
      <c r="N41" s="65">
        <f t="shared" si="10"/>
        <v>0.35289859999999995</v>
      </c>
      <c r="O41" s="65">
        <f t="shared" si="11"/>
        <v>0.42971800000000004</v>
      </c>
      <c r="P41" s="65">
        <f t="shared" si="12"/>
        <v>0.41331219999999991</v>
      </c>
      <c r="Q41" s="65">
        <f t="shared" si="13"/>
        <v>0.31914720000000002</v>
      </c>
    </row>
    <row r="42" spans="1:17" ht="15.75">
      <c r="A42" s="57" t="s">
        <v>234</v>
      </c>
      <c r="B42" s="58">
        <v>1.5800000000000002E-2</v>
      </c>
      <c r="D42" s="65">
        <f t="shared" si="0"/>
        <v>1.4093600000000006</v>
      </c>
      <c r="E42" s="65">
        <f t="shared" si="1"/>
        <v>1.2590230000000002</v>
      </c>
      <c r="F42" s="65">
        <f t="shared" si="2"/>
        <v>1.1570340000000001</v>
      </c>
      <c r="G42" s="65">
        <f t="shared" si="3"/>
        <v>1.1184661999999999</v>
      </c>
      <c r="H42" s="65">
        <f t="shared" si="4"/>
        <v>1.0020834000000003</v>
      </c>
      <c r="I42" s="65">
        <f t="shared" si="5"/>
        <v>0.94104800000000011</v>
      </c>
      <c r="J42" s="65">
        <f t="shared" si="6"/>
        <v>0.89693440000000013</v>
      </c>
      <c r="K42" s="65">
        <f t="shared" si="7"/>
        <v>0.8559808000000001</v>
      </c>
      <c r="L42" s="65">
        <f t="shared" si="8"/>
        <v>0.89134120000000006</v>
      </c>
      <c r="M42" s="65">
        <f t="shared" si="9"/>
        <v>0.75187460000000017</v>
      </c>
      <c r="N42" s="65">
        <f t="shared" si="10"/>
        <v>0.75348619999999999</v>
      </c>
      <c r="O42" s="65">
        <f t="shared" si="11"/>
        <v>0.91750600000000004</v>
      </c>
      <c r="P42" s="65">
        <f t="shared" si="12"/>
        <v>0.88247739999999986</v>
      </c>
      <c r="Q42" s="65">
        <f t="shared" si="13"/>
        <v>0.68142240000000009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8"/>
  <sheetViews>
    <sheetView workbookViewId="0">
      <selection activeCell="A15" sqref="A15"/>
    </sheetView>
  </sheetViews>
  <sheetFormatPr baseColWidth="10" defaultRowHeight="15"/>
  <cols>
    <col min="1" max="9" width="51.7109375" customWidth="1"/>
    <col min="10" max="12" width="30" customWidth="1"/>
    <col min="13" max="15" width="28.85546875" customWidth="1"/>
  </cols>
  <sheetData>
    <row r="1" spans="1:15">
      <c r="A1" s="1"/>
      <c r="B1" s="3">
        <v>40178</v>
      </c>
      <c r="C1" s="3">
        <v>40543</v>
      </c>
      <c r="D1" s="2">
        <v>40908</v>
      </c>
      <c r="E1" s="3">
        <v>41274</v>
      </c>
      <c r="F1" s="3">
        <v>41639</v>
      </c>
      <c r="G1" s="2">
        <v>42004</v>
      </c>
      <c r="H1" s="3">
        <v>42369</v>
      </c>
      <c r="I1" s="3">
        <v>42735</v>
      </c>
      <c r="J1" s="2">
        <v>43100</v>
      </c>
      <c r="K1" s="3">
        <v>43465</v>
      </c>
      <c r="L1" s="3">
        <v>43830</v>
      </c>
      <c r="M1" s="2"/>
      <c r="N1" s="3"/>
      <c r="O1" s="3"/>
    </row>
    <row r="2" spans="1:15">
      <c r="A2" t="s">
        <v>239</v>
      </c>
      <c r="B2">
        <v>495</v>
      </c>
      <c r="D2">
        <v>516</v>
      </c>
      <c r="E2">
        <v>484</v>
      </c>
      <c r="F2">
        <v>475</v>
      </c>
      <c r="G2">
        <v>491</v>
      </c>
      <c r="H2">
        <v>452</v>
      </c>
      <c r="I2">
        <v>486.34</v>
      </c>
      <c r="J2">
        <v>501.82</v>
      </c>
      <c r="K2">
        <v>501.82</v>
      </c>
      <c r="L2">
        <v>588.97500000000002</v>
      </c>
    </row>
    <row r="3" spans="1:15">
      <c r="A3" t="s">
        <v>240</v>
      </c>
      <c r="B3">
        <v>185</v>
      </c>
      <c r="C3">
        <v>185</v>
      </c>
      <c r="D3">
        <v>185</v>
      </c>
      <c r="E3">
        <v>185</v>
      </c>
      <c r="F3">
        <v>187</v>
      </c>
      <c r="G3">
        <v>187</v>
      </c>
      <c r="H3">
        <v>187</v>
      </c>
      <c r="I3">
        <v>191</v>
      </c>
      <c r="J3">
        <v>197</v>
      </c>
      <c r="K3">
        <v>201</v>
      </c>
      <c r="L3">
        <v>201</v>
      </c>
    </row>
    <row r="4" spans="1:15">
      <c r="A4" t="s">
        <v>241</v>
      </c>
      <c r="B4">
        <v>490</v>
      </c>
      <c r="C4">
        <v>512.78</v>
      </c>
      <c r="D4">
        <v>487</v>
      </c>
      <c r="E4">
        <v>521.66999999999996</v>
      </c>
      <c r="F4">
        <v>532.04</v>
      </c>
      <c r="G4">
        <v>556.41999999999996</v>
      </c>
      <c r="H4">
        <v>556.41999999999996</v>
      </c>
      <c r="I4">
        <v>574.08000000000004</v>
      </c>
      <c r="J4">
        <v>590</v>
      </c>
      <c r="K4">
        <v>590</v>
      </c>
      <c r="L4">
        <v>590</v>
      </c>
    </row>
    <row r="5" spans="1:15">
      <c r="A5" t="s">
        <v>242</v>
      </c>
      <c r="B5">
        <v>313</v>
      </c>
      <c r="C5">
        <v>400</v>
      </c>
      <c r="D5">
        <v>370</v>
      </c>
      <c r="E5">
        <v>347.68</v>
      </c>
      <c r="F5">
        <v>330</v>
      </c>
      <c r="G5">
        <v>341.14</v>
      </c>
      <c r="H5">
        <v>333.41</v>
      </c>
      <c r="I5">
        <v>349.97</v>
      </c>
      <c r="J5">
        <v>347.76</v>
      </c>
      <c r="K5">
        <v>347.76</v>
      </c>
      <c r="L5">
        <v>347.76</v>
      </c>
    </row>
    <row r="6" spans="1:15">
      <c r="A6" t="s">
        <v>243</v>
      </c>
      <c r="B6">
        <v>313</v>
      </c>
      <c r="C6">
        <v>341</v>
      </c>
      <c r="D6">
        <v>339.25</v>
      </c>
      <c r="E6">
        <v>345.51</v>
      </c>
      <c r="F6">
        <v>334.99</v>
      </c>
      <c r="G6">
        <v>336.05</v>
      </c>
      <c r="H6">
        <v>364.32</v>
      </c>
      <c r="I6">
        <v>364.32</v>
      </c>
      <c r="J6">
        <v>342.24</v>
      </c>
      <c r="K6">
        <v>364.32</v>
      </c>
      <c r="L6">
        <v>364.32</v>
      </c>
    </row>
    <row r="7" spans="1:15">
      <c r="A7" t="s">
        <v>244</v>
      </c>
      <c r="B7">
        <v>192</v>
      </c>
      <c r="C7">
        <v>192</v>
      </c>
      <c r="D7">
        <v>192</v>
      </c>
      <c r="E7">
        <v>196.17</v>
      </c>
      <c r="F7">
        <v>198</v>
      </c>
      <c r="G7">
        <v>198</v>
      </c>
      <c r="H7">
        <v>206</v>
      </c>
      <c r="I7">
        <v>210</v>
      </c>
      <c r="J7">
        <v>210</v>
      </c>
      <c r="K7">
        <v>210</v>
      </c>
      <c r="L7">
        <v>210</v>
      </c>
    </row>
    <row r="8" spans="1:15">
      <c r="A8" t="s">
        <v>245</v>
      </c>
      <c r="I8">
        <v>240</v>
      </c>
      <c r="J8">
        <v>242</v>
      </c>
      <c r="K8">
        <v>247</v>
      </c>
      <c r="L8">
        <v>248</v>
      </c>
    </row>
    <row r="9" spans="1:15">
      <c r="A9" t="s">
        <v>246</v>
      </c>
      <c r="H9">
        <v>1120</v>
      </c>
      <c r="I9">
        <v>1120</v>
      </c>
      <c r="J9">
        <v>1120</v>
      </c>
      <c r="K9">
        <v>1250</v>
      </c>
    </row>
    <row r="10" spans="1:15">
      <c r="A10" t="s">
        <v>247</v>
      </c>
      <c r="H10">
        <v>1250</v>
      </c>
      <c r="I10">
        <v>1250</v>
      </c>
      <c r="J10">
        <v>1250</v>
      </c>
      <c r="K10">
        <v>1250</v>
      </c>
    </row>
    <row r="11" spans="1:15">
      <c r="A11" t="s">
        <v>248</v>
      </c>
      <c r="H11">
        <v>1000</v>
      </c>
      <c r="I11">
        <v>1000</v>
      </c>
      <c r="J11">
        <v>800</v>
      </c>
      <c r="K11">
        <v>800</v>
      </c>
    </row>
    <row r="12" spans="1:15">
      <c r="A12" t="s">
        <v>249</v>
      </c>
      <c r="I12">
        <v>833</v>
      </c>
      <c r="J12">
        <v>833</v>
      </c>
      <c r="K12">
        <v>833</v>
      </c>
    </row>
    <row r="13" spans="1:15">
      <c r="A13" t="s">
        <v>250</v>
      </c>
      <c r="B13">
        <v>275</v>
      </c>
      <c r="C13">
        <v>302</v>
      </c>
      <c r="D13">
        <v>300</v>
      </c>
      <c r="E13">
        <v>319.33999999999997</v>
      </c>
      <c r="F13">
        <v>320</v>
      </c>
      <c r="G13">
        <v>320</v>
      </c>
      <c r="H13">
        <v>320</v>
      </c>
      <c r="I13">
        <v>320</v>
      </c>
      <c r="J13">
        <v>330</v>
      </c>
      <c r="K13">
        <v>340</v>
      </c>
      <c r="L13">
        <v>340</v>
      </c>
    </row>
    <row r="14" spans="1:15">
      <c r="A14" t="s">
        <v>251</v>
      </c>
      <c r="K14">
        <v>200</v>
      </c>
    </row>
    <row r="15" spans="1:15">
      <c r="A15" t="s">
        <v>252</v>
      </c>
      <c r="H15">
        <v>2000</v>
      </c>
      <c r="I15">
        <v>2000</v>
      </c>
      <c r="J15">
        <v>2000</v>
      </c>
      <c r="K15">
        <v>2000</v>
      </c>
    </row>
    <row r="16" spans="1:15">
      <c r="A16" t="s">
        <v>253</v>
      </c>
      <c r="J16">
        <v>1250</v>
      </c>
      <c r="K16">
        <v>1250</v>
      </c>
    </row>
    <row r="17" spans="1:12">
      <c r="A17" t="s">
        <v>254</v>
      </c>
      <c r="I17">
        <v>1000</v>
      </c>
      <c r="J17">
        <v>1000</v>
      </c>
      <c r="K17">
        <v>1000</v>
      </c>
    </row>
    <row r="18" spans="1:12">
      <c r="A18" t="s">
        <v>255</v>
      </c>
      <c r="H18">
        <v>1004</v>
      </c>
      <c r="I18">
        <v>1004</v>
      </c>
      <c r="J18">
        <v>1004</v>
      </c>
      <c r="K18">
        <v>1004</v>
      </c>
      <c r="L18">
        <v>1000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12"/>
  <sheetViews>
    <sheetView topLeftCell="F1" workbookViewId="0">
      <selection activeCell="H9" sqref="A9:H9"/>
    </sheetView>
  </sheetViews>
  <sheetFormatPr baseColWidth="10" defaultRowHeight="15"/>
  <cols>
    <col min="1" max="9" width="51.7109375" customWidth="1"/>
    <col min="10" max="12" width="28.85546875" customWidth="1"/>
  </cols>
  <sheetData>
    <row r="1" spans="1:12">
      <c r="A1" s="1"/>
      <c r="B1" s="3">
        <v>40178</v>
      </c>
      <c r="C1" s="3">
        <v>40543</v>
      </c>
      <c r="D1" s="2">
        <v>40908</v>
      </c>
      <c r="E1" s="3">
        <v>41274</v>
      </c>
      <c r="F1" s="3">
        <v>41639</v>
      </c>
      <c r="G1" s="2">
        <v>42004</v>
      </c>
      <c r="H1" s="3">
        <v>42369</v>
      </c>
      <c r="I1" s="3">
        <v>42735</v>
      </c>
      <c r="J1" s="2">
        <v>43100</v>
      </c>
      <c r="K1" s="3">
        <v>43465</v>
      </c>
      <c r="L1" s="3">
        <v>43830</v>
      </c>
    </row>
    <row r="2" spans="1:12">
      <c r="A2" t="s">
        <v>239</v>
      </c>
      <c r="B2">
        <v>29.6</v>
      </c>
      <c r="D2">
        <v>28</v>
      </c>
      <c r="E2">
        <v>26.4</v>
      </c>
      <c r="F2">
        <v>25.5</v>
      </c>
      <c r="G2">
        <v>25.2</v>
      </c>
      <c r="H2">
        <v>23.2</v>
      </c>
      <c r="I2">
        <v>22.5</v>
      </c>
      <c r="J2">
        <v>18.7</v>
      </c>
      <c r="K2">
        <v>24</v>
      </c>
      <c r="L2">
        <v>6</v>
      </c>
    </row>
    <row r="3" spans="1:12">
      <c r="A3" t="s">
        <v>240</v>
      </c>
      <c r="B3">
        <v>9.24</v>
      </c>
      <c r="C3">
        <v>7.44</v>
      </c>
      <c r="D3">
        <v>7.77</v>
      </c>
      <c r="E3">
        <v>8.6999999999999993</v>
      </c>
      <c r="F3">
        <v>8.7899999999999991</v>
      </c>
      <c r="G3">
        <v>8.7899999999999991</v>
      </c>
      <c r="H3">
        <v>8.43</v>
      </c>
      <c r="I3">
        <v>8.5299999999999994</v>
      </c>
      <c r="J3">
        <v>7.98</v>
      </c>
      <c r="K3">
        <v>8.0399999999999991</v>
      </c>
      <c r="L3">
        <v>2.0099999999999998</v>
      </c>
    </row>
    <row r="4" spans="1:12">
      <c r="A4" t="s">
        <v>241</v>
      </c>
      <c r="B4">
        <v>26.7</v>
      </c>
      <c r="C4">
        <v>25.8</v>
      </c>
      <c r="D4">
        <v>26.8</v>
      </c>
      <c r="E4">
        <v>27</v>
      </c>
      <c r="F4">
        <v>27</v>
      </c>
      <c r="G4">
        <v>32.5</v>
      </c>
      <c r="H4">
        <v>30.1</v>
      </c>
      <c r="I4">
        <v>29.5</v>
      </c>
      <c r="J4">
        <v>29.5</v>
      </c>
      <c r="K4">
        <v>30.2</v>
      </c>
      <c r="L4">
        <v>7.05</v>
      </c>
    </row>
    <row r="5" spans="1:12">
      <c r="A5" t="s">
        <v>242</v>
      </c>
      <c r="B5">
        <v>16.2</v>
      </c>
      <c r="C5">
        <v>17.489999999999998</v>
      </c>
      <c r="D5">
        <v>17.760000000000002</v>
      </c>
      <c r="E5">
        <v>17.760000000000002</v>
      </c>
      <c r="F5">
        <v>17.760000000000002</v>
      </c>
      <c r="G5">
        <v>17.760000000000002</v>
      </c>
      <c r="H5">
        <v>17.760000000000002</v>
      </c>
      <c r="I5">
        <v>17.399999999999999</v>
      </c>
      <c r="J5">
        <v>17.100000000000001</v>
      </c>
      <c r="K5">
        <v>16.649999999999999</v>
      </c>
      <c r="L5">
        <v>4.05</v>
      </c>
    </row>
    <row r="6" spans="1:12">
      <c r="A6" t="s">
        <v>243</v>
      </c>
      <c r="B6">
        <v>16.62</v>
      </c>
      <c r="C6">
        <v>16.920000000000002</v>
      </c>
      <c r="D6">
        <v>17.64</v>
      </c>
      <c r="E6">
        <v>17.89</v>
      </c>
      <c r="F6">
        <v>18.14</v>
      </c>
      <c r="G6">
        <v>18.39</v>
      </c>
      <c r="H6">
        <v>18.64</v>
      </c>
      <c r="I6">
        <v>18.39</v>
      </c>
      <c r="J6">
        <v>18.14</v>
      </c>
      <c r="K6">
        <v>17.89</v>
      </c>
      <c r="L6">
        <v>4.41</v>
      </c>
    </row>
    <row r="7" spans="1:12">
      <c r="A7" t="s">
        <v>244</v>
      </c>
      <c r="B7">
        <v>9.6</v>
      </c>
      <c r="C7">
        <v>9.6</v>
      </c>
      <c r="D7">
        <v>9.6</v>
      </c>
      <c r="E7">
        <v>8.16</v>
      </c>
      <c r="F7">
        <v>9</v>
      </c>
      <c r="G7">
        <v>9.3000000000000007</v>
      </c>
      <c r="H7">
        <v>9.6</v>
      </c>
      <c r="I7">
        <v>9</v>
      </c>
      <c r="J7">
        <v>8.4</v>
      </c>
      <c r="K7">
        <v>7.56</v>
      </c>
      <c r="L7">
        <v>2.1</v>
      </c>
    </row>
    <row r="8" spans="1:12">
      <c r="A8" t="s">
        <v>245</v>
      </c>
      <c r="J8">
        <v>10.08</v>
      </c>
      <c r="K8">
        <v>12.58</v>
      </c>
      <c r="L8">
        <v>3.1</v>
      </c>
    </row>
    <row r="9" spans="1:12">
      <c r="A9" t="s">
        <v>246</v>
      </c>
      <c r="H9">
        <v>31.65</v>
      </c>
      <c r="I9">
        <v>36</v>
      </c>
      <c r="J9">
        <v>36</v>
      </c>
      <c r="K9">
        <v>36</v>
      </c>
    </row>
    <row r="10" spans="1:12">
      <c r="A10" t="s">
        <v>247</v>
      </c>
      <c r="H10">
        <v>14.25</v>
      </c>
      <c r="I10">
        <v>31.5</v>
      </c>
      <c r="J10">
        <v>36</v>
      </c>
      <c r="K10">
        <v>36</v>
      </c>
    </row>
    <row r="11" spans="1:12">
      <c r="A11" t="s">
        <v>248</v>
      </c>
      <c r="J11">
        <v>3</v>
      </c>
      <c r="K11">
        <v>7.2</v>
      </c>
    </row>
    <row r="12" spans="1:12">
      <c r="A12" t="s">
        <v>249</v>
      </c>
      <c r="J12">
        <v>0</v>
      </c>
      <c r="K12">
        <v>0</v>
      </c>
    </row>
    <row r="13" spans="1:12">
      <c r="A13" t="s">
        <v>250</v>
      </c>
      <c r="B13">
        <v>15.51</v>
      </c>
      <c r="C13">
        <v>15.09</v>
      </c>
      <c r="D13">
        <v>15.39</v>
      </c>
      <c r="E13">
        <v>15.39</v>
      </c>
      <c r="F13">
        <v>15.03</v>
      </c>
      <c r="G13">
        <v>15.03</v>
      </c>
      <c r="H13">
        <v>14.4</v>
      </c>
      <c r="I13">
        <v>14.1</v>
      </c>
      <c r="J13">
        <v>13.92</v>
      </c>
      <c r="K13">
        <v>14.19</v>
      </c>
      <c r="L13">
        <v>3.52</v>
      </c>
    </row>
    <row r="14" spans="1:12">
      <c r="A14" t="s">
        <v>251</v>
      </c>
    </row>
    <row r="15" spans="1:12">
      <c r="A15" t="s">
        <v>252</v>
      </c>
      <c r="J15">
        <v>0</v>
      </c>
      <c r="K15">
        <v>0</v>
      </c>
    </row>
    <row r="16" spans="1:12">
      <c r="A16" t="s">
        <v>253</v>
      </c>
      <c r="J16">
        <v>0</v>
      </c>
      <c r="K16">
        <v>0</v>
      </c>
    </row>
    <row r="17" spans="1:11">
      <c r="A17" t="s">
        <v>254</v>
      </c>
      <c r="J17">
        <v>0</v>
      </c>
      <c r="K17">
        <v>0</v>
      </c>
    </row>
    <row r="18" spans="1:11">
      <c r="A18" t="s">
        <v>255</v>
      </c>
      <c r="H18">
        <v>50.32</v>
      </c>
      <c r="I18">
        <v>50.2</v>
      </c>
      <c r="J18">
        <v>50.37</v>
      </c>
      <c r="K18">
        <v>50.22</v>
      </c>
    </row>
    <row r="168" spans="5:5">
      <c r="E168">
        <f>2912.56*5</f>
        <v>14562.8</v>
      </c>
    </row>
    <row r="212" spans="5:5">
      <c r="E212" t="s">
        <v>238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179"/>
  <sheetViews>
    <sheetView workbookViewId="0">
      <selection activeCell="H23" sqref="H23"/>
    </sheetView>
  </sheetViews>
  <sheetFormatPr baseColWidth="10" defaultRowHeight="15"/>
  <cols>
    <col min="1" max="1" width="8.7109375" customWidth="1"/>
    <col min="2" max="2" width="38.28515625" customWidth="1"/>
    <col min="3" max="3" width="7.140625" style="5" customWidth="1"/>
    <col min="4" max="9" width="5" style="5" customWidth="1"/>
    <col min="10" max="10" width="9.140625" style="5" customWidth="1"/>
    <col min="11" max="14" width="7.140625" style="5" customWidth="1"/>
  </cols>
  <sheetData>
    <row r="1" spans="1:14">
      <c r="A1" s="40" t="s">
        <v>194</v>
      </c>
      <c r="B1" s="40" t="s">
        <v>195</v>
      </c>
      <c r="C1" s="43" t="s">
        <v>196</v>
      </c>
      <c r="D1" s="43" t="s">
        <v>197</v>
      </c>
      <c r="E1" s="43" t="s">
        <v>198</v>
      </c>
      <c r="F1" s="43" t="s">
        <v>199</v>
      </c>
      <c r="G1" s="43" t="s">
        <v>200</v>
      </c>
      <c r="H1" s="43" t="s">
        <v>201</v>
      </c>
      <c r="I1" s="43" t="s">
        <v>202</v>
      </c>
      <c r="J1" s="43" t="s">
        <v>203</v>
      </c>
      <c r="K1" s="43" t="s">
        <v>204</v>
      </c>
      <c r="L1" s="43" t="s">
        <v>205</v>
      </c>
      <c r="M1" s="43" t="s">
        <v>206</v>
      </c>
      <c r="N1" s="43" t="s">
        <v>207</v>
      </c>
    </row>
    <row r="2" spans="1:14">
      <c r="A2" s="41">
        <v>6</v>
      </c>
      <c r="B2" s="42" t="s">
        <v>0</v>
      </c>
      <c r="C2" s="44"/>
      <c r="D2" s="44"/>
      <c r="E2" s="44"/>
      <c r="F2" s="44"/>
      <c r="G2" s="44"/>
      <c r="H2" s="44"/>
      <c r="I2" s="44"/>
      <c r="J2" s="45">
        <v>0.1</v>
      </c>
      <c r="K2" s="45">
        <v>0.1</v>
      </c>
      <c r="L2" s="45">
        <v>0.1</v>
      </c>
      <c r="M2" s="45">
        <v>0.1</v>
      </c>
      <c r="N2" s="45">
        <v>0.3</v>
      </c>
    </row>
    <row r="3" spans="1:14">
      <c r="A3" s="41">
        <v>7</v>
      </c>
      <c r="B3" s="42" t="s">
        <v>1</v>
      </c>
      <c r="C3" s="44"/>
      <c r="D3" s="44"/>
      <c r="E3" s="44"/>
      <c r="F3" s="44"/>
      <c r="G3" s="44"/>
      <c r="H3" s="44"/>
      <c r="I3" s="44"/>
      <c r="J3" s="45">
        <v>0.1</v>
      </c>
      <c r="K3" s="45">
        <v>0.1</v>
      </c>
      <c r="L3" s="45">
        <v>0.1</v>
      </c>
      <c r="M3" s="45">
        <v>0.1</v>
      </c>
      <c r="N3" s="45">
        <v>0.3</v>
      </c>
    </row>
    <row r="4" spans="1:14">
      <c r="A4" s="41">
        <v>8</v>
      </c>
      <c r="B4" s="42" t="s">
        <v>2</v>
      </c>
      <c r="C4" s="44"/>
      <c r="D4" s="44"/>
      <c r="E4" s="44"/>
      <c r="F4" s="44"/>
      <c r="G4" s="44"/>
      <c r="H4" s="44"/>
      <c r="I4" s="44"/>
      <c r="J4" s="45">
        <v>0.1</v>
      </c>
      <c r="K4" s="45">
        <v>0.1</v>
      </c>
      <c r="L4" s="45">
        <v>0.1</v>
      </c>
      <c r="M4" s="45">
        <v>0.1</v>
      </c>
      <c r="N4" s="45">
        <v>0.3</v>
      </c>
    </row>
    <row r="5" spans="1:14">
      <c r="A5" s="41">
        <v>9</v>
      </c>
      <c r="B5" s="42" t="s">
        <v>3</v>
      </c>
      <c r="C5" s="44"/>
      <c r="D5" s="44"/>
      <c r="E5" s="44"/>
      <c r="F5" s="44"/>
      <c r="G5" s="44"/>
      <c r="H5" s="44"/>
      <c r="I5" s="44"/>
      <c r="J5" s="45">
        <v>0.1</v>
      </c>
      <c r="K5" s="45">
        <v>0.1</v>
      </c>
      <c r="L5" s="45">
        <v>0.1</v>
      </c>
      <c r="M5" s="45">
        <v>0.1</v>
      </c>
      <c r="N5" s="45">
        <v>0.3</v>
      </c>
    </row>
    <row r="6" spans="1:14">
      <c r="A6" s="41">
        <v>10</v>
      </c>
      <c r="B6" s="42" t="s">
        <v>4</v>
      </c>
      <c r="C6" s="44"/>
      <c r="D6" s="44"/>
      <c r="E6" s="44"/>
      <c r="F6" s="44"/>
      <c r="G6" s="44"/>
      <c r="H6" s="44"/>
      <c r="I6" s="44"/>
      <c r="J6" s="45">
        <v>0.1</v>
      </c>
      <c r="K6" s="45">
        <v>0.1</v>
      </c>
      <c r="L6" s="45">
        <v>0.1</v>
      </c>
      <c r="M6" s="45">
        <v>0.1</v>
      </c>
      <c r="N6" s="45">
        <v>0.3</v>
      </c>
    </row>
    <row r="7" spans="1:14">
      <c r="A7" s="41">
        <v>11</v>
      </c>
      <c r="B7" s="42" t="s">
        <v>5</v>
      </c>
      <c r="C7" s="44"/>
      <c r="D7" s="44"/>
      <c r="E7" s="44"/>
      <c r="F7" s="44"/>
      <c r="G7" s="44"/>
      <c r="H7" s="44"/>
      <c r="I7" s="44"/>
      <c r="J7" s="45">
        <v>0.1</v>
      </c>
      <c r="K7" s="45">
        <v>0.1</v>
      </c>
      <c r="L7" s="45">
        <v>0.1</v>
      </c>
      <c r="M7" s="45">
        <v>0.1</v>
      </c>
      <c r="N7" s="45">
        <v>0.3</v>
      </c>
    </row>
    <row r="8" spans="1:14">
      <c r="A8" s="41">
        <v>12</v>
      </c>
      <c r="B8" s="42" t="s">
        <v>6</v>
      </c>
      <c r="C8" s="44"/>
      <c r="D8" s="44"/>
      <c r="E8" s="44"/>
      <c r="F8" s="44"/>
      <c r="G8" s="44"/>
      <c r="H8" s="44"/>
      <c r="I8" s="44"/>
      <c r="J8" s="44"/>
      <c r="K8" s="45">
        <v>9.5000000000000001E-2</v>
      </c>
      <c r="L8" s="45">
        <v>9.5000000000000001E-2</v>
      </c>
      <c r="M8" s="45">
        <v>9.5000000000000001E-2</v>
      </c>
      <c r="N8" s="45">
        <v>0.28499999999999998</v>
      </c>
    </row>
    <row r="9" spans="1:14">
      <c r="A9" s="41">
        <v>15</v>
      </c>
      <c r="B9" s="42" t="s">
        <v>7</v>
      </c>
      <c r="C9" s="44"/>
      <c r="D9" s="44"/>
      <c r="E9" s="44"/>
      <c r="F9" s="44"/>
      <c r="G9" s="44"/>
      <c r="H9" s="44"/>
      <c r="I9" s="44"/>
      <c r="J9" s="45">
        <v>0.05</v>
      </c>
      <c r="K9" s="45">
        <v>0.05</v>
      </c>
      <c r="L9" s="45">
        <v>0.05</v>
      </c>
      <c r="M9" s="45">
        <v>0.05</v>
      </c>
      <c r="N9" s="44"/>
    </row>
    <row r="10" spans="1:14">
      <c r="A10" s="41">
        <v>16</v>
      </c>
      <c r="B10" s="42" t="s">
        <v>8</v>
      </c>
      <c r="C10" s="44"/>
      <c r="D10" s="44"/>
      <c r="E10" s="44"/>
      <c r="F10" s="44"/>
      <c r="G10" s="44"/>
      <c r="H10" s="44"/>
      <c r="I10" s="44"/>
      <c r="J10" s="45">
        <v>0.05</v>
      </c>
      <c r="K10" s="45">
        <v>0.05</v>
      </c>
      <c r="L10" s="45">
        <v>0.05</v>
      </c>
      <c r="M10" s="45">
        <v>0.05</v>
      </c>
      <c r="N10" s="44"/>
    </row>
    <row r="11" spans="1:14">
      <c r="A11" s="41">
        <v>17</v>
      </c>
      <c r="B11" s="42" t="s">
        <v>9</v>
      </c>
      <c r="C11" s="44"/>
      <c r="D11" s="44"/>
      <c r="E11" s="44"/>
      <c r="F11" s="44"/>
      <c r="G11" s="44"/>
      <c r="H11" s="44"/>
      <c r="I11" s="44"/>
      <c r="J11" s="45">
        <v>0.1</v>
      </c>
      <c r="K11" s="45">
        <v>0.1</v>
      </c>
      <c r="L11" s="45">
        <v>0.1</v>
      </c>
      <c r="M11" s="45">
        <v>0.1</v>
      </c>
      <c r="N11" s="44"/>
    </row>
    <row r="12" spans="1:14">
      <c r="A12" s="41">
        <v>18</v>
      </c>
      <c r="B12" s="42" t="s">
        <v>10</v>
      </c>
      <c r="C12" s="44"/>
      <c r="D12" s="44"/>
      <c r="E12" s="44"/>
      <c r="F12" s="44"/>
      <c r="G12" s="44"/>
      <c r="H12" s="44"/>
      <c r="I12" s="44"/>
      <c r="J12" s="44"/>
      <c r="K12" s="45">
        <v>0.1</v>
      </c>
      <c r="L12" s="45">
        <v>0.1</v>
      </c>
      <c r="M12" s="45">
        <v>0.1</v>
      </c>
      <c r="N12" s="44"/>
    </row>
    <row r="13" spans="1:14">
      <c r="A13" s="41">
        <v>19</v>
      </c>
      <c r="B13" s="42" t="s">
        <v>11</v>
      </c>
      <c r="C13" s="44"/>
      <c r="D13" s="44"/>
      <c r="E13" s="44"/>
      <c r="F13" s="44"/>
      <c r="G13" s="44"/>
      <c r="H13" s="44"/>
      <c r="I13" s="44"/>
      <c r="J13" s="45">
        <v>0.1</v>
      </c>
      <c r="K13" s="45">
        <v>0.1</v>
      </c>
      <c r="L13" s="45">
        <v>0.1</v>
      </c>
      <c r="M13" s="45">
        <v>0.1</v>
      </c>
      <c r="N13" s="45">
        <v>0.3</v>
      </c>
    </row>
    <row r="14" spans="1:14">
      <c r="A14" s="41">
        <v>20</v>
      </c>
      <c r="B14" s="42" t="s">
        <v>13</v>
      </c>
      <c r="C14" s="44"/>
      <c r="D14" s="44"/>
      <c r="E14" s="44"/>
      <c r="F14" s="44"/>
      <c r="G14" s="44"/>
      <c r="H14" s="44"/>
      <c r="I14" s="44"/>
      <c r="J14" s="45">
        <v>0.115</v>
      </c>
      <c r="K14" s="45">
        <v>0.115</v>
      </c>
      <c r="L14" s="45">
        <v>0.115</v>
      </c>
      <c r="M14" s="45">
        <v>0.115</v>
      </c>
      <c r="N14" s="44"/>
    </row>
    <row r="15" spans="1:14">
      <c r="A15" s="41">
        <v>21</v>
      </c>
      <c r="B15" s="42" t="s">
        <v>14</v>
      </c>
      <c r="C15" s="44"/>
      <c r="D15" s="44"/>
      <c r="E15" s="44"/>
      <c r="F15" s="44"/>
      <c r="G15" s="44"/>
      <c r="H15" s="44"/>
      <c r="I15" s="44"/>
      <c r="J15" s="44"/>
      <c r="K15" s="44"/>
      <c r="L15" s="45">
        <v>0.115</v>
      </c>
      <c r="M15" s="45">
        <v>0.115</v>
      </c>
      <c r="N15" s="44"/>
    </row>
    <row r="16" spans="1:14">
      <c r="A16" s="41">
        <v>22</v>
      </c>
      <c r="B16" s="42" t="s">
        <v>15</v>
      </c>
      <c r="C16" s="44"/>
      <c r="D16" s="44"/>
      <c r="E16" s="44"/>
      <c r="F16" s="44"/>
      <c r="G16" s="44"/>
      <c r="H16" s="44"/>
      <c r="I16" s="44"/>
      <c r="J16" s="44"/>
      <c r="K16" s="45">
        <v>0.115</v>
      </c>
      <c r="L16" s="45">
        <v>0.115</v>
      </c>
      <c r="M16" s="45">
        <v>0.115</v>
      </c>
      <c r="N16" s="44"/>
    </row>
    <row r="17" spans="1:14">
      <c r="A17" s="41">
        <v>23</v>
      </c>
      <c r="B17" s="42" t="s">
        <v>16</v>
      </c>
      <c r="C17" s="44"/>
      <c r="D17" s="44"/>
      <c r="E17" s="44"/>
      <c r="F17" s="44"/>
      <c r="G17" s="44"/>
      <c r="H17" s="44"/>
      <c r="I17" s="44"/>
      <c r="J17" s="45">
        <v>0.1</v>
      </c>
      <c r="K17" s="45">
        <v>0.1</v>
      </c>
      <c r="L17" s="45">
        <v>0.1</v>
      </c>
      <c r="M17" s="45">
        <v>0.1</v>
      </c>
      <c r="N17" s="45">
        <v>0.2</v>
      </c>
    </row>
    <row r="18" spans="1:14">
      <c r="A18" s="41">
        <v>24</v>
      </c>
      <c r="B18" s="42" t="s">
        <v>17</v>
      </c>
      <c r="C18" s="44"/>
      <c r="D18" s="44"/>
      <c r="E18" s="44"/>
      <c r="F18" s="44"/>
      <c r="G18" s="44"/>
      <c r="H18" s="44"/>
      <c r="I18" s="44"/>
      <c r="J18" s="45">
        <v>0.1</v>
      </c>
      <c r="K18" s="45">
        <v>0.1</v>
      </c>
      <c r="L18" s="45">
        <v>0.1</v>
      </c>
      <c r="M18" s="45">
        <v>0.1</v>
      </c>
      <c r="N18" s="45">
        <v>0.3</v>
      </c>
    </row>
    <row r="19" spans="1:14">
      <c r="A19" s="41">
        <v>25</v>
      </c>
      <c r="B19" s="42" t="s">
        <v>18</v>
      </c>
      <c r="C19" s="44"/>
      <c r="D19" s="44"/>
      <c r="E19" s="44"/>
      <c r="F19" s="44"/>
      <c r="G19" s="44"/>
      <c r="H19" s="44"/>
      <c r="I19" s="44"/>
      <c r="J19" s="45">
        <v>7.7499999999999999E-2</v>
      </c>
      <c r="K19" s="45">
        <v>7.7499999999999999E-2</v>
      </c>
      <c r="L19" s="45">
        <v>7.7499999999999999E-2</v>
      </c>
      <c r="M19" s="45">
        <v>7.7499999999999999E-2</v>
      </c>
      <c r="N19" s="45">
        <v>0.23250000000000001</v>
      </c>
    </row>
    <row r="20" spans="1:14">
      <c r="A20" s="41">
        <v>28</v>
      </c>
      <c r="B20" s="42" t="s">
        <v>19</v>
      </c>
      <c r="C20" s="44"/>
      <c r="D20" s="44"/>
      <c r="E20" s="44"/>
      <c r="F20" s="44"/>
      <c r="G20" s="44"/>
      <c r="H20" s="44"/>
      <c r="I20" s="44"/>
      <c r="J20" s="44"/>
      <c r="K20" s="45">
        <v>0.1</v>
      </c>
      <c r="L20" s="45">
        <v>0.1</v>
      </c>
      <c r="M20" s="45">
        <v>0.1</v>
      </c>
      <c r="N20" s="45">
        <v>0.3</v>
      </c>
    </row>
    <row r="21" spans="1:14">
      <c r="A21" s="41">
        <v>31</v>
      </c>
      <c r="B21" s="42" t="s">
        <v>20</v>
      </c>
      <c r="C21" s="44"/>
      <c r="D21" s="44"/>
      <c r="E21" s="44"/>
      <c r="F21" s="44"/>
      <c r="G21" s="44"/>
      <c r="H21" s="44"/>
      <c r="I21" s="44"/>
      <c r="J21" s="45">
        <v>4.1799999999999997E-2</v>
      </c>
      <c r="K21" s="45">
        <v>4.1799999999999997E-2</v>
      </c>
      <c r="L21" s="45">
        <v>4.1799999999999997E-2</v>
      </c>
      <c r="M21" s="45">
        <v>4.1799999999999997E-2</v>
      </c>
      <c r="N21" s="45">
        <v>0.12540000000000001</v>
      </c>
    </row>
    <row r="22" spans="1:14">
      <c r="A22" s="41">
        <v>32</v>
      </c>
      <c r="B22" s="42" t="s">
        <v>21</v>
      </c>
      <c r="C22" s="44"/>
      <c r="D22" s="44"/>
      <c r="E22" s="44"/>
      <c r="F22" s="44"/>
      <c r="G22" s="44"/>
      <c r="H22" s="44"/>
      <c r="I22" s="44"/>
      <c r="J22" s="45">
        <v>0.1</v>
      </c>
      <c r="K22" s="45">
        <v>0.1</v>
      </c>
      <c r="L22" s="45">
        <v>0.1</v>
      </c>
      <c r="M22" s="45">
        <v>0.1</v>
      </c>
      <c r="N22" s="45">
        <v>0.3</v>
      </c>
    </row>
    <row r="23" spans="1:14">
      <c r="A23" s="41">
        <v>33</v>
      </c>
      <c r="B23" s="42" t="s">
        <v>22</v>
      </c>
      <c r="C23" s="44"/>
      <c r="D23" s="44"/>
      <c r="E23" s="44"/>
      <c r="F23" s="44"/>
      <c r="G23" s="44"/>
      <c r="H23" s="44"/>
      <c r="I23" s="44"/>
      <c r="J23" s="45">
        <v>10</v>
      </c>
      <c r="K23" s="45">
        <v>0.1</v>
      </c>
      <c r="L23" s="45">
        <v>0.1</v>
      </c>
      <c r="M23" s="45">
        <v>0.1</v>
      </c>
      <c r="N23" s="45">
        <v>0.3</v>
      </c>
    </row>
    <row r="24" spans="1:14">
      <c r="A24" s="41">
        <v>35</v>
      </c>
      <c r="B24" s="42" t="s">
        <v>23</v>
      </c>
      <c r="C24" s="44"/>
      <c r="D24" s="44"/>
      <c r="E24" s="44"/>
      <c r="F24" s="44"/>
      <c r="G24" s="44"/>
      <c r="H24" s="44"/>
      <c r="I24" s="44"/>
      <c r="J24" s="45">
        <v>0.02</v>
      </c>
      <c r="K24" s="45">
        <v>0.02</v>
      </c>
      <c r="L24" s="45">
        <v>0.02</v>
      </c>
      <c r="M24" s="45">
        <v>0.02</v>
      </c>
      <c r="N24" s="44"/>
    </row>
    <row r="25" spans="1:14">
      <c r="A25" s="41">
        <v>36</v>
      </c>
      <c r="B25" s="42" t="s">
        <v>24</v>
      </c>
      <c r="C25" s="44"/>
      <c r="D25" s="44"/>
      <c r="E25" s="44"/>
      <c r="F25" s="44"/>
      <c r="G25" s="44"/>
      <c r="H25" s="44"/>
      <c r="I25" s="44"/>
      <c r="J25" s="45">
        <v>0.08</v>
      </c>
      <c r="K25" s="45">
        <v>0.08</v>
      </c>
      <c r="L25" s="45">
        <v>0.08</v>
      </c>
      <c r="M25" s="45">
        <v>0.08</v>
      </c>
      <c r="N25" s="45">
        <v>0.24</v>
      </c>
    </row>
    <row r="26" spans="1:14">
      <c r="A26" s="41">
        <v>37</v>
      </c>
      <c r="B26" s="42" t="s">
        <v>25</v>
      </c>
      <c r="C26" s="44"/>
      <c r="D26" s="44"/>
      <c r="E26" s="44"/>
      <c r="F26" s="44"/>
      <c r="G26" s="44"/>
      <c r="H26" s="44"/>
      <c r="I26" s="44"/>
      <c r="J26" s="45">
        <v>0.08</v>
      </c>
      <c r="K26" s="45">
        <v>0.08</v>
      </c>
      <c r="L26" s="45">
        <v>0.08</v>
      </c>
      <c r="M26" s="45">
        <v>0.08</v>
      </c>
      <c r="N26" s="45">
        <v>0.24</v>
      </c>
    </row>
    <row r="27" spans="1:14">
      <c r="A27" s="41">
        <v>38</v>
      </c>
      <c r="B27" s="42" t="s">
        <v>26</v>
      </c>
      <c r="C27" s="44"/>
      <c r="D27" s="44"/>
      <c r="E27" s="44"/>
      <c r="F27" s="44"/>
      <c r="G27" s="44"/>
      <c r="H27" s="44"/>
      <c r="I27" s="44"/>
      <c r="J27" s="45">
        <v>0.08</v>
      </c>
      <c r="K27" s="45">
        <v>0.08</v>
      </c>
      <c r="L27" s="45">
        <v>0.08</v>
      </c>
      <c r="M27" s="45">
        <v>0.08</v>
      </c>
      <c r="N27" s="45">
        <v>0.16</v>
      </c>
    </row>
    <row r="28" spans="1:14">
      <c r="A28" s="41">
        <v>39</v>
      </c>
      <c r="B28" s="42" t="s">
        <v>27</v>
      </c>
      <c r="C28" s="44"/>
      <c r="D28" s="44"/>
      <c r="E28" s="44"/>
      <c r="F28" s="44"/>
      <c r="G28" s="44"/>
      <c r="H28" s="44"/>
      <c r="I28" s="44"/>
      <c r="J28" s="45">
        <v>0.08</v>
      </c>
      <c r="K28" s="45">
        <v>0.08</v>
      </c>
      <c r="L28" s="45">
        <v>0.08</v>
      </c>
      <c r="M28" s="45">
        <v>0.08</v>
      </c>
      <c r="N28" s="45">
        <v>0.16</v>
      </c>
    </row>
    <row r="29" spans="1:14">
      <c r="A29" s="41">
        <v>40</v>
      </c>
      <c r="B29" s="42" t="s">
        <v>28</v>
      </c>
      <c r="C29" s="44"/>
      <c r="D29" s="44"/>
      <c r="E29" s="44"/>
      <c r="F29" s="44"/>
      <c r="G29" s="44"/>
      <c r="H29" s="44"/>
      <c r="I29" s="44"/>
      <c r="J29" s="45">
        <v>0.08</v>
      </c>
      <c r="K29" s="45">
        <v>0.08</v>
      </c>
      <c r="L29" s="45">
        <v>0.08</v>
      </c>
      <c r="M29" s="45">
        <v>0.08</v>
      </c>
      <c r="N29" s="45">
        <v>0.16</v>
      </c>
    </row>
    <row r="30" spans="1:14">
      <c r="A30" s="41">
        <v>41</v>
      </c>
      <c r="B30" s="42" t="s">
        <v>29</v>
      </c>
      <c r="C30" s="44"/>
      <c r="D30" s="44"/>
      <c r="E30" s="44"/>
      <c r="F30" s="44"/>
      <c r="G30" s="44"/>
      <c r="H30" s="44"/>
      <c r="I30" s="44"/>
      <c r="J30" s="45">
        <v>0.08</v>
      </c>
      <c r="K30" s="45">
        <v>0.08</v>
      </c>
      <c r="L30" s="45">
        <v>0.08</v>
      </c>
      <c r="M30" s="45">
        <v>0.08</v>
      </c>
      <c r="N30" s="45">
        <v>0.16</v>
      </c>
    </row>
    <row r="31" spans="1:14">
      <c r="A31" s="41">
        <v>42</v>
      </c>
      <c r="B31" s="42" t="s">
        <v>30</v>
      </c>
      <c r="C31" s="44"/>
      <c r="D31" s="44"/>
      <c r="E31" s="44"/>
      <c r="F31" s="44"/>
      <c r="G31" s="44"/>
      <c r="H31" s="44"/>
      <c r="I31" s="44"/>
      <c r="J31" s="45">
        <v>0.08</v>
      </c>
      <c r="K31" s="45">
        <v>0.08</v>
      </c>
      <c r="L31" s="45">
        <v>0.08</v>
      </c>
      <c r="M31" s="45">
        <v>0.08</v>
      </c>
      <c r="N31" s="45">
        <v>0.16</v>
      </c>
    </row>
    <row r="32" spans="1:14">
      <c r="A32" s="41">
        <v>43</v>
      </c>
      <c r="B32" s="42" t="s">
        <v>31</v>
      </c>
      <c r="C32" s="44"/>
      <c r="D32" s="44"/>
      <c r="E32" s="44"/>
      <c r="F32" s="44"/>
      <c r="G32" s="44"/>
      <c r="H32" s="44"/>
      <c r="I32" s="44"/>
      <c r="J32" s="45">
        <v>0.06</v>
      </c>
      <c r="K32" s="45">
        <v>0.06</v>
      </c>
      <c r="L32" s="45">
        <v>0.06</v>
      </c>
      <c r="M32" s="45">
        <v>0.06</v>
      </c>
      <c r="N32" s="44"/>
    </row>
    <row r="33" spans="1:14">
      <c r="A33" s="41">
        <v>44</v>
      </c>
      <c r="B33" s="42" t="s">
        <v>33</v>
      </c>
      <c r="C33" s="44"/>
      <c r="D33" s="44"/>
      <c r="E33" s="44"/>
      <c r="F33" s="44"/>
      <c r="G33" s="44"/>
      <c r="H33" s="44"/>
      <c r="I33" s="44"/>
      <c r="J33" s="45">
        <v>9.2499999999999999E-2</v>
      </c>
      <c r="K33" s="45">
        <v>9.2499999999999999E-2</v>
      </c>
      <c r="L33" s="45">
        <v>9.2499999999999999E-2</v>
      </c>
      <c r="M33" s="45">
        <v>9.2499999999999999E-2</v>
      </c>
      <c r="N33" s="45">
        <v>0.27750000000000002</v>
      </c>
    </row>
    <row r="34" spans="1:14">
      <c r="A34" s="41">
        <v>45</v>
      </c>
      <c r="B34" s="42" t="s">
        <v>34</v>
      </c>
      <c r="C34" s="44"/>
      <c r="D34" s="44"/>
      <c r="E34" s="44"/>
      <c r="F34" s="44"/>
      <c r="G34" s="44"/>
      <c r="H34" s="44"/>
      <c r="I34" s="44"/>
      <c r="J34" s="44"/>
      <c r="K34" s="44"/>
      <c r="L34" s="45">
        <v>0.1196</v>
      </c>
      <c r="M34" s="45">
        <v>0.1196</v>
      </c>
      <c r="N34" s="45">
        <v>0.35880000000000001</v>
      </c>
    </row>
    <row r="35" spans="1:14">
      <c r="A35" s="41">
        <v>46</v>
      </c>
      <c r="B35" s="42" t="s">
        <v>35</v>
      </c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</row>
    <row r="36" spans="1:14">
      <c r="A36" s="41">
        <v>47</v>
      </c>
      <c r="B36" s="42" t="s">
        <v>36</v>
      </c>
      <c r="C36" s="44"/>
      <c r="D36" s="44"/>
      <c r="E36" s="44"/>
      <c r="F36" s="44"/>
      <c r="G36" s="44"/>
      <c r="H36" s="44"/>
      <c r="I36" s="44"/>
      <c r="J36" s="44"/>
      <c r="K36" s="44"/>
      <c r="L36" s="45">
        <v>0.12</v>
      </c>
      <c r="M36" s="45">
        <v>0.12</v>
      </c>
      <c r="N36" s="44"/>
    </row>
    <row r="37" spans="1:14">
      <c r="A37" s="41">
        <v>48</v>
      </c>
      <c r="B37" s="42" t="s">
        <v>37</v>
      </c>
      <c r="C37" s="44"/>
      <c r="D37" s="44"/>
      <c r="E37" s="44"/>
      <c r="F37" s="44"/>
      <c r="G37" s="44"/>
      <c r="H37" s="44"/>
      <c r="I37" s="44"/>
      <c r="J37" s="45">
        <v>0.08</v>
      </c>
      <c r="K37" s="45">
        <v>0.08</v>
      </c>
      <c r="L37" s="45">
        <v>0.08</v>
      </c>
      <c r="M37" s="45">
        <v>0.08</v>
      </c>
      <c r="N37" s="45">
        <v>0.24</v>
      </c>
    </row>
    <row r="38" spans="1:14">
      <c r="A38" s="41">
        <v>49</v>
      </c>
      <c r="B38" s="42" t="s">
        <v>38</v>
      </c>
      <c r="C38" s="44"/>
      <c r="D38" s="44"/>
      <c r="E38" s="44"/>
      <c r="F38" s="44"/>
      <c r="G38" s="44"/>
      <c r="H38" s="44"/>
      <c r="I38" s="44"/>
      <c r="J38" s="45">
        <v>0.1</v>
      </c>
      <c r="K38" s="45">
        <v>0.1</v>
      </c>
      <c r="L38" s="45">
        <v>0.1</v>
      </c>
      <c r="M38" s="45">
        <v>0.1</v>
      </c>
      <c r="N38" s="45">
        <v>0.2</v>
      </c>
    </row>
    <row r="39" spans="1:14">
      <c r="A39" s="41">
        <v>50</v>
      </c>
      <c r="B39" s="42" t="s">
        <v>39</v>
      </c>
      <c r="C39" s="44"/>
      <c r="D39" s="44"/>
      <c r="E39" s="44"/>
      <c r="F39" s="44"/>
      <c r="G39" s="44"/>
      <c r="H39" s="44"/>
      <c r="I39" s="44"/>
      <c r="J39" s="44"/>
      <c r="K39" s="44"/>
      <c r="L39" s="45">
        <v>0.1</v>
      </c>
      <c r="M39" s="45">
        <v>0.1</v>
      </c>
      <c r="N39" s="44"/>
    </row>
    <row r="40" spans="1:14">
      <c r="A40" s="41">
        <v>51</v>
      </c>
      <c r="B40" s="42" t="s">
        <v>40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5">
        <v>0.1</v>
      </c>
      <c r="N40" s="44"/>
    </row>
    <row r="41" spans="1:14">
      <c r="A41" s="41">
        <v>52</v>
      </c>
      <c r="B41" s="42" t="s">
        <v>41</v>
      </c>
      <c r="C41" s="44"/>
      <c r="D41" s="44"/>
      <c r="E41" s="44"/>
      <c r="F41" s="44"/>
      <c r="G41" s="44"/>
      <c r="H41" s="44"/>
      <c r="I41" s="44"/>
      <c r="J41" s="44"/>
      <c r="K41" s="45">
        <v>0.1183</v>
      </c>
      <c r="L41" s="45">
        <v>0.1183</v>
      </c>
      <c r="M41" s="45">
        <v>0.1183</v>
      </c>
      <c r="N41" s="44"/>
    </row>
    <row r="42" spans="1:14">
      <c r="A42" s="41">
        <v>53</v>
      </c>
      <c r="B42" s="42" t="s">
        <v>42</v>
      </c>
      <c r="C42" s="44"/>
      <c r="D42" s="44"/>
      <c r="E42" s="44"/>
      <c r="F42" s="44"/>
      <c r="G42" s="44"/>
      <c r="H42" s="44"/>
      <c r="I42" s="44"/>
      <c r="J42" s="45">
        <v>7.9899999999999999E-2</v>
      </c>
      <c r="K42" s="45">
        <v>7.9899999999999999E-2</v>
      </c>
      <c r="L42" s="45">
        <v>7.9899999999999999E-2</v>
      </c>
      <c r="M42" s="45">
        <v>7.9899999999999999E-2</v>
      </c>
      <c r="N42" s="44"/>
    </row>
    <row r="43" spans="1:14">
      <c r="A43" s="41">
        <v>54</v>
      </c>
      <c r="B43" s="42" t="s">
        <v>43</v>
      </c>
      <c r="C43" s="44"/>
      <c r="D43" s="44"/>
      <c r="E43" s="44"/>
      <c r="F43" s="44"/>
      <c r="G43" s="44"/>
      <c r="H43" s="44"/>
      <c r="I43" s="44"/>
      <c r="J43" s="45">
        <v>0.1</v>
      </c>
      <c r="K43" s="45">
        <v>0.1</v>
      </c>
      <c r="L43" s="45">
        <v>0.1</v>
      </c>
      <c r="M43" s="45">
        <v>0.1</v>
      </c>
      <c r="N43" s="45">
        <v>0.3</v>
      </c>
    </row>
    <row r="44" spans="1:14">
      <c r="A44" s="41">
        <v>55</v>
      </c>
      <c r="B44" s="42" t="s">
        <v>44</v>
      </c>
      <c r="C44" s="44"/>
      <c r="D44" s="44"/>
      <c r="E44" s="44"/>
      <c r="F44" s="44"/>
      <c r="G44" s="44"/>
      <c r="H44" s="44"/>
      <c r="I44" s="44"/>
      <c r="J44" s="45">
        <v>0.06</v>
      </c>
      <c r="K44" s="45">
        <v>0.06</v>
      </c>
      <c r="L44" s="45">
        <v>0.06</v>
      </c>
      <c r="M44" s="45">
        <v>0.06</v>
      </c>
      <c r="N44" s="45">
        <v>0.12</v>
      </c>
    </row>
    <row r="45" spans="1:14">
      <c r="A45" s="41">
        <v>56</v>
      </c>
      <c r="B45" s="42" t="s">
        <v>45</v>
      </c>
      <c r="C45" s="44"/>
      <c r="D45" s="44"/>
      <c r="E45" s="44"/>
      <c r="F45" s="44"/>
      <c r="G45" s="44"/>
      <c r="H45" s="44"/>
      <c r="I45" s="44"/>
      <c r="J45" s="44"/>
      <c r="K45" s="44"/>
      <c r="L45" s="45">
        <v>8.3299999999999999E-2</v>
      </c>
      <c r="M45" s="45">
        <v>8.3299999999999999E-2</v>
      </c>
      <c r="N45" s="44"/>
    </row>
    <row r="46" spans="1:14">
      <c r="A46" s="41">
        <v>57</v>
      </c>
      <c r="B46" s="42" t="s">
        <v>46</v>
      </c>
      <c r="C46" s="44"/>
      <c r="D46" s="44"/>
      <c r="E46" s="44"/>
      <c r="F46" s="44"/>
      <c r="G46" s="44"/>
      <c r="H46" s="44"/>
      <c r="I46" s="44"/>
      <c r="J46" s="45">
        <v>7.4999999999999997E-2</v>
      </c>
      <c r="K46" s="45">
        <v>7.4999999999999997E-2</v>
      </c>
      <c r="L46" s="45">
        <v>7.4999999999999997E-2</v>
      </c>
      <c r="M46" s="45">
        <v>7.4999999999999997E-2</v>
      </c>
      <c r="N46" s="45">
        <v>0.22500000000000001</v>
      </c>
    </row>
    <row r="47" spans="1:14">
      <c r="A47" s="41">
        <v>58</v>
      </c>
      <c r="B47" s="42" t="s">
        <v>47</v>
      </c>
      <c r="C47" s="44"/>
      <c r="D47" s="44"/>
      <c r="E47" s="44"/>
      <c r="F47" s="44"/>
      <c r="G47" s="44"/>
      <c r="H47" s="44"/>
      <c r="I47" s="44"/>
      <c r="J47" s="45">
        <v>0.09</v>
      </c>
      <c r="K47" s="45">
        <v>0.09</v>
      </c>
      <c r="L47" s="45">
        <v>0.09</v>
      </c>
      <c r="M47" s="45">
        <v>0.09</v>
      </c>
      <c r="N47" s="45">
        <v>0.18</v>
      </c>
    </row>
    <row r="48" spans="1:14">
      <c r="A48" s="41">
        <v>59</v>
      </c>
      <c r="B48" s="42" t="s">
        <v>48</v>
      </c>
      <c r="C48" s="44"/>
      <c r="D48" s="44"/>
      <c r="E48" s="44"/>
      <c r="F48" s="44"/>
      <c r="G48" s="44"/>
      <c r="H48" s="44"/>
      <c r="I48" s="44"/>
      <c r="J48" s="45">
        <v>0.1</v>
      </c>
      <c r="K48" s="45">
        <v>0.1</v>
      </c>
      <c r="L48" s="45">
        <v>0.1</v>
      </c>
      <c r="M48" s="45">
        <v>0.1</v>
      </c>
      <c r="N48" s="45">
        <v>0.3</v>
      </c>
    </row>
    <row r="49" spans="1:14">
      <c r="A49" s="41">
        <v>60</v>
      </c>
      <c r="B49" s="42" t="s">
        <v>49</v>
      </c>
      <c r="C49" s="44"/>
      <c r="D49" s="44"/>
      <c r="E49" s="44"/>
      <c r="F49" s="44"/>
      <c r="G49" s="44"/>
      <c r="H49" s="44"/>
      <c r="I49" s="44"/>
      <c r="J49" s="45">
        <v>0.08</v>
      </c>
      <c r="K49" s="45">
        <v>0.08</v>
      </c>
      <c r="L49" s="45">
        <v>0.08</v>
      </c>
      <c r="M49" s="45">
        <v>0.08</v>
      </c>
      <c r="N49" s="45">
        <v>0.16</v>
      </c>
    </row>
    <row r="50" spans="1:14">
      <c r="A50" s="41">
        <v>61</v>
      </c>
      <c r="B50" s="42" t="s">
        <v>50</v>
      </c>
      <c r="C50" s="44"/>
      <c r="D50" s="44"/>
      <c r="E50" s="44"/>
      <c r="F50" s="44"/>
      <c r="G50" s="44"/>
      <c r="H50" s="44"/>
      <c r="I50" s="44"/>
      <c r="J50" s="44"/>
      <c r="K50" s="45">
        <v>0.1</v>
      </c>
      <c r="L50" s="45">
        <v>0.1</v>
      </c>
      <c r="M50" s="45">
        <v>0.1</v>
      </c>
      <c r="N50" s="45">
        <v>0.2</v>
      </c>
    </row>
    <row r="51" spans="1:14">
      <c r="A51" s="41">
        <v>62</v>
      </c>
      <c r="B51" s="42" t="s">
        <v>51</v>
      </c>
      <c r="C51" s="44"/>
      <c r="D51" s="44"/>
      <c r="E51" s="44"/>
      <c r="F51" s="44"/>
      <c r="G51" s="44"/>
      <c r="H51" s="44"/>
      <c r="I51" s="44"/>
      <c r="J51" s="45">
        <v>0.114</v>
      </c>
      <c r="K51" s="45">
        <v>0.114</v>
      </c>
      <c r="L51" s="45">
        <v>0.114</v>
      </c>
      <c r="M51" s="45">
        <v>0.114</v>
      </c>
      <c r="N51" s="45">
        <v>0.34200000000000003</v>
      </c>
    </row>
    <row r="52" spans="1:14">
      <c r="A52" s="41">
        <v>63</v>
      </c>
      <c r="B52" s="42" t="s">
        <v>53</v>
      </c>
      <c r="C52" s="44"/>
      <c r="D52" s="44"/>
      <c r="E52" s="44"/>
      <c r="F52" s="44"/>
      <c r="G52" s="44"/>
      <c r="H52" s="44"/>
      <c r="I52" s="44"/>
      <c r="J52" s="45">
        <v>0.1</v>
      </c>
      <c r="K52" s="45">
        <v>0.1</v>
      </c>
      <c r="L52" s="45">
        <v>0.1</v>
      </c>
      <c r="M52" s="45">
        <v>0.1</v>
      </c>
      <c r="N52" s="45">
        <v>0.3</v>
      </c>
    </row>
    <row r="53" spans="1:14">
      <c r="A53" s="41">
        <v>64</v>
      </c>
      <c r="B53" s="42" t="s">
        <v>54</v>
      </c>
      <c r="C53" s="44"/>
      <c r="D53" s="44"/>
      <c r="E53" s="44"/>
      <c r="F53" s="44"/>
      <c r="G53" s="44"/>
      <c r="H53" s="44"/>
      <c r="I53" s="44"/>
      <c r="J53" s="45">
        <v>8.5000000000000006E-2</v>
      </c>
      <c r="K53" s="45">
        <v>8.5000000000000006E-2</v>
      </c>
      <c r="L53" s="45">
        <v>8.5000000000000006E-2</v>
      </c>
      <c r="M53" s="45">
        <v>8.5000000000000006E-2</v>
      </c>
      <c r="N53" s="45">
        <v>0.255</v>
      </c>
    </row>
    <row r="54" spans="1:14">
      <c r="A54" s="41">
        <v>65</v>
      </c>
      <c r="B54" s="42" t="s">
        <v>55</v>
      </c>
      <c r="C54" s="44"/>
      <c r="D54" s="44"/>
      <c r="E54" s="44"/>
      <c r="F54" s="44"/>
      <c r="G54" s="44"/>
      <c r="H54" s="44"/>
      <c r="I54" s="44"/>
      <c r="J54" s="45">
        <v>0.08</v>
      </c>
      <c r="K54" s="45">
        <v>0.08</v>
      </c>
      <c r="L54" s="45">
        <v>0.08</v>
      </c>
      <c r="M54" s="45">
        <v>0.08</v>
      </c>
      <c r="N54" s="45">
        <v>0.24</v>
      </c>
    </row>
    <row r="55" spans="1:14">
      <c r="A55" s="41">
        <v>66</v>
      </c>
      <c r="B55" s="42" t="s">
        <v>208</v>
      </c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</row>
    <row r="56" spans="1:14">
      <c r="A56" s="41">
        <v>67</v>
      </c>
      <c r="B56" s="42" t="s">
        <v>56</v>
      </c>
      <c r="C56" s="44"/>
      <c r="D56" s="44"/>
      <c r="E56" s="44"/>
      <c r="F56" s="44"/>
      <c r="G56" s="44"/>
      <c r="H56" s="44"/>
      <c r="I56" s="44"/>
      <c r="J56" s="44"/>
      <c r="K56" s="44"/>
      <c r="L56" s="45">
        <v>0.08</v>
      </c>
      <c r="M56" s="45">
        <v>0.08</v>
      </c>
      <c r="N56" s="45">
        <v>0.24</v>
      </c>
    </row>
    <row r="57" spans="1:14">
      <c r="A57" s="41">
        <v>68</v>
      </c>
      <c r="B57" s="42" t="s">
        <v>57</v>
      </c>
      <c r="C57" s="44"/>
      <c r="D57" s="44"/>
      <c r="E57" s="44"/>
      <c r="F57" s="44"/>
      <c r="G57" s="44"/>
      <c r="H57" s="44"/>
      <c r="I57" s="44"/>
      <c r="J57" s="44"/>
      <c r="K57" s="44"/>
      <c r="L57" s="45">
        <v>0.08</v>
      </c>
      <c r="M57" s="45">
        <v>0.08</v>
      </c>
      <c r="N57" s="45">
        <v>0.24</v>
      </c>
    </row>
    <row r="58" spans="1:14">
      <c r="A58" s="41">
        <v>69</v>
      </c>
      <c r="B58" s="42" t="s">
        <v>58</v>
      </c>
      <c r="C58" s="44"/>
      <c r="D58" s="44"/>
      <c r="E58" s="44"/>
      <c r="F58" s="44"/>
      <c r="G58" s="44"/>
      <c r="H58" s="44"/>
      <c r="I58" s="44"/>
      <c r="J58" s="44"/>
      <c r="K58" s="44"/>
      <c r="L58" s="45">
        <v>7.5300000000000006E-2</v>
      </c>
      <c r="M58" s="45">
        <v>7.5300000000000006E-2</v>
      </c>
      <c r="N58" s="45">
        <v>0.22589999999999999</v>
      </c>
    </row>
    <row r="59" spans="1:14">
      <c r="A59" s="41">
        <v>70</v>
      </c>
      <c r="B59" s="42" t="s">
        <v>59</v>
      </c>
      <c r="C59" s="44"/>
      <c r="D59" s="44"/>
      <c r="E59" s="44"/>
      <c r="F59" s="44"/>
      <c r="G59" s="44"/>
      <c r="H59" s="44"/>
      <c r="I59" s="44"/>
      <c r="J59" s="45">
        <v>7.5300000000000006E-2</v>
      </c>
      <c r="K59" s="45">
        <v>7.5300000000000006E-2</v>
      </c>
      <c r="L59" s="45">
        <v>7.5300000000000006E-2</v>
      </c>
      <c r="M59" s="45">
        <v>7.5300000000000006E-2</v>
      </c>
      <c r="N59" s="45">
        <v>0.22589999999999999</v>
      </c>
    </row>
    <row r="60" spans="1:14">
      <c r="A60" s="41">
        <v>71</v>
      </c>
      <c r="B60" s="42" t="s">
        <v>60</v>
      </c>
      <c r="C60" s="44"/>
      <c r="D60" s="44"/>
      <c r="E60" s="44"/>
      <c r="F60" s="44"/>
      <c r="G60" s="44"/>
      <c r="H60" s="44"/>
      <c r="I60" s="44"/>
      <c r="J60" s="44"/>
      <c r="K60" s="44"/>
      <c r="L60" s="45">
        <v>7.5300000000000006E-2</v>
      </c>
      <c r="M60" s="45">
        <v>7.5300000000000006E-2</v>
      </c>
      <c r="N60" s="45">
        <v>0.22589999999999999</v>
      </c>
    </row>
    <row r="61" spans="1:14">
      <c r="A61" s="41">
        <v>72</v>
      </c>
      <c r="B61" s="42" t="s">
        <v>61</v>
      </c>
      <c r="C61" s="45">
        <v>7.5300000000000006E-2</v>
      </c>
      <c r="D61" s="44"/>
      <c r="E61" s="44"/>
      <c r="F61" s="44"/>
      <c r="G61" s="44"/>
      <c r="H61" s="44"/>
      <c r="I61" s="44"/>
      <c r="J61" s="44"/>
      <c r="K61" s="44"/>
      <c r="L61" s="45">
        <v>7.5300000000000006E-2</v>
      </c>
      <c r="M61" s="45">
        <v>7.5300000000000006E-2</v>
      </c>
      <c r="N61" s="45">
        <v>7.5300000000000006E-2</v>
      </c>
    </row>
    <row r="62" spans="1:14">
      <c r="A62" s="41">
        <v>73</v>
      </c>
      <c r="B62" s="42" t="s">
        <v>62</v>
      </c>
      <c r="C62" s="44"/>
      <c r="D62" s="44"/>
      <c r="E62" s="44"/>
      <c r="F62" s="44"/>
      <c r="G62" s="44"/>
      <c r="H62" s="44"/>
      <c r="I62" s="44"/>
      <c r="J62" s="44"/>
      <c r="K62" s="44"/>
      <c r="L62" s="45">
        <v>9.2499999999999999E-2</v>
      </c>
      <c r="M62" s="44"/>
      <c r="N62" s="44"/>
    </row>
    <row r="63" spans="1:14">
      <c r="A63" s="41">
        <v>74</v>
      </c>
      <c r="B63" s="42" t="s">
        <v>63</v>
      </c>
      <c r="C63" s="44"/>
      <c r="D63" s="44"/>
      <c r="E63" s="44"/>
      <c r="F63" s="44"/>
      <c r="G63" s="44"/>
      <c r="H63" s="44"/>
      <c r="I63" s="44"/>
      <c r="J63" s="44"/>
      <c r="K63" s="44"/>
      <c r="L63" s="45">
        <v>7.0000000000000007E-2</v>
      </c>
      <c r="M63" s="45">
        <v>7.0000000000000007E-2</v>
      </c>
      <c r="N63" s="44"/>
    </row>
    <row r="64" spans="1:14">
      <c r="A64" s="41">
        <v>75</v>
      </c>
      <c r="B64" s="42" t="s">
        <v>64</v>
      </c>
      <c r="C64" s="44"/>
      <c r="D64" s="44"/>
      <c r="E64" s="44"/>
      <c r="F64" s="44"/>
      <c r="G64" s="44"/>
      <c r="H64" s="44"/>
      <c r="I64" s="44"/>
      <c r="J64" s="44"/>
      <c r="K64" s="44"/>
      <c r="L64" s="45">
        <v>0.1176</v>
      </c>
      <c r="M64" s="45">
        <v>0.1176</v>
      </c>
      <c r="N64" s="44"/>
    </row>
    <row r="65" spans="1:14">
      <c r="A65" s="41">
        <v>76</v>
      </c>
      <c r="B65" s="42" t="s">
        <v>65</v>
      </c>
      <c r="C65" s="44"/>
      <c r="D65" s="44"/>
      <c r="E65" s="44"/>
      <c r="F65" s="44"/>
      <c r="G65" s="44"/>
      <c r="H65" s="44"/>
      <c r="I65" s="44"/>
      <c r="J65" s="44"/>
      <c r="K65" s="44"/>
      <c r="L65" s="45">
        <v>0.1076</v>
      </c>
      <c r="M65" s="45">
        <v>0.1076</v>
      </c>
      <c r="N65" s="44"/>
    </row>
    <row r="66" spans="1:14">
      <c r="A66" s="41">
        <v>77</v>
      </c>
      <c r="B66" s="42" t="s">
        <v>66</v>
      </c>
      <c r="C66" s="44"/>
      <c r="D66" s="44"/>
      <c r="E66" s="44"/>
      <c r="F66" s="44"/>
      <c r="G66" s="44"/>
      <c r="H66" s="44"/>
      <c r="I66" s="44"/>
      <c r="J66" s="44"/>
      <c r="K66" s="45">
        <v>9.4E-2</v>
      </c>
      <c r="L66" s="45">
        <v>9.4E-2</v>
      </c>
      <c r="M66" s="45">
        <v>9.4E-2</v>
      </c>
      <c r="N66" s="45">
        <v>0.28199999999999997</v>
      </c>
    </row>
    <row r="67" spans="1:14">
      <c r="A67" s="41">
        <v>78</v>
      </c>
      <c r="B67" s="42" t="s">
        <v>67</v>
      </c>
      <c r="C67" s="44"/>
      <c r="D67" s="44"/>
      <c r="E67" s="44"/>
      <c r="F67" s="44"/>
      <c r="G67" s="44"/>
      <c r="H67" s="44"/>
      <c r="I67" s="44"/>
      <c r="J67" s="45">
        <v>0.09</v>
      </c>
      <c r="K67" s="45">
        <v>0.09</v>
      </c>
      <c r="L67" s="45">
        <v>0.09</v>
      </c>
      <c r="M67" s="45">
        <v>0.09</v>
      </c>
      <c r="N67" s="45">
        <v>0.27</v>
      </c>
    </row>
    <row r="68" spans="1:14">
      <c r="A68" s="41">
        <v>79</v>
      </c>
      <c r="B68" s="42" t="s">
        <v>68</v>
      </c>
      <c r="C68" s="44"/>
      <c r="D68" s="44"/>
      <c r="E68" s="44"/>
      <c r="F68" s="44"/>
      <c r="G68" s="44"/>
      <c r="H68" s="44"/>
      <c r="I68" s="44"/>
      <c r="J68" s="44"/>
      <c r="K68" s="44"/>
      <c r="L68" s="45">
        <v>0.1</v>
      </c>
      <c r="M68" s="45">
        <v>0.1</v>
      </c>
      <c r="N68" s="45">
        <v>0.3</v>
      </c>
    </row>
    <row r="69" spans="1:14">
      <c r="A69" s="41">
        <v>80</v>
      </c>
      <c r="B69" s="42" t="s">
        <v>69</v>
      </c>
      <c r="C69" s="44"/>
      <c r="D69" s="44"/>
      <c r="E69" s="44"/>
      <c r="F69" s="44"/>
      <c r="G69" s="44"/>
      <c r="H69" s="44"/>
      <c r="I69" s="44"/>
      <c r="J69" s="45">
        <v>0.1</v>
      </c>
      <c r="K69" s="45">
        <v>0.1</v>
      </c>
      <c r="L69" s="45">
        <v>0.1</v>
      </c>
      <c r="M69" s="45">
        <v>0.1</v>
      </c>
      <c r="N69" s="45">
        <v>0.3</v>
      </c>
    </row>
    <row r="70" spans="1:14">
      <c r="A70" s="41">
        <v>81</v>
      </c>
      <c r="B70" s="42" t="s">
        <v>70</v>
      </c>
      <c r="C70" s="44"/>
      <c r="D70" s="44"/>
      <c r="E70" s="44"/>
      <c r="F70" s="44"/>
      <c r="G70" s="44"/>
      <c r="H70" s="44"/>
      <c r="I70" s="44"/>
      <c r="J70" s="44"/>
      <c r="K70" s="44"/>
      <c r="L70" s="45">
        <v>0.1</v>
      </c>
      <c r="M70" s="45">
        <v>0.1</v>
      </c>
      <c r="N70" s="45">
        <v>0.3</v>
      </c>
    </row>
    <row r="71" spans="1:14">
      <c r="A71" s="41">
        <v>82</v>
      </c>
      <c r="B71" s="42" t="s">
        <v>72</v>
      </c>
      <c r="C71" s="44"/>
      <c r="D71" s="44"/>
      <c r="E71" s="44"/>
      <c r="F71" s="44"/>
      <c r="G71" s="44"/>
      <c r="H71" s="44"/>
      <c r="I71" s="44"/>
      <c r="J71" s="44"/>
      <c r="K71" s="44"/>
      <c r="L71" s="45">
        <v>7.0000000000000007E-2</v>
      </c>
      <c r="M71" s="44"/>
      <c r="N71" s="44"/>
    </row>
    <row r="72" spans="1:14">
      <c r="A72" s="41">
        <v>83</v>
      </c>
      <c r="B72" s="42" t="s">
        <v>73</v>
      </c>
      <c r="C72" s="44"/>
      <c r="D72" s="44"/>
      <c r="E72" s="44"/>
      <c r="F72" s="44"/>
      <c r="G72" s="44"/>
      <c r="H72" s="44"/>
      <c r="I72" s="44"/>
      <c r="J72" s="44"/>
      <c r="K72" s="44"/>
      <c r="L72" s="45">
        <v>9.9199999999999997E-2</v>
      </c>
      <c r="M72" s="45">
        <v>9.9199999999999997E-2</v>
      </c>
      <c r="N72" s="45">
        <v>0.29759999999999998</v>
      </c>
    </row>
    <row r="73" spans="1:14">
      <c r="A73" s="41">
        <v>84</v>
      </c>
      <c r="B73" s="42" t="s">
        <v>74</v>
      </c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5">
        <v>0.1</v>
      </c>
      <c r="N73" s="45">
        <v>0.3</v>
      </c>
    </row>
    <row r="74" spans="1:14">
      <c r="A74" s="41">
        <v>85</v>
      </c>
      <c r="B74" s="42" t="s">
        <v>75</v>
      </c>
      <c r="C74" s="44"/>
      <c r="D74" s="44"/>
      <c r="E74" s="44"/>
      <c r="F74" s="44"/>
      <c r="G74" s="44"/>
      <c r="H74" s="44"/>
      <c r="I74" s="44"/>
      <c r="J74" s="44"/>
      <c r="K74" s="44"/>
      <c r="L74" s="45">
        <v>0.08</v>
      </c>
      <c r="M74" s="45">
        <v>0.08</v>
      </c>
      <c r="N74" s="45">
        <v>0.24</v>
      </c>
    </row>
    <row r="75" spans="1:14">
      <c r="A75" s="41">
        <v>86</v>
      </c>
      <c r="B75" s="42" t="s">
        <v>76</v>
      </c>
      <c r="C75" s="44"/>
      <c r="D75" s="44"/>
      <c r="E75" s="44"/>
      <c r="F75" s="44"/>
      <c r="G75" s="44"/>
      <c r="H75" s="44"/>
      <c r="I75" s="44"/>
      <c r="J75" s="44"/>
      <c r="K75" s="44"/>
      <c r="L75" s="45">
        <v>0.09</v>
      </c>
      <c r="M75" s="45">
        <v>0.09</v>
      </c>
      <c r="N75" s="45">
        <v>0.27</v>
      </c>
    </row>
    <row r="76" spans="1:14">
      <c r="A76" s="41">
        <v>87</v>
      </c>
      <c r="B76" s="42" t="s">
        <v>77</v>
      </c>
      <c r="C76" s="44"/>
      <c r="D76" s="44"/>
      <c r="E76" s="44"/>
      <c r="F76" s="44"/>
      <c r="G76" s="44"/>
      <c r="H76" s="44"/>
      <c r="I76" s="44"/>
      <c r="J76" s="44"/>
      <c r="K76" s="44"/>
      <c r="L76" s="45">
        <v>0.1003</v>
      </c>
      <c r="M76" s="45">
        <v>0.1003</v>
      </c>
      <c r="N76" s="45">
        <v>0.2006</v>
      </c>
    </row>
    <row r="77" spans="1:14">
      <c r="A77" s="41">
        <v>88</v>
      </c>
      <c r="B77" s="42" t="s">
        <v>78</v>
      </c>
      <c r="C77" s="44"/>
      <c r="D77" s="44"/>
      <c r="E77" s="44"/>
      <c r="F77" s="44"/>
      <c r="G77" s="44"/>
      <c r="H77" s="44"/>
      <c r="I77" s="44"/>
      <c r="J77" s="44"/>
      <c r="K77" s="44"/>
      <c r="L77" s="45">
        <v>6.6600000000000006E-2</v>
      </c>
      <c r="M77" s="45">
        <v>6.6600000000000006E-2</v>
      </c>
      <c r="N77" s="45">
        <v>0.13320000000000001</v>
      </c>
    </row>
    <row r="78" spans="1:14">
      <c r="A78" s="41">
        <v>89</v>
      </c>
      <c r="B78" s="42" t="s">
        <v>79</v>
      </c>
      <c r="C78" s="44"/>
      <c r="D78" s="44"/>
      <c r="E78" s="44"/>
      <c r="F78" s="44"/>
      <c r="G78" s="44"/>
      <c r="H78" s="44"/>
      <c r="I78" s="44"/>
      <c r="J78" s="45">
        <v>0.1</v>
      </c>
      <c r="K78" s="45">
        <v>0.1</v>
      </c>
      <c r="L78" s="45">
        <v>0.1</v>
      </c>
      <c r="M78" s="45">
        <v>0.1</v>
      </c>
      <c r="N78" s="45">
        <v>0.3</v>
      </c>
    </row>
    <row r="79" spans="1:14">
      <c r="A79" s="41">
        <v>90</v>
      </c>
      <c r="B79" s="42" t="s">
        <v>99</v>
      </c>
      <c r="C79" s="44"/>
      <c r="D79" s="44"/>
      <c r="E79" s="44"/>
      <c r="F79" s="44"/>
      <c r="G79" s="44"/>
      <c r="H79" s="44"/>
      <c r="I79" s="44"/>
      <c r="J79" s="44"/>
      <c r="K79" s="44"/>
      <c r="L79" s="45">
        <v>0.05</v>
      </c>
      <c r="M79" s="45">
        <v>0.05</v>
      </c>
      <c r="N79" s="44"/>
    </row>
    <row r="80" spans="1:14">
      <c r="A80" s="41">
        <v>91</v>
      </c>
      <c r="B80" s="42" t="s">
        <v>80</v>
      </c>
      <c r="C80" s="44"/>
      <c r="D80" s="44"/>
      <c r="E80" s="44"/>
      <c r="F80" s="44"/>
      <c r="G80" s="44"/>
      <c r="H80" s="44"/>
      <c r="I80" s="44"/>
      <c r="J80" s="44"/>
      <c r="K80" s="44"/>
      <c r="L80" s="45">
        <v>9.2600000000000002E-2</v>
      </c>
      <c r="M80" s="45">
        <v>9.2600000000000002E-2</v>
      </c>
      <c r="N80" s="45">
        <v>0.1852</v>
      </c>
    </row>
    <row r="81" spans="1:14">
      <c r="A81" s="41">
        <v>92</v>
      </c>
      <c r="B81" s="42" t="s">
        <v>81</v>
      </c>
      <c r="C81" s="44"/>
      <c r="D81" s="44"/>
      <c r="E81" s="44"/>
      <c r="F81" s="44"/>
      <c r="G81" s="44"/>
      <c r="H81" s="44"/>
      <c r="I81" s="44"/>
      <c r="J81" s="44"/>
      <c r="K81" s="44"/>
      <c r="L81" s="45">
        <v>0.05</v>
      </c>
      <c r="M81" s="45">
        <v>0.05</v>
      </c>
      <c r="N81" s="45">
        <v>0.1</v>
      </c>
    </row>
    <row r="82" spans="1:14">
      <c r="A82" s="41">
        <v>93</v>
      </c>
      <c r="B82" s="42" t="s">
        <v>82</v>
      </c>
      <c r="C82" s="44"/>
      <c r="D82" s="44"/>
      <c r="E82" s="44"/>
      <c r="F82" s="44"/>
      <c r="G82" s="44"/>
      <c r="H82" s="44"/>
      <c r="I82" s="44"/>
      <c r="J82" s="44"/>
      <c r="K82" s="44"/>
      <c r="L82" s="45">
        <v>9.2600000000000002E-2</v>
      </c>
      <c r="M82" s="45">
        <v>9.2600000000000002E-2</v>
      </c>
      <c r="N82" s="45">
        <v>0.1852</v>
      </c>
    </row>
    <row r="83" spans="1:14">
      <c r="A83" s="41">
        <v>94</v>
      </c>
      <c r="B83" s="42" t="s">
        <v>83</v>
      </c>
      <c r="C83" s="44"/>
      <c r="D83" s="44"/>
      <c r="E83" s="44"/>
      <c r="F83" s="44"/>
      <c r="G83" s="44"/>
      <c r="H83" s="44"/>
      <c r="I83" s="44"/>
      <c r="J83" s="44"/>
      <c r="K83" s="44"/>
      <c r="L83" s="45">
        <v>9.2600000000000002E-2</v>
      </c>
      <c r="M83" s="45">
        <v>9.2600000000000002E-2</v>
      </c>
      <c r="N83" s="45">
        <v>0.1852</v>
      </c>
    </row>
    <row r="84" spans="1:14">
      <c r="A84" s="41">
        <v>95</v>
      </c>
      <c r="B84" s="42" t="s">
        <v>84</v>
      </c>
      <c r="C84" s="44"/>
      <c r="D84" s="44"/>
      <c r="E84" s="44"/>
      <c r="F84" s="44"/>
      <c r="G84" s="44"/>
      <c r="H84" s="44"/>
      <c r="I84" s="44"/>
      <c r="J84" s="44"/>
      <c r="K84" s="44"/>
      <c r="L84" s="45">
        <v>8.7800000000000003E-2</v>
      </c>
      <c r="M84" s="45">
        <v>8.7800000000000003E-2</v>
      </c>
      <c r="N84" s="45">
        <v>0.17560000000000001</v>
      </c>
    </row>
    <row r="85" spans="1:14">
      <c r="A85" s="41">
        <v>96</v>
      </c>
      <c r="B85" s="42" t="s">
        <v>85</v>
      </c>
      <c r="C85" s="44"/>
      <c r="D85" s="44"/>
      <c r="E85" s="44"/>
      <c r="F85" s="44"/>
      <c r="G85" s="44"/>
      <c r="H85" s="44"/>
      <c r="I85" s="44"/>
      <c r="J85" s="44"/>
      <c r="K85" s="44"/>
      <c r="L85" s="45">
        <v>8.7800000000000003E-2</v>
      </c>
      <c r="M85" s="45">
        <v>8.7800000000000003E-2</v>
      </c>
      <c r="N85" s="45">
        <v>0.17560000000000001</v>
      </c>
    </row>
    <row r="86" spans="1:14">
      <c r="A86" s="41">
        <v>97</v>
      </c>
      <c r="B86" s="42" t="s">
        <v>86</v>
      </c>
      <c r="C86" s="44"/>
      <c r="D86" s="44"/>
      <c r="E86" s="44"/>
      <c r="F86" s="44"/>
      <c r="G86" s="44"/>
      <c r="H86" s="44"/>
      <c r="I86" s="44"/>
      <c r="J86" s="44"/>
      <c r="K86" s="44"/>
      <c r="L86" s="45">
        <v>8.7800000000000003E-2</v>
      </c>
      <c r="M86" s="45">
        <v>8.7800000000000003E-2</v>
      </c>
      <c r="N86" s="45">
        <v>0.17560000000000001</v>
      </c>
    </row>
    <row r="87" spans="1:14">
      <c r="A87" s="41">
        <v>98</v>
      </c>
      <c r="B87" s="42" t="s">
        <v>87</v>
      </c>
      <c r="C87" s="44"/>
      <c r="D87" s="44"/>
      <c r="E87" s="44"/>
      <c r="F87" s="44"/>
      <c r="G87" s="44"/>
      <c r="H87" s="44"/>
      <c r="I87" s="44"/>
      <c r="J87" s="44"/>
      <c r="K87" s="44"/>
      <c r="L87" s="45">
        <v>8.7800000000000003E-2</v>
      </c>
      <c r="M87" s="45">
        <v>8.7800000000000003E-2</v>
      </c>
      <c r="N87" s="45">
        <v>0.17560000000000001</v>
      </c>
    </row>
    <row r="88" spans="1:14">
      <c r="A88" s="41">
        <v>99</v>
      </c>
      <c r="B88" s="42" t="s">
        <v>88</v>
      </c>
      <c r="C88" s="44"/>
      <c r="D88" s="44"/>
      <c r="E88" s="44"/>
      <c r="F88" s="44"/>
      <c r="G88" s="44"/>
      <c r="H88" s="44"/>
      <c r="I88" s="44"/>
      <c r="J88" s="44"/>
      <c r="K88" s="44"/>
      <c r="L88" s="45">
        <v>8.7800000000000003E-2</v>
      </c>
      <c r="M88" s="45">
        <v>8.7800000000000003E-2</v>
      </c>
      <c r="N88" s="45">
        <v>0.17560000000000001</v>
      </c>
    </row>
    <row r="89" spans="1:14">
      <c r="A89" s="41">
        <v>100</v>
      </c>
      <c r="B89" s="42" t="s">
        <v>89</v>
      </c>
      <c r="C89" s="44"/>
      <c r="D89" s="44"/>
      <c r="E89" s="44"/>
      <c r="F89" s="44"/>
      <c r="G89" s="44"/>
      <c r="H89" s="44"/>
      <c r="I89" s="44"/>
      <c r="J89" s="44"/>
      <c r="K89" s="44"/>
      <c r="L89" s="45">
        <v>8.7800000000000003E-2</v>
      </c>
      <c r="M89" s="44"/>
      <c r="N89" s="44"/>
    </row>
    <row r="90" spans="1:14">
      <c r="A90" s="41">
        <v>101</v>
      </c>
      <c r="B90" s="42" t="s">
        <v>90</v>
      </c>
      <c r="C90" s="44"/>
      <c r="D90" s="44"/>
      <c r="E90" s="44"/>
      <c r="F90" s="44"/>
      <c r="G90" s="44"/>
      <c r="H90" s="44"/>
      <c r="I90" s="44"/>
      <c r="J90" s="44"/>
      <c r="K90" s="44"/>
      <c r="L90" s="45">
        <v>0.08</v>
      </c>
      <c r="M90" s="45">
        <v>0.08</v>
      </c>
      <c r="N90" s="45">
        <v>0.24</v>
      </c>
    </row>
    <row r="91" spans="1:14">
      <c r="A91" s="41">
        <v>102</v>
      </c>
      <c r="B91" s="42" t="s">
        <v>91</v>
      </c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5">
        <v>0.1</v>
      </c>
      <c r="N91" s="45">
        <v>0.3</v>
      </c>
    </row>
    <row r="92" spans="1:14">
      <c r="A92" s="41">
        <v>103</v>
      </c>
      <c r="B92" s="42" t="s">
        <v>92</v>
      </c>
      <c r="C92" s="44"/>
      <c r="D92" s="44"/>
      <c r="E92" s="44"/>
      <c r="F92" s="44"/>
      <c r="G92" s="44"/>
      <c r="H92" s="44"/>
      <c r="I92" s="44"/>
      <c r="J92" s="44"/>
      <c r="K92" s="44"/>
      <c r="L92" s="45">
        <v>0.1</v>
      </c>
      <c r="M92" s="45">
        <v>0.1</v>
      </c>
      <c r="N92" s="45">
        <v>0.2</v>
      </c>
    </row>
    <row r="93" spans="1:14">
      <c r="A93" s="41">
        <v>104</v>
      </c>
      <c r="B93" s="42" t="s">
        <v>93</v>
      </c>
      <c r="C93" s="44"/>
      <c r="D93" s="44"/>
      <c r="E93" s="44"/>
      <c r="F93" s="44"/>
      <c r="G93" s="44"/>
      <c r="H93" s="44"/>
      <c r="I93" s="44"/>
      <c r="J93" s="44"/>
      <c r="K93" s="44"/>
      <c r="L93" s="45">
        <v>0.08</v>
      </c>
      <c r="M93" s="45">
        <v>0.08</v>
      </c>
      <c r="N93" s="45">
        <v>0.24</v>
      </c>
    </row>
    <row r="94" spans="1:14">
      <c r="A94" s="41">
        <v>105</v>
      </c>
      <c r="B94" s="42" t="s">
        <v>94</v>
      </c>
      <c r="C94" s="44"/>
      <c r="D94" s="44"/>
      <c r="E94" s="44"/>
      <c r="F94" s="44"/>
      <c r="G94" s="44"/>
      <c r="H94" s="44"/>
      <c r="I94" s="44"/>
      <c r="J94" s="44"/>
      <c r="K94" s="44"/>
      <c r="L94" s="45">
        <v>0.08</v>
      </c>
      <c r="M94" s="45">
        <v>0.08</v>
      </c>
      <c r="N94" s="45">
        <v>0.24</v>
      </c>
    </row>
    <row r="95" spans="1:14">
      <c r="A95" s="41">
        <v>106</v>
      </c>
      <c r="B95" s="42" t="s">
        <v>95</v>
      </c>
      <c r="C95" s="44"/>
      <c r="D95" s="44"/>
      <c r="E95" s="44"/>
      <c r="F95" s="44"/>
      <c r="G95" s="44"/>
      <c r="H95" s="44"/>
      <c r="I95" s="44"/>
      <c r="J95" s="44"/>
      <c r="K95" s="44"/>
      <c r="L95" s="45">
        <v>0.1</v>
      </c>
      <c r="M95" s="45">
        <v>0.1</v>
      </c>
      <c r="N95" s="45">
        <v>0.3</v>
      </c>
    </row>
    <row r="96" spans="1:14">
      <c r="A96" s="41">
        <v>107</v>
      </c>
      <c r="B96" s="42" t="s">
        <v>96</v>
      </c>
      <c r="C96" s="44"/>
      <c r="D96" s="44"/>
      <c r="E96" s="44"/>
      <c r="F96" s="44"/>
      <c r="G96" s="44"/>
      <c r="H96" s="44"/>
      <c r="I96" s="44"/>
      <c r="J96" s="44"/>
      <c r="K96" s="44"/>
      <c r="L96" s="45">
        <v>0.08</v>
      </c>
      <c r="M96" s="45">
        <v>0.08</v>
      </c>
      <c r="N96" s="45">
        <v>0.08</v>
      </c>
    </row>
    <row r="97" spans="1:14">
      <c r="A97" s="41">
        <v>108</v>
      </c>
      <c r="B97" s="42" t="s">
        <v>97</v>
      </c>
      <c r="C97" s="44"/>
      <c r="D97" s="44"/>
      <c r="E97" s="44"/>
      <c r="F97" s="44"/>
      <c r="G97" s="44"/>
      <c r="H97" s="44"/>
      <c r="I97" s="44"/>
      <c r="J97" s="44"/>
      <c r="K97" s="44"/>
      <c r="L97" s="45">
        <v>0.1</v>
      </c>
      <c r="M97" s="45">
        <v>0.1</v>
      </c>
      <c r="N97" s="45">
        <v>0.3</v>
      </c>
    </row>
    <row r="98" spans="1:14">
      <c r="A98" s="41">
        <v>109</v>
      </c>
      <c r="B98" s="42" t="s">
        <v>98</v>
      </c>
      <c r="C98" s="44"/>
      <c r="D98" s="44"/>
      <c r="E98" s="44"/>
      <c r="F98" s="44"/>
      <c r="G98" s="44"/>
      <c r="H98" s="44"/>
      <c r="I98" s="44"/>
      <c r="J98" s="44"/>
      <c r="K98" s="44"/>
      <c r="L98" s="45">
        <v>0.1</v>
      </c>
      <c r="M98" s="45">
        <v>0.1</v>
      </c>
      <c r="N98" s="44"/>
    </row>
    <row r="99" spans="1:14" ht="30">
      <c r="A99" s="41">
        <v>110</v>
      </c>
      <c r="B99" s="42" t="s">
        <v>105</v>
      </c>
      <c r="C99" s="44"/>
      <c r="D99" s="44"/>
      <c r="E99" s="44"/>
      <c r="F99" s="44"/>
      <c r="G99" s="44"/>
      <c r="H99" s="44"/>
      <c r="I99" s="44"/>
      <c r="J99" s="44"/>
      <c r="K99" s="44"/>
      <c r="L99" s="45">
        <v>9.5000000000000001E-2</v>
      </c>
      <c r="M99" s="45">
        <v>9.5000000000000001E-2</v>
      </c>
      <c r="N99" s="45">
        <v>0.28499999999999998</v>
      </c>
    </row>
    <row r="100" spans="1:14">
      <c r="A100" s="41">
        <v>111</v>
      </c>
      <c r="B100" s="42" t="s">
        <v>100</v>
      </c>
      <c r="C100" s="44"/>
      <c r="D100" s="44"/>
      <c r="E100" s="44"/>
      <c r="F100" s="44"/>
      <c r="G100" s="44"/>
      <c r="H100" s="44"/>
      <c r="I100" s="44"/>
      <c r="J100" s="44"/>
      <c r="K100" s="44"/>
      <c r="L100" s="45">
        <v>0.09</v>
      </c>
      <c r="M100" s="45">
        <v>0.09</v>
      </c>
      <c r="N100" s="45">
        <v>0.27</v>
      </c>
    </row>
    <row r="101" spans="1:14">
      <c r="A101" s="41">
        <v>112</v>
      </c>
      <c r="B101" s="42" t="s">
        <v>101</v>
      </c>
      <c r="C101" s="44"/>
      <c r="D101" s="44"/>
      <c r="E101" s="44"/>
      <c r="F101" s="44"/>
      <c r="G101" s="44"/>
      <c r="H101" s="44"/>
      <c r="I101" s="44"/>
      <c r="J101" s="44"/>
      <c r="K101" s="44"/>
      <c r="L101" s="45">
        <v>9.9699999999999997E-2</v>
      </c>
      <c r="M101" s="45">
        <v>9.9699999999999997E-2</v>
      </c>
      <c r="N101" s="45">
        <v>0.29909999999999998</v>
      </c>
    </row>
    <row r="102" spans="1:14">
      <c r="A102" s="41">
        <v>113</v>
      </c>
      <c r="B102" s="42" t="s">
        <v>102</v>
      </c>
      <c r="C102" s="44"/>
      <c r="D102" s="44"/>
      <c r="E102" s="44"/>
      <c r="F102" s="44"/>
      <c r="G102" s="44"/>
      <c r="H102" s="44"/>
      <c r="I102" s="44"/>
      <c r="J102" s="44"/>
      <c r="K102" s="44"/>
      <c r="L102" s="45">
        <v>0.1176</v>
      </c>
      <c r="M102" s="45">
        <v>0.1176</v>
      </c>
      <c r="N102" s="45">
        <v>0.3528</v>
      </c>
    </row>
    <row r="103" spans="1:14">
      <c r="A103" s="41">
        <v>114</v>
      </c>
      <c r="B103" s="42" t="s">
        <v>103</v>
      </c>
      <c r="C103" s="44"/>
      <c r="D103" s="44"/>
      <c r="E103" s="44"/>
      <c r="F103" s="44"/>
      <c r="G103" s="44"/>
      <c r="H103" s="44"/>
      <c r="I103" s="44"/>
      <c r="J103" s="44"/>
      <c r="K103" s="44"/>
      <c r="L103" s="45">
        <v>0.1</v>
      </c>
      <c r="M103" s="45">
        <v>0.1</v>
      </c>
      <c r="N103" s="44"/>
    </row>
    <row r="104" spans="1:14">
      <c r="A104" s="41">
        <v>115</v>
      </c>
      <c r="B104" s="42" t="s">
        <v>104</v>
      </c>
      <c r="C104" s="44"/>
      <c r="D104" s="44"/>
      <c r="E104" s="44"/>
      <c r="F104" s="44"/>
      <c r="G104" s="44"/>
      <c r="H104" s="44"/>
      <c r="I104" s="44"/>
      <c r="J104" s="44"/>
      <c r="K104" s="44"/>
      <c r="L104" s="45">
        <v>9.5000000000000001E-2</v>
      </c>
      <c r="M104" s="45">
        <v>9.5000000000000001E-2</v>
      </c>
      <c r="N104" s="45">
        <v>0.28499999999999998</v>
      </c>
    </row>
    <row r="105" spans="1:14">
      <c r="A105" s="41">
        <v>116</v>
      </c>
      <c r="B105" s="42" t="s">
        <v>106</v>
      </c>
      <c r="C105" s="44"/>
      <c r="D105" s="44"/>
      <c r="E105" s="44"/>
      <c r="F105" s="44"/>
      <c r="G105" s="44"/>
      <c r="H105" s="44"/>
      <c r="I105" s="44"/>
      <c r="J105" s="44"/>
      <c r="K105" s="44"/>
      <c r="L105" s="45">
        <v>8.5000000000000006E-2</v>
      </c>
      <c r="M105" s="45">
        <v>8.5000000000000006E-2</v>
      </c>
      <c r="N105" s="45">
        <v>0.255</v>
      </c>
    </row>
    <row r="106" spans="1:14">
      <c r="A106" s="41">
        <v>117</v>
      </c>
      <c r="B106" s="42" t="s">
        <v>209</v>
      </c>
      <c r="C106" s="44"/>
      <c r="D106" s="44"/>
      <c r="E106" s="44"/>
      <c r="F106" s="44"/>
      <c r="G106" s="44"/>
      <c r="H106" s="44"/>
      <c r="I106" s="44"/>
      <c r="J106" s="44"/>
      <c r="K106" s="44"/>
      <c r="L106" s="45">
        <v>8.2900000000000001E-2</v>
      </c>
      <c r="M106" s="45">
        <v>8.2900000000000001E-2</v>
      </c>
      <c r="N106" s="45">
        <v>0.1658</v>
      </c>
    </row>
    <row r="107" spans="1:14">
      <c r="A107" s="41">
        <v>118</v>
      </c>
      <c r="B107" s="42" t="s">
        <v>108</v>
      </c>
      <c r="C107" s="44"/>
      <c r="D107" s="44"/>
      <c r="E107" s="44"/>
      <c r="F107" s="44"/>
      <c r="G107" s="44"/>
      <c r="H107" s="44"/>
      <c r="I107" s="44"/>
      <c r="J107" s="44"/>
      <c r="K107" s="44"/>
      <c r="L107" s="45">
        <v>7.9399999999999998E-2</v>
      </c>
      <c r="M107" s="45">
        <v>7.9399999999999998E-2</v>
      </c>
      <c r="N107" s="45">
        <v>7.9399999999999998E-2</v>
      </c>
    </row>
    <row r="108" spans="1:14">
      <c r="A108" s="41">
        <v>119</v>
      </c>
      <c r="B108" s="42" t="s">
        <v>109</v>
      </c>
      <c r="C108" s="44"/>
      <c r="D108" s="44"/>
      <c r="E108" s="44"/>
      <c r="F108" s="44"/>
      <c r="G108" s="44"/>
      <c r="H108" s="44"/>
      <c r="I108" s="44"/>
      <c r="J108" s="44"/>
      <c r="K108" s="44"/>
      <c r="L108" s="45">
        <v>7.9399999999999998E-2</v>
      </c>
      <c r="M108" s="45">
        <v>7.9399999999999998E-2</v>
      </c>
      <c r="N108" s="45">
        <v>0.1588</v>
      </c>
    </row>
    <row r="109" spans="1:14">
      <c r="A109" s="41">
        <v>120</v>
      </c>
      <c r="B109" s="42" t="s">
        <v>110</v>
      </c>
      <c r="C109" s="44"/>
      <c r="D109" s="44"/>
      <c r="E109" s="44"/>
      <c r="F109" s="44"/>
      <c r="G109" s="44"/>
      <c r="H109" s="44"/>
      <c r="I109" s="44"/>
      <c r="J109" s="44"/>
      <c r="K109" s="44"/>
      <c r="L109" s="45">
        <v>7.9399999999999998E-2</v>
      </c>
      <c r="M109" s="45">
        <v>7.9399999999999998E-2</v>
      </c>
      <c r="N109" s="45">
        <v>7.9399999999999998E-2</v>
      </c>
    </row>
    <row r="110" spans="1:14">
      <c r="A110" s="41">
        <v>121</v>
      </c>
      <c r="B110" s="42" t="s">
        <v>111</v>
      </c>
      <c r="C110" s="44"/>
      <c r="D110" s="44"/>
      <c r="E110" s="44"/>
      <c r="F110" s="44"/>
      <c r="G110" s="44"/>
      <c r="H110" s="44"/>
      <c r="I110" s="44"/>
      <c r="J110" s="44"/>
      <c r="K110" s="44"/>
      <c r="L110" s="45">
        <v>0.1</v>
      </c>
      <c r="M110" s="45">
        <v>0.1</v>
      </c>
      <c r="N110" s="45">
        <v>0.3</v>
      </c>
    </row>
    <row r="111" spans="1:14">
      <c r="A111" s="41">
        <v>122</v>
      </c>
      <c r="B111" s="42" t="s">
        <v>112</v>
      </c>
      <c r="C111" s="44"/>
      <c r="D111" s="44"/>
      <c r="E111" s="44"/>
      <c r="F111" s="44"/>
      <c r="G111" s="44"/>
      <c r="H111" s="44"/>
      <c r="I111" s="44"/>
      <c r="J111" s="44"/>
      <c r="K111" s="44"/>
      <c r="L111" s="45">
        <v>0.11</v>
      </c>
      <c r="M111" s="45">
        <v>0.11</v>
      </c>
      <c r="N111" s="45">
        <v>0.22</v>
      </c>
    </row>
    <row r="112" spans="1:14">
      <c r="A112" s="41">
        <v>123</v>
      </c>
      <c r="B112" s="42" t="s">
        <v>113</v>
      </c>
      <c r="C112" s="44"/>
      <c r="D112" s="44"/>
      <c r="E112" s="44"/>
      <c r="F112" s="44"/>
      <c r="G112" s="44"/>
      <c r="H112" s="44"/>
      <c r="I112" s="44"/>
      <c r="J112" s="44"/>
      <c r="K112" s="44"/>
      <c r="L112" s="45">
        <v>0.1</v>
      </c>
      <c r="M112" s="45">
        <v>0.1</v>
      </c>
      <c r="N112" s="45">
        <v>0.3</v>
      </c>
    </row>
    <row r="113" spans="1:14">
      <c r="A113" s="41">
        <v>124</v>
      </c>
      <c r="B113" s="42" t="s">
        <v>114</v>
      </c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</row>
    <row r="114" spans="1:14">
      <c r="A114" s="41">
        <v>125</v>
      </c>
      <c r="B114" s="42" t="s">
        <v>116</v>
      </c>
      <c r="C114" s="44"/>
      <c r="D114" s="44"/>
      <c r="E114" s="44"/>
      <c r="F114" s="44"/>
      <c r="G114" s="44"/>
      <c r="H114" s="44"/>
      <c r="I114" s="44"/>
      <c r="J114" s="44"/>
      <c r="K114" s="44"/>
      <c r="L114" s="45">
        <v>0.12</v>
      </c>
      <c r="M114" s="45">
        <v>0.12</v>
      </c>
      <c r="N114" s="44"/>
    </row>
    <row r="115" spans="1:14">
      <c r="A115" s="41">
        <v>126</v>
      </c>
      <c r="B115" s="42" t="s">
        <v>117</v>
      </c>
      <c r="C115" s="44"/>
      <c r="D115" s="44"/>
      <c r="E115" s="44"/>
      <c r="F115" s="44"/>
      <c r="G115" s="44"/>
      <c r="H115" s="44"/>
      <c r="I115" s="44"/>
      <c r="J115" s="44"/>
      <c r="K115" s="44"/>
      <c r="L115" s="45">
        <v>0.12</v>
      </c>
      <c r="M115" s="45">
        <v>0.12</v>
      </c>
      <c r="N115" s="44"/>
    </row>
    <row r="116" spans="1:14">
      <c r="A116" s="41">
        <v>127</v>
      </c>
      <c r="B116" s="42" t="s">
        <v>118</v>
      </c>
      <c r="C116" s="44"/>
      <c r="D116" s="44"/>
      <c r="E116" s="44"/>
      <c r="F116" s="44"/>
      <c r="G116" s="44"/>
      <c r="H116" s="44"/>
      <c r="I116" s="44"/>
      <c r="J116" s="44"/>
      <c r="K116" s="44"/>
      <c r="L116" s="45">
        <v>0.12</v>
      </c>
      <c r="M116" s="45">
        <v>0.12</v>
      </c>
      <c r="N116" s="44"/>
    </row>
    <row r="117" spans="1:14">
      <c r="A117" s="41">
        <v>128</v>
      </c>
      <c r="B117" s="42" t="s">
        <v>119</v>
      </c>
      <c r="C117" s="44"/>
      <c r="D117" s="44"/>
      <c r="E117" s="44"/>
      <c r="F117" s="44"/>
      <c r="G117" s="44"/>
      <c r="H117" s="44"/>
      <c r="I117" s="44"/>
      <c r="J117" s="44"/>
      <c r="K117" s="44"/>
      <c r="L117" s="45">
        <v>0.13800000000000001</v>
      </c>
      <c r="M117" s="45">
        <v>0.13800000000000001</v>
      </c>
      <c r="N117" s="44"/>
    </row>
    <row r="118" spans="1:14">
      <c r="A118" s="41">
        <v>129</v>
      </c>
      <c r="B118" s="42" t="s">
        <v>120</v>
      </c>
      <c r="C118" s="44"/>
      <c r="D118" s="44"/>
      <c r="E118" s="44"/>
      <c r="F118" s="44"/>
      <c r="G118" s="44"/>
      <c r="H118" s="44"/>
      <c r="I118" s="44"/>
      <c r="J118" s="44"/>
      <c r="K118" s="44"/>
      <c r="L118" s="45">
        <v>0.11799999999999999</v>
      </c>
      <c r="M118" s="45">
        <v>0.11799999999999999</v>
      </c>
      <c r="N118" s="44"/>
    </row>
    <row r="119" spans="1:14">
      <c r="A119" s="41">
        <v>130</v>
      </c>
      <c r="B119" s="42" t="s">
        <v>115</v>
      </c>
      <c r="C119" s="44"/>
      <c r="D119" s="44"/>
      <c r="E119" s="44"/>
      <c r="F119" s="44"/>
      <c r="G119" s="44"/>
      <c r="H119" s="44"/>
      <c r="I119" s="44"/>
      <c r="J119" s="44"/>
      <c r="K119" s="44"/>
      <c r="L119" s="45">
        <v>0.12</v>
      </c>
      <c r="M119" s="45">
        <v>0.12</v>
      </c>
      <c r="N119" s="44"/>
    </row>
    <row r="120" spans="1:14">
      <c r="A120" s="41">
        <v>131</v>
      </c>
      <c r="B120" s="42" t="s">
        <v>121</v>
      </c>
      <c r="C120" s="44"/>
      <c r="D120" s="44"/>
      <c r="E120" s="44"/>
      <c r="F120" s="44"/>
      <c r="G120" s="44"/>
      <c r="H120" s="44"/>
      <c r="I120" s="44"/>
      <c r="J120" s="44"/>
      <c r="K120" s="44"/>
      <c r="L120" s="45">
        <v>0.09</v>
      </c>
      <c r="M120" s="45">
        <v>0.09</v>
      </c>
      <c r="N120" s="45">
        <v>0.27</v>
      </c>
    </row>
    <row r="121" spans="1:14">
      <c r="A121" s="41">
        <v>132</v>
      </c>
      <c r="B121" s="42" t="s">
        <v>122</v>
      </c>
      <c r="C121" s="44"/>
      <c r="D121" s="44"/>
      <c r="E121" s="44"/>
      <c r="F121" s="44"/>
      <c r="G121" s="44"/>
      <c r="H121" s="44"/>
      <c r="I121" s="44"/>
      <c r="J121" s="44"/>
      <c r="K121" s="44"/>
      <c r="L121" s="45">
        <v>0.09</v>
      </c>
      <c r="M121" s="45">
        <v>0.09</v>
      </c>
      <c r="N121" s="44"/>
    </row>
    <row r="122" spans="1:14">
      <c r="A122" s="41">
        <v>133</v>
      </c>
      <c r="B122" s="42" t="s">
        <v>123</v>
      </c>
      <c r="C122" s="45">
        <v>0.1</v>
      </c>
      <c r="D122" s="44"/>
      <c r="E122" s="44"/>
      <c r="F122" s="44"/>
      <c r="G122" s="44"/>
      <c r="H122" s="44"/>
      <c r="I122" s="44"/>
      <c r="J122" s="44"/>
      <c r="K122" s="44"/>
      <c r="L122" s="45">
        <v>0.1</v>
      </c>
      <c r="M122" s="45">
        <v>0.1</v>
      </c>
      <c r="N122" s="45">
        <v>0.2</v>
      </c>
    </row>
    <row r="123" spans="1:14">
      <c r="A123" s="41">
        <v>134</v>
      </c>
      <c r="B123" s="42" t="s">
        <v>124</v>
      </c>
      <c r="C123" s="44"/>
      <c r="D123" s="44"/>
      <c r="E123" s="44"/>
      <c r="F123" s="44"/>
      <c r="G123" s="44"/>
      <c r="H123" s="44"/>
      <c r="I123" s="44"/>
      <c r="J123" s="44"/>
      <c r="K123" s="44"/>
      <c r="L123" s="45">
        <v>0.06</v>
      </c>
      <c r="M123" s="45">
        <v>0.06</v>
      </c>
      <c r="N123" s="45">
        <v>0.18</v>
      </c>
    </row>
    <row r="124" spans="1:14">
      <c r="A124" s="41">
        <v>135</v>
      </c>
      <c r="B124" s="42" t="s">
        <v>125</v>
      </c>
      <c r="C124" s="44"/>
      <c r="D124" s="44"/>
      <c r="E124" s="44"/>
      <c r="F124" s="44"/>
      <c r="G124" s="44"/>
      <c r="H124" s="44"/>
      <c r="I124" s="44"/>
      <c r="J124" s="44"/>
      <c r="K124" s="44"/>
      <c r="L124" s="45">
        <v>0.11</v>
      </c>
      <c r="M124" s="45">
        <v>0.11</v>
      </c>
      <c r="N124" s="45">
        <v>0.11</v>
      </c>
    </row>
    <row r="125" spans="1:14">
      <c r="A125" s="41">
        <v>136</v>
      </c>
      <c r="B125" s="42" t="s">
        <v>126</v>
      </c>
      <c r="C125" s="44"/>
      <c r="D125" s="44"/>
      <c r="E125" s="44"/>
      <c r="F125" s="44"/>
      <c r="G125" s="44"/>
      <c r="H125" s="44"/>
      <c r="I125" s="44"/>
      <c r="J125" s="44"/>
      <c r="K125" s="44"/>
      <c r="L125" s="45">
        <v>0.1009</v>
      </c>
      <c r="M125" s="45">
        <v>0.1009</v>
      </c>
      <c r="N125" s="45">
        <v>0.30270000000000002</v>
      </c>
    </row>
    <row r="126" spans="1:14">
      <c r="A126" s="41">
        <v>137</v>
      </c>
      <c r="B126" s="42" t="s">
        <v>127</v>
      </c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</row>
    <row r="127" spans="1:14">
      <c r="A127" s="41">
        <v>138</v>
      </c>
      <c r="B127" s="42" t="s">
        <v>128</v>
      </c>
      <c r="C127" s="44"/>
      <c r="D127" s="44"/>
      <c r="E127" s="44"/>
      <c r="F127" s="44"/>
      <c r="G127" s="44"/>
      <c r="H127" s="44"/>
      <c r="I127" s="44"/>
      <c r="J127" s="44"/>
      <c r="K127" s="44"/>
      <c r="L127" s="45">
        <v>0.08</v>
      </c>
      <c r="M127" s="45">
        <v>0.08</v>
      </c>
      <c r="N127" s="45">
        <v>0.24</v>
      </c>
    </row>
    <row r="128" spans="1:14">
      <c r="A128" s="41">
        <v>139</v>
      </c>
      <c r="B128" s="42" t="s">
        <v>129</v>
      </c>
      <c r="C128" s="44"/>
      <c r="D128" s="44"/>
      <c r="E128" s="44"/>
      <c r="F128" s="44"/>
      <c r="G128" s="44"/>
      <c r="H128" s="44"/>
      <c r="I128" s="44"/>
      <c r="J128" s="44"/>
      <c r="K128" s="44"/>
      <c r="L128" s="45">
        <v>0.08</v>
      </c>
      <c r="M128" s="45">
        <v>0.08</v>
      </c>
      <c r="N128" s="44"/>
    </row>
    <row r="129" spans="1:14">
      <c r="A129" s="41">
        <v>140</v>
      </c>
      <c r="B129" s="42" t="s">
        <v>130</v>
      </c>
      <c r="C129" s="44"/>
      <c r="D129" s="44"/>
      <c r="E129" s="44"/>
      <c r="F129" s="44"/>
      <c r="G129" s="44"/>
      <c r="H129" s="44"/>
      <c r="I129" s="44"/>
      <c r="J129" s="44"/>
      <c r="K129" s="44"/>
      <c r="L129" s="45">
        <v>0.08</v>
      </c>
      <c r="M129" s="45">
        <v>0.08</v>
      </c>
      <c r="N129" s="44"/>
    </row>
    <row r="130" spans="1:14">
      <c r="A130" s="41">
        <v>141</v>
      </c>
      <c r="B130" s="42" t="s">
        <v>131</v>
      </c>
      <c r="C130" s="44"/>
      <c r="D130" s="44"/>
      <c r="E130" s="44"/>
      <c r="F130" s="44"/>
      <c r="G130" s="44"/>
      <c r="H130" s="44"/>
      <c r="I130" s="44"/>
      <c r="J130" s="44"/>
      <c r="K130" s="44"/>
      <c r="L130" s="45">
        <v>0.08</v>
      </c>
      <c r="M130" s="45">
        <v>0.08</v>
      </c>
      <c r="N130" s="44"/>
    </row>
    <row r="131" spans="1:14">
      <c r="A131" s="41">
        <v>142</v>
      </c>
      <c r="B131" s="42" t="s">
        <v>132</v>
      </c>
      <c r="C131" s="44"/>
      <c r="D131" s="44"/>
      <c r="E131" s="44"/>
      <c r="F131" s="44"/>
      <c r="G131" s="44"/>
      <c r="H131" s="44"/>
      <c r="I131" s="44"/>
      <c r="J131" s="44"/>
      <c r="K131" s="44"/>
      <c r="L131" s="45">
        <v>0.1176</v>
      </c>
      <c r="M131" s="45">
        <v>0.1176</v>
      </c>
      <c r="N131" s="45">
        <v>0.3528</v>
      </c>
    </row>
    <row r="132" spans="1:14">
      <c r="A132" s="41">
        <v>143</v>
      </c>
      <c r="B132" s="42" t="s">
        <v>133</v>
      </c>
      <c r="C132" s="44"/>
      <c r="D132" s="44"/>
      <c r="E132" s="44"/>
      <c r="F132" s="44"/>
      <c r="G132" s="44"/>
      <c r="H132" s="44"/>
      <c r="I132" s="44"/>
      <c r="J132" s="44"/>
      <c r="K132" s="44"/>
      <c r="L132" s="45">
        <v>0.09</v>
      </c>
      <c r="M132" s="45">
        <v>0.09</v>
      </c>
      <c r="N132" s="45">
        <v>0.09</v>
      </c>
    </row>
    <row r="133" spans="1:14">
      <c r="A133" s="41">
        <v>144</v>
      </c>
      <c r="B133" s="42" t="s">
        <v>134</v>
      </c>
      <c r="C133" s="44"/>
      <c r="D133" s="44"/>
      <c r="E133" s="44"/>
      <c r="F133" s="44"/>
      <c r="G133" s="44"/>
      <c r="H133" s="44"/>
      <c r="I133" s="44"/>
      <c r="J133" s="44"/>
      <c r="K133" s="44"/>
      <c r="L133" s="45">
        <v>8.9700000000000002E-2</v>
      </c>
      <c r="M133" s="45">
        <v>8.9700000000000002E-2</v>
      </c>
      <c r="N133" s="45">
        <v>0.26910000000000001</v>
      </c>
    </row>
    <row r="134" spans="1:14">
      <c r="A134" s="41">
        <v>145</v>
      </c>
      <c r="B134" s="42" t="s">
        <v>135</v>
      </c>
      <c r="C134" s="44"/>
      <c r="D134" s="44"/>
      <c r="E134" s="44"/>
      <c r="F134" s="44"/>
      <c r="G134" s="44"/>
      <c r="H134" s="44"/>
      <c r="I134" s="44"/>
      <c r="J134" s="44"/>
      <c r="K134" s="44"/>
      <c r="L134" s="45">
        <v>0.09</v>
      </c>
      <c r="M134" s="45">
        <v>0.09</v>
      </c>
      <c r="N134" s="45">
        <v>0.27</v>
      </c>
    </row>
    <row r="135" spans="1:14">
      <c r="A135" s="41">
        <v>146</v>
      </c>
      <c r="B135" s="42" t="s">
        <v>139</v>
      </c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5">
        <v>0.1198</v>
      </c>
      <c r="N135" s="45">
        <v>0.3594</v>
      </c>
    </row>
    <row r="136" spans="1:14">
      <c r="A136" s="41">
        <v>147</v>
      </c>
      <c r="B136" s="42" t="s">
        <v>136</v>
      </c>
      <c r="C136" s="44"/>
      <c r="D136" s="44"/>
      <c r="E136" s="44"/>
      <c r="F136" s="44"/>
      <c r="G136" s="44"/>
      <c r="H136" s="44"/>
      <c r="I136" s="44"/>
      <c r="J136" s="44"/>
      <c r="K136" s="44"/>
      <c r="L136" s="45">
        <v>0.109</v>
      </c>
      <c r="M136" s="45">
        <v>0.109</v>
      </c>
      <c r="N136" s="44"/>
    </row>
    <row r="137" spans="1:14">
      <c r="A137" s="41">
        <v>148</v>
      </c>
      <c r="B137" s="42" t="s">
        <v>137</v>
      </c>
      <c r="C137" s="44"/>
      <c r="D137" s="44"/>
      <c r="E137" s="44"/>
      <c r="F137" s="44"/>
      <c r="G137" s="44"/>
      <c r="H137" s="44"/>
      <c r="I137" s="44"/>
      <c r="J137" s="44"/>
      <c r="K137" s="44"/>
      <c r="L137" s="45">
        <v>0.1075</v>
      </c>
      <c r="M137" s="45">
        <v>0.129</v>
      </c>
      <c r="N137" s="44"/>
    </row>
    <row r="138" spans="1:14">
      <c r="A138" s="41">
        <v>149</v>
      </c>
      <c r="B138" s="42" t="s">
        <v>138</v>
      </c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5">
        <v>0.1308</v>
      </c>
      <c r="N138" s="44"/>
    </row>
    <row r="139" spans="1:14">
      <c r="A139" s="41">
        <v>150</v>
      </c>
      <c r="B139" s="42" t="s">
        <v>141</v>
      </c>
      <c r="C139" s="44"/>
      <c r="D139" s="44"/>
      <c r="E139" s="44"/>
      <c r="F139" s="44"/>
      <c r="G139" s="44"/>
      <c r="H139" s="44"/>
      <c r="I139" s="44"/>
      <c r="J139" s="44"/>
      <c r="K139" s="44"/>
      <c r="L139" s="45">
        <v>0.1198</v>
      </c>
      <c r="M139" s="45">
        <v>0.1198</v>
      </c>
      <c r="N139" s="45">
        <v>0.3594</v>
      </c>
    </row>
    <row r="140" spans="1:14">
      <c r="A140" s="41">
        <v>151</v>
      </c>
      <c r="B140" s="42" t="s">
        <v>143</v>
      </c>
      <c r="C140" s="44"/>
      <c r="D140" s="44"/>
      <c r="E140" s="44"/>
      <c r="F140" s="44"/>
      <c r="G140" s="44"/>
      <c r="H140" s="44"/>
      <c r="I140" s="44"/>
      <c r="J140" s="44"/>
      <c r="K140" s="44"/>
      <c r="L140" s="45">
        <v>0.12</v>
      </c>
      <c r="M140" s="45">
        <v>0.12</v>
      </c>
      <c r="N140" s="45">
        <v>0.3594</v>
      </c>
    </row>
    <row r="141" spans="1:14">
      <c r="A141" s="41">
        <v>152</v>
      </c>
      <c r="B141" s="42" t="s">
        <v>140</v>
      </c>
      <c r="C141" s="44"/>
      <c r="D141" s="44"/>
      <c r="E141" s="44"/>
      <c r="F141" s="44"/>
      <c r="G141" s="44"/>
      <c r="H141" s="44"/>
      <c r="I141" s="44"/>
      <c r="J141" s="44"/>
      <c r="K141" s="44"/>
      <c r="L141" s="45">
        <v>0.1198</v>
      </c>
      <c r="M141" s="45">
        <v>0.1198</v>
      </c>
      <c r="N141" s="45">
        <v>0.3594</v>
      </c>
    </row>
    <row r="142" spans="1:14">
      <c r="A142" s="41">
        <v>153</v>
      </c>
      <c r="B142" s="42" t="s">
        <v>142</v>
      </c>
      <c r="C142" s="44"/>
      <c r="D142" s="44"/>
      <c r="E142" s="44"/>
      <c r="F142" s="44"/>
      <c r="G142" s="44"/>
      <c r="H142" s="44"/>
      <c r="I142" s="44"/>
      <c r="J142" s="44"/>
      <c r="K142" s="44"/>
      <c r="L142" s="45">
        <v>0.1198</v>
      </c>
      <c r="M142" s="45">
        <v>0.1198</v>
      </c>
      <c r="N142" s="45">
        <v>0.3594</v>
      </c>
    </row>
    <row r="143" spans="1:14">
      <c r="A143" s="41">
        <v>154</v>
      </c>
      <c r="B143" s="42" t="s">
        <v>144</v>
      </c>
      <c r="C143" s="44"/>
      <c r="D143" s="44"/>
      <c r="E143" s="44"/>
      <c r="F143" s="44"/>
      <c r="G143" s="44"/>
      <c r="H143" s="44"/>
      <c r="I143" s="44"/>
      <c r="J143" s="44"/>
      <c r="K143" s="44"/>
      <c r="L143" s="45">
        <v>0.12</v>
      </c>
      <c r="M143" s="45">
        <v>0.12</v>
      </c>
      <c r="N143" s="45">
        <v>0.24</v>
      </c>
    </row>
    <row r="144" spans="1:14">
      <c r="A144" s="41">
        <v>155</v>
      </c>
      <c r="B144" s="42" t="s">
        <v>145</v>
      </c>
      <c r="C144" s="44"/>
      <c r="D144" s="44"/>
      <c r="E144" s="44"/>
      <c r="F144" s="44"/>
      <c r="G144" s="44"/>
      <c r="H144" s="44"/>
      <c r="I144" s="44"/>
      <c r="J144" s="44"/>
      <c r="K144" s="44"/>
      <c r="L144" s="45">
        <v>0.12</v>
      </c>
      <c r="M144" s="45">
        <v>0.12</v>
      </c>
      <c r="N144" s="45">
        <v>0.24</v>
      </c>
    </row>
    <row r="145" spans="1:14">
      <c r="A145" s="41">
        <v>156</v>
      </c>
      <c r="B145" s="42" t="s">
        <v>146</v>
      </c>
      <c r="C145" s="44"/>
      <c r="D145" s="44"/>
      <c r="E145" s="44"/>
      <c r="F145" s="44"/>
      <c r="G145" s="44"/>
      <c r="H145" s="44"/>
      <c r="I145" s="44"/>
      <c r="J145" s="44"/>
      <c r="K145" s="44"/>
      <c r="L145" s="45">
        <v>0.09</v>
      </c>
      <c r="M145" s="45">
        <v>0.09</v>
      </c>
      <c r="N145" s="44"/>
    </row>
    <row r="146" spans="1:14">
      <c r="A146" s="41">
        <v>157</v>
      </c>
      <c r="B146" s="42" t="s">
        <v>148</v>
      </c>
      <c r="C146" s="44"/>
      <c r="D146" s="44"/>
      <c r="E146" s="44"/>
      <c r="F146" s="44"/>
      <c r="G146" s="44"/>
      <c r="H146" s="44"/>
      <c r="I146" s="44"/>
      <c r="J146" s="44"/>
      <c r="K146" s="44"/>
      <c r="L146" s="45">
        <v>9.2499999999999999E-2</v>
      </c>
      <c r="M146" s="45">
        <v>9.2499999999999999E-2</v>
      </c>
      <c r="N146" s="44"/>
    </row>
    <row r="147" spans="1:14">
      <c r="A147" s="41">
        <v>158</v>
      </c>
      <c r="B147" s="42" t="s">
        <v>149</v>
      </c>
      <c r="C147" s="44"/>
      <c r="D147" s="44"/>
      <c r="E147" s="44"/>
      <c r="F147" s="44"/>
      <c r="G147" s="44"/>
      <c r="H147" s="44"/>
      <c r="I147" s="44"/>
      <c r="J147" s="44"/>
      <c r="K147" s="44"/>
      <c r="L147" s="45">
        <v>9.2499999999999999E-2</v>
      </c>
      <c r="M147" s="45">
        <v>9.2499999999999999E-2</v>
      </c>
      <c r="N147" s="44"/>
    </row>
    <row r="148" spans="1:14">
      <c r="A148" s="41">
        <v>159</v>
      </c>
      <c r="B148" s="42" t="s">
        <v>150</v>
      </c>
      <c r="C148" s="44"/>
      <c r="D148" s="44"/>
      <c r="E148" s="44"/>
      <c r="F148" s="44"/>
      <c r="G148" s="44"/>
      <c r="H148" s="44"/>
      <c r="I148" s="44"/>
      <c r="J148" s="44"/>
      <c r="K148" s="44"/>
      <c r="L148" s="45">
        <v>0.1</v>
      </c>
      <c r="M148" s="45">
        <v>0.1</v>
      </c>
      <c r="N148" s="44"/>
    </row>
    <row r="149" spans="1:14">
      <c r="A149" s="41">
        <v>160</v>
      </c>
      <c r="B149" s="42" t="s">
        <v>151</v>
      </c>
      <c r="C149" s="44"/>
      <c r="D149" s="44"/>
      <c r="E149" s="44"/>
      <c r="F149" s="44"/>
      <c r="G149" s="44"/>
      <c r="H149" s="44"/>
      <c r="I149" s="44"/>
      <c r="J149" s="44"/>
      <c r="K149" s="44"/>
      <c r="L149" s="45">
        <v>7.9899999999999999E-2</v>
      </c>
      <c r="M149" s="45">
        <v>7.9899999999999999E-2</v>
      </c>
      <c r="N149" s="44"/>
    </row>
    <row r="150" spans="1:14">
      <c r="A150" s="41">
        <v>161</v>
      </c>
      <c r="B150" s="42" t="s">
        <v>152</v>
      </c>
      <c r="C150" s="44"/>
      <c r="D150" s="44"/>
      <c r="E150" s="44"/>
      <c r="F150" s="44"/>
      <c r="G150" s="44"/>
      <c r="H150" s="44"/>
      <c r="I150" s="44"/>
      <c r="J150" s="44"/>
      <c r="K150" s="44"/>
      <c r="L150" s="45">
        <v>6.25E-2</v>
      </c>
      <c r="M150" s="45">
        <v>6.25E-2</v>
      </c>
      <c r="N150" s="45">
        <v>0.1875</v>
      </c>
    </row>
    <row r="151" spans="1:14">
      <c r="A151" s="41">
        <v>162</v>
      </c>
      <c r="B151" s="42" t="s">
        <v>153</v>
      </c>
      <c r="C151" s="44"/>
      <c r="D151" s="44"/>
      <c r="E151" s="44"/>
      <c r="F151" s="44"/>
      <c r="G151" s="44"/>
      <c r="H151" s="44"/>
      <c r="I151" s="44"/>
      <c r="J151" s="44"/>
      <c r="K151" s="44"/>
      <c r="L151" s="45">
        <v>0.1</v>
      </c>
      <c r="M151" s="45">
        <v>0.1</v>
      </c>
      <c r="N151" s="45">
        <v>0.3</v>
      </c>
    </row>
    <row r="152" spans="1:14">
      <c r="A152" s="41">
        <v>164</v>
      </c>
      <c r="B152" s="42" t="s">
        <v>154</v>
      </c>
      <c r="C152" s="44"/>
      <c r="D152" s="44"/>
      <c r="E152" s="44"/>
      <c r="F152" s="44"/>
      <c r="G152" s="44"/>
      <c r="H152" s="44"/>
      <c r="I152" s="44"/>
      <c r="J152" s="44"/>
      <c r="K152" s="44"/>
      <c r="L152" s="45">
        <v>0.1</v>
      </c>
      <c r="M152" s="45">
        <v>0.1</v>
      </c>
      <c r="N152" s="45">
        <v>0.3</v>
      </c>
    </row>
    <row r="153" spans="1:14">
      <c r="A153" s="41">
        <v>165</v>
      </c>
      <c r="B153" s="42" t="s">
        <v>155</v>
      </c>
      <c r="C153" s="44"/>
      <c r="D153" s="44"/>
      <c r="E153" s="44"/>
      <c r="F153" s="44"/>
      <c r="G153" s="44"/>
      <c r="H153" s="44"/>
      <c r="I153" s="44"/>
      <c r="J153" s="44"/>
      <c r="K153" s="44"/>
      <c r="L153" s="45">
        <v>0.1</v>
      </c>
      <c r="M153" s="45">
        <v>0.1</v>
      </c>
      <c r="N153" s="45">
        <v>0.3</v>
      </c>
    </row>
    <row r="154" spans="1:14">
      <c r="A154" s="41">
        <v>166</v>
      </c>
      <c r="B154" s="42" t="s">
        <v>156</v>
      </c>
      <c r="C154" s="44"/>
      <c r="D154" s="44"/>
      <c r="E154" s="44"/>
      <c r="F154" s="44"/>
      <c r="G154" s="44"/>
      <c r="H154" s="44"/>
      <c r="I154" s="44"/>
      <c r="J154" s="45">
        <v>0.08</v>
      </c>
      <c r="K154" s="45">
        <v>0.08</v>
      </c>
      <c r="L154" s="45">
        <v>0.08</v>
      </c>
      <c r="M154" s="45">
        <v>0.08</v>
      </c>
      <c r="N154" s="45">
        <v>0.24</v>
      </c>
    </row>
    <row r="155" spans="1:14" ht="30">
      <c r="A155" s="41">
        <v>167</v>
      </c>
      <c r="B155" s="42" t="s">
        <v>157</v>
      </c>
      <c r="C155" s="44"/>
      <c r="D155" s="44"/>
      <c r="E155" s="44"/>
      <c r="F155" s="44"/>
      <c r="G155" s="44"/>
      <c r="H155" s="44"/>
      <c r="I155" s="44"/>
      <c r="J155" s="44"/>
      <c r="K155" s="44"/>
      <c r="L155" s="45">
        <v>7.7499999999999999E-2</v>
      </c>
      <c r="M155" s="45">
        <v>7.7499999999999999E-2</v>
      </c>
      <c r="N155" s="45">
        <v>0.155</v>
      </c>
    </row>
    <row r="156" spans="1:14">
      <c r="A156" s="41">
        <v>168</v>
      </c>
      <c r="B156" s="42" t="s">
        <v>158</v>
      </c>
      <c r="C156" s="44"/>
      <c r="D156" s="44"/>
      <c r="E156" s="44"/>
      <c r="F156" s="44"/>
      <c r="G156" s="44"/>
      <c r="H156" s="44"/>
      <c r="I156" s="44"/>
      <c r="J156" s="45">
        <v>0.1</v>
      </c>
      <c r="K156" s="45">
        <v>0.1</v>
      </c>
      <c r="L156" s="45">
        <v>0.1</v>
      </c>
      <c r="M156" s="45">
        <v>0.1</v>
      </c>
      <c r="N156" s="45">
        <v>0.3</v>
      </c>
    </row>
    <row r="157" spans="1:14">
      <c r="A157" s="41">
        <v>169</v>
      </c>
      <c r="B157" s="42" t="s">
        <v>210</v>
      </c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</row>
    <row r="158" spans="1:14">
      <c r="A158" s="41">
        <v>170</v>
      </c>
      <c r="B158" s="42" t="s">
        <v>159</v>
      </c>
      <c r="C158" s="44"/>
      <c r="D158" s="44"/>
      <c r="E158" s="44"/>
      <c r="F158" s="44"/>
      <c r="G158" s="44"/>
      <c r="H158" s="44"/>
      <c r="I158" s="44"/>
      <c r="J158" s="45">
        <v>0.08</v>
      </c>
      <c r="K158" s="45">
        <v>0.08</v>
      </c>
      <c r="L158" s="45">
        <v>0.08</v>
      </c>
      <c r="M158" s="45">
        <v>0.08</v>
      </c>
      <c r="N158" s="45">
        <v>0.24</v>
      </c>
    </row>
    <row r="159" spans="1:14">
      <c r="A159" s="41">
        <v>171</v>
      </c>
      <c r="B159" s="42" t="s">
        <v>161</v>
      </c>
      <c r="C159" s="44"/>
      <c r="D159" s="44"/>
      <c r="E159" s="44"/>
      <c r="F159" s="44"/>
      <c r="G159" s="44"/>
      <c r="H159" s="44"/>
      <c r="I159" s="44"/>
      <c r="J159" s="45">
        <v>0.11840000000000001</v>
      </c>
      <c r="K159" s="45">
        <v>0.11840000000000001</v>
      </c>
      <c r="L159" s="45">
        <v>0.11840000000000001</v>
      </c>
      <c r="M159" s="45">
        <v>0.11840000000000001</v>
      </c>
      <c r="N159" s="44"/>
    </row>
    <row r="160" spans="1:14">
      <c r="A160" s="41">
        <v>172</v>
      </c>
      <c r="B160" s="42" t="s">
        <v>162</v>
      </c>
      <c r="C160" s="44"/>
      <c r="D160" s="44"/>
      <c r="E160" s="44"/>
      <c r="F160" s="44"/>
      <c r="G160" s="44"/>
      <c r="H160" s="44"/>
      <c r="I160" s="44"/>
      <c r="J160" s="45">
        <v>0.11840000000000001</v>
      </c>
      <c r="K160" s="45">
        <v>0.11840000000000001</v>
      </c>
      <c r="L160" s="45">
        <v>0.11840000000000001</v>
      </c>
      <c r="M160" s="45">
        <v>0.11840000000000001</v>
      </c>
      <c r="N160" s="44"/>
    </row>
    <row r="161" spans="1:14">
      <c r="A161" s="41">
        <v>173</v>
      </c>
      <c r="B161" s="42" t="s">
        <v>163</v>
      </c>
      <c r="C161" s="44"/>
      <c r="D161" s="44"/>
      <c r="E161" s="44"/>
      <c r="F161" s="44"/>
      <c r="G161" s="44"/>
      <c r="H161" s="44"/>
      <c r="I161" s="44"/>
      <c r="J161" s="45">
        <v>0.11840000000000001</v>
      </c>
      <c r="K161" s="45">
        <v>0.11840000000000001</v>
      </c>
      <c r="L161" s="45">
        <v>0.11840000000000001</v>
      </c>
      <c r="M161" s="45">
        <v>0.11840000000000001</v>
      </c>
      <c r="N161" s="44"/>
    </row>
    <row r="162" spans="1:14">
      <c r="A162" s="41">
        <v>174</v>
      </c>
      <c r="B162" s="42" t="s">
        <v>164</v>
      </c>
      <c r="C162" s="44"/>
      <c r="D162" s="44"/>
      <c r="E162" s="44"/>
      <c r="F162" s="44"/>
      <c r="G162" s="44"/>
      <c r="H162" s="44"/>
      <c r="I162" s="44"/>
      <c r="J162" s="45">
        <v>0.1183</v>
      </c>
      <c r="K162" s="45">
        <v>0.1183</v>
      </c>
      <c r="L162" s="45">
        <v>0.1183</v>
      </c>
      <c r="M162" s="45">
        <v>0.1183</v>
      </c>
      <c r="N162" s="44"/>
    </row>
    <row r="163" spans="1:14">
      <c r="A163" s="41">
        <v>175</v>
      </c>
      <c r="B163" s="42" t="s">
        <v>165</v>
      </c>
      <c r="C163" s="44"/>
      <c r="D163" s="44"/>
      <c r="E163" s="44"/>
      <c r="F163" s="44"/>
      <c r="G163" s="44"/>
      <c r="H163" s="44"/>
      <c r="I163" s="44"/>
      <c r="J163" s="45">
        <v>0.1183</v>
      </c>
      <c r="K163" s="45">
        <v>0.1183</v>
      </c>
      <c r="L163" s="45">
        <v>0.1183</v>
      </c>
      <c r="M163" s="45">
        <v>0.1183</v>
      </c>
      <c r="N163" s="44"/>
    </row>
    <row r="164" spans="1:14">
      <c r="A164" s="41">
        <v>176</v>
      </c>
      <c r="B164" s="42" t="s">
        <v>166</v>
      </c>
      <c r="C164" s="44"/>
      <c r="D164" s="44"/>
      <c r="E164" s="44"/>
      <c r="F164" s="44"/>
      <c r="G164" s="44"/>
      <c r="H164" s="44"/>
      <c r="I164" s="44"/>
      <c r="J164" s="44"/>
      <c r="K164" s="44"/>
      <c r="L164" s="45">
        <v>0.1183</v>
      </c>
      <c r="M164" s="45">
        <v>0.1183</v>
      </c>
      <c r="N164" s="44"/>
    </row>
    <row r="165" spans="1:14">
      <c r="A165" s="41">
        <v>177</v>
      </c>
      <c r="B165" s="42" t="s">
        <v>167</v>
      </c>
      <c r="C165" s="44"/>
      <c r="D165" s="44"/>
      <c r="E165" s="44"/>
      <c r="F165" s="44"/>
      <c r="G165" s="44"/>
      <c r="H165" s="44"/>
      <c r="I165" s="44"/>
      <c r="J165" s="45">
        <v>0.11840000000000001</v>
      </c>
      <c r="K165" s="45">
        <v>0.11840000000000001</v>
      </c>
      <c r="L165" s="45">
        <v>0.11840000000000001</v>
      </c>
      <c r="M165" s="45">
        <v>0.11840000000000001</v>
      </c>
      <c r="N165" s="44"/>
    </row>
    <row r="166" spans="1:14">
      <c r="A166" s="41">
        <v>178</v>
      </c>
      <c r="B166" s="42" t="s">
        <v>168</v>
      </c>
      <c r="C166" s="44"/>
      <c r="D166" s="44"/>
      <c r="E166" s="44"/>
      <c r="F166" s="44"/>
      <c r="G166" s="44"/>
      <c r="H166" s="44"/>
      <c r="I166" s="44"/>
      <c r="J166" s="45">
        <v>0.1183</v>
      </c>
      <c r="K166" s="45">
        <v>0.1183</v>
      </c>
      <c r="L166" s="45">
        <v>0.1183</v>
      </c>
      <c r="M166" s="45">
        <v>0.1183</v>
      </c>
      <c r="N166" s="44"/>
    </row>
    <row r="167" spans="1:14">
      <c r="A167" s="41">
        <v>179</v>
      </c>
      <c r="B167" s="42" t="s">
        <v>169</v>
      </c>
      <c r="C167" s="44"/>
      <c r="D167" s="44"/>
      <c r="E167" s="44"/>
      <c r="F167" s="44"/>
      <c r="G167" s="44"/>
      <c r="H167" s="44"/>
      <c r="I167" s="44"/>
      <c r="J167" s="44"/>
      <c r="K167" s="45">
        <v>0.1183</v>
      </c>
      <c r="L167" s="45">
        <v>0.1183</v>
      </c>
      <c r="M167" s="45">
        <v>0.1183</v>
      </c>
      <c r="N167" s="44"/>
    </row>
    <row r="168" spans="1:14">
      <c r="A168" s="41">
        <v>180</v>
      </c>
      <c r="B168" s="42" t="s">
        <v>170</v>
      </c>
      <c r="C168" s="44"/>
      <c r="D168" s="44"/>
      <c r="E168" s="44"/>
      <c r="F168" s="44"/>
      <c r="G168" s="44"/>
      <c r="H168" s="44"/>
      <c r="I168" s="44"/>
      <c r="J168" s="45">
        <v>0.1183</v>
      </c>
      <c r="K168" s="45">
        <v>0.1183</v>
      </c>
      <c r="L168" s="45">
        <v>0.1183</v>
      </c>
      <c r="M168" s="45">
        <v>0.1183</v>
      </c>
      <c r="N168" s="44"/>
    </row>
    <row r="169" spans="1:14">
      <c r="A169" s="41">
        <v>181</v>
      </c>
      <c r="B169" s="42" t="s">
        <v>171</v>
      </c>
      <c r="C169" s="44"/>
      <c r="D169" s="44"/>
      <c r="E169" s="44"/>
      <c r="F169" s="44"/>
      <c r="G169" s="44"/>
      <c r="H169" s="44"/>
      <c r="I169" s="44"/>
      <c r="J169" s="44"/>
      <c r="K169" s="44"/>
      <c r="L169" s="45">
        <v>0.1183</v>
      </c>
      <c r="M169" s="45">
        <v>0.1183</v>
      </c>
      <c r="N169" s="44"/>
    </row>
    <row r="170" spans="1:14">
      <c r="A170" s="41">
        <v>182</v>
      </c>
      <c r="B170" s="42" t="s">
        <v>172</v>
      </c>
      <c r="C170" s="44"/>
      <c r="D170" s="44"/>
      <c r="E170" s="44"/>
      <c r="F170" s="44"/>
      <c r="G170" s="44"/>
      <c r="H170" s="44"/>
      <c r="I170" s="44"/>
      <c r="J170" s="45">
        <v>0.1</v>
      </c>
      <c r="K170" s="45">
        <v>0.1</v>
      </c>
      <c r="L170" s="45">
        <v>0.1</v>
      </c>
      <c r="M170" s="45">
        <v>0.1</v>
      </c>
      <c r="N170" s="45">
        <v>0.3</v>
      </c>
    </row>
    <row r="171" spans="1:14">
      <c r="A171" s="41">
        <v>183</v>
      </c>
      <c r="B171" s="42" t="s">
        <v>147</v>
      </c>
      <c r="C171" s="44"/>
      <c r="D171" s="44"/>
      <c r="E171" s="44"/>
      <c r="F171" s="44"/>
      <c r="G171" s="44"/>
      <c r="H171" s="44"/>
      <c r="I171" s="44"/>
      <c r="J171" s="44"/>
      <c r="K171" s="44"/>
      <c r="L171" s="45">
        <v>0.09</v>
      </c>
      <c r="M171" s="45">
        <v>0.09</v>
      </c>
      <c r="N171" s="44"/>
    </row>
    <row r="172" spans="1:14">
      <c r="A172" s="41">
        <v>187</v>
      </c>
      <c r="B172" s="42" t="s">
        <v>71</v>
      </c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45">
        <v>0.105</v>
      </c>
      <c r="N172" s="44"/>
    </row>
    <row r="173" spans="1:14">
      <c r="A173" s="41">
        <v>189</v>
      </c>
      <c r="B173" s="42" t="s">
        <v>52</v>
      </c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5">
        <v>0.1</v>
      </c>
      <c r="N173" s="44"/>
    </row>
    <row r="174" spans="1:14">
      <c r="A174" s="41">
        <v>191</v>
      </c>
      <c r="B174" s="42" t="s">
        <v>160</v>
      </c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5">
        <v>0.1183</v>
      </c>
      <c r="N174" s="44"/>
    </row>
    <row r="175" spans="1:14">
      <c r="A175" s="41">
        <v>193</v>
      </c>
      <c r="B175" s="42" t="s">
        <v>107</v>
      </c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5">
        <v>0.1</v>
      </c>
      <c r="N175" s="44"/>
    </row>
    <row r="176" spans="1:14">
      <c r="A176" s="41">
        <v>194</v>
      </c>
      <c r="B176" s="42" t="s">
        <v>12</v>
      </c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45">
        <v>0.09</v>
      </c>
      <c r="N176" s="44"/>
    </row>
    <row r="177" spans="1:14">
      <c r="A177" s="41">
        <v>196</v>
      </c>
      <c r="B177" s="42" t="s">
        <v>211</v>
      </c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</row>
    <row r="178" spans="1:14">
      <c r="A178" s="41">
        <v>198</v>
      </c>
      <c r="B178" s="42" t="s">
        <v>212</v>
      </c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</row>
    <row r="179" spans="1:14">
      <c r="A179" s="41">
        <v>204</v>
      </c>
      <c r="B179" s="42" t="s">
        <v>32</v>
      </c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5">
        <v>0.03</v>
      </c>
      <c r="N179" s="45">
        <v>0.09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8"/>
  <sheetViews>
    <sheetView workbookViewId="0">
      <selection activeCell="B4" sqref="B4:L4"/>
    </sheetView>
  </sheetViews>
  <sheetFormatPr baseColWidth="10" defaultRowHeight="15"/>
  <cols>
    <col min="1" max="1" width="44.7109375" customWidth="1"/>
    <col min="2" max="2" width="31" customWidth="1"/>
  </cols>
  <sheetData>
    <row r="1" spans="1:12">
      <c r="A1" t="s">
        <v>174</v>
      </c>
      <c r="B1" s="4">
        <v>40178</v>
      </c>
      <c r="C1" s="4">
        <v>40543</v>
      </c>
      <c r="D1" s="4">
        <v>40908</v>
      </c>
      <c r="E1" s="4">
        <v>41274</v>
      </c>
      <c r="F1" s="4">
        <v>41639</v>
      </c>
      <c r="G1" s="4">
        <v>42004</v>
      </c>
      <c r="H1" s="4">
        <v>42369</v>
      </c>
      <c r="I1" s="4">
        <v>42735</v>
      </c>
      <c r="J1" s="4">
        <v>43100</v>
      </c>
      <c r="K1" s="4">
        <v>43465</v>
      </c>
      <c r="L1" s="4">
        <v>43830</v>
      </c>
    </row>
    <row r="2" spans="1:12">
      <c r="B2" s="4">
        <v>40178</v>
      </c>
      <c r="C2" s="4">
        <v>40543</v>
      </c>
      <c r="D2" s="4">
        <v>40908</v>
      </c>
      <c r="E2" s="4">
        <v>41274</v>
      </c>
      <c r="F2" s="4">
        <v>41639</v>
      </c>
      <c r="G2" s="4">
        <v>42004</v>
      </c>
      <c r="H2" s="4">
        <v>42369</v>
      </c>
      <c r="I2" s="4">
        <v>42735</v>
      </c>
      <c r="J2" s="4">
        <v>43100</v>
      </c>
      <c r="K2" s="4">
        <v>43465</v>
      </c>
      <c r="L2" s="4">
        <v>43830</v>
      </c>
    </row>
    <row r="3" spans="1:12">
      <c r="A3" t="s">
        <v>173</v>
      </c>
      <c r="B3" s="5">
        <v>1.2500000000000001E-2</v>
      </c>
      <c r="C3" s="5">
        <v>1.7500000000000002E-2</v>
      </c>
      <c r="D3" s="5">
        <v>2.2499999999999999E-2</v>
      </c>
      <c r="E3" s="5">
        <v>2.2499999999999999E-2</v>
      </c>
      <c r="F3" s="5">
        <v>1.2500000000000001E-2</v>
      </c>
      <c r="G3" s="5">
        <v>0.01</v>
      </c>
      <c r="H3" s="5">
        <v>7.4999999999999997E-3</v>
      </c>
      <c r="I3" s="5">
        <v>7.4999999999999997E-3</v>
      </c>
      <c r="J3" s="5">
        <v>7.4999999999999997E-3</v>
      </c>
      <c r="K3" s="5">
        <v>7.4999999999999997E-3</v>
      </c>
      <c r="L3" s="5">
        <v>7.4999999999999997E-3</v>
      </c>
    </row>
    <row r="4" spans="1:12">
      <c r="A4" t="s">
        <v>179</v>
      </c>
      <c r="B4" s="5">
        <v>0.223</v>
      </c>
      <c r="C4" s="5">
        <v>-3.4356782783761426E-2</v>
      </c>
      <c r="D4" s="5">
        <v>-0.23890618284121556</v>
      </c>
      <c r="E4" s="5">
        <v>0.16416366833049384</v>
      </c>
      <c r="F4" s="5">
        <v>0.14471537145450938</v>
      </c>
      <c r="G4" s="5">
        <v>-4.7243173712213805E-3</v>
      </c>
      <c r="H4" s="5">
        <v>7.7917904879384867E-2</v>
      </c>
      <c r="I4" s="5">
        <v>4.1626795247257882E-2</v>
      </c>
      <c r="J4" s="5">
        <v>8.9239462707244741E-2</v>
      </c>
      <c r="K4" s="5">
        <v>-0.15525343527718174</v>
      </c>
      <c r="L4" s="5">
        <v>0.22446800975441938</v>
      </c>
    </row>
    <row r="5" spans="1:12">
      <c r="A5" t="s">
        <v>175</v>
      </c>
      <c r="B5" s="5">
        <v>1E-3</v>
      </c>
      <c r="C5" s="5">
        <v>1.4999999999999999E-2</v>
      </c>
      <c r="D5" s="5">
        <v>2.1000000000000001E-2</v>
      </c>
      <c r="E5" s="5">
        <v>0.02</v>
      </c>
      <c r="F5" s="5">
        <v>8.9999999999999993E-3</v>
      </c>
      <c r="G5" s="5">
        <v>5.0000000000000001E-3</v>
      </c>
      <c r="H5" s="5">
        <v>0</v>
      </c>
      <c r="I5" s="5">
        <v>2E-3</v>
      </c>
      <c r="J5" s="5">
        <v>0.01</v>
      </c>
      <c r="K5" s="5">
        <v>1.7999999999999999E-2</v>
      </c>
    </row>
    <row r="6" spans="1:12">
      <c r="A6" s="4"/>
      <c r="B6" s="4"/>
    </row>
    <row r="7" spans="1:12">
      <c r="A7" s="4"/>
      <c r="B7" s="37">
        <v>15000</v>
      </c>
    </row>
    <row r="8" spans="1:12">
      <c r="B8">
        <f>B7*B3</f>
        <v>187.5</v>
      </c>
    </row>
    <row r="9" spans="1:12">
      <c r="A9" s="4"/>
      <c r="B9" s="4"/>
    </row>
    <row r="10" spans="1:12">
      <c r="A10" s="4"/>
      <c r="B10" s="4"/>
      <c r="J10">
        <v>50000</v>
      </c>
    </row>
    <row r="11" spans="1:12">
      <c r="A11" s="4"/>
      <c r="B11" s="4"/>
      <c r="C11" s="5"/>
    </row>
    <row r="12" spans="1:12">
      <c r="A12" s="4"/>
      <c r="B12" s="4"/>
    </row>
    <row r="13" spans="1:12">
      <c r="A13" s="4"/>
      <c r="B13" s="4"/>
      <c r="E13" s="4">
        <v>40543</v>
      </c>
      <c r="F13" s="4">
        <v>42004</v>
      </c>
    </row>
    <row r="14" spans="1:12">
      <c r="A14" s="4"/>
      <c r="B14" s="4"/>
      <c r="D14" t="s">
        <v>173</v>
      </c>
    </row>
    <row r="15" spans="1:12">
      <c r="A15" s="4"/>
      <c r="B15" s="4"/>
    </row>
    <row r="16" spans="1:12">
      <c r="D16">
        <f>SUMPRODUCT(($A$3:$A$5=D14)*($B$2:$L$2&gt;=E13)*($B$2:$L$2&lt;=F13)*(B3:L5))</f>
        <v>8.4999999999999992E-2</v>
      </c>
    </row>
    <row r="18" spans="2:4">
      <c r="B18" s="4"/>
      <c r="C18" s="5"/>
      <c r="D18" s="5"/>
    </row>
    <row r="19" spans="2:4">
      <c r="B19" s="4"/>
      <c r="C19" s="5"/>
      <c r="D19" s="5"/>
    </row>
    <row r="20" spans="2:4">
      <c r="B20" s="4"/>
      <c r="C20" s="5"/>
      <c r="D20" s="5"/>
    </row>
    <row r="21" spans="2:4">
      <c r="B21" s="4"/>
      <c r="C21" s="5"/>
      <c r="D21" s="5"/>
    </row>
    <row r="22" spans="2:4">
      <c r="B22" s="4"/>
      <c r="C22" s="5"/>
      <c r="D22" s="5"/>
    </row>
    <row r="23" spans="2:4">
      <c r="B23" s="4"/>
      <c r="C23" s="5"/>
      <c r="D23" s="5"/>
    </row>
    <row r="24" spans="2:4">
      <c r="B24" s="4"/>
      <c r="C24" s="5"/>
      <c r="D24" s="5"/>
    </row>
    <row r="25" spans="2:4">
      <c r="B25" s="4"/>
      <c r="C25" s="5"/>
      <c r="D25" s="5"/>
    </row>
    <row r="26" spans="2:4">
      <c r="B26" s="4"/>
      <c r="C26" s="5"/>
      <c r="D26" s="5"/>
    </row>
    <row r="27" spans="2:4">
      <c r="B27" s="4"/>
      <c r="C27" s="5"/>
      <c r="D27" s="5"/>
    </row>
    <row r="28" spans="2:4">
      <c r="B28" s="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M4"/>
  <sheetViews>
    <sheetView workbookViewId="0">
      <selection activeCell="C2" sqref="C2:J2"/>
    </sheetView>
  </sheetViews>
  <sheetFormatPr baseColWidth="10" defaultRowHeight="15"/>
  <cols>
    <col min="1" max="1" width="31" customWidth="1"/>
    <col min="2" max="2" width="14.7109375" customWidth="1"/>
  </cols>
  <sheetData>
    <row r="2" spans="1:13" ht="30">
      <c r="A2" s="38" t="s">
        <v>173</v>
      </c>
      <c r="B2" s="38"/>
      <c r="C2" s="39">
        <v>1.0125</v>
      </c>
      <c r="D2" s="39">
        <v>1.0175000000000001</v>
      </c>
      <c r="E2" s="39">
        <v>1.0225</v>
      </c>
      <c r="F2" s="39">
        <v>1.0225</v>
      </c>
      <c r="G2" s="39">
        <v>1.0125</v>
      </c>
      <c r="H2" s="39">
        <v>1.01</v>
      </c>
      <c r="I2" s="39">
        <v>1.0075000000000001</v>
      </c>
      <c r="J2" s="39">
        <v>1.0075000000000001</v>
      </c>
      <c r="K2" s="39">
        <v>1.0075000000000001</v>
      </c>
      <c r="L2" s="39">
        <v>1.0075000000000001</v>
      </c>
      <c r="M2" s="39">
        <v>1.0075000000000001</v>
      </c>
    </row>
    <row r="3" spans="1:13">
      <c r="A3" s="38" t="s">
        <v>178</v>
      </c>
      <c r="B3" s="38">
        <v>15000</v>
      </c>
      <c r="C3">
        <f>B3*C2</f>
        <v>15187.5</v>
      </c>
      <c r="D3">
        <f>C3*D2</f>
        <v>15453.281250000002</v>
      </c>
      <c r="E3">
        <f>D3*E2</f>
        <v>15800.980078125001</v>
      </c>
      <c r="F3">
        <f t="shared" ref="F3:M3" si="0">E3*F2</f>
        <v>16156.502129882814</v>
      </c>
      <c r="G3">
        <f t="shared" si="0"/>
        <v>16358.458406506348</v>
      </c>
      <c r="H3">
        <f t="shared" si="0"/>
        <v>16522.042990571412</v>
      </c>
      <c r="I3">
        <f t="shared" si="0"/>
        <v>16645.958313000698</v>
      </c>
      <c r="J3">
        <f t="shared" si="0"/>
        <v>16770.803000348205</v>
      </c>
      <c r="K3">
        <f t="shared" si="0"/>
        <v>16896.584022850817</v>
      </c>
      <c r="L3">
        <f t="shared" si="0"/>
        <v>17023.308403022198</v>
      </c>
      <c r="M3">
        <f t="shared" si="0"/>
        <v>17150.983216044864</v>
      </c>
    </row>
    <row r="4" spans="1:13">
      <c r="K4">
        <f>B3*J2</f>
        <v>15112.500000000002</v>
      </c>
      <c r="L4">
        <f>K4*L2</f>
        <v>15225.843750000004</v>
      </c>
      <c r="M4">
        <f>L4*M2</f>
        <v>15340.037578125004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 macro="[0]!calcul">
                <anchor moveWithCells="1">
                  <from>
                    <xdr:col>4</xdr:col>
                    <xdr:colOff>142875</xdr:colOff>
                    <xdr:row>6</xdr:row>
                    <xdr:rowOff>9525</xdr:rowOff>
                  </from>
                  <to>
                    <xdr:col>4</xdr:col>
                    <xdr:colOff>714375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Comparateur</vt:lpstr>
      <vt:lpstr>Brouillon</vt:lpstr>
      <vt:lpstr>Feuil2</vt:lpstr>
      <vt:lpstr>Feuil3</vt:lpstr>
      <vt:lpstr>Prix</vt:lpstr>
      <vt:lpstr>Interet</vt:lpstr>
      <vt:lpstr>FraisSCPI</vt:lpstr>
      <vt:lpstr>Info comparatif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owen</dc:creator>
  <cp:lastModifiedBy>owen</cp:lastModifiedBy>
  <dcterms:created xsi:type="dcterms:W3CDTF">2020-01-03T08:34:45Z</dcterms:created>
  <dcterms:modified xsi:type="dcterms:W3CDTF">2020-02-29T14:55:34Z</dcterms:modified>
</cp:coreProperties>
</file>