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ns/Desktop/"/>
    </mc:Choice>
  </mc:AlternateContent>
  <xr:revisionPtr revIDLastSave="0" documentId="13_ncr:1_{D2599986-E2DF-8A4C-A49F-28A0E460DD0F}" xr6:coauthVersionLast="45" xr6:coauthVersionMax="45" xr10:uidLastSave="{00000000-0000-0000-0000-000000000000}"/>
  <bookViews>
    <workbookView xWindow="0" yWindow="460" windowWidth="28800" windowHeight="16320" xr2:uid="{8C510E48-8579-6443-A80A-862FD66BBDC3}"/>
  </bookViews>
  <sheets>
    <sheet name="Base de données contrats" sheetId="1" r:id="rId1"/>
    <sheet name="Récapitulatif des commissions" sheetId="3" r:id="rId2"/>
  </sheets>
  <calcPr calcId="191029"/>
  <pivotCaches>
    <pivotCache cacheId="10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3" i="1"/>
  <c r="N2" i="1"/>
  <c r="P8" i="1"/>
  <c r="P7" i="1"/>
  <c r="J9" i="1"/>
  <c r="AE15" i="1"/>
  <c r="AE16" i="1"/>
  <c r="AE17" i="1"/>
  <c r="AE18" i="1"/>
  <c r="AE19" i="1"/>
  <c r="AE20" i="1"/>
  <c r="AE21" i="1"/>
  <c r="AE22" i="1"/>
  <c r="AE23" i="1"/>
  <c r="O2" i="1"/>
  <c r="O3" i="1"/>
  <c r="O4" i="1"/>
  <c r="O5" i="1"/>
  <c r="O6" i="1"/>
  <c r="O7" i="1"/>
  <c r="O8" i="1"/>
  <c r="O9" i="1"/>
  <c r="P9" i="1" s="1"/>
  <c r="O10" i="1"/>
  <c r="P10" i="1" s="1"/>
  <c r="R22" i="1"/>
  <c r="J7" i="1" l="1"/>
  <c r="J8" i="1"/>
  <c r="J10" i="1"/>
  <c r="M7" i="1"/>
  <c r="M8" i="1"/>
  <c r="M9" i="1"/>
  <c r="M10" i="1"/>
  <c r="AD21" i="1" l="1"/>
  <c r="AD20" i="1"/>
  <c r="AD23" i="1"/>
  <c r="AD22" i="1"/>
  <c r="Q20" i="1"/>
  <c r="Q19" i="1"/>
  <c r="B12" i="3"/>
  <c r="C7" i="3" a="1"/>
  <c r="C7" i="3" s="1"/>
  <c r="M11" i="3" s="1"/>
  <c r="B11" i="3" l="1"/>
  <c r="F11" i="3"/>
  <c r="J11" i="3"/>
  <c r="C11" i="3"/>
  <c r="G11" i="3"/>
  <c r="K11" i="3"/>
  <c r="D11" i="3"/>
  <c r="H11" i="3"/>
  <c r="L11" i="3"/>
  <c r="E11" i="3"/>
  <c r="I11" i="3"/>
  <c r="J6" i="1" l="1"/>
  <c r="M6" i="1"/>
  <c r="J5" i="1"/>
  <c r="P5" i="1" s="1"/>
  <c r="M5" i="1"/>
  <c r="AD19" i="1" l="1"/>
  <c r="P6" i="1"/>
  <c r="AD18" i="1"/>
  <c r="Q18" i="1"/>
  <c r="Q17" i="1"/>
  <c r="T15" i="1"/>
  <c r="J2" i="1"/>
  <c r="M2" i="1"/>
  <c r="M4" i="1"/>
  <c r="M3" i="1"/>
  <c r="J4" i="1"/>
  <c r="J3" i="1"/>
  <c r="AD16" i="1" l="1"/>
  <c r="P3" i="1"/>
  <c r="AD17" i="1"/>
  <c r="P4" i="1"/>
  <c r="AD15" i="1"/>
  <c r="P2" i="1"/>
  <c r="Q16" i="1"/>
  <c r="Q15" i="1"/>
  <c r="Q14" i="1"/>
  <c r="Q13" i="1"/>
  <c r="Q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<sst xmlns="http://schemas.openxmlformats.org/spreadsheetml/2006/main" count="88" uniqueCount="46">
  <si>
    <t>Etablissement</t>
  </si>
  <si>
    <t>Contact</t>
  </si>
  <si>
    <t>Adresse email</t>
  </si>
  <si>
    <t>Numéro de série</t>
  </si>
  <si>
    <t>Date de fin</t>
  </si>
  <si>
    <t>Date  de début</t>
  </si>
  <si>
    <t>Montant HT</t>
  </si>
  <si>
    <t>Montant TTC</t>
  </si>
  <si>
    <t>Responsable</t>
  </si>
  <si>
    <t>MMFA</t>
  </si>
  <si>
    <t>Appareils</t>
  </si>
  <si>
    <t>MMFAB</t>
  </si>
  <si>
    <t>Étiquettes de lignes</t>
  </si>
  <si>
    <t>Somme de Commision</t>
  </si>
  <si>
    <t>Somme de Durée</t>
  </si>
  <si>
    <t>Année</t>
  </si>
  <si>
    <t>Nombre unique</t>
  </si>
  <si>
    <t>HU</t>
  </si>
  <si>
    <t>LC</t>
  </si>
  <si>
    <t>RD</t>
  </si>
  <si>
    <t>BT</t>
  </si>
  <si>
    <t>.</t>
  </si>
  <si>
    <t>HR+TC</t>
  </si>
  <si>
    <t>DR</t>
  </si>
  <si>
    <t>Facturation</t>
  </si>
  <si>
    <t>Type_facturation</t>
  </si>
  <si>
    <t>annuelle</t>
  </si>
  <si>
    <t>semestrielle</t>
  </si>
  <si>
    <t>trimestrielle</t>
  </si>
  <si>
    <t>à terme échu</t>
  </si>
  <si>
    <t>RT</t>
  </si>
  <si>
    <t>ED</t>
  </si>
  <si>
    <t>AS</t>
  </si>
  <si>
    <t>QW</t>
  </si>
  <si>
    <t>Dates de facturations</t>
  </si>
  <si>
    <t>Montants</t>
  </si>
  <si>
    <t>Nombre de mois</t>
  </si>
  <si>
    <t>Date 1ere facturation</t>
  </si>
  <si>
    <t>Commision par facturation</t>
  </si>
  <si>
    <t>Colonne2</t>
  </si>
  <si>
    <t>Durée en années</t>
  </si>
  <si>
    <t>Colonne3</t>
  </si>
  <si>
    <t>Facturation 2</t>
  </si>
  <si>
    <t>Facturation 3</t>
  </si>
  <si>
    <t>Facturation 4</t>
  </si>
  <si>
    <t>Nombre de paiemement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</si>
</sst>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#,##0.00\ &quot;€&quot;"/>
    <numFmt numFmtId="165" formatCode="mmmm"/>
  </numFmts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3" xfId="0" applyFont="1" applyFill="1" applyBorder="1"/>
    <xf numFmtId="164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20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D7" fmlaRange="$Y$9:$Y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6</xdr:row>
          <xdr:rowOff>12700</xdr:rowOff>
        </xdr:from>
        <xdr:to>
          <xdr:col>4</xdr:col>
          <xdr:colOff>25400</xdr:colOff>
          <xdr:row>7</xdr:row>
          <xdr:rowOff>12700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908.620813888891" createdVersion="6" refreshedVersion="6" minRefreshableVersion="3" recordCount="5" xr:uid="{A57D29F6-E67D-1E44-885F-446C8EB377A4}">
  <cacheSource type="worksheet">
    <worksheetSource name="T_base_données_contrats"/>
  </cacheSource>
  <cacheFields count="14">
    <cacheField name="Nombre uniqu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Responsable" numFmtId="0">
      <sharedItems/>
    </cacheField>
    <cacheField name="Etablissement" numFmtId="0">
      <sharedItems/>
    </cacheField>
    <cacheField name="Contact" numFmtId="0">
      <sharedItems containsBlank="1"/>
    </cacheField>
    <cacheField name="Adresse email" numFmtId="0">
      <sharedItems containsBlank="1"/>
    </cacheField>
    <cacheField name="Appareils" numFmtId="0">
      <sharedItems/>
    </cacheField>
    <cacheField name="Numéro de série" numFmtId="0">
      <sharedItems/>
    </cacheField>
    <cacheField name="Date  de début" numFmtId="14">
      <sharedItems containsSemiMixedTypes="0" containsNonDate="0" containsDate="1" containsString="0" minDate="2020-01-23T00:00:00" maxDate="2020-03-17T00:00:00"/>
    </cacheField>
    <cacheField name="Date de fin" numFmtId="14">
      <sharedItems containsSemiMixedTypes="0" containsNonDate="0" containsDate="1" containsString="0" minDate="2021-01-23T00:00:00" maxDate="2024-03-17T00:00:00"/>
    </cacheField>
    <cacheField name="Durée" numFmtId="0">
      <sharedItems containsSemiMixedTypes="0" containsString="0" containsNumber="1" containsInteger="1" minValue="1" maxValue="4"/>
    </cacheField>
    <cacheField name="Date de facturation" numFmtId="14">
      <sharedItems containsSemiMixedTypes="0" containsNonDate="0" containsDate="1" containsString="0" minDate="2020-01-23T00:00:00" maxDate="2020-03-17T00:00:00" count="4">
        <d v="2020-01-30T00:00:00"/>
        <d v="2020-01-28T00:00:00"/>
        <d v="2020-01-23T00:00:00"/>
        <d v="2020-03-16T00:00:00"/>
      </sharedItems>
    </cacheField>
    <cacheField name="Montant TTC" numFmtId="164">
      <sharedItems containsSemiMixedTypes="0" containsString="0" containsNumber="1" containsInteger="1" minValue="8500" maxValue="24000"/>
    </cacheField>
    <cacheField name="Montant HT" numFmtId="164">
      <sharedItems containsSemiMixedTypes="0" containsString="0" containsNumber="1" minValue="7083.3333333333339" maxValue="20000"/>
    </cacheField>
    <cacheField name="Commision" numFmtId="44">
      <sharedItems containsSemiMixedTypes="0" containsString="0" containsNumber="1" minValue="41.666666666666664" maxValue="119.583333333333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MMFA"/>
    <s v="CHU Brest"/>
    <s v="Yann EVRARD"/>
    <s v="yann.evrard@chu-brest.fr"/>
    <s v="SPECTRALIS HRA+OCT "/>
    <s v="07463-S3600"/>
    <d v="2020-01-30T00:00:00"/>
    <d v="2021-01-30T00:00:00"/>
    <n v="1"/>
    <x v="0"/>
    <n v="8500"/>
    <n v="7083.3333333333339"/>
    <n v="88.541666666666686"/>
  </r>
  <r>
    <x v="1"/>
    <s v="MMFA"/>
    <s v="CL Mougins"/>
    <s v="Cathy"/>
    <s v="ophtalmo.mougins@free.fr"/>
    <s v="SPECTRALIS HRA+OCT / OCT"/>
    <s v="05044-S3600 / 03113-S2400"/>
    <d v="2020-01-28T00:00:00"/>
    <d v="2022-01-28T00:00:00"/>
    <n v="2"/>
    <x v="1"/>
    <n v="22960"/>
    <n v="19133.333333333336"/>
    <n v="119.58333333333336"/>
  </r>
  <r>
    <x v="2"/>
    <s v="MMFA"/>
    <s v="Cabinet Dr Chofflet"/>
    <s v="Mme Brun"/>
    <s v="cabcpta@orange.fr"/>
    <s v="SPECTRALIS HRA+OCT"/>
    <s v="01702-S3300"/>
    <d v="2020-01-23T00:00:00"/>
    <d v="2021-01-23T00:00:00"/>
    <n v="1"/>
    <x v="2"/>
    <n v="9000"/>
    <n v="7500"/>
    <n v="93.75"/>
  </r>
  <r>
    <x v="3"/>
    <s v="MMFAB"/>
    <s v="Dr Klebert"/>
    <s v="Laurence Peyre"/>
    <s v="laurence.peyre@cerk.fr"/>
    <s v="SPECTRALIS HRA+OCT2 / OCT"/>
    <s v="05550-S3610 / 07343-S2000"/>
    <d v="2020-03-16T00:00:00"/>
    <d v="2022-03-16T00:00:00"/>
    <n v="2"/>
    <x v="3"/>
    <n v="23000"/>
    <n v="19166.666666666668"/>
    <n v="79.861111111111128"/>
  </r>
  <r>
    <x v="4"/>
    <s v="MMFAB"/>
    <s v="Dr Boulet"/>
    <m/>
    <m/>
    <s v="SPECTRALIS OCT"/>
    <s v="11234-S2610"/>
    <d v="2020-03-16T00:00:00"/>
    <d v="2024-03-16T00:00:00"/>
    <n v="4"/>
    <x v="3"/>
    <n v="24000"/>
    <n v="20000"/>
    <n v="41.6666666666666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0073BC-EA3D-E141-88D2-487826C228A8}" name="Tableau croisé dynamique5" cacheId="10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A8:AC18" firstHeaderRow="0" firstDataRow="1" firstDataCol="1"/>
  <pivotFields count="14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dataField="1" showAll="0"/>
    <pivotField axis="axisRow" numFmtId="14" showAll="0">
      <items count="5">
        <item x="2"/>
        <item x="1"/>
        <item x="0"/>
        <item x="3"/>
        <item t="default"/>
      </items>
    </pivotField>
    <pivotField numFmtId="164" showAll="0"/>
    <pivotField numFmtId="164" showAll="0"/>
    <pivotField dataField="1" numFmtId="44" showAll="0"/>
  </pivotFields>
  <rowFields count="2">
    <field x="0"/>
    <field x="10"/>
  </rowFields>
  <rowItems count="10">
    <i>
      <x/>
    </i>
    <i r="1">
      <x v="2"/>
    </i>
    <i>
      <x v="1"/>
    </i>
    <i r="1">
      <x v="1"/>
    </i>
    <i>
      <x v="2"/>
    </i>
    <i r="1">
      <x/>
    </i>
    <i>
      <x v="3"/>
    </i>
    <i r="1">
      <x v="3"/>
    </i>
    <i>
      <x v="4"/>
    </i>
    <i r="1">
      <x v="3"/>
    </i>
  </rowItems>
  <colFields count="1">
    <field x="-2"/>
  </colFields>
  <colItems count="2">
    <i>
      <x/>
    </i>
    <i i="1">
      <x v="1"/>
    </i>
  </colItems>
  <dataFields count="2">
    <dataField name="Somme de Commision" fld="13" baseField="0" baseItem="0"/>
    <dataField name="Somme de Durée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001FA5-CECD-3042-A527-2047830D809A}" name="T_base_données_contrats" displayName="T_base_données_contrats" ref="A1:R10" totalsRowShown="0" dataDxfId="5">
  <autoFilter ref="A1:R10" xr:uid="{88A9CAEC-C785-AA4F-93A8-AFD57765A662}"/>
  <tableColumns count="18">
    <tableColumn id="14" xr3:uid="{6501C04C-CC83-334B-873A-546663B5667C}" name="Nombre unique" dataDxfId="18"/>
    <tableColumn id="1" xr3:uid="{BAD49AEE-59AC-2044-8A00-2604FEB473E8}" name="Responsable" dataDxfId="17"/>
    <tableColumn id="2" xr3:uid="{2E0F975D-792F-F140-948A-C51002CCA0AD}" name="Etablissement" dataDxfId="16"/>
    <tableColumn id="3" xr3:uid="{5A15D7AB-0A81-E74F-A53D-770A02AA7ED7}" name="Contact" dataDxfId="15"/>
    <tableColumn id="4" xr3:uid="{8094C721-4372-A442-A8C0-FCF5B7AE5798}" name="Adresse email" dataDxfId="14"/>
    <tableColumn id="5" xr3:uid="{A1F9B6C5-14AD-2141-9EA9-D0D3115A0FAF}" name="Appareils" dataDxfId="13"/>
    <tableColumn id="6" xr3:uid="{0C5EA12B-65A9-A545-9546-2C2D2C5CACB0}" name="Numéro de série" dataDxfId="12"/>
    <tableColumn id="7" xr3:uid="{3520506E-55DC-9A45-9776-5F67E201B3B1}" name="Date  de début" dataDxfId="11"/>
    <tableColumn id="8" xr3:uid="{235780D8-882A-2249-8701-F269220106BB}" name="Date de fin" dataDxfId="10"/>
    <tableColumn id="9" xr3:uid="{8012060E-D2DC-8E4C-9BA5-CB2E9C0DEEAB}" name="Durée en années" dataDxfId="9">
      <calculatedColumnFormula>DATEDIF(H2,I2,"Y")</calculatedColumnFormula>
    </tableColumn>
    <tableColumn id="15" xr3:uid="{2E05A0E5-1F86-5340-86DA-63A42D4874FD}" name="Facturation" dataDxfId="8"/>
    <tableColumn id="12" xr3:uid="{C85A7E2C-3EEB-C64F-9C4F-EFC665E68233}" name="Montant TTC" dataDxfId="7"/>
    <tableColumn id="11" xr3:uid="{CF193B1F-23EB-DE4A-93A8-F7CD8E75AB34}" name="Montant HT" dataDxfId="6" dataCellStyle="Monétaire">
      <calculatedColumnFormula>L2/1.2</calculatedColumnFormula>
    </tableColumn>
    <tableColumn id="13" xr3:uid="{5E83D787-8B9D-5145-AE86-4ED94195243E}" name="Commision par facturation" dataDxfId="0" dataCellStyle="Monétaire">
      <calculatedColumnFormula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calculatedColumnFormula>
    </tableColumn>
    <tableColumn id="16" xr3:uid="{4E38D6E1-3209-A449-82A3-B838C995AA54}" name="Date 1ere facturation" dataDxfId="4">
      <calculatedColumnFormula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calculatedColumnFormula>
    </tableColumn>
    <tableColumn id="17" xr3:uid="{E745BA0F-D7B5-8048-ABEC-DD5833EB5D8F}" name="Facturation 2" dataDxfId="1">
      <calculatedColumnFormula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calculatedColumnFormula>
    </tableColumn>
    <tableColumn id="18" xr3:uid="{4F0CB194-C580-D44B-BB2F-14452710B9BE}" name="Facturation 3" dataDxfId="3"/>
    <tableColumn id="19" xr3:uid="{6D681A79-BF2F-3B47-9BAB-CAB250220758}" name="Facturation 4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F2F128-4EB8-9149-B132-C4B8593FF541}" name="T_source_facturation" displayName="T_source_facturation" ref="W2:Y6" totalsRowShown="0">
  <autoFilter ref="W2:Y6" xr:uid="{741C0595-FF16-324C-AD0F-5A8FB85E12A4}"/>
  <tableColumns count="3">
    <tableColumn id="1" xr3:uid="{197F1D21-602F-EA4A-93FB-6CA556F811AB}" name="Type_facturation"/>
    <tableColumn id="2" xr3:uid="{38995950-0560-2747-A1F5-3B8481FBF75D}" name="Nombre de mois" dataDxfId="19"/>
    <tableColumn id="3" xr3:uid="{5076ADF7-B795-BC41-A249-C1EDC8FF60BF}" name="Nombre de paiem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27170D-F042-354E-82EC-B977166B3B54}" name="Liste_années" displayName="Liste_années" ref="Y8:Y13" totalsRowShown="0">
  <autoFilter ref="Y8:Y13" xr:uid="{E58FEBC8-E6F2-4645-8EA6-2A7BE8FC860F}"/>
  <tableColumns count="1">
    <tableColumn id="1" xr3:uid="{A4EBDA5D-B779-1443-8C32-73FEBAE2CF48}" name="Anné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A98D7-7F19-9749-A2F5-1A4C1BD0E023}">
  <dimension ref="A1:AE36"/>
  <sheetViews>
    <sheetView tabSelected="1" topLeftCell="F1" workbookViewId="0">
      <selection activeCell="L17" sqref="L17"/>
    </sheetView>
  </sheetViews>
  <sheetFormatPr baseColWidth="10" defaultRowHeight="16" x14ac:dyDescent="0.2"/>
  <cols>
    <col min="2" max="2" width="16.83203125" bestFit="1" customWidth="1"/>
    <col min="3" max="3" width="17.5" bestFit="1" customWidth="1"/>
    <col min="4" max="5" width="28.33203125" bestFit="1" customWidth="1"/>
    <col min="6" max="6" width="24.5" bestFit="1" customWidth="1"/>
    <col min="7" max="7" width="17.1640625" customWidth="1"/>
    <col min="8" max="8" width="15.5" customWidth="1"/>
    <col min="9" max="9" width="12.5" customWidth="1"/>
    <col min="10" max="10" width="17.1640625" bestFit="1" customWidth="1"/>
    <col min="11" max="11" width="14.1640625" style="3" bestFit="1" customWidth="1"/>
    <col min="12" max="12" width="14.1640625" style="3" customWidth="1"/>
    <col min="13" max="13" width="13.5" style="2" bestFit="1" customWidth="1"/>
    <col min="14" max="14" width="26.83203125" style="14" bestFit="1" customWidth="1"/>
    <col min="15" max="15" width="21.5" bestFit="1" customWidth="1"/>
    <col min="16" max="16" width="20.6640625" style="1" customWidth="1"/>
    <col min="17" max="17" width="18.83203125" style="11" bestFit="1" customWidth="1"/>
    <col min="18" max="18" width="17.33203125" style="11" customWidth="1"/>
    <col min="24" max="24" width="17.33203125" customWidth="1"/>
    <col min="25" max="25" width="24.1640625" bestFit="1" customWidth="1"/>
  </cols>
  <sheetData>
    <row r="1" spans="1:31" x14ac:dyDescent="0.2">
      <c r="A1" t="s">
        <v>16</v>
      </c>
      <c r="B1" t="s">
        <v>8</v>
      </c>
      <c r="C1" t="s">
        <v>0</v>
      </c>
      <c r="D1" t="s">
        <v>1</v>
      </c>
      <c r="E1" t="s">
        <v>2</v>
      </c>
      <c r="F1" t="s">
        <v>10</v>
      </c>
      <c r="G1" t="s">
        <v>3</v>
      </c>
      <c r="H1" t="s">
        <v>5</v>
      </c>
      <c r="I1" t="s">
        <v>4</v>
      </c>
      <c r="J1" t="s">
        <v>40</v>
      </c>
      <c r="K1" t="s">
        <v>24</v>
      </c>
      <c r="L1" s="3" t="s">
        <v>7</v>
      </c>
      <c r="M1" s="2" t="s">
        <v>6</v>
      </c>
      <c r="N1" s="14" t="s">
        <v>38</v>
      </c>
      <c r="O1" t="s">
        <v>37</v>
      </c>
      <c r="P1" s="12" t="s">
        <v>42</v>
      </c>
      <c r="Q1" s="11" t="s">
        <v>43</v>
      </c>
      <c r="R1" s="11" t="s">
        <v>44</v>
      </c>
    </row>
    <row r="2" spans="1:31" x14ac:dyDescent="0.2">
      <c r="A2" s="11">
        <v>1</v>
      </c>
      <c r="B2" s="11" t="s">
        <v>9</v>
      </c>
      <c r="C2" s="11" t="s">
        <v>17</v>
      </c>
      <c r="D2" s="11" t="s">
        <v>21</v>
      </c>
      <c r="E2" s="11" t="s">
        <v>21</v>
      </c>
      <c r="F2" s="15" t="s">
        <v>22</v>
      </c>
      <c r="G2" s="11">
        <v>746</v>
      </c>
      <c r="H2" s="12">
        <v>43860</v>
      </c>
      <c r="I2" s="12">
        <v>44226</v>
      </c>
      <c r="J2" s="11">
        <f>DATEDIF(H2,I2,"Y")</f>
        <v>1</v>
      </c>
      <c r="K2" s="12" t="s">
        <v>26</v>
      </c>
      <c r="L2" s="16">
        <v>8500</v>
      </c>
      <c r="M2" s="14">
        <f>L2/1.2</f>
        <v>7083.3333333333339</v>
      </c>
      <c r="N2" s="14">
        <f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f>
        <v>88.541666666666686</v>
      </c>
      <c r="O2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43860</v>
      </c>
      <c r="P2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2" s="22"/>
      <c r="R2" s="22"/>
      <c r="W2" t="s">
        <v>25</v>
      </c>
      <c r="X2" t="s">
        <v>36</v>
      </c>
      <c r="Y2" t="s">
        <v>45</v>
      </c>
    </row>
    <row r="3" spans="1:31" x14ac:dyDescent="0.2">
      <c r="A3" s="11">
        <v>2</v>
      </c>
      <c r="B3" s="11" t="s">
        <v>9</v>
      </c>
      <c r="C3" s="11" t="s">
        <v>18</v>
      </c>
      <c r="D3" s="11" t="s">
        <v>21</v>
      </c>
      <c r="E3" s="11" t="s">
        <v>21</v>
      </c>
      <c r="F3" s="15" t="s">
        <v>22</v>
      </c>
      <c r="G3" s="11">
        <v>504</v>
      </c>
      <c r="H3" s="12">
        <v>43858</v>
      </c>
      <c r="I3" s="12">
        <v>44589</v>
      </c>
      <c r="J3" s="11">
        <f>DATEDIF(H3,I3,"Y")</f>
        <v>2</v>
      </c>
      <c r="K3" s="12" t="s">
        <v>26</v>
      </c>
      <c r="L3" s="16">
        <v>22960</v>
      </c>
      <c r="M3" s="14">
        <f>L3/1.2</f>
        <v>19133.333333333336</v>
      </c>
      <c r="N3" s="14">
        <f>IF(AND(J3&gt;=1,T_base_données_contrats[[#This Row],[Responsable]]="MMFA",OR(VLOOKUP(K3,T_source_facturation[],2,FALSE)&gt;1,VLOOKUP(K3,T_source_facturation[],2,FALSE)&lt;11)),((((M3*0.025)/T_base_données_contrats[[#This Row],[Durée en années]])/VLOOKUP(T_base_données_contrats[[#This Row],[Facturation]],T_source_facturation[],3,FALSE)))/2,((((M3*0.025)/T_base_données_contrats[[#This Row],[Durée en années]])/VLOOKUP(T_base_données_contrats[[#This Row],[Facturation]],T_source_facturation[],3,FALSE)))/3)</f>
        <v>119.58333333333336</v>
      </c>
      <c r="O3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43858</v>
      </c>
      <c r="P3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3" s="22"/>
      <c r="R3" s="22"/>
      <c r="W3" t="s">
        <v>26</v>
      </c>
      <c r="X3" s="11">
        <v>0</v>
      </c>
      <c r="Y3">
        <v>1</v>
      </c>
    </row>
    <row r="4" spans="1:31" x14ac:dyDescent="0.2">
      <c r="A4" s="11">
        <v>3</v>
      </c>
      <c r="B4" s="11" t="s">
        <v>9</v>
      </c>
      <c r="C4" s="11" t="s">
        <v>19</v>
      </c>
      <c r="D4" s="11" t="s">
        <v>21</v>
      </c>
      <c r="E4" s="11" t="s">
        <v>21</v>
      </c>
      <c r="F4" s="15" t="s">
        <v>22</v>
      </c>
      <c r="G4" s="11">
        <v>170</v>
      </c>
      <c r="H4" s="12">
        <v>43853</v>
      </c>
      <c r="I4" s="12">
        <v>44219</v>
      </c>
      <c r="J4" s="11">
        <f t="shared" ref="J4" si="0">DATEDIF(H4,I4,"Y")</f>
        <v>1</v>
      </c>
      <c r="K4" s="12" t="s">
        <v>26</v>
      </c>
      <c r="L4" s="16">
        <v>9000</v>
      </c>
      <c r="M4" s="14">
        <f>L4/1.2</f>
        <v>7500</v>
      </c>
      <c r="N4" s="14">
        <f>IF(AND(J4&gt;=1,T_base_données_contrats[[#This Row],[Responsable]]="MMFA",OR(VLOOKUP(K4,T_source_facturation[],2,FALSE)&gt;1,VLOOKUP(K4,T_source_facturation[],2,FALSE)&lt;11)),((((M4*0.025)/T_base_données_contrats[[#This Row],[Durée en années]])/VLOOKUP(T_base_données_contrats[[#This Row],[Facturation]],T_source_facturation[],3,FALSE)))/2,((((M4*0.025)/T_base_données_contrats[[#This Row],[Durée en années]])/VLOOKUP(T_base_données_contrats[[#This Row],[Facturation]],T_source_facturation[],3,FALSE)))/3)</f>
        <v>93.75</v>
      </c>
      <c r="O4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43853</v>
      </c>
      <c r="P4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4" s="22"/>
      <c r="R4" s="22"/>
      <c r="W4" t="s">
        <v>27</v>
      </c>
      <c r="X4" s="11">
        <v>6</v>
      </c>
      <c r="Y4">
        <v>2</v>
      </c>
    </row>
    <row r="5" spans="1:31" x14ac:dyDescent="0.2">
      <c r="A5" s="11">
        <v>4</v>
      </c>
      <c r="B5" s="11" t="s">
        <v>11</v>
      </c>
      <c r="C5" s="11" t="s">
        <v>23</v>
      </c>
      <c r="D5" s="11" t="s">
        <v>21</v>
      </c>
      <c r="E5" s="11" t="s">
        <v>21</v>
      </c>
      <c r="F5" s="15" t="s">
        <v>22</v>
      </c>
      <c r="G5" s="11">
        <v>555</v>
      </c>
      <c r="H5" s="12">
        <v>43906</v>
      </c>
      <c r="I5" s="12">
        <v>44636</v>
      </c>
      <c r="J5" s="11">
        <f>DATEDIF(H5,I5,"Y")</f>
        <v>2</v>
      </c>
      <c r="K5" s="12" t="s">
        <v>26</v>
      </c>
      <c r="L5" s="16">
        <v>23000</v>
      </c>
      <c r="M5" s="14">
        <f>L5/1.2</f>
        <v>19166.666666666668</v>
      </c>
      <c r="N5" s="14">
        <f>IF(AND(J5&gt;=1,T_base_données_contrats[[#This Row],[Responsable]]="MMFA",OR(VLOOKUP(K5,T_source_facturation[],2,FALSE)&gt;1,VLOOKUP(K5,T_source_facturation[],2,FALSE)&lt;11)),((((M5*0.025)/T_base_données_contrats[[#This Row],[Durée en années]])/VLOOKUP(T_base_données_contrats[[#This Row],[Facturation]],T_source_facturation[],3,FALSE)))/2,((((M5*0.025)/T_base_données_contrats[[#This Row],[Durée en années]])/VLOOKUP(T_base_données_contrats[[#This Row],[Facturation]],T_source_facturation[],3,FALSE)))/3)</f>
        <v>79.861111111111128</v>
      </c>
      <c r="O5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5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5" s="22"/>
      <c r="R5" s="22"/>
      <c r="W5" t="s">
        <v>28</v>
      </c>
      <c r="X5" s="11">
        <v>3</v>
      </c>
      <c r="Y5">
        <v>4</v>
      </c>
    </row>
    <row r="6" spans="1:31" x14ac:dyDescent="0.2">
      <c r="A6" s="11">
        <v>5</v>
      </c>
      <c r="B6" s="11" t="s">
        <v>11</v>
      </c>
      <c r="C6" s="11" t="s">
        <v>20</v>
      </c>
      <c r="D6" s="11" t="s">
        <v>21</v>
      </c>
      <c r="E6" s="11" t="s">
        <v>21</v>
      </c>
      <c r="F6" s="15" t="s">
        <v>22</v>
      </c>
      <c r="G6" s="11">
        <v>1123</v>
      </c>
      <c r="H6" s="12">
        <v>43906</v>
      </c>
      <c r="I6" s="12">
        <v>45367</v>
      </c>
      <c r="J6" s="11">
        <f>DATEDIF(H6,I6,"Y")</f>
        <v>4</v>
      </c>
      <c r="K6" s="12" t="s">
        <v>26</v>
      </c>
      <c r="L6" s="16">
        <v>24000</v>
      </c>
      <c r="M6" s="14">
        <f>L6/1.2</f>
        <v>20000</v>
      </c>
      <c r="N6" s="14">
        <f>IF(AND(J6&gt;=1,T_base_données_contrats[[#This Row],[Responsable]]="MMFA",OR(VLOOKUP(K6,T_source_facturation[],2,FALSE)&gt;1,VLOOKUP(K6,T_source_facturation[],2,FALSE)&lt;11)),((((M6*0.025)/T_base_données_contrats[[#This Row],[Durée en années]])/VLOOKUP(T_base_données_contrats[[#This Row],[Facturation]],T_source_facturation[],3,FALSE)))/2,((((M6*0.025)/T_base_données_contrats[[#This Row],[Durée en années]])/VLOOKUP(T_base_données_contrats[[#This Row],[Facturation]],T_source_facturation[],3,FALSE)))/3)</f>
        <v>41.666666666666664</v>
      </c>
      <c r="O6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6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6" s="22"/>
      <c r="R6" s="22"/>
      <c r="S6" s="1"/>
      <c r="W6" t="s">
        <v>29</v>
      </c>
      <c r="X6" s="11">
        <v>12</v>
      </c>
      <c r="Y6">
        <v>1</v>
      </c>
    </row>
    <row r="7" spans="1:31" x14ac:dyDescent="0.2">
      <c r="A7" s="11">
        <v>6</v>
      </c>
      <c r="B7" s="11" t="s">
        <v>9</v>
      </c>
      <c r="C7" s="11" t="s">
        <v>33</v>
      </c>
      <c r="D7" s="11" t="s">
        <v>21</v>
      </c>
      <c r="E7" s="11" t="s">
        <v>21</v>
      </c>
      <c r="F7" s="15" t="s">
        <v>22</v>
      </c>
      <c r="G7" s="11">
        <v>124</v>
      </c>
      <c r="H7" s="12">
        <v>43946</v>
      </c>
      <c r="I7" s="12">
        <v>44676</v>
      </c>
      <c r="J7" s="11">
        <f t="shared" ref="J7:J10" si="1">DATEDIF(H7,I7,"Y")</f>
        <v>2</v>
      </c>
      <c r="K7" s="12" t="s">
        <v>26</v>
      </c>
      <c r="L7" s="14">
        <v>18000</v>
      </c>
      <c r="M7" s="14">
        <f t="shared" ref="M7:M10" si="2">L7/1.2</f>
        <v>15000</v>
      </c>
      <c r="N7" s="14">
        <f>IF(AND(J7&gt;=1,T_base_données_contrats[[#This Row],[Responsable]]="MMFA",OR(VLOOKUP(K7,T_source_facturation[],2,FALSE)&gt;1,VLOOKUP(K7,T_source_facturation[],2,FALSE)&lt;11)),((((M7*0.025)/T_base_données_contrats[[#This Row],[Durée en années]])/VLOOKUP(T_base_données_contrats[[#This Row],[Facturation]],T_source_facturation[],3,FALSE)))/2,((((M7*0.025)/T_base_données_contrats[[#This Row],[Durée en années]])/VLOOKUP(T_base_données_contrats[[#This Row],[Facturation]],T_source_facturation[],3,FALSE)))/3)</f>
        <v>93.75</v>
      </c>
      <c r="O7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43946</v>
      </c>
      <c r="P7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7" s="22"/>
      <c r="R7" s="22"/>
    </row>
    <row r="8" spans="1:31" x14ac:dyDescent="0.2">
      <c r="A8" s="11">
        <v>7</v>
      </c>
      <c r="B8" s="11" t="s">
        <v>9</v>
      </c>
      <c r="C8" s="11" t="s">
        <v>30</v>
      </c>
      <c r="D8" s="11" t="s">
        <v>21</v>
      </c>
      <c r="E8" s="11" t="s">
        <v>21</v>
      </c>
      <c r="F8" s="15" t="s">
        <v>22</v>
      </c>
      <c r="G8" s="11">
        <v>543</v>
      </c>
      <c r="H8" s="12">
        <v>43997</v>
      </c>
      <c r="I8" s="12">
        <v>44362</v>
      </c>
      <c r="J8" s="11">
        <f t="shared" si="1"/>
        <v>1</v>
      </c>
      <c r="K8" s="12" t="s">
        <v>29</v>
      </c>
      <c r="L8" s="14">
        <v>5500</v>
      </c>
      <c r="M8" s="14">
        <f t="shared" si="2"/>
        <v>4583.3333333333339</v>
      </c>
      <c r="N8" s="14">
        <f>IF(AND(J8&gt;=1,T_base_données_contrats[[#This Row],[Responsable]]="MMFA",OR(VLOOKUP(K8,T_source_facturation[],2,FALSE)&gt;1,VLOOKUP(K8,T_source_facturation[],2,FALSE)&lt;11)),((((M8*0.025)/T_base_données_contrats[[#This Row],[Durée en années]])/VLOOKUP(T_base_données_contrats[[#This Row],[Facturation]],T_source_facturation[],3,FALSE)))/2,((((M8*0.025)/T_base_données_contrats[[#This Row],[Durée en années]])/VLOOKUP(T_base_données_contrats[[#This Row],[Facturation]],T_source_facturation[],3,FALSE)))/3)</f>
        <v>57.291666666666679</v>
      </c>
      <c r="O8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44362</v>
      </c>
      <c r="P8" s="12" t="str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/>
      </c>
      <c r="Q8" s="22"/>
      <c r="R8" s="22"/>
    </row>
    <row r="9" spans="1:31" x14ac:dyDescent="0.2">
      <c r="A9" s="11">
        <v>8</v>
      </c>
      <c r="B9" s="11" t="s">
        <v>9</v>
      </c>
      <c r="C9" s="11" t="s">
        <v>32</v>
      </c>
      <c r="D9" s="11" t="s">
        <v>21</v>
      </c>
      <c r="E9" s="11" t="s">
        <v>21</v>
      </c>
      <c r="F9" s="15" t="s">
        <v>22</v>
      </c>
      <c r="G9" s="11">
        <v>765</v>
      </c>
      <c r="H9" s="12">
        <v>44028</v>
      </c>
      <c r="I9" s="12">
        <v>44393</v>
      </c>
      <c r="J9" s="11">
        <f t="shared" si="1"/>
        <v>1</v>
      </c>
      <c r="K9" s="12" t="s">
        <v>28</v>
      </c>
      <c r="L9" s="14">
        <v>8500</v>
      </c>
      <c r="M9" s="14">
        <f t="shared" si="2"/>
        <v>7083.3333333333339</v>
      </c>
      <c r="N9" s="14">
        <f>IF(AND(J9&gt;=1,T_base_données_contrats[[#This Row],[Responsable]]="MMFA",OR(VLOOKUP(K9,T_source_facturation[],2,FALSE)&gt;1,VLOOKUP(K9,T_source_facturation[],2,FALSE)&lt;11)),((((M9*0.025)/T_base_données_contrats[[#This Row],[Durée en années]])/VLOOKUP(T_base_données_contrats[[#This Row],[Facturation]],T_source_facturation[],3,FALSE)))/2,((((M9*0.025)/T_base_données_contrats[[#This Row],[Durée en années]])/VLOOKUP(T_base_données_contrats[[#This Row],[Facturation]],T_source_facturation[],3,FALSE)))/3)</f>
        <v>22.135416666666671</v>
      </c>
      <c r="O9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44028</v>
      </c>
      <c r="P9" s="12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>44120</v>
      </c>
      <c r="Q9" s="12"/>
      <c r="R9" s="22"/>
    </row>
    <row r="10" spans="1:31" x14ac:dyDescent="0.2">
      <c r="A10" s="11">
        <v>9</v>
      </c>
      <c r="B10" s="11" t="s">
        <v>9</v>
      </c>
      <c r="C10" s="11" t="s">
        <v>31</v>
      </c>
      <c r="D10" s="11" t="s">
        <v>21</v>
      </c>
      <c r="E10" s="11" t="s">
        <v>21</v>
      </c>
      <c r="F10" s="15" t="s">
        <v>22</v>
      </c>
      <c r="G10" s="11">
        <v>432</v>
      </c>
      <c r="H10" s="12">
        <v>44036</v>
      </c>
      <c r="I10" s="12">
        <v>45131</v>
      </c>
      <c r="J10" s="11">
        <f t="shared" si="1"/>
        <v>3</v>
      </c>
      <c r="K10" s="12" t="s">
        <v>27</v>
      </c>
      <c r="L10" s="14">
        <v>24000</v>
      </c>
      <c r="M10" s="14">
        <f t="shared" si="2"/>
        <v>20000</v>
      </c>
      <c r="N10" s="14">
        <f>IF(AND(J10&gt;=1,T_base_données_contrats[[#This Row],[Responsable]]="MMFA",OR(VLOOKUP(K10,T_source_facturation[],2,FALSE)&gt;1,VLOOKUP(K10,T_source_facturation[],2,FALSE)&lt;11)),((((M10*0.025)/T_base_données_contrats[[#This Row],[Durée en années]])/VLOOKUP(T_base_données_contrats[[#This Row],[Facturation]],T_source_facturation[],3,FALSE)))/2,((((M10*0.025)/T_base_données_contrats[[#This Row],[Durée en années]])/VLOOKUP(T_base_données_contrats[[#This Row],[Facturation]],T_source_facturation[],3,FALSE)))/3)</f>
        <v>41.666666666666664</v>
      </c>
      <c r="O10" s="12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44036</v>
      </c>
      <c r="P10" s="12">
        <f>IF(AND(VLOOKUP(T_base_données_contrats[[#This Row],[Facturation]],T_source_facturation[],2,FALSE)&gt;1,T_base_données_contrats[[#This Row],[Durée en années]]&gt;=1,VLOOKUP(T_base_données_contrats[[#This Row],[Facturation]],T_source_facturation[],2,FALSE)&lt;11),EDATE(T_base_données_contrats[[#This Row],[Date 1ere facturation]],VLOOKUP(T_base_données_contrats[[#This Row],[Facturation]],T_source_facturation[],2,FALSE)),"")</f>
        <v>44220</v>
      </c>
      <c r="Q10" s="22"/>
      <c r="R10" s="22"/>
    </row>
    <row r="12" spans="1:31" x14ac:dyDescent="0.2">
      <c r="Q12" s="11" t="s">
        <v>34</v>
      </c>
      <c r="R12" s="11" t="s">
        <v>35</v>
      </c>
    </row>
    <row r="13" spans="1:31" x14ac:dyDescent="0.2">
      <c r="Q13" s="12">
        <f>IF(VLOOKUP(K2,T_source_facturation[],1,FALSE)=K2,EDATE(O2,0),"")</f>
        <v>43860</v>
      </c>
    </row>
    <row r="14" spans="1:31" x14ac:dyDescent="0.2">
      <c r="Q14" s="12">
        <f>IF(VLOOKUP(K3,T_source_facturation[],1,FALSE)=K3,EDATE(O3,VLOOKUP(K3,T_source_facturation[],2,FALSE)))</f>
        <v>43858</v>
      </c>
      <c r="AD14" s="17" t="s">
        <v>39</v>
      </c>
      <c r="AE14" s="13" t="s">
        <v>41</v>
      </c>
    </row>
    <row r="15" spans="1:31" x14ac:dyDescent="0.2">
      <c r="Q15" s="12">
        <f>IF(VLOOKUP(K4,T_source_facturation[],1,FALSE)=K4,EDATE(O4,VLOOKUP(K4,T_source_facturation[],2,FALSE)))</f>
        <v>43853</v>
      </c>
      <c r="T15" s="1">
        <f ca="1">TODAY()</f>
        <v>43910</v>
      </c>
      <c r="AD15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15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16" spans="1:31" x14ac:dyDescent="0.2">
      <c r="Q16" s="12">
        <f>IF(VLOOKUP(K5,T_source_facturation[],1,FALSE)=K5,EDATE(O5,VLOOKUP(K5,T_source_facturation[],2,FALSE)))</f>
        <v>43906</v>
      </c>
      <c r="T16" s="1">
        <v>44037</v>
      </c>
      <c r="AD16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16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17" spans="17:31" x14ac:dyDescent="0.2">
      <c r="Q17" s="12">
        <f>IF(VLOOKUP(K6,T_source_facturation[],1,FALSE)=K6,EDATE(O6,VLOOKUP(K6,T_source_facturation[],2,FALSE)))</f>
        <v>43906</v>
      </c>
      <c r="AD17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17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18" spans="17:31" x14ac:dyDescent="0.2">
      <c r="Q18" s="12">
        <f>IF(VLOOKUP(K7,T_source_facturation[],1,FALSE)=K7,EDATE(O7,VLOOKUP(K7,T_source_facturation[],2,FALSE)))</f>
        <v>43946</v>
      </c>
      <c r="AD18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18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19" spans="17:31" x14ac:dyDescent="0.2">
      <c r="Q19" s="12">
        <f>IF(VLOOKUP(K8,T_source_facturation[],1,FALSE)=K8,EDATE(O8,VLOOKUP(K8,T_source_facturation[],2,FALSE)))</f>
        <v>44727</v>
      </c>
      <c r="AD19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19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20" spans="17:31" x14ac:dyDescent="0.2">
      <c r="Q20" s="12">
        <f>IF(VLOOKUP(K9,T_source_facturation[],1,FALSE)=K9,EDATE(O9,VLOOKUP(K9,T_source_facturation[],2,FALSE)))</f>
        <v>44120</v>
      </c>
      <c r="R20" s="12"/>
      <c r="S20" s="1"/>
      <c r="T20" s="1"/>
      <c r="AD20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20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21" spans="17:31" x14ac:dyDescent="0.2">
      <c r="Q21" s="12">
        <f>IF(VLOOKUP(K10,T_source_facturation[],1,FALSE)=K10,EDATE(O10,VLOOKUP(K10,T_source_facturation[],2,FALSE)))</f>
        <v>44220</v>
      </c>
      <c r="R21" s="12"/>
      <c r="S21" s="1"/>
      <c r="T21" s="1"/>
      <c r="AD21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21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22" spans="17:31" x14ac:dyDescent="0.2">
      <c r="R22" s="12">
        <f>IF(VLOOKUP(K9,T_source_facturation[],2,FALSE)&gt;1,H9,"")</f>
        <v>44028</v>
      </c>
      <c r="S22" s="1"/>
      <c r="T22" s="1"/>
      <c r="AD22" s="18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22" s="19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23" spans="17:31" x14ac:dyDescent="0.2">
      <c r="R23" s="12"/>
      <c r="S23" s="1"/>
      <c r="T23" s="1"/>
      <c r="AD23" s="20" t="e">
        <f>IF(AND(T_base_données_contrats[[#This Row],[Date  de début]]&lt;$T$16,T_base_données_contrats[[#This Row],[Durée en années]]&gt;1),EDATE(T_base_données_contrats[[#This Row],[Date  de début]],VLOOKUP(T_base_données_contrats[[#This Row],[Facturation]],T_source_facturation[],2,FALSE)),T_base_données_contrats[[#This Row],[Date  de début]])</f>
        <v>#VALUE!</v>
      </c>
      <c r="AE23" s="21" t="e">
        <f>IF(VLOOKUP(T_base_données_contrats[[#This Row],[Facturation]],T_source_facturation[],2,FALSE)&gt;1,EDATE(T_base_données_contrats[[#This Row],[Date  de début]],VLOOKUP(T_base_données_contrats[[#This Row],[Facturation]],T_source_facturation[],2,FALSE)),T_base_données_contrats[[#This Row],[Date  de début]])</f>
        <v>#VALUE!</v>
      </c>
    </row>
    <row r="24" spans="17:31" x14ac:dyDescent="0.2">
      <c r="R24" s="12"/>
      <c r="S24" s="1"/>
      <c r="T24" s="1"/>
    </row>
    <row r="25" spans="17:31" x14ac:dyDescent="0.2">
      <c r="R25" s="12"/>
      <c r="S25" s="1"/>
      <c r="T25" s="1"/>
    </row>
    <row r="26" spans="17:31" x14ac:dyDescent="0.2">
      <c r="R26" s="12"/>
      <c r="S26" s="1"/>
      <c r="T26" s="1"/>
    </row>
    <row r="27" spans="17:31" x14ac:dyDescent="0.2">
      <c r="R27" s="12"/>
      <c r="S27" s="1"/>
      <c r="T27" s="1"/>
    </row>
    <row r="28" spans="17:31" x14ac:dyDescent="0.2">
      <c r="R28" s="12"/>
      <c r="S28" s="1"/>
      <c r="T28" s="1"/>
    </row>
    <row r="29" spans="17:31" x14ac:dyDescent="0.2">
      <c r="R29" s="12"/>
      <c r="S29" s="1"/>
      <c r="T29" s="1"/>
    </row>
    <row r="30" spans="17:31" x14ac:dyDescent="0.2">
      <c r="R30" s="12"/>
      <c r="S30" s="1"/>
      <c r="T30" s="1"/>
    </row>
    <row r="31" spans="17:31" x14ac:dyDescent="0.2">
      <c r="R31" s="12"/>
      <c r="S31" s="1"/>
      <c r="T31" s="1"/>
    </row>
    <row r="32" spans="17:31" x14ac:dyDescent="0.2">
      <c r="R32" s="12"/>
      <c r="S32" s="1"/>
      <c r="T32" s="1"/>
    </row>
    <row r="33" spans="18:20" x14ac:dyDescent="0.2">
      <c r="R33" s="12"/>
      <c r="S33" s="1"/>
      <c r="T33" s="1"/>
    </row>
    <row r="34" spans="18:20" x14ac:dyDescent="0.2">
      <c r="R34" s="12"/>
      <c r="S34" s="1"/>
      <c r="T34" s="1"/>
    </row>
    <row r="35" spans="18:20" x14ac:dyDescent="0.2">
      <c r="R35" s="12"/>
      <c r="S35" s="1"/>
      <c r="T35" s="1"/>
    </row>
    <row r="36" spans="18:20" x14ac:dyDescent="0.2">
      <c r="R36" s="12"/>
      <c r="S36" s="1"/>
      <c r="T36" s="1"/>
    </row>
  </sheetData>
  <phoneticPr fontId="3" type="noConversion"/>
  <dataValidations count="1">
    <dataValidation type="list" allowBlank="1" showInputMessage="1" showErrorMessage="1" sqref="K2:K10" xr:uid="{9D5C905D-B90F-2444-9B87-AE8A6460F3B7}">
      <formula1>$W$3:$W$6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1826-F183-C946-817E-2515A4B77E98}">
  <dimension ref="B7:AC18"/>
  <sheetViews>
    <sheetView workbookViewId="0">
      <selection activeCell="S20" sqref="S20"/>
    </sheetView>
  </sheetViews>
  <sheetFormatPr baseColWidth="10" defaultRowHeight="16" x14ac:dyDescent="0.2"/>
  <cols>
    <col min="2" max="13" width="15.83203125" customWidth="1"/>
    <col min="27" max="27" width="20.1640625" bestFit="1" customWidth="1"/>
    <col min="28" max="28" width="19.83203125" bestFit="1" customWidth="1"/>
    <col min="29" max="29" width="15.5" bestFit="1" customWidth="1"/>
  </cols>
  <sheetData>
    <row r="7" spans="2:29" ht="21" x14ac:dyDescent="0.2">
      <c r="B7" s="9" t="s">
        <v>15</v>
      </c>
      <c r="C7" cm="1">
        <f t="array" ref="C7">INDEX(Liste_années[Année],D7,1)</f>
        <v>2020</v>
      </c>
      <c r="D7">
        <v>1</v>
      </c>
    </row>
    <row r="8" spans="2:29" x14ac:dyDescent="0.2">
      <c r="Y8" t="s">
        <v>15</v>
      </c>
      <c r="AA8" s="5" t="s">
        <v>12</v>
      </c>
      <c r="AB8" t="s">
        <v>13</v>
      </c>
      <c r="AC8" t="s">
        <v>14</v>
      </c>
    </row>
    <row r="9" spans="2:29" x14ac:dyDescent="0.2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Y9">
        <v>2020</v>
      </c>
      <c r="AA9" s="6">
        <v>1</v>
      </c>
      <c r="AB9" s="4">
        <v>88.541666666666686</v>
      </c>
      <c r="AC9" s="4">
        <v>1</v>
      </c>
    </row>
    <row r="10" spans="2:29" x14ac:dyDescent="0.2">
      <c r="Y10">
        <v>2021</v>
      </c>
      <c r="AA10" s="10">
        <v>43860</v>
      </c>
      <c r="AB10" s="4">
        <v>88.541666666666686</v>
      </c>
      <c r="AC10" s="4">
        <v>1</v>
      </c>
    </row>
    <row r="11" spans="2:29" ht="21" x14ac:dyDescent="0.2">
      <c r="B11" s="8" t="str">
        <f>TEXT(DATE($C$7,1,1),"mmmm")</f>
        <v>janvier</v>
      </c>
      <c r="C11" s="8" t="str">
        <f>TEXT(DATE($C$7,2,1),"mmmm")</f>
        <v>février</v>
      </c>
      <c r="D11" s="8" t="str">
        <f>TEXT(DATE($C$7,3,1),"mmmm")</f>
        <v>mars</v>
      </c>
      <c r="E11" s="8" t="str">
        <f>TEXT(DATE($C$7,4,1),"mmmm")</f>
        <v>avril</v>
      </c>
      <c r="F11" s="8" t="str">
        <f>TEXT(DATE($C$7,5,1),"mmmm")</f>
        <v>mai</v>
      </c>
      <c r="G11" s="8" t="str">
        <f>TEXT(DATE($C$7,6,1),"mmmm")</f>
        <v>juin</v>
      </c>
      <c r="H11" s="8" t="str">
        <f>TEXT(DATE($C$7,7,1),"mmmm")</f>
        <v>juillet</v>
      </c>
      <c r="I11" s="8" t="str">
        <f>TEXT(DATE($C$7,8,1),"mmmm")</f>
        <v>août</v>
      </c>
      <c r="J11" s="8" t="str">
        <f>TEXT(DATE($C$7,9,1),"mmmm")</f>
        <v>septembre</v>
      </c>
      <c r="K11" s="8" t="str">
        <f>TEXT(DATE($C$7,10,1),"mmmm")</f>
        <v>octobre</v>
      </c>
      <c r="L11" s="8" t="str">
        <f>TEXT(DATE($C$7,11,1),"mmmm")</f>
        <v>novembre</v>
      </c>
      <c r="M11" s="8" t="str">
        <f>TEXT(DATE($C$7,12,1),"mmmm")</f>
        <v>décembre</v>
      </c>
      <c r="Y11">
        <v>2022</v>
      </c>
      <c r="AA11" s="6">
        <v>2</v>
      </c>
      <c r="AB11" s="4">
        <v>119.58333333333336</v>
      </c>
      <c r="AC11" s="4">
        <v>2</v>
      </c>
    </row>
    <row r="12" spans="2:29" x14ac:dyDescent="0.2">
      <c r="B12">
        <f>SUMIF(AA:AC,VLOOKUP(MONTH(1),AA:AC,2,1))</f>
        <v>177.08333333333337</v>
      </c>
      <c r="Y12">
        <v>2023</v>
      </c>
      <c r="AA12" s="10">
        <v>43858</v>
      </c>
      <c r="AB12" s="4">
        <v>119.58333333333336</v>
      </c>
      <c r="AC12" s="4">
        <v>2</v>
      </c>
    </row>
    <row r="13" spans="2:29" x14ac:dyDescent="0.2">
      <c r="Y13">
        <v>2024</v>
      </c>
      <c r="AA13" s="6">
        <v>3</v>
      </c>
      <c r="AB13" s="4">
        <v>93.75</v>
      </c>
      <c r="AC13" s="4">
        <v>1</v>
      </c>
    </row>
    <row r="14" spans="2:29" x14ac:dyDescent="0.2">
      <c r="AA14" s="10">
        <v>43853</v>
      </c>
      <c r="AB14" s="4">
        <v>93.75</v>
      </c>
      <c r="AC14" s="4">
        <v>1</v>
      </c>
    </row>
    <row r="15" spans="2:29" x14ac:dyDescent="0.2">
      <c r="AA15" s="6">
        <v>4</v>
      </c>
      <c r="AB15" s="4">
        <v>79.861111111111128</v>
      </c>
      <c r="AC15" s="4">
        <v>2</v>
      </c>
    </row>
    <row r="16" spans="2:29" x14ac:dyDescent="0.2">
      <c r="AA16" s="10">
        <v>43906</v>
      </c>
      <c r="AB16" s="4">
        <v>79.861111111111128</v>
      </c>
      <c r="AC16" s="4">
        <v>2</v>
      </c>
    </row>
    <row r="17" spans="27:29" x14ac:dyDescent="0.2">
      <c r="AA17" s="6">
        <v>5</v>
      </c>
      <c r="AB17" s="4">
        <v>41.666666666666664</v>
      </c>
      <c r="AC17" s="4">
        <v>4</v>
      </c>
    </row>
    <row r="18" spans="27:29" x14ac:dyDescent="0.2">
      <c r="AA18" s="10">
        <v>43906</v>
      </c>
      <c r="AB18" s="4">
        <v>41.666666666666664</v>
      </c>
      <c r="AC18" s="4">
        <v>4</v>
      </c>
    </row>
  </sheetData>
  <phoneticPr fontId="3" type="noConversion"/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12700</xdr:colOff>
                    <xdr:row>6</xdr:row>
                    <xdr:rowOff>12700</xdr:rowOff>
                  </from>
                  <to>
                    <xdr:col>4</xdr:col>
                    <xdr:colOff>25400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contrats</vt:lpstr>
      <vt:lpstr>Récapitulatif des commissions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2020-02-29T10:30:02Z</dcterms:created>
  <dcterms:modified xsi:type="dcterms:W3CDTF">2020-03-20T14:02:40Z</dcterms:modified>
  <cp:category/>
</cp:coreProperties>
</file>