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pins/Downloads/"/>
    </mc:Choice>
  </mc:AlternateContent>
  <xr:revisionPtr revIDLastSave="0" documentId="13_ncr:1_{421B6C85-6CE7-1144-844A-ADBFD25D7D13}" xr6:coauthVersionLast="45" xr6:coauthVersionMax="45" xr10:uidLastSave="{00000000-0000-0000-0000-000000000000}"/>
  <bookViews>
    <workbookView xWindow="0" yWindow="460" windowWidth="23260" windowHeight="13180" xr2:uid="{00000000-000D-0000-FFFF-FFFF00000000}"/>
  </bookViews>
  <sheets>
    <sheet name="Base de données contrats" sheetId="1" r:id="rId1"/>
    <sheet name="Récapitulatif des commissions" sheetId="3" r:id="rId2"/>
    <sheet name="Resultat" sheetId="19" r:id="rId3"/>
  </sheets>
  <calcPr calcId="191029"/>
  <pivotCaches>
    <pivotCache cacheId="13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1" i="1" l="1"/>
  <c r="N11" i="1" s="1"/>
  <c r="M11" i="1"/>
  <c r="O11" i="1"/>
  <c r="P11" i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J8" i="1" l="1"/>
  <c r="AM4" i="1"/>
  <c r="AM5" i="1" s="1"/>
  <c r="AM6" i="1" s="1"/>
  <c r="J9" i="1"/>
  <c r="O2" i="1"/>
  <c r="O3" i="1"/>
  <c r="O4" i="1"/>
  <c r="O5" i="1"/>
  <c r="O6" i="1"/>
  <c r="O7" i="1"/>
  <c r="O8" i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O9" i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O10" i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AF10" i="1" s="1"/>
  <c r="AG10" i="1" s="1"/>
  <c r="AH10" i="1" s="1"/>
  <c r="J7" i="1" l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J10" i="1"/>
  <c r="M7" i="1"/>
  <c r="M8" i="1"/>
  <c r="M9" i="1"/>
  <c r="N9" i="1" s="1"/>
  <c r="M10" i="1"/>
  <c r="N7" i="1" l="1"/>
  <c r="N8" i="1"/>
  <c r="N10" i="1"/>
  <c r="C7" i="3" a="1"/>
  <c r="C7" i="3" s="1"/>
  <c r="M11" i="3" s="1"/>
  <c r="B11" i="3" l="1"/>
  <c r="F11" i="3"/>
  <c r="J11" i="3"/>
  <c r="C11" i="3"/>
  <c r="G11" i="3"/>
  <c r="K11" i="3"/>
  <c r="D11" i="3"/>
  <c r="H11" i="3"/>
  <c r="L11" i="3"/>
  <c r="E11" i="3"/>
  <c r="I11" i="3"/>
  <c r="J6" i="1" l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M6" i="1"/>
  <c r="J5" i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M5" i="1"/>
  <c r="N5" i="1" l="1"/>
  <c r="N6" i="1"/>
  <c r="AQ3" i="1"/>
  <c r="J2" i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M2" i="1"/>
  <c r="M4" i="1"/>
  <c r="M3" i="1"/>
  <c r="J4" i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J3" i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N3" i="1" l="1"/>
  <c r="N4" i="1"/>
  <c r="N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<sst xmlns="http://schemas.openxmlformats.org/spreadsheetml/2006/main" count="110" uniqueCount="60">
  <si>
    <t>Etablissement</t>
  </si>
  <si>
    <t>Contact</t>
  </si>
  <si>
    <t>Adresse email</t>
  </si>
  <si>
    <t>Numéro de série</t>
  </si>
  <si>
    <t>Date de fin</t>
  </si>
  <si>
    <t>Date  de début</t>
  </si>
  <si>
    <t>Montant HT</t>
  </si>
  <si>
    <t>Montant TTC</t>
  </si>
  <si>
    <t>Responsable</t>
  </si>
  <si>
    <t>MMFA</t>
  </si>
  <si>
    <t>Appareils</t>
  </si>
  <si>
    <t>MMFAB</t>
  </si>
  <si>
    <t>Étiquettes de lignes</t>
  </si>
  <si>
    <t>Année</t>
  </si>
  <si>
    <t>Nombre unique</t>
  </si>
  <si>
    <t>HU</t>
  </si>
  <si>
    <t>LC</t>
  </si>
  <si>
    <t>RD</t>
  </si>
  <si>
    <t>BT</t>
  </si>
  <si>
    <t>.</t>
  </si>
  <si>
    <t>HR+TC</t>
  </si>
  <si>
    <t>DR</t>
  </si>
  <si>
    <t>Facturation</t>
  </si>
  <si>
    <t>Type_facturation</t>
  </si>
  <si>
    <t>annuelle</t>
  </si>
  <si>
    <t>semestrielle</t>
  </si>
  <si>
    <t>trimestrielle</t>
  </si>
  <si>
    <t>à terme échu</t>
  </si>
  <si>
    <t>RT</t>
  </si>
  <si>
    <t>ED</t>
  </si>
  <si>
    <t>AS</t>
  </si>
  <si>
    <t>QW</t>
  </si>
  <si>
    <t>Nombre de mois</t>
  </si>
  <si>
    <t>Commision par facturation</t>
  </si>
  <si>
    <t>Durée en années</t>
  </si>
  <si>
    <t>Facturation 2</t>
  </si>
  <si>
    <t>Facturation 3</t>
  </si>
  <si>
    <t>Facturation 4</t>
  </si>
  <si>
    <t>Nombre de paiemement</t>
  </si>
  <si>
    <t>Années</t>
  </si>
  <si>
    <t>jours</t>
  </si>
  <si>
    <t>Facturation 5</t>
  </si>
  <si>
    <t>Facturation 6</t>
  </si>
  <si>
    <t>Facturation 7</t>
  </si>
  <si>
    <t>Facturation 8</t>
  </si>
  <si>
    <t>Facturation 9</t>
  </si>
  <si>
    <t>Facturation 10</t>
  </si>
  <si>
    <t>Facturation 11</t>
  </si>
  <si>
    <t>Facturation 12</t>
  </si>
  <si>
    <t>Facturation 13</t>
  </si>
  <si>
    <t>Facturation 14</t>
  </si>
  <si>
    <t>Facturation 15</t>
  </si>
  <si>
    <t>Facturation 16</t>
  </si>
  <si>
    <t>Facturation 17</t>
  </si>
  <si>
    <t>Facturation 18</t>
  </si>
  <si>
    <t>Facturation 19</t>
  </si>
  <si>
    <t>Facturation 20</t>
  </si>
  <si>
    <t>Facturation 1</t>
  </si>
  <si>
    <t>facturations</t>
  </si>
  <si>
    <t>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</si>
</sst>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€&quot;_ ;_ * \(#,##0.00\)\ &quot;€&quot;_ ;_ * &quot;-&quot;??_)\ &quot;€&quot;_ ;_ @_ "/>
    <numFmt numFmtId="164" formatCode="#,##0.00\ &quot;€&quot;"/>
    <numFmt numFmtId="165" formatCode="mmmm"/>
    <numFmt numFmtId="166" formatCode="m/d/yyyy"/>
  </numFmts>
  <fonts count="7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/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/>
    <xf numFmtId="14" fontId="0" fillId="0" borderId="0" xfId="0" applyNumberFormat="1" applyFont="1" applyBorder="1" applyAlignment="1">
      <alignment horizontal="center" vertical="center"/>
    </xf>
    <xf numFmtId="166" fontId="0" fillId="0" borderId="0" xfId="0" applyNumberFormat="1"/>
  </cellXfs>
  <cellStyles count="2">
    <cellStyle name="Monétaire" xfId="1" builtinId="4"/>
    <cellStyle name="Normal" xfId="0" builtinId="0"/>
  </cellStyles>
  <dxfs count="38">
    <dxf>
      <numFmt numFmtId="166" formatCode="m/d/yyyy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5" fmlaLink="D7" fmlaRange="$Y$3:$Y$7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127000</xdr:colOff>
          <xdr:row>16</xdr:row>
          <xdr:rowOff>0</xdr:rowOff>
        </xdr:from>
        <xdr:to>
          <xdr:col>14</xdr:col>
          <xdr:colOff>444500</xdr:colOff>
          <xdr:row>19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À TESTER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6</xdr:row>
          <xdr:rowOff>12700</xdr:rowOff>
        </xdr:from>
        <xdr:to>
          <xdr:col>4</xdr:col>
          <xdr:colOff>25400</xdr:colOff>
          <xdr:row>7</xdr:row>
          <xdr:rowOff>12700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3911.87262303241" createdVersion="6" refreshedVersion="6" minRefreshableVersion="3" recordCount="9" xr:uid="{00000000-000A-0000-FFFF-FFFF00000000}">
  <cacheSource type="worksheet">
    <worksheetSource name="T_base_données_contrats"/>
  </cacheSource>
  <cacheFields count="34">
    <cacheField name="Nombre uniqu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Responsable" numFmtId="0">
      <sharedItems/>
    </cacheField>
    <cacheField name="Etablissement" numFmtId="0">
      <sharedItems/>
    </cacheField>
    <cacheField name="Contact" numFmtId="0">
      <sharedItems/>
    </cacheField>
    <cacheField name="Adresse email" numFmtId="0">
      <sharedItems/>
    </cacheField>
    <cacheField name="Appareils" numFmtId="0">
      <sharedItems/>
    </cacheField>
    <cacheField name="Numéro de série" numFmtId="0">
      <sharedItems containsSemiMixedTypes="0" containsString="0" containsNumber="1" containsInteger="1" minValue="124" maxValue="1123"/>
    </cacheField>
    <cacheField name="Date  de début" numFmtId="14">
      <sharedItems containsSemiMixedTypes="0" containsNonDate="0" containsDate="1" containsString="0" minDate="2020-01-23T00:00:00" maxDate="2020-07-25T00:00:00"/>
    </cacheField>
    <cacheField name="Date de fin" numFmtId="14">
      <sharedItems containsSemiMixedTypes="0" containsNonDate="0" containsDate="1" containsString="0" minDate="2021-01-23T00:00:00" maxDate="2024-03-17T00:00:00"/>
    </cacheField>
    <cacheField name="Durée en années" numFmtId="0">
      <sharedItems containsSemiMixedTypes="0" containsString="0" containsNumber="1" containsInteger="1" minValue="1" maxValue="4"/>
    </cacheField>
    <cacheField name="Facturation" numFmtId="14">
      <sharedItems/>
    </cacheField>
    <cacheField name="Montant TTC" numFmtId="164">
      <sharedItems containsSemiMixedTypes="0" containsString="0" containsNumber="1" containsInteger="1" minValue="5500" maxValue="24000"/>
    </cacheField>
    <cacheField name="Montant HT" numFmtId="164">
      <sharedItems containsSemiMixedTypes="0" containsString="0" containsNumber="1" minValue="4583.3333333333339" maxValue="20000"/>
    </cacheField>
    <cacheField name="Commision par facturation" numFmtId="164">
      <sharedItems containsSemiMixedTypes="0" containsString="0" containsNumber="1" minValue="7.3784722222222241" maxValue="187.5" count="8">
        <n v="88.541666666666686"/>
        <n v="119.58333333333336"/>
        <n v="93.75"/>
        <n v="79.861111111111128"/>
        <n v="41.666666666666664"/>
        <n v="187.5"/>
        <n v="19.097222222222225"/>
        <n v="7.3784722222222241"/>
      </sharedItems>
    </cacheField>
    <cacheField name="Date 1ere facturation" numFmtId="14">
      <sharedItems containsSemiMixedTypes="0" containsNonDate="0" containsDate="1" containsString="0" minDate="2020-01-23T00:00:00" maxDate="2021-06-16T00:00:00" count="8">
        <d v="2020-01-30T00:00:00"/>
        <d v="2020-01-28T00:00:00"/>
        <d v="2020-01-23T00:00:00"/>
        <d v="2020-03-16T00:00:00"/>
        <d v="2020-04-25T00:00:00"/>
        <d v="2021-06-15T00:00:00"/>
        <d v="2020-07-16T00:00:00"/>
        <d v="2020-07-24T00:00:00"/>
      </sharedItems>
    </cacheField>
    <cacheField name="Facturation 2" numFmtId="14">
      <sharedItems containsDate="1" containsMixedTypes="1" minDate="2020-10-16T00:00:00" maxDate="2022-06-16T00:00:00" count="6">
        <s v=""/>
        <d v="2021-01-28T00:00:00"/>
        <d v="2021-03-16T00:00:00"/>
        <d v="2022-06-15T00:00:00"/>
        <d v="2020-10-16T00:00:00"/>
        <d v="2021-01-24T00:00:00"/>
      </sharedItems>
    </cacheField>
    <cacheField name="Facturation 3" numFmtId="14">
      <sharedItems containsDate="1" containsMixedTypes="1" minDate="2021-01-16T00:00:00" maxDate="2023-06-16T00:00:00" count="5">
        <s v=""/>
        <d v="2022-03-16T00:00:00"/>
        <d v="2023-06-15T00:00:00"/>
        <d v="2021-01-16T00:00:00"/>
        <d v="2021-07-24T00:00:00"/>
      </sharedItems>
    </cacheField>
    <cacheField name="Facturation 4" numFmtId="14">
      <sharedItems containsDate="1" containsMixedTypes="1" minDate="2021-04-16T00:00:00" maxDate="2023-03-17T00:00:00" count="4">
        <s v=""/>
        <d v="2023-03-16T00:00:00"/>
        <d v="2021-04-16T00:00:00"/>
        <d v="2022-01-24T00:00:00"/>
      </sharedItems>
    </cacheField>
    <cacheField name="Facturation 5" numFmtId="14">
      <sharedItems containsDate="1" containsMixedTypes="1" minDate="2021-07-16T00:00:00" maxDate="2024-03-16T00:00:00" count="4">
        <s v=""/>
        <d v="2024-03-15T00:00:00"/>
        <d v="2021-07-16T00:00:00"/>
        <d v="2022-07-24T00:00:00"/>
      </sharedItems>
    </cacheField>
    <cacheField name="Facturation 6" numFmtId="14">
      <sharedItems containsDate="1" containsMixedTypes="1" minDate="2021-10-16T00:00:00" maxDate="2023-01-25T00:00:00" count="3">
        <s v=""/>
        <d v="2021-10-16T00:00:00"/>
        <d v="2023-01-24T00:00:00"/>
      </sharedItems>
    </cacheField>
    <cacheField name="Facturation 7" numFmtId="14">
      <sharedItems containsDate="1" containsMixedTypes="1" minDate="2022-01-16T00:00:00" maxDate="2022-01-17T00:00:00" count="2">
        <s v=""/>
        <d v="2022-01-16T00:00:00"/>
      </sharedItems>
    </cacheField>
    <cacheField name="Facturation 8" numFmtId="14">
      <sharedItems containsDate="1" containsMixedTypes="1" minDate="2022-04-16T00:00:00" maxDate="2022-04-17T00:00:00" count="2">
        <s v=""/>
        <d v="2022-04-16T00:00:00"/>
      </sharedItems>
    </cacheField>
    <cacheField name="Facturation 9" numFmtId="14">
      <sharedItems containsDate="1" containsMixedTypes="1" minDate="2022-07-16T00:00:00" maxDate="2022-07-17T00:00:00" count="2">
        <s v=""/>
        <d v="2022-07-16T00:00:00"/>
      </sharedItems>
    </cacheField>
    <cacheField name="Facturation 10" numFmtId="14">
      <sharedItems containsDate="1" containsMixedTypes="1" minDate="2022-10-16T00:00:00" maxDate="2022-10-17T00:00:00" count="2">
        <s v=""/>
        <d v="2022-10-16T00:00:00"/>
      </sharedItems>
    </cacheField>
    <cacheField name="Facturation 11" numFmtId="14">
      <sharedItems containsDate="1" containsMixedTypes="1" minDate="2023-01-16T00:00:00" maxDate="2023-01-17T00:00:00" count="2">
        <s v=""/>
        <d v="2023-01-16T00:00:00"/>
      </sharedItems>
    </cacheField>
    <cacheField name="Facturation 12" numFmtId="14">
      <sharedItems containsDate="1" containsMixedTypes="1" minDate="2023-04-16T00:00:00" maxDate="2023-04-17T00:00:00" count="2">
        <s v=""/>
        <d v="2023-04-16T00:00:00"/>
      </sharedItems>
    </cacheField>
    <cacheField name="Facturation 13" numFmtId="14">
      <sharedItems count="1">
        <s v=""/>
      </sharedItems>
    </cacheField>
    <cacheField name="Facturation 14" numFmtId="14">
      <sharedItems count="1">
        <s v=""/>
      </sharedItems>
    </cacheField>
    <cacheField name="Facturation 15" numFmtId="14">
      <sharedItems count="1">
        <s v=""/>
      </sharedItems>
    </cacheField>
    <cacheField name="Facturation 16" numFmtId="14">
      <sharedItems count="1">
        <s v=""/>
      </sharedItems>
    </cacheField>
    <cacheField name="Facturation 17" numFmtId="14">
      <sharedItems count="1">
        <s v=""/>
      </sharedItems>
    </cacheField>
    <cacheField name="Facturation 18" numFmtId="14">
      <sharedItems count="1">
        <s v=""/>
      </sharedItems>
    </cacheField>
    <cacheField name="Facturation 19" numFmtId="14">
      <sharedItems count="1">
        <s v=""/>
      </sharedItems>
    </cacheField>
    <cacheField name="Facturation 20" numFmtId="14">
      <sharedItems count="1"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s v="MMFA"/>
    <s v="HU"/>
    <s v="."/>
    <s v="."/>
    <s v="HR+TC"/>
    <n v="746"/>
    <d v="2020-01-30T00:00:00"/>
    <d v="2021-01-30T00:00:00"/>
    <n v="1"/>
    <s v="annuelle"/>
    <n v="8500"/>
    <n v="7083.33333333333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s v="MMFA"/>
    <s v="LC"/>
    <s v="."/>
    <s v="."/>
    <s v="HR+TC"/>
    <n v="504"/>
    <d v="2020-01-28T00:00:00"/>
    <d v="2022-01-28T00:00:00"/>
    <n v="2"/>
    <s v="annuelle"/>
    <n v="22960"/>
    <n v="19133.333333333336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s v="MMFA"/>
    <s v="RD"/>
    <s v="."/>
    <s v="."/>
    <s v="HR+TC"/>
    <n v="170"/>
    <d v="2020-01-23T00:00:00"/>
    <d v="2021-01-23T00:00:00"/>
    <n v="1"/>
    <s v="annuelle"/>
    <n v="9000"/>
    <n v="7500"/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s v="MMFAB"/>
    <s v="DR"/>
    <s v="."/>
    <s v="."/>
    <s v="HR+TC"/>
    <n v="555"/>
    <d v="2020-03-16T00:00:00"/>
    <d v="2022-03-16T00:00:00"/>
    <n v="2"/>
    <s v="annuelle"/>
    <n v="23000"/>
    <n v="19166.666666666668"/>
    <x v="3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s v="MMFAB"/>
    <s v="BT"/>
    <s v="."/>
    <s v="."/>
    <s v="HR+TC"/>
    <n v="1123"/>
    <d v="2020-03-16T00:00:00"/>
    <d v="2024-03-16T00:00:00"/>
    <n v="4"/>
    <s v="annuelle"/>
    <n v="24000"/>
    <n v="20000"/>
    <x v="4"/>
    <x v="3"/>
    <x v="2"/>
    <x v="1"/>
    <x v="1"/>
    <x v="1"/>
    <x v="0"/>
    <x v="0"/>
    <x v="0"/>
    <x v="0"/>
    <x v="0"/>
    <x v="0"/>
    <x v="0"/>
    <x v="0"/>
    <x v="0"/>
    <x v="0"/>
    <x v="0"/>
    <x v="0"/>
    <x v="0"/>
    <x v="0"/>
    <x v="0"/>
  </r>
  <r>
    <x v="5"/>
    <s v="MMFA"/>
    <s v="QW"/>
    <s v="."/>
    <s v="."/>
    <s v="HR+TC"/>
    <n v="124"/>
    <d v="2020-04-25T00:00:00"/>
    <d v="2021-04-25T00:00:00"/>
    <n v="1"/>
    <s v="annuelle"/>
    <n v="18000"/>
    <n v="1500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s v="MMFA"/>
    <s v="RT"/>
    <s v="."/>
    <s v="."/>
    <s v="HR+TC"/>
    <n v="543"/>
    <d v="2020-06-15T00:00:00"/>
    <d v="2023-06-15T00:00:00"/>
    <n v="3"/>
    <s v="à terme échu"/>
    <n v="5500"/>
    <n v="4583.3333333333339"/>
    <x v="6"/>
    <x v="5"/>
    <x v="3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s v="MMFA"/>
    <s v="AS"/>
    <s v="."/>
    <s v="."/>
    <s v="HR+TC"/>
    <n v="765"/>
    <d v="2020-07-16T00:00:00"/>
    <d v="2023-07-16T00:00:00"/>
    <n v="3"/>
    <s v="trimestrielle"/>
    <n v="8500"/>
    <n v="7083.3333333333339"/>
    <x v="7"/>
    <x v="6"/>
    <x v="4"/>
    <x v="3"/>
    <x v="2"/>
    <x v="2"/>
    <x v="1"/>
    <x v="1"/>
    <x v="1"/>
    <x v="1"/>
    <x v="1"/>
    <x v="1"/>
    <x v="1"/>
    <x v="0"/>
    <x v="0"/>
    <x v="0"/>
    <x v="0"/>
    <x v="0"/>
    <x v="0"/>
    <x v="0"/>
    <x v="0"/>
  </r>
  <r>
    <x v="8"/>
    <s v="MMFA"/>
    <s v="ED"/>
    <s v="."/>
    <s v="."/>
    <s v="HR+TC"/>
    <n v="432"/>
    <d v="2020-07-24T00:00:00"/>
    <d v="2023-07-24T00:00:00"/>
    <n v="3"/>
    <s v="semestrielle"/>
    <n v="24000"/>
    <n v="20000"/>
    <x v="4"/>
    <x v="7"/>
    <x v="5"/>
    <x v="4"/>
    <x v="3"/>
    <x v="3"/>
    <x v="2"/>
    <x v="0"/>
    <x v="0"/>
    <x v="0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5" cacheId="13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A2:AA11" firstHeaderRow="1" firstDataRow="1" firstDataCol="1"/>
  <pivotFields count="34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showAll="0"/>
    <pivotField showAll="0"/>
    <pivotField numFmtId="164" showAll="0"/>
    <pivotField numFmtId="164" showAll="0"/>
    <pivotField numFmtId="16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_données_contrats" displayName="T_base_données_contrats" ref="A1:AH11" totalsRowShown="0" headerRowDxfId="37" dataDxfId="36">
  <autoFilter ref="A1:AH11" xr:uid="{00000000-0009-0000-0100-000001000000}"/>
  <tableColumns count="34">
    <tableColumn id="14" xr3:uid="{00000000-0010-0000-0000-00000E000000}" name="Nombre unique" dataDxfId="35"/>
    <tableColumn id="1" xr3:uid="{00000000-0010-0000-0000-000001000000}" name="Responsable" dataDxfId="34"/>
    <tableColumn id="2" xr3:uid="{00000000-0010-0000-0000-000002000000}" name="Etablissement" dataDxfId="33"/>
    <tableColumn id="3" xr3:uid="{00000000-0010-0000-0000-000003000000}" name="Contact" dataDxfId="32"/>
    <tableColumn id="4" xr3:uid="{00000000-0010-0000-0000-000004000000}" name="Adresse email" dataDxfId="31"/>
    <tableColumn id="5" xr3:uid="{00000000-0010-0000-0000-000005000000}" name="Appareils" dataDxfId="30"/>
    <tableColumn id="6" xr3:uid="{00000000-0010-0000-0000-000006000000}" name="Numéro de série" dataDxfId="29"/>
    <tableColumn id="7" xr3:uid="{00000000-0010-0000-0000-000007000000}" name="Date  de début" dataDxfId="28"/>
    <tableColumn id="8" xr3:uid="{00000000-0010-0000-0000-000008000000}" name="Date de fin" dataDxfId="27"/>
    <tableColumn id="9" xr3:uid="{00000000-0010-0000-0000-000009000000}" name="Durée en années" dataDxfId="26">
      <calculatedColumnFormula>DATEDIF(H2,I2,"Y")</calculatedColumnFormula>
    </tableColumn>
    <tableColumn id="15" xr3:uid="{00000000-0010-0000-0000-00000F000000}" name="Facturation" dataDxfId="25"/>
    <tableColumn id="12" xr3:uid="{00000000-0010-0000-0000-00000C000000}" name="Montant TTC" dataDxfId="24"/>
    <tableColumn id="11" xr3:uid="{00000000-0010-0000-0000-00000B000000}" name="Montant HT" dataDxfId="23">
      <calculatedColumnFormula>L2/1.2</calculatedColumnFormula>
    </tableColumn>
    <tableColumn id="13" xr3:uid="{00000000-0010-0000-0000-00000D000000}" name="Commision par facturation" dataDxfId="22">
      <calculatedColumnFormula>IF(AND(J2&gt;=1,T_base_données_contrats[[#This Row],[Responsable]]="MMFA",OR(VLOOKUP(K2,T_source_facturation[],2,FALSE)&gt;1,VLOOKUP(K2,T_source_facturation[],2,FALSE)&lt;11)),((((M2*0.025)/T_base_données_contrats[[#This Row],[Durée en années]])/VLOOKUP(T_base_données_contrats[[#This Row],[Facturation]],T_source_facturation[],3,FALSE)))/2,((((M2*0.025)/T_base_données_contrats[[#This Row],[Durée en années]])/VLOOKUP(T_base_données_contrats[[#This Row],[Facturation]],T_source_facturation[],3,FALSE)))/3)</calculatedColumnFormula>
    </tableColumn>
    <tableColumn id="16" xr3:uid="{00000000-0010-0000-0000-000010000000}" name="Facturation 1" dataDxfId="21">
      <calculatedColumnFormula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calculatedColumnFormula>
    </tableColumn>
    <tableColumn id="17" xr3:uid="{00000000-0010-0000-0000-000011000000}" name="Facturation 2" dataDxfId="20">
      <calculatedColumnFormula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calculatedColumnFormula>
    </tableColumn>
    <tableColumn id="18" xr3:uid="{00000000-0010-0000-0000-000012000000}" name="Facturation 3" dataDxfId="19">
      <calculatedColumnFormula>IFERROR(IF(AND(EDATE(P2,VLOOKUP(T_base_données_contrats[[#This Row],[Facturation]],T_source_facturation[],2,FALSE))&lt;(T_base_données_contrats[[#This Row],[Date de fin]]-1),T_base_données_contrats[[#This Row],[Facturation]]&lt;&gt;"annuelle"),EDATE(P2,VLOOKUP(T_base_données_contrats[[#This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calculatedColumnFormula>
    </tableColumn>
    <tableColumn id="19" xr3:uid="{00000000-0010-0000-0000-000013000000}" name="Facturation 4" dataDxfId="18">
      <calculatedColumnFormula>IFERROR(IF(AND(EDATE(Q2,VLOOKUP(T_base_données_contrats[[#This Row],[Facturation]],T_source_facturation[],2,FALSE))&lt;(T_base_données_contrats[[#This Row],[Date de fin]]-1),T_base_données_contrats[[#This Row],[Facturation]]&lt;&gt;"annuelle"),EDATE(Q2,VLOOKUP(T_base_données_contrats[[#This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calculatedColumnFormula>
    </tableColumn>
    <tableColumn id="20" xr3:uid="{00000000-0010-0000-0000-000014000000}" name="Facturation 5" dataDxfId="17">
      <calculatedColumnFormula>IFERROR(IF(AND(EDATE(R2,VLOOKUP(T_base_données_contrats[[#This Row],[Facturation]],T_source_facturation[],2,FALSE))&lt;(T_base_données_contrats[[#This Row],[Date de fin]]-1),T_base_données_contrats[[#This Row],[Facturation]]&lt;&gt;"annuelle"),EDATE(R2,VLOOKUP(T_base_données_contrats[[#This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calculatedColumnFormula>
    </tableColumn>
    <tableColumn id="21" xr3:uid="{00000000-0010-0000-0000-000015000000}" name="Facturation 6" dataDxfId="16">
      <calculatedColumnFormula>IFERROR(IF(AND(EDATE(S2,VLOOKUP(T_base_données_contrats[[#This Row],[Facturation]],T_source_facturation[],2,FALSE))&lt;(T_base_données_contrats[[#This Row],[Date de fin]]-1),T_base_données_contrats[[#This Row],[Facturation]]&lt;&gt;"annuelle"),EDATE(S2,VLOOKUP(T_base_données_contrats[[#This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calculatedColumnFormula>
    </tableColumn>
    <tableColumn id="22" xr3:uid="{00000000-0010-0000-0000-000016000000}" name="Facturation 7" dataDxfId="15">
      <calculatedColumnFormula>IFERROR(IF(AND(EDATE(T2,VLOOKUP(T_base_données_contrats[[#This Row],[Facturation]],T_source_facturation[],2,FALSE))&lt;(T_base_données_contrats[[#This Row],[Date de fin]]-1),T_base_données_contrats[[#This Row],[Facturation]]&lt;&gt;"annuelle"),EDATE(T2,VLOOKUP(T_base_données_contrats[[#This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calculatedColumnFormula>
    </tableColumn>
    <tableColumn id="23" xr3:uid="{00000000-0010-0000-0000-000017000000}" name="Facturation 8" dataDxfId="14">
      <calculatedColumnFormula>IFERROR(IF(AND(EDATE(U2,VLOOKUP(T_base_données_contrats[[#This Row],[Facturation]],T_source_facturation[],2,FALSE))&lt;(T_base_données_contrats[[#This Row],[Date de fin]]-1),T_base_données_contrats[[#This Row],[Facturation]]&lt;&gt;"annuelle"),EDATE(U2,VLOOKUP(T_base_données_contrats[[#This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calculatedColumnFormula>
    </tableColumn>
    <tableColumn id="24" xr3:uid="{00000000-0010-0000-0000-000018000000}" name="Facturation 9" dataDxfId="13">
      <calculatedColumnFormula>IFERROR(IF(AND(EDATE(V2,VLOOKUP(T_base_données_contrats[[#This Row],[Facturation]],T_source_facturation[],2,FALSE))&lt;(T_base_données_contrats[[#This Row],[Date de fin]]-1),T_base_données_contrats[[#This Row],[Facturation]]&lt;&gt;"annuelle"),EDATE(V2,VLOOKUP(T_base_données_contrats[[#This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calculatedColumnFormula>
    </tableColumn>
    <tableColumn id="25" xr3:uid="{00000000-0010-0000-0000-000019000000}" name="Facturation 10" dataDxfId="12">
      <calculatedColumnFormula>IFERROR(IF(AND(EDATE(W2,VLOOKUP(T_base_données_contrats[[#This Row],[Facturation]],T_source_facturation[],2,FALSE))&lt;(T_base_données_contrats[[#This Row],[Date de fin]]-1),T_base_données_contrats[[#This Row],[Facturation]]&lt;&gt;"annuelle"),EDATE(W2,VLOOKUP(T_base_données_contrats[[#This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calculatedColumnFormula>
    </tableColumn>
    <tableColumn id="26" xr3:uid="{00000000-0010-0000-0000-00001A000000}" name="Facturation 11" dataDxfId="11">
      <calculatedColumnFormula>IFERROR(IF(AND(EDATE(X2,VLOOKUP(T_base_données_contrats[[#This Row],[Facturation]],T_source_facturation[],2,FALSE))&lt;(T_base_données_contrats[[#This Row],[Date de fin]]-1),T_base_données_contrats[[#This Row],[Facturation]]&lt;&gt;"annuelle"),EDATE(X2,VLOOKUP(T_base_données_contrats[[#This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calculatedColumnFormula>
    </tableColumn>
    <tableColumn id="27" xr3:uid="{00000000-0010-0000-0000-00001B000000}" name="Facturation 12" dataDxfId="10">
      <calculatedColumnFormula>IFERROR(IF(AND(EDATE(Y2,VLOOKUP(T_base_données_contrats[[#This Row],[Facturation]],T_source_facturation[],2,FALSE))&lt;(T_base_données_contrats[[#This Row],[Date de fin]]-1),T_base_données_contrats[[#This Row],[Facturation]]&lt;&gt;"annuelle"),EDATE(Y2,VLOOKUP(T_base_données_contrats[[#This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calculatedColumnFormula>
    </tableColumn>
    <tableColumn id="28" xr3:uid="{00000000-0010-0000-0000-00001C000000}" name="Facturation 13" dataDxfId="9">
      <calculatedColumnFormula>IFERROR(IF(AND(EDATE(Z2,VLOOKUP(T_base_données_contrats[[#This Row],[Facturation]],T_source_facturation[],2,FALSE))&lt;(T_base_données_contrats[[#This Row],[Date de fin]]-1),T_base_données_contrats[[#This Row],[Facturation]]&lt;&gt;"annuelle"),EDATE(Z2,VLOOKUP(T_base_données_contrats[[#This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calculatedColumnFormula>
    </tableColumn>
    <tableColumn id="29" xr3:uid="{00000000-0010-0000-0000-00001D000000}" name="Facturation 14" dataDxfId="8">
      <calculatedColumnFormula>IFERROR(IF(AND(EDATE(AA2,VLOOKUP(T_base_données_contrats[[#This Row],[Facturation]],T_source_facturation[],2,FALSE))&lt;(T_base_données_contrats[[#This Row],[Date de fin]]-1),T_base_données_contrats[[#This Row],[Facturation]]&lt;&gt;"annuelle"),EDATE(AA2,VLOOKUP(T_base_données_contrats[[#This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calculatedColumnFormula>
    </tableColumn>
    <tableColumn id="30" xr3:uid="{00000000-0010-0000-0000-00001E000000}" name="Facturation 15" dataDxfId="7">
      <calculatedColumnFormula>IFERROR(IF(AND(EDATE(AB2,VLOOKUP(T_base_données_contrats[[#This Row],[Facturation]],T_source_facturation[],2,FALSE))&lt;(T_base_données_contrats[[#This Row],[Date de fin]]-1),T_base_données_contrats[[#This Row],[Facturation]]&lt;&gt;"annuelle"),EDATE(AB2,VLOOKUP(T_base_données_contrats[[#This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calculatedColumnFormula>
    </tableColumn>
    <tableColumn id="31" xr3:uid="{00000000-0010-0000-0000-00001F000000}" name="Facturation 16" dataDxfId="6">
      <calculatedColumnFormula>IFERROR(IF(AND(EDATE(AC2,VLOOKUP(T_base_données_contrats[[#This Row],[Facturation]],T_source_facturation[],2,FALSE))&lt;(T_base_données_contrats[[#This Row],[Date de fin]]-1),T_base_données_contrats[[#This Row],[Facturation]]&lt;&gt;"annuelle"),EDATE(AC2,VLOOKUP(T_base_données_contrats[[#This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calculatedColumnFormula>
    </tableColumn>
    <tableColumn id="32" xr3:uid="{00000000-0010-0000-0000-000020000000}" name="Facturation 17" dataDxfId="5">
      <calculatedColumnFormula>IFERROR(IF(AND(EDATE(AD2,VLOOKUP(T_base_données_contrats[[#This Row],[Facturation]],T_source_facturation[],2,FALSE))&lt;(T_base_données_contrats[[#This Row],[Date de fin]]-1),T_base_données_contrats[[#This Row],[Facturation]]&lt;&gt;"annuelle"),EDATE(AD2,VLOOKUP(T_base_données_contrats[[#This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calculatedColumnFormula>
    </tableColumn>
    <tableColumn id="33" xr3:uid="{00000000-0010-0000-0000-000021000000}" name="Facturation 18" dataDxfId="4">
      <calculatedColumnFormula>IFERROR(IF(AND(EDATE(AE2,VLOOKUP(T_base_données_contrats[[#This Row],[Facturation]],T_source_facturation[],2,FALSE))&lt;(T_base_données_contrats[[#This Row],[Date de fin]]-1),T_base_données_contrats[[#This Row],[Facturation]]&lt;&gt;"annuelle"),EDATE(AE2,VLOOKUP(T_base_données_contrats[[#This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calculatedColumnFormula>
    </tableColumn>
    <tableColumn id="34" xr3:uid="{00000000-0010-0000-0000-000022000000}" name="Facturation 19" dataDxfId="3">
      <calculatedColumnFormula>IFERROR(IF(AND(EDATE(AF2,VLOOKUP(T_base_données_contrats[[#This Row],[Facturation]],T_source_facturation[],2,FALSE))&lt;(T_base_données_contrats[[#This Row],[Date de fin]]-1),T_base_données_contrats[[#This Row],[Facturation]]&lt;&gt;"annuelle"),EDATE(AF2,VLOOKUP(T_base_données_contrats[[#This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calculatedColumnFormula>
    </tableColumn>
    <tableColumn id="35" xr3:uid="{00000000-0010-0000-0000-000023000000}" name="Facturation 20" dataDxfId="2">
      <calculatedColumnFormula>IFERROR(IF(AND(EDATE(AG2,VLOOKUP(T_base_données_contrats[[#This Row],[Facturation]],T_source_facturation[],2,FALSE))&lt;(T_base_données_contrats[[#This Row],[Date de fin]]-1),T_base_données_contrats[[#This Row],[Facturation]]&lt;&gt;"annuelle"),EDATE(AG2,VLOOKUP(T_base_données_contrats[[#This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source_facturation" displayName="T_source_facturation" ref="AL9:AN13" totalsRowShown="0">
  <autoFilter ref="AL9:AN13" xr:uid="{00000000-0009-0000-0100-000003000000}"/>
  <tableColumns count="3">
    <tableColumn id="1" xr3:uid="{00000000-0010-0000-0100-000001000000}" name="Type_facturation"/>
    <tableColumn id="2" xr3:uid="{00000000-0010-0000-0100-000002000000}" name="Nombre de mois" dataDxfId="1"/>
    <tableColumn id="3" xr3:uid="{00000000-0010-0000-0100-000003000000}" name="Nombre de paiememe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ref_années" displayName="T_ref_années" ref="AL2:AM6" totalsRowShown="0">
  <autoFilter ref="AL2:AM6" xr:uid="{00000000-0009-0000-0100-000004000000}"/>
  <tableColumns count="2">
    <tableColumn id="1" xr3:uid="{00000000-0010-0000-0200-000001000000}" name="Années"/>
    <tableColumn id="2" xr3:uid="{00000000-0010-0000-0200-000002000000}" name="jours">
      <calculatedColumnFormula>AM2+365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Liste_années" displayName="Liste_années" ref="Y2:Y7" totalsRowShown="0">
  <autoFilter ref="Y2:Y7" xr:uid="{00000000-0009-0000-0100-000002000000}"/>
  <tableColumns count="1">
    <tableColumn id="1" xr3:uid="{00000000-0010-0000-0300-000001000000}" name="Anné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BA7A25C-BE3E-4543-8DBE-D4D350214FDD}" name="Tableau7" displayName="Tableau7" ref="A1:C46" totalsRowShown="0">
  <autoFilter ref="A1:C46" xr:uid="{504DDFA8-DD97-B94C-8EB1-6D01B194C0F7}"/>
  <tableColumns count="3">
    <tableColumn id="1" xr3:uid="{CBF02D32-D01B-1D4F-A621-2EA57BA8F6D9}" name="Nombre unique"/>
    <tableColumn id="2" xr3:uid="{BF7D34CA-FC28-B747-85C3-C0AD54F20317}" name="facturations" dataDxfId="0"/>
    <tableColumn id="3" xr3:uid="{7A6F3171-92A6-8446-A64E-31491F6DF497}" name="Commision par facturation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Q36"/>
  <sheetViews>
    <sheetView tabSelected="1" topLeftCell="H1" workbookViewId="0">
      <selection activeCell="K11" sqref="K11"/>
    </sheetView>
  </sheetViews>
  <sheetFormatPr baseColWidth="10" defaultRowHeight="16" x14ac:dyDescent="0.2"/>
  <cols>
    <col min="1" max="1" width="16.33203125" bestFit="1" customWidth="1"/>
    <col min="2" max="2" width="16.83203125" bestFit="1" customWidth="1"/>
    <col min="3" max="3" width="17.5" bestFit="1" customWidth="1"/>
    <col min="4" max="5" width="28.33203125" bestFit="1" customWidth="1"/>
    <col min="6" max="6" width="24.5" bestFit="1" customWidth="1"/>
    <col min="7" max="7" width="17.1640625" customWidth="1"/>
    <col min="8" max="8" width="15.5" customWidth="1"/>
    <col min="9" max="9" width="12.5" customWidth="1"/>
    <col min="10" max="10" width="17.1640625" bestFit="1" customWidth="1"/>
    <col min="11" max="11" width="14.1640625" style="3" bestFit="1" customWidth="1"/>
    <col min="12" max="12" width="14.1640625" style="3" customWidth="1"/>
    <col min="13" max="13" width="13.5" style="2" bestFit="1" customWidth="1"/>
    <col min="14" max="14" width="26.83203125" style="11" bestFit="1" customWidth="1"/>
    <col min="15" max="15" width="21.5" bestFit="1" customWidth="1"/>
    <col min="16" max="16" width="20.6640625" style="1" customWidth="1"/>
    <col min="17" max="17" width="18.83203125" style="9" bestFit="1" customWidth="1"/>
    <col min="18" max="18" width="17.33203125" style="9" customWidth="1"/>
    <col min="19" max="22" width="17" style="1" bestFit="1" customWidth="1"/>
    <col min="23" max="23" width="18.83203125" style="1" bestFit="1" customWidth="1"/>
    <col min="24" max="24" width="17.33203125" style="1" customWidth="1"/>
    <col min="25" max="25" width="24.1640625" style="1" bestFit="1" customWidth="1"/>
    <col min="26" max="34" width="18" style="1" bestFit="1" customWidth="1"/>
    <col min="36" max="36" width="18" bestFit="1" customWidth="1"/>
    <col min="38" max="38" width="17.6640625" bestFit="1" customWidth="1"/>
    <col min="39" max="39" width="17.33203125" bestFit="1" customWidth="1"/>
    <col min="40" max="40" width="24.1640625" bestFit="1" customWidth="1"/>
  </cols>
  <sheetData>
    <row r="1" spans="1:43" s="9" customFormat="1" x14ac:dyDescent="0.2">
      <c r="A1" s="9" t="s">
        <v>14</v>
      </c>
      <c r="B1" s="9" t="s">
        <v>8</v>
      </c>
      <c r="C1" s="9" t="s">
        <v>0</v>
      </c>
      <c r="D1" s="9" t="s">
        <v>1</v>
      </c>
      <c r="E1" s="9" t="s">
        <v>2</v>
      </c>
      <c r="F1" s="9" t="s">
        <v>10</v>
      </c>
      <c r="G1" s="9" t="s">
        <v>3</v>
      </c>
      <c r="H1" s="9" t="s">
        <v>5</v>
      </c>
      <c r="I1" s="9" t="s">
        <v>4</v>
      </c>
      <c r="J1" s="9" t="s">
        <v>34</v>
      </c>
      <c r="K1" s="9" t="s">
        <v>22</v>
      </c>
      <c r="L1" s="13" t="s">
        <v>7</v>
      </c>
      <c r="M1" s="11" t="s">
        <v>6</v>
      </c>
      <c r="N1" s="11" t="s">
        <v>33</v>
      </c>
      <c r="O1" s="9" t="s">
        <v>57</v>
      </c>
      <c r="P1" s="10" t="s">
        <v>35</v>
      </c>
      <c r="Q1" s="9" t="s">
        <v>36</v>
      </c>
      <c r="R1" s="9" t="s">
        <v>37</v>
      </c>
      <c r="S1" s="10" t="s">
        <v>41</v>
      </c>
      <c r="T1" s="10" t="s">
        <v>42</v>
      </c>
      <c r="U1" s="10" t="s">
        <v>43</v>
      </c>
      <c r="V1" s="10" t="s">
        <v>44</v>
      </c>
      <c r="W1" s="10" t="s">
        <v>45</v>
      </c>
      <c r="X1" s="10" t="s">
        <v>46</v>
      </c>
      <c r="Y1" s="10" t="s">
        <v>47</v>
      </c>
      <c r="Z1" s="10" t="s">
        <v>48</v>
      </c>
      <c r="AA1" s="10" t="s">
        <v>49</v>
      </c>
      <c r="AB1" s="10" t="s">
        <v>50</v>
      </c>
      <c r="AC1" s="10" t="s">
        <v>51</v>
      </c>
      <c r="AD1" s="10" t="s">
        <v>52</v>
      </c>
      <c r="AE1" s="10" t="s">
        <v>53</v>
      </c>
      <c r="AF1" s="10" t="s">
        <v>54</v>
      </c>
      <c r="AG1" s="10" t="s">
        <v>55</v>
      </c>
      <c r="AH1" s="10" t="s">
        <v>56</v>
      </c>
    </row>
    <row r="2" spans="1:43" x14ac:dyDescent="0.2">
      <c r="A2" s="9">
        <v>1</v>
      </c>
      <c r="B2" s="9" t="s">
        <v>9</v>
      </c>
      <c r="C2" s="9" t="s">
        <v>15</v>
      </c>
      <c r="D2" s="9" t="s">
        <v>19</v>
      </c>
      <c r="E2" s="9" t="s">
        <v>19</v>
      </c>
      <c r="F2" s="12" t="s">
        <v>20</v>
      </c>
      <c r="G2" s="9">
        <v>746</v>
      </c>
      <c r="H2" s="10">
        <v>43860</v>
      </c>
      <c r="I2" s="10">
        <v>44226</v>
      </c>
      <c r="J2" s="9">
        <f>DATEDIF(H2,I2,"Y")</f>
        <v>1</v>
      </c>
      <c r="K2" s="10" t="s">
        <v>24</v>
      </c>
      <c r="L2" s="13">
        <v>8500</v>
      </c>
      <c r="M2" s="11">
        <f>L2/1.2</f>
        <v>7083.3333333333339</v>
      </c>
      <c r="N2" s="11">
        <f>IF(AND(J2&gt;=1,T_base_données_contrats[[#This Row],[Responsable]]="MMFA",OR(VLOOKUP(K2,T_source_facturation[],2,FALSE)&gt;1,VLOOKUP(K2,T_source_facturation[],2,FALSE)&lt;11)),((((M2*0.025)/T_base_données_contrats[[#This Row],[Durée en années]])/VLOOKUP(T_base_données_contrats[[#This Row],[Facturation]],T_source_facturation[],3,FALSE)))/2,((((M2*0.025)/T_base_données_contrats[[#This Row],[Durée en années]])/VLOOKUP(T_base_données_contrats[[#This Row],[Facturation]],T_source_facturation[],3,FALSE)))/3)</f>
        <v>88.541666666666686</v>
      </c>
      <c r="O2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43860</v>
      </c>
      <c r="P2" s="10" t="str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/>
      </c>
      <c r="Q2" s="10" t="str">
        <f>IFERROR(IF(AND(EDATE(P2,VLOOKUP(T_base_données_contrats[[#This Row],[Facturation]],T_source_facturation[],2,FALSE))&lt;(T_base_données_contrats[[#This Row],[Date de fin]]-1),T_base_données_contrats[[#This Row],[Facturation]]&lt;&gt;"annuelle"),EDATE(P2,VLOOKUP(T_base_données_contrats[[#This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2" s="10" t="str">
        <f>IFERROR(IF(AND(EDATE(Q2,VLOOKUP(T_base_données_contrats[[#This Row],[Facturation]],T_source_facturation[],2,FALSE))&lt;(T_base_données_contrats[[#This Row],[Date de fin]]-1),T_base_données_contrats[[#This Row],[Facturation]]&lt;&gt;"annuelle"),EDATE(Q2,VLOOKUP(T_base_données_contrats[[#This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2" s="10" t="str">
        <f>IFERROR(IF(AND(EDATE(R2,VLOOKUP(T_base_données_contrats[[#This Row],[Facturation]],T_source_facturation[],2,FALSE))&lt;(T_base_données_contrats[[#This Row],[Date de fin]]-1),T_base_données_contrats[[#This Row],[Facturation]]&lt;&gt;"annuelle"),EDATE(R2,VLOOKUP(T_base_données_contrats[[#This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2" s="10" t="str">
        <f>IFERROR(IF(AND(EDATE(S2,VLOOKUP(T_base_données_contrats[[#This Row],[Facturation]],T_source_facturation[],2,FALSE))&lt;(T_base_données_contrats[[#This Row],[Date de fin]]-1),T_base_données_contrats[[#This Row],[Facturation]]&lt;&gt;"annuelle"),EDATE(S2,VLOOKUP(T_base_données_contrats[[#This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2" s="10" t="str">
        <f>IFERROR(IF(AND(EDATE(T2,VLOOKUP(T_base_données_contrats[[#This Row],[Facturation]],T_source_facturation[],2,FALSE))&lt;(T_base_données_contrats[[#This Row],[Date de fin]]-1),T_base_données_contrats[[#This Row],[Facturation]]&lt;&gt;"annuelle"),EDATE(T2,VLOOKUP(T_base_données_contrats[[#This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2" s="10" t="str">
        <f>IFERROR(IF(AND(EDATE(U2,VLOOKUP(T_base_données_contrats[[#This Row],[Facturation]],T_source_facturation[],2,FALSE))&lt;(T_base_données_contrats[[#This Row],[Date de fin]]-1),T_base_données_contrats[[#This Row],[Facturation]]&lt;&gt;"annuelle"),EDATE(U2,VLOOKUP(T_base_données_contrats[[#This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2" s="10" t="str">
        <f>IFERROR(IF(AND(EDATE(V2,VLOOKUP(T_base_données_contrats[[#This Row],[Facturation]],T_source_facturation[],2,FALSE))&lt;(T_base_données_contrats[[#This Row],[Date de fin]]-1),T_base_données_contrats[[#This Row],[Facturation]]&lt;&gt;"annuelle"),EDATE(V2,VLOOKUP(T_base_données_contrats[[#This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2" s="10" t="str">
        <f>IFERROR(IF(AND(EDATE(W2,VLOOKUP(T_base_données_contrats[[#This Row],[Facturation]],T_source_facturation[],2,FALSE))&lt;(T_base_données_contrats[[#This Row],[Date de fin]]-1),T_base_données_contrats[[#This Row],[Facturation]]&lt;&gt;"annuelle"),EDATE(W2,VLOOKUP(T_base_données_contrats[[#This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2" s="10" t="str">
        <f>IFERROR(IF(AND(EDATE(X2,VLOOKUP(T_base_données_contrats[[#This Row],[Facturation]],T_source_facturation[],2,FALSE))&lt;(T_base_données_contrats[[#This Row],[Date de fin]]-1),T_base_données_contrats[[#This Row],[Facturation]]&lt;&gt;"annuelle"),EDATE(X2,VLOOKUP(T_base_données_contrats[[#This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2" s="10" t="str">
        <f>IFERROR(IF(AND(EDATE(Y2,VLOOKUP(T_base_données_contrats[[#This Row],[Facturation]],T_source_facturation[],2,FALSE))&lt;(T_base_données_contrats[[#This Row],[Date de fin]]-1),T_base_données_contrats[[#This Row],[Facturation]]&lt;&gt;"annuelle"),EDATE(Y2,VLOOKUP(T_base_données_contrats[[#This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2" s="10" t="str">
        <f>IFERROR(IF(AND(EDATE(Z2,VLOOKUP(T_base_données_contrats[[#This Row],[Facturation]],T_source_facturation[],2,FALSE))&lt;(T_base_données_contrats[[#This Row],[Date de fin]]-1),T_base_données_contrats[[#This Row],[Facturation]]&lt;&gt;"annuelle"),EDATE(Z2,VLOOKUP(T_base_données_contrats[[#This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2" s="10" t="str">
        <f>IFERROR(IF(AND(EDATE(AA2,VLOOKUP(T_base_données_contrats[[#This Row],[Facturation]],T_source_facturation[],2,FALSE))&lt;(T_base_données_contrats[[#This Row],[Date de fin]]-1),T_base_données_contrats[[#This Row],[Facturation]]&lt;&gt;"annuelle"),EDATE(AA2,VLOOKUP(T_base_données_contrats[[#This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2" s="10" t="str">
        <f>IFERROR(IF(AND(EDATE(AB2,VLOOKUP(T_base_données_contrats[[#This Row],[Facturation]],T_source_facturation[],2,FALSE))&lt;(T_base_données_contrats[[#This Row],[Date de fin]]-1),T_base_données_contrats[[#This Row],[Facturation]]&lt;&gt;"annuelle"),EDATE(AB2,VLOOKUP(T_base_données_contrats[[#This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2" s="10" t="str">
        <f>IFERROR(IF(AND(EDATE(AC2,VLOOKUP(T_base_données_contrats[[#This Row],[Facturation]],T_source_facturation[],2,FALSE))&lt;(T_base_données_contrats[[#This Row],[Date de fin]]-1),T_base_données_contrats[[#This Row],[Facturation]]&lt;&gt;"annuelle"),EDATE(AC2,VLOOKUP(T_base_données_contrats[[#This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2" s="10" t="str">
        <f>IFERROR(IF(AND(EDATE(AD2,VLOOKUP(T_base_données_contrats[[#This Row],[Facturation]],T_source_facturation[],2,FALSE))&lt;(T_base_données_contrats[[#This Row],[Date de fin]]-1),T_base_données_contrats[[#This Row],[Facturation]]&lt;&gt;"annuelle"),EDATE(AD2,VLOOKUP(T_base_données_contrats[[#This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2" s="10" t="str">
        <f>IFERROR(IF(AND(EDATE(AE2,VLOOKUP(T_base_données_contrats[[#This Row],[Facturation]],T_source_facturation[],2,FALSE))&lt;(T_base_données_contrats[[#This Row],[Date de fin]]-1),T_base_données_contrats[[#This Row],[Facturation]]&lt;&gt;"annuelle"),EDATE(AE2,VLOOKUP(T_base_données_contrats[[#This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2" s="10" t="str">
        <f>IFERROR(IF(AND(EDATE(AF2,VLOOKUP(T_base_données_contrats[[#This Row],[Facturation]],T_source_facturation[],2,FALSE))&lt;(T_base_données_contrats[[#This Row],[Date de fin]]-1),T_base_données_contrats[[#This Row],[Facturation]]&lt;&gt;"annuelle"),EDATE(AF2,VLOOKUP(T_base_données_contrats[[#This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2" s="10" t="str">
        <f>IFERROR(IF(AND(EDATE(AG2,VLOOKUP(T_base_données_contrats[[#This Row],[Facturation]],T_source_facturation[],2,FALSE))&lt;(T_base_données_contrats[[#This Row],[Date de fin]]-1),T_base_données_contrats[[#This Row],[Facturation]]&lt;&gt;"annuelle"),EDATE(AG2,VLOOKUP(T_base_données_contrats[[#This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2" s="10"/>
      <c r="AJ2" s="10"/>
      <c r="AL2" t="s">
        <v>39</v>
      </c>
      <c r="AM2" t="s">
        <v>40</v>
      </c>
    </row>
    <row r="3" spans="1:43" x14ac:dyDescent="0.2">
      <c r="A3" s="9">
        <v>2</v>
      </c>
      <c r="B3" s="9" t="s">
        <v>9</v>
      </c>
      <c r="C3" s="9" t="s">
        <v>16</v>
      </c>
      <c r="D3" s="9" t="s">
        <v>19</v>
      </c>
      <c r="E3" s="9" t="s">
        <v>19</v>
      </c>
      <c r="F3" s="12" t="s">
        <v>20</v>
      </c>
      <c r="G3" s="9">
        <v>504</v>
      </c>
      <c r="H3" s="10">
        <v>43858</v>
      </c>
      <c r="I3" s="10">
        <v>44589</v>
      </c>
      <c r="J3" s="9">
        <f>DATEDIF(H3,I3,"Y")</f>
        <v>2</v>
      </c>
      <c r="K3" s="10" t="s">
        <v>24</v>
      </c>
      <c r="L3" s="13">
        <v>22960</v>
      </c>
      <c r="M3" s="11">
        <f>L3/1.2</f>
        <v>19133.333333333336</v>
      </c>
      <c r="N3" s="11">
        <f>IF(AND(J3&gt;=1,T_base_données_contrats[[#This Row],[Responsable]]="MMFA",OR(VLOOKUP(K3,T_source_facturation[],2,FALSE)&gt;1,VLOOKUP(K3,T_source_facturation[],2,FALSE)&lt;11)),((((M3*0.025)/T_base_données_contrats[[#This Row],[Durée en années]])/VLOOKUP(T_base_données_contrats[[#This Row],[Facturation]],T_source_facturation[],3,FALSE)))/2,((((M3*0.025)/T_base_données_contrats[[#This Row],[Durée en années]])/VLOOKUP(T_base_données_contrats[[#This Row],[Facturation]],T_source_facturation[],3,FALSE)))/3)</f>
        <v>119.58333333333336</v>
      </c>
      <c r="O3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43858</v>
      </c>
      <c r="P3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44224</v>
      </c>
      <c r="Q3" s="10" t="str">
        <f>IFERROR(IF(AND(EDATE(P3,VLOOKUP(T_base_données_contrats[[#This Row],[Facturation]],T_source_facturation[],2,FALSE))&lt;(T_base_données_contrats[[#This Row],[Date de fin]]-1),T_base_données_contrats[[#This Row],[Facturation]]&lt;&gt;"annuelle"),EDATE(P3,VLOOKUP(T_base_données_contrats[[#This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3" s="10" t="str">
        <f>IFERROR(IF(AND(EDATE(Q3,VLOOKUP(T_base_données_contrats[[#This Row],[Facturation]],T_source_facturation[],2,FALSE))&lt;(T_base_données_contrats[[#This Row],[Date de fin]]-1),T_base_données_contrats[[#This Row],[Facturation]]&lt;&gt;"annuelle"),EDATE(Q3,VLOOKUP(T_base_données_contrats[[#This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3" s="10" t="str">
        <f>IFERROR(IF(AND(EDATE(R3,VLOOKUP(T_base_données_contrats[[#This Row],[Facturation]],T_source_facturation[],2,FALSE))&lt;(T_base_données_contrats[[#This Row],[Date de fin]]-1),T_base_données_contrats[[#This Row],[Facturation]]&lt;&gt;"annuelle"),EDATE(R3,VLOOKUP(T_base_données_contrats[[#This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3" s="10" t="str">
        <f>IFERROR(IF(AND(EDATE(S3,VLOOKUP(T_base_données_contrats[[#This Row],[Facturation]],T_source_facturation[],2,FALSE))&lt;(T_base_données_contrats[[#This Row],[Date de fin]]-1),T_base_données_contrats[[#This Row],[Facturation]]&lt;&gt;"annuelle"),EDATE(S3,VLOOKUP(T_base_données_contrats[[#This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3" s="10" t="str">
        <f>IFERROR(IF(AND(EDATE(T3,VLOOKUP(T_base_données_contrats[[#This Row],[Facturation]],T_source_facturation[],2,FALSE))&lt;(T_base_données_contrats[[#This Row],[Date de fin]]-1),T_base_données_contrats[[#This Row],[Facturation]]&lt;&gt;"annuelle"),EDATE(T3,VLOOKUP(T_base_données_contrats[[#This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3" s="10" t="str">
        <f>IFERROR(IF(AND(EDATE(U3,VLOOKUP(T_base_données_contrats[[#This Row],[Facturation]],T_source_facturation[],2,FALSE))&lt;(T_base_données_contrats[[#This Row],[Date de fin]]-1),T_base_données_contrats[[#This Row],[Facturation]]&lt;&gt;"annuelle"),EDATE(U3,VLOOKUP(T_base_données_contrats[[#This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3" s="10" t="str">
        <f>IFERROR(IF(AND(EDATE(V3,VLOOKUP(T_base_données_contrats[[#This Row],[Facturation]],T_source_facturation[],2,FALSE))&lt;(T_base_données_contrats[[#This Row],[Date de fin]]-1),T_base_données_contrats[[#This Row],[Facturation]]&lt;&gt;"annuelle"),EDATE(V3,VLOOKUP(T_base_données_contrats[[#This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3" s="10" t="str">
        <f>IFERROR(IF(AND(EDATE(W3,VLOOKUP(T_base_données_contrats[[#This Row],[Facturation]],T_source_facturation[],2,FALSE))&lt;(T_base_données_contrats[[#This Row],[Date de fin]]-1),T_base_données_contrats[[#This Row],[Facturation]]&lt;&gt;"annuelle"),EDATE(W3,VLOOKUP(T_base_données_contrats[[#This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3" s="10" t="str">
        <f>IFERROR(IF(AND(EDATE(X3,VLOOKUP(T_base_données_contrats[[#This Row],[Facturation]],T_source_facturation[],2,FALSE))&lt;(T_base_données_contrats[[#This Row],[Date de fin]]-1),T_base_données_contrats[[#This Row],[Facturation]]&lt;&gt;"annuelle"),EDATE(X3,VLOOKUP(T_base_données_contrats[[#This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3" s="10" t="str">
        <f>IFERROR(IF(AND(EDATE(Y3,VLOOKUP(T_base_données_contrats[[#This Row],[Facturation]],T_source_facturation[],2,FALSE))&lt;(T_base_données_contrats[[#This Row],[Date de fin]]-1),T_base_données_contrats[[#This Row],[Facturation]]&lt;&gt;"annuelle"),EDATE(Y3,VLOOKUP(T_base_données_contrats[[#This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3" s="10" t="str">
        <f>IFERROR(IF(AND(EDATE(Z3,VLOOKUP(T_base_données_contrats[[#This Row],[Facturation]],T_source_facturation[],2,FALSE))&lt;(T_base_données_contrats[[#This Row],[Date de fin]]-1),T_base_données_contrats[[#This Row],[Facturation]]&lt;&gt;"annuelle"),EDATE(Z3,VLOOKUP(T_base_données_contrats[[#This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3" s="10" t="str">
        <f>IFERROR(IF(AND(EDATE(AA3,VLOOKUP(T_base_données_contrats[[#This Row],[Facturation]],T_source_facturation[],2,FALSE))&lt;(T_base_données_contrats[[#This Row],[Date de fin]]-1),T_base_données_contrats[[#This Row],[Facturation]]&lt;&gt;"annuelle"),EDATE(AA3,VLOOKUP(T_base_données_contrats[[#This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3" s="10" t="str">
        <f>IFERROR(IF(AND(EDATE(AB3,VLOOKUP(T_base_données_contrats[[#This Row],[Facturation]],T_source_facturation[],2,FALSE))&lt;(T_base_données_contrats[[#This Row],[Date de fin]]-1),T_base_données_contrats[[#This Row],[Facturation]]&lt;&gt;"annuelle"),EDATE(AB3,VLOOKUP(T_base_données_contrats[[#This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3" s="10" t="str">
        <f>IFERROR(IF(AND(EDATE(AC3,VLOOKUP(T_base_données_contrats[[#This Row],[Facturation]],T_source_facturation[],2,FALSE))&lt;(T_base_données_contrats[[#This Row],[Date de fin]]-1),T_base_données_contrats[[#This Row],[Facturation]]&lt;&gt;"annuelle"),EDATE(AC3,VLOOKUP(T_base_données_contrats[[#This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3" s="10" t="str">
        <f>IFERROR(IF(AND(EDATE(AD3,VLOOKUP(T_base_données_contrats[[#This Row],[Facturation]],T_source_facturation[],2,FALSE))&lt;(T_base_données_contrats[[#This Row],[Date de fin]]-1),T_base_données_contrats[[#This Row],[Facturation]]&lt;&gt;"annuelle"),EDATE(AD3,VLOOKUP(T_base_données_contrats[[#This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3" s="10" t="str">
        <f>IFERROR(IF(AND(EDATE(AE3,VLOOKUP(T_base_données_contrats[[#This Row],[Facturation]],T_source_facturation[],2,FALSE))&lt;(T_base_données_contrats[[#This Row],[Date de fin]]-1),T_base_données_contrats[[#This Row],[Facturation]]&lt;&gt;"annuelle"),EDATE(AE3,VLOOKUP(T_base_données_contrats[[#This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3" s="10" t="str">
        <f>IFERROR(IF(AND(EDATE(AF3,VLOOKUP(T_base_données_contrats[[#This Row],[Facturation]],T_source_facturation[],2,FALSE))&lt;(T_base_données_contrats[[#This Row],[Date de fin]]-1),T_base_données_contrats[[#This Row],[Facturation]]&lt;&gt;"annuelle"),EDATE(AF3,VLOOKUP(T_base_données_contrats[[#This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3" s="10" t="str">
        <f>IFERROR(IF(AND(EDATE(AG3,VLOOKUP(T_base_données_contrats[[#This Row],[Facturation]],T_source_facturation[],2,FALSE))&lt;(T_base_données_contrats[[#This Row],[Date de fin]]-1),T_base_données_contrats[[#This Row],[Facturation]]&lt;&gt;"annuelle"),EDATE(AG3,VLOOKUP(T_base_données_contrats[[#This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3" s="10"/>
      <c r="AJ3" s="10"/>
      <c r="AL3">
        <v>2</v>
      </c>
      <c r="AM3">
        <v>365</v>
      </c>
      <c r="AQ3" s="1">
        <f ca="1">TODAY()</f>
        <v>43912</v>
      </c>
    </row>
    <row r="4" spans="1:43" x14ac:dyDescent="0.2">
      <c r="A4" s="9">
        <v>3</v>
      </c>
      <c r="B4" s="9" t="s">
        <v>9</v>
      </c>
      <c r="C4" s="9" t="s">
        <v>17</v>
      </c>
      <c r="D4" s="9" t="s">
        <v>19</v>
      </c>
      <c r="E4" s="9" t="s">
        <v>19</v>
      </c>
      <c r="F4" s="12" t="s">
        <v>20</v>
      </c>
      <c r="G4" s="9">
        <v>170</v>
      </c>
      <c r="H4" s="10">
        <v>43853</v>
      </c>
      <c r="I4" s="10">
        <v>44219</v>
      </c>
      <c r="J4" s="9">
        <f t="shared" ref="J4" si="0">DATEDIF(H4,I4,"Y")</f>
        <v>1</v>
      </c>
      <c r="K4" s="10" t="s">
        <v>24</v>
      </c>
      <c r="L4" s="13">
        <v>9000</v>
      </c>
      <c r="M4" s="11">
        <f>L4/1.2</f>
        <v>7500</v>
      </c>
      <c r="N4" s="11">
        <f>IF(AND(J4&gt;=1,T_base_données_contrats[[#This Row],[Responsable]]="MMFA",OR(VLOOKUP(K4,T_source_facturation[],2,FALSE)&gt;1,VLOOKUP(K4,T_source_facturation[],2,FALSE)&lt;11)),((((M4*0.025)/T_base_données_contrats[[#This Row],[Durée en années]])/VLOOKUP(T_base_données_contrats[[#This Row],[Facturation]],T_source_facturation[],3,FALSE)))/2,((((M4*0.025)/T_base_données_contrats[[#This Row],[Durée en années]])/VLOOKUP(T_base_données_contrats[[#This Row],[Facturation]],T_source_facturation[],3,FALSE)))/3)</f>
        <v>93.75</v>
      </c>
      <c r="O4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43853</v>
      </c>
      <c r="P4" s="10" t="str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/>
      </c>
      <c r="Q4" s="10" t="str">
        <f>IFERROR(IF(AND(EDATE(P4,VLOOKUP(T_base_données_contrats[[#This Row],[Facturation]],T_source_facturation[],2,FALSE))&lt;(T_base_données_contrats[[#This Row],[Date de fin]]-1),T_base_données_contrats[[#This Row],[Facturation]]&lt;&gt;"annuelle"),EDATE(P4,VLOOKUP(T_base_données_contrats[[#This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4" s="10" t="str">
        <f>IFERROR(IF(AND(EDATE(Q4,VLOOKUP(T_base_données_contrats[[#This Row],[Facturation]],T_source_facturation[],2,FALSE))&lt;(T_base_données_contrats[[#This Row],[Date de fin]]-1),T_base_données_contrats[[#This Row],[Facturation]]&lt;&gt;"annuelle"),EDATE(Q4,VLOOKUP(T_base_données_contrats[[#This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4" s="10" t="str">
        <f>IFERROR(IF(AND(EDATE(R4,VLOOKUP(T_base_données_contrats[[#This Row],[Facturation]],T_source_facturation[],2,FALSE))&lt;(T_base_données_contrats[[#This Row],[Date de fin]]-1),T_base_données_contrats[[#This Row],[Facturation]]&lt;&gt;"annuelle"),EDATE(R4,VLOOKUP(T_base_données_contrats[[#This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4" s="10" t="str">
        <f>IFERROR(IF(AND(EDATE(S4,VLOOKUP(T_base_données_contrats[[#This Row],[Facturation]],T_source_facturation[],2,FALSE))&lt;(T_base_données_contrats[[#This Row],[Date de fin]]-1),T_base_données_contrats[[#This Row],[Facturation]]&lt;&gt;"annuelle"),EDATE(S4,VLOOKUP(T_base_données_contrats[[#This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4" s="10" t="str">
        <f>IFERROR(IF(AND(EDATE(T4,VLOOKUP(T_base_données_contrats[[#This Row],[Facturation]],T_source_facturation[],2,FALSE))&lt;(T_base_données_contrats[[#This Row],[Date de fin]]-1),T_base_données_contrats[[#This Row],[Facturation]]&lt;&gt;"annuelle"),EDATE(T4,VLOOKUP(T_base_données_contrats[[#This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4" s="10" t="str">
        <f>IFERROR(IF(AND(EDATE(U4,VLOOKUP(T_base_données_contrats[[#This Row],[Facturation]],T_source_facturation[],2,FALSE))&lt;(T_base_données_contrats[[#This Row],[Date de fin]]-1),T_base_données_contrats[[#This Row],[Facturation]]&lt;&gt;"annuelle"),EDATE(U4,VLOOKUP(T_base_données_contrats[[#This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4" s="10" t="str">
        <f>IFERROR(IF(AND(EDATE(V4,VLOOKUP(T_base_données_contrats[[#This Row],[Facturation]],T_source_facturation[],2,FALSE))&lt;(T_base_données_contrats[[#This Row],[Date de fin]]-1),T_base_données_contrats[[#This Row],[Facturation]]&lt;&gt;"annuelle"),EDATE(V4,VLOOKUP(T_base_données_contrats[[#This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4" s="10" t="str">
        <f>IFERROR(IF(AND(EDATE(W4,VLOOKUP(T_base_données_contrats[[#This Row],[Facturation]],T_source_facturation[],2,FALSE))&lt;(T_base_données_contrats[[#This Row],[Date de fin]]-1),T_base_données_contrats[[#This Row],[Facturation]]&lt;&gt;"annuelle"),EDATE(W4,VLOOKUP(T_base_données_contrats[[#This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4" s="10" t="str">
        <f>IFERROR(IF(AND(EDATE(X4,VLOOKUP(T_base_données_contrats[[#This Row],[Facturation]],T_source_facturation[],2,FALSE))&lt;(T_base_données_contrats[[#This Row],[Date de fin]]-1),T_base_données_contrats[[#This Row],[Facturation]]&lt;&gt;"annuelle"),EDATE(X4,VLOOKUP(T_base_données_contrats[[#This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4" s="10" t="str">
        <f>IFERROR(IF(AND(EDATE(Y4,VLOOKUP(T_base_données_contrats[[#This Row],[Facturation]],T_source_facturation[],2,FALSE))&lt;(T_base_données_contrats[[#This Row],[Date de fin]]-1),T_base_données_contrats[[#This Row],[Facturation]]&lt;&gt;"annuelle"),EDATE(Y4,VLOOKUP(T_base_données_contrats[[#This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4" s="10" t="str">
        <f>IFERROR(IF(AND(EDATE(Z4,VLOOKUP(T_base_données_contrats[[#This Row],[Facturation]],T_source_facturation[],2,FALSE))&lt;(T_base_données_contrats[[#This Row],[Date de fin]]-1),T_base_données_contrats[[#This Row],[Facturation]]&lt;&gt;"annuelle"),EDATE(Z4,VLOOKUP(T_base_données_contrats[[#This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4" s="10" t="str">
        <f>IFERROR(IF(AND(EDATE(AA4,VLOOKUP(T_base_données_contrats[[#This Row],[Facturation]],T_source_facturation[],2,FALSE))&lt;(T_base_données_contrats[[#This Row],[Date de fin]]-1),T_base_données_contrats[[#This Row],[Facturation]]&lt;&gt;"annuelle"),EDATE(AA4,VLOOKUP(T_base_données_contrats[[#This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4" s="10" t="str">
        <f>IFERROR(IF(AND(EDATE(AB4,VLOOKUP(T_base_données_contrats[[#This Row],[Facturation]],T_source_facturation[],2,FALSE))&lt;(T_base_données_contrats[[#This Row],[Date de fin]]-1),T_base_données_contrats[[#This Row],[Facturation]]&lt;&gt;"annuelle"),EDATE(AB4,VLOOKUP(T_base_données_contrats[[#This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4" s="10" t="str">
        <f>IFERROR(IF(AND(EDATE(AC4,VLOOKUP(T_base_données_contrats[[#This Row],[Facturation]],T_source_facturation[],2,FALSE))&lt;(T_base_données_contrats[[#This Row],[Date de fin]]-1),T_base_données_contrats[[#This Row],[Facturation]]&lt;&gt;"annuelle"),EDATE(AC4,VLOOKUP(T_base_données_contrats[[#This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4" s="10" t="str">
        <f>IFERROR(IF(AND(EDATE(AD4,VLOOKUP(T_base_données_contrats[[#This Row],[Facturation]],T_source_facturation[],2,FALSE))&lt;(T_base_données_contrats[[#This Row],[Date de fin]]-1),T_base_données_contrats[[#This Row],[Facturation]]&lt;&gt;"annuelle"),EDATE(AD4,VLOOKUP(T_base_données_contrats[[#This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4" s="10" t="str">
        <f>IFERROR(IF(AND(EDATE(AE4,VLOOKUP(T_base_données_contrats[[#This Row],[Facturation]],T_source_facturation[],2,FALSE))&lt;(T_base_données_contrats[[#This Row],[Date de fin]]-1),T_base_données_contrats[[#This Row],[Facturation]]&lt;&gt;"annuelle"),EDATE(AE4,VLOOKUP(T_base_données_contrats[[#This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4" s="10" t="str">
        <f>IFERROR(IF(AND(EDATE(AF4,VLOOKUP(T_base_données_contrats[[#This Row],[Facturation]],T_source_facturation[],2,FALSE))&lt;(T_base_données_contrats[[#This Row],[Date de fin]]-1),T_base_données_contrats[[#This Row],[Facturation]]&lt;&gt;"annuelle"),EDATE(AF4,VLOOKUP(T_base_données_contrats[[#This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4" s="10" t="str">
        <f>IFERROR(IF(AND(EDATE(AG4,VLOOKUP(T_base_données_contrats[[#This Row],[Facturation]],T_source_facturation[],2,FALSE))&lt;(T_base_données_contrats[[#This Row],[Date de fin]]-1),T_base_données_contrats[[#This Row],[Facturation]]&lt;&gt;"annuelle"),EDATE(AG4,VLOOKUP(T_base_données_contrats[[#This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4" s="10"/>
      <c r="AJ4" s="10"/>
      <c r="AL4">
        <v>3</v>
      </c>
      <c r="AM4">
        <f>AM3+365</f>
        <v>730</v>
      </c>
      <c r="AQ4" s="1">
        <v>44037</v>
      </c>
    </row>
    <row r="5" spans="1:43" x14ac:dyDescent="0.2">
      <c r="A5" s="9">
        <v>4</v>
      </c>
      <c r="B5" s="9" t="s">
        <v>11</v>
      </c>
      <c r="C5" s="9" t="s">
        <v>21</v>
      </c>
      <c r="D5" s="9" t="s">
        <v>19</v>
      </c>
      <c r="E5" s="9" t="s">
        <v>19</v>
      </c>
      <c r="F5" s="12" t="s">
        <v>20</v>
      </c>
      <c r="G5" s="9">
        <v>555</v>
      </c>
      <c r="H5" s="10">
        <v>43906</v>
      </c>
      <c r="I5" s="10">
        <v>44636</v>
      </c>
      <c r="J5" s="9">
        <f>DATEDIF(H5,I5,"Y")</f>
        <v>2</v>
      </c>
      <c r="K5" s="10" t="s">
        <v>24</v>
      </c>
      <c r="L5" s="13">
        <v>23000</v>
      </c>
      <c r="M5" s="11">
        <f>L5/1.2</f>
        <v>19166.666666666668</v>
      </c>
      <c r="N5" s="11">
        <f>IF(AND(J5&gt;=1,T_base_données_contrats[[#This Row],[Responsable]]="MMFA",OR(VLOOKUP(K5,T_source_facturation[],2,FALSE)&gt;1,VLOOKUP(K5,T_source_facturation[],2,FALSE)&lt;11)),((((M5*0.025)/T_base_données_contrats[[#This Row],[Durée en années]])/VLOOKUP(T_base_données_contrats[[#This Row],[Facturation]],T_source_facturation[],3,FALSE)))/2,((((M5*0.025)/T_base_données_contrats[[#This Row],[Durée en années]])/VLOOKUP(T_base_données_contrats[[#This Row],[Facturation]],T_source_facturation[],3,FALSE)))/3)</f>
        <v>79.861111111111128</v>
      </c>
      <c r="O5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43906</v>
      </c>
      <c r="P5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44271</v>
      </c>
      <c r="Q5" s="10" t="str">
        <f>IFERROR(IF(AND(EDATE(P5,VLOOKUP(T_base_données_contrats[[#This Row],[Facturation]],T_source_facturation[],2,FALSE))&lt;(T_base_données_contrats[[#This Row],[Date de fin]]-1),T_base_données_contrats[[#This Row],[Facturation]]&lt;&gt;"annuelle"),EDATE(P5,VLOOKUP(T_base_données_contrats[[#This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5" s="10" t="str">
        <f>IFERROR(IF(AND(EDATE(Q5,VLOOKUP(T_base_données_contrats[[#This Row],[Facturation]],T_source_facturation[],2,FALSE))&lt;(T_base_données_contrats[[#This Row],[Date de fin]]-1),T_base_données_contrats[[#This Row],[Facturation]]&lt;&gt;"annuelle"),EDATE(Q5,VLOOKUP(T_base_données_contrats[[#This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5" s="10" t="str">
        <f>IFERROR(IF(AND(EDATE(R5,VLOOKUP(T_base_données_contrats[[#This Row],[Facturation]],T_source_facturation[],2,FALSE))&lt;(T_base_données_contrats[[#This Row],[Date de fin]]-1),T_base_données_contrats[[#This Row],[Facturation]]&lt;&gt;"annuelle"),EDATE(R5,VLOOKUP(T_base_données_contrats[[#This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5" s="10" t="str">
        <f>IFERROR(IF(AND(EDATE(S5,VLOOKUP(T_base_données_contrats[[#This Row],[Facturation]],T_source_facturation[],2,FALSE))&lt;(T_base_données_contrats[[#This Row],[Date de fin]]-1),T_base_données_contrats[[#This Row],[Facturation]]&lt;&gt;"annuelle"),EDATE(S5,VLOOKUP(T_base_données_contrats[[#This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5" s="10" t="str">
        <f>IFERROR(IF(AND(EDATE(T5,VLOOKUP(T_base_données_contrats[[#This Row],[Facturation]],T_source_facturation[],2,FALSE))&lt;(T_base_données_contrats[[#This Row],[Date de fin]]-1),T_base_données_contrats[[#This Row],[Facturation]]&lt;&gt;"annuelle"),EDATE(T5,VLOOKUP(T_base_données_contrats[[#This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5" s="10" t="str">
        <f>IFERROR(IF(AND(EDATE(U5,VLOOKUP(T_base_données_contrats[[#This Row],[Facturation]],T_source_facturation[],2,FALSE))&lt;(T_base_données_contrats[[#This Row],[Date de fin]]-1),T_base_données_contrats[[#This Row],[Facturation]]&lt;&gt;"annuelle"),EDATE(U5,VLOOKUP(T_base_données_contrats[[#This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5" s="10" t="str">
        <f>IFERROR(IF(AND(EDATE(V5,VLOOKUP(T_base_données_contrats[[#This Row],[Facturation]],T_source_facturation[],2,FALSE))&lt;(T_base_données_contrats[[#This Row],[Date de fin]]-1),T_base_données_contrats[[#This Row],[Facturation]]&lt;&gt;"annuelle"),EDATE(V5,VLOOKUP(T_base_données_contrats[[#This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5" s="10" t="str">
        <f>IFERROR(IF(AND(EDATE(W5,VLOOKUP(T_base_données_contrats[[#This Row],[Facturation]],T_source_facturation[],2,FALSE))&lt;(T_base_données_contrats[[#This Row],[Date de fin]]-1),T_base_données_contrats[[#This Row],[Facturation]]&lt;&gt;"annuelle"),EDATE(W5,VLOOKUP(T_base_données_contrats[[#This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5" s="10" t="str">
        <f>IFERROR(IF(AND(EDATE(X5,VLOOKUP(T_base_données_contrats[[#This Row],[Facturation]],T_source_facturation[],2,FALSE))&lt;(T_base_données_contrats[[#This Row],[Date de fin]]-1),T_base_données_contrats[[#This Row],[Facturation]]&lt;&gt;"annuelle"),EDATE(X5,VLOOKUP(T_base_données_contrats[[#This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5" s="10" t="str">
        <f>IFERROR(IF(AND(EDATE(Y5,VLOOKUP(T_base_données_contrats[[#This Row],[Facturation]],T_source_facturation[],2,FALSE))&lt;(T_base_données_contrats[[#This Row],[Date de fin]]-1),T_base_données_contrats[[#This Row],[Facturation]]&lt;&gt;"annuelle"),EDATE(Y5,VLOOKUP(T_base_données_contrats[[#This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5" s="10" t="str">
        <f>IFERROR(IF(AND(EDATE(Z5,VLOOKUP(T_base_données_contrats[[#This Row],[Facturation]],T_source_facturation[],2,FALSE))&lt;(T_base_données_contrats[[#This Row],[Date de fin]]-1),T_base_données_contrats[[#This Row],[Facturation]]&lt;&gt;"annuelle"),EDATE(Z5,VLOOKUP(T_base_données_contrats[[#This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5" s="10" t="str">
        <f>IFERROR(IF(AND(EDATE(AA5,VLOOKUP(T_base_données_contrats[[#This Row],[Facturation]],T_source_facturation[],2,FALSE))&lt;(T_base_données_contrats[[#This Row],[Date de fin]]-1),T_base_données_contrats[[#This Row],[Facturation]]&lt;&gt;"annuelle"),EDATE(AA5,VLOOKUP(T_base_données_contrats[[#This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5" s="10" t="str">
        <f>IFERROR(IF(AND(EDATE(AB5,VLOOKUP(T_base_données_contrats[[#This Row],[Facturation]],T_source_facturation[],2,FALSE))&lt;(T_base_données_contrats[[#This Row],[Date de fin]]-1),T_base_données_contrats[[#This Row],[Facturation]]&lt;&gt;"annuelle"),EDATE(AB5,VLOOKUP(T_base_données_contrats[[#This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5" s="10" t="str">
        <f>IFERROR(IF(AND(EDATE(AC5,VLOOKUP(T_base_données_contrats[[#This Row],[Facturation]],T_source_facturation[],2,FALSE))&lt;(T_base_données_contrats[[#This Row],[Date de fin]]-1),T_base_données_contrats[[#This Row],[Facturation]]&lt;&gt;"annuelle"),EDATE(AC5,VLOOKUP(T_base_données_contrats[[#This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5" s="10" t="str">
        <f>IFERROR(IF(AND(EDATE(AD5,VLOOKUP(T_base_données_contrats[[#This Row],[Facturation]],T_source_facturation[],2,FALSE))&lt;(T_base_données_contrats[[#This Row],[Date de fin]]-1),T_base_données_contrats[[#This Row],[Facturation]]&lt;&gt;"annuelle"),EDATE(AD5,VLOOKUP(T_base_données_contrats[[#This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5" s="10" t="str">
        <f>IFERROR(IF(AND(EDATE(AE5,VLOOKUP(T_base_données_contrats[[#This Row],[Facturation]],T_source_facturation[],2,FALSE))&lt;(T_base_données_contrats[[#This Row],[Date de fin]]-1),T_base_données_contrats[[#This Row],[Facturation]]&lt;&gt;"annuelle"),EDATE(AE5,VLOOKUP(T_base_données_contrats[[#This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5" s="10" t="str">
        <f>IFERROR(IF(AND(EDATE(AF5,VLOOKUP(T_base_données_contrats[[#This Row],[Facturation]],T_source_facturation[],2,FALSE))&lt;(T_base_données_contrats[[#This Row],[Date de fin]]-1),T_base_données_contrats[[#This Row],[Facturation]]&lt;&gt;"annuelle"),EDATE(AF5,VLOOKUP(T_base_données_contrats[[#This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5" s="10" t="str">
        <f>IFERROR(IF(AND(EDATE(AG5,VLOOKUP(T_base_données_contrats[[#This Row],[Facturation]],T_source_facturation[],2,FALSE))&lt;(T_base_données_contrats[[#This Row],[Date de fin]]-1),T_base_données_contrats[[#This Row],[Facturation]]&lt;&gt;"annuelle"),EDATE(AG5,VLOOKUP(T_base_données_contrats[[#This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5" s="10"/>
      <c r="AJ5" s="10"/>
      <c r="AL5">
        <v>4</v>
      </c>
      <c r="AM5">
        <f>AM4+365</f>
        <v>1095</v>
      </c>
    </row>
    <row r="6" spans="1:43" x14ac:dyDescent="0.2">
      <c r="A6" s="9">
        <v>5</v>
      </c>
      <c r="B6" s="9" t="s">
        <v>11</v>
      </c>
      <c r="C6" s="9" t="s">
        <v>18</v>
      </c>
      <c r="D6" s="9" t="s">
        <v>19</v>
      </c>
      <c r="E6" s="9" t="s">
        <v>19</v>
      </c>
      <c r="F6" s="12" t="s">
        <v>20</v>
      </c>
      <c r="G6" s="9">
        <v>1123</v>
      </c>
      <c r="H6" s="10">
        <v>43906</v>
      </c>
      <c r="I6" s="10">
        <v>45367</v>
      </c>
      <c r="J6" s="9">
        <f>DATEDIF(H6,I6,"Y")</f>
        <v>4</v>
      </c>
      <c r="K6" s="10" t="s">
        <v>24</v>
      </c>
      <c r="L6" s="13">
        <v>24000</v>
      </c>
      <c r="M6" s="11">
        <f>L6/1.2</f>
        <v>20000</v>
      </c>
      <c r="N6" s="11">
        <f>IF(AND(J6&gt;=1,T_base_données_contrats[[#This Row],[Responsable]]="MMFA",OR(VLOOKUP(K6,T_source_facturation[],2,FALSE)&gt;1,VLOOKUP(K6,T_source_facturation[],2,FALSE)&lt;11)),((((M6*0.025)/T_base_données_contrats[[#This Row],[Durée en années]])/VLOOKUP(T_base_données_contrats[[#This Row],[Facturation]],T_source_facturation[],3,FALSE)))/2,((((M6*0.025)/T_base_données_contrats[[#This Row],[Durée en années]])/VLOOKUP(T_base_données_contrats[[#This Row],[Facturation]],T_source_facturation[],3,FALSE)))/3)</f>
        <v>41.666666666666664</v>
      </c>
      <c r="O6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43906</v>
      </c>
      <c r="P6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44271</v>
      </c>
      <c r="Q6" s="10">
        <f>IFERROR(IF(AND(EDATE(P6,VLOOKUP(T_base_données_contrats[[#This Row],[Facturation]],T_source_facturation[],2,FALSE))&lt;(T_base_données_contrats[[#This Row],[Date de fin]]-1),T_base_données_contrats[[#This Row],[Facturation]]&lt;&gt;"annuelle"),EDATE(P6,VLOOKUP(T_base_données_contrats[[#This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44636</v>
      </c>
      <c r="R6" s="10">
        <f>IFERROR(IF(AND(EDATE(Q6,VLOOKUP(T_base_données_contrats[[#This Row],[Facturation]],T_source_facturation[],2,FALSE))&lt;(T_base_données_contrats[[#This Row],[Date de fin]]-1),T_base_données_contrats[[#This Row],[Facturation]]&lt;&gt;"annuelle"),EDATE(Q6,VLOOKUP(T_base_données_contrats[[#This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45001</v>
      </c>
      <c r="S6" s="10">
        <f>IFERROR(IF(AND(EDATE(R6,VLOOKUP(T_base_données_contrats[[#This Row],[Facturation]],T_source_facturation[],2,FALSE))&lt;(T_base_données_contrats[[#This Row],[Date de fin]]-1),T_base_données_contrats[[#This Row],[Facturation]]&lt;&gt;"annuelle"),EDATE(R6,VLOOKUP(T_base_données_contrats[[#This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>45366</v>
      </c>
      <c r="T6" s="10" t="str">
        <f>IFERROR(IF(AND(EDATE(S6,VLOOKUP(T_base_données_contrats[[#This Row],[Facturation]],T_source_facturation[],2,FALSE))&lt;(T_base_données_contrats[[#This Row],[Date de fin]]-1),T_base_données_contrats[[#This Row],[Facturation]]&lt;&gt;"annuelle"),EDATE(S6,VLOOKUP(T_base_données_contrats[[#This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6" s="10" t="str">
        <f>IFERROR(IF(AND(EDATE(T6,VLOOKUP(T_base_données_contrats[[#This Row],[Facturation]],T_source_facturation[],2,FALSE))&lt;(T_base_données_contrats[[#This Row],[Date de fin]]-1),T_base_données_contrats[[#This Row],[Facturation]]&lt;&gt;"annuelle"),EDATE(T6,VLOOKUP(T_base_données_contrats[[#This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6" s="10" t="str">
        <f>IFERROR(IF(AND(EDATE(U6,VLOOKUP(T_base_données_contrats[[#This Row],[Facturation]],T_source_facturation[],2,FALSE))&lt;(T_base_données_contrats[[#This Row],[Date de fin]]-1),T_base_données_contrats[[#This Row],[Facturation]]&lt;&gt;"annuelle"),EDATE(U6,VLOOKUP(T_base_données_contrats[[#This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6" s="10" t="str">
        <f>IFERROR(IF(AND(EDATE(V6,VLOOKUP(T_base_données_contrats[[#This Row],[Facturation]],T_source_facturation[],2,FALSE))&lt;(T_base_données_contrats[[#This Row],[Date de fin]]-1),T_base_données_contrats[[#This Row],[Facturation]]&lt;&gt;"annuelle"),EDATE(V6,VLOOKUP(T_base_données_contrats[[#This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6" s="10" t="str">
        <f>IFERROR(IF(AND(EDATE(W6,VLOOKUP(T_base_données_contrats[[#This Row],[Facturation]],T_source_facturation[],2,FALSE))&lt;(T_base_données_contrats[[#This Row],[Date de fin]]-1),T_base_données_contrats[[#This Row],[Facturation]]&lt;&gt;"annuelle"),EDATE(W6,VLOOKUP(T_base_données_contrats[[#This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6" s="10" t="str">
        <f>IFERROR(IF(AND(EDATE(X6,VLOOKUP(T_base_données_contrats[[#This Row],[Facturation]],T_source_facturation[],2,FALSE))&lt;(T_base_données_contrats[[#This Row],[Date de fin]]-1),T_base_données_contrats[[#This Row],[Facturation]]&lt;&gt;"annuelle"),EDATE(X6,VLOOKUP(T_base_données_contrats[[#This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6" s="10" t="str">
        <f>IFERROR(IF(AND(EDATE(Y6,VLOOKUP(T_base_données_contrats[[#This Row],[Facturation]],T_source_facturation[],2,FALSE))&lt;(T_base_données_contrats[[#This Row],[Date de fin]]-1),T_base_données_contrats[[#This Row],[Facturation]]&lt;&gt;"annuelle"),EDATE(Y6,VLOOKUP(T_base_données_contrats[[#This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6" s="10" t="str">
        <f>IFERROR(IF(AND(EDATE(Z6,VLOOKUP(T_base_données_contrats[[#This Row],[Facturation]],T_source_facturation[],2,FALSE))&lt;(T_base_données_contrats[[#This Row],[Date de fin]]-1),T_base_données_contrats[[#This Row],[Facturation]]&lt;&gt;"annuelle"),EDATE(Z6,VLOOKUP(T_base_données_contrats[[#This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6" s="10" t="str">
        <f>IFERROR(IF(AND(EDATE(AA6,VLOOKUP(T_base_données_contrats[[#This Row],[Facturation]],T_source_facturation[],2,FALSE))&lt;(T_base_données_contrats[[#This Row],[Date de fin]]-1),T_base_données_contrats[[#This Row],[Facturation]]&lt;&gt;"annuelle"),EDATE(AA6,VLOOKUP(T_base_données_contrats[[#This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6" s="10" t="str">
        <f>IFERROR(IF(AND(EDATE(AB6,VLOOKUP(T_base_données_contrats[[#This Row],[Facturation]],T_source_facturation[],2,FALSE))&lt;(T_base_données_contrats[[#This Row],[Date de fin]]-1),T_base_données_contrats[[#This Row],[Facturation]]&lt;&gt;"annuelle"),EDATE(AB6,VLOOKUP(T_base_données_contrats[[#This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6" s="10" t="str">
        <f>IFERROR(IF(AND(EDATE(AC6,VLOOKUP(T_base_données_contrats[[#This Row],[Facturation]],T_source_facturation[],2,FALSE))&lt;(T_base_données_contrats[[#This Row],[Date de fin]]-1),T_base_données_contrats[[#This Row],[Facturation]]&lt;&gt;"annuelle"),EDATE(AC6,VLOOKUP(T_base_données_contrats[[#This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6" s="10" t="str">
        <f>IFERROR(IF(AND(EDATE(AD6,VLOOKUP(T_base_données_contrats[[#This Row],[Facturation]],T_source_facturation[],2,FALSE))&lt;(T_base_données_contrats[[#This Row],[Date de fin]]-1),T_base_données_contrats[[#This Row],[Facturation]]&lt;&gt;"annuelle"),EDATE(AD6,VLOOKUP(T_base_données_contrats[[#This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6" s="10" t="str">
        <f>IFERROR(IF(AND(EDATE(AE6,VLOOKUP(T_base_données_contrats[[#This Row],[Facturation]],T_source_facturation[],2,FALSE))&lt;(T_base_données_contrats[[#This Row],[Date de fin]]-1),T_base_données_contrats[[#This Row],[Facturation]]&lt;&gt;"annuelle"),EDATE(AE6,VLOOKUP(T_base_données_contrats[[#This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6" s="10" t="str">
        <f>IFERROR(IF(AND(EDATE(AF6,VLOOKUP(T_base_données_contrats[[#This Row],[Facturation]],T_source_facturation[],2,FALSE))&lt;(T_base_données_contrats[[#This Row],[Date de fin]]-1),T_base_données_contrats[[#This Row],[Facturation]]&lt;&gt;"annuelle"),EDATE(AF6,VLOOKUP(T_base_données_contrats[[#This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6" s="10" t="str">
        <f>IFERROR(IF(AND(EDATE(AG6,VLOOKUP(T_base_données_contrats[[#This Row],[Facturation]],T_source_facturation[],2,FALSE))&lt;(T_base_données_contrats[[#This Row],[Date de fin]]-1),T_base_données_contrats[[#This Row],[Facturation]]&lt;&gt;"annuelle"),EDATE(AG6,VLOOKUP(T_base_données_contrats[[#This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6" s="10"/>
      <c r="AJ6" s="10"/>
      <c r="AL6">
        <v>5</v>
      </c>
      <c r="AM6">
        <f>AM5+365</f>
        <v>1460</v>
      </c>
    </row>
    <row r="7" spans="1:43" x14ac:dyDescent="0.2">
      <c r="A7" s="9">
        <v>6</v>
      </c>
      <c r="B7" s="9" t="s">
        <v>9</v>
      </c>
      <c r="C7" s="9" t="s">
        <v>31</v>
      </c>
      <c r="D7" s="9" t="s">
        <v>19</v>
      </c>
      <c r="E7" s="9" t="s">
        <v>19</v>
      </c>
      <c r="F7" s="12" t="s">
        <v>20</v>
      </c>
      <c r="G7" s="9">
        <v>124</v>
      </c>
      <c r="H7" s="10">
        <v>43946</v>
      </c>
      <c r="I7" s="10">
        <v>44311</v>
      </c>
      <c r="J7" s="9">
        <f t="shared" ref="J7:J10" si="1">DATEDIF(H7,I7,"Y")</f>
        <v>1</v>
      </c>
      <c r="K7" s="10" t="s">
        <v>24</v>
      </c>
      <c r="L7" s="11">
        <v>18000</v>
      </c>
      <c r="M7" s="11">
        <f t="shared" ref="M7:M10" si="2">L7/1.2</f>
        <v>15000</v>
      </c>
      <c r="N7" s="11">
        <f>IF(AND(J7&gt;=1,T_base_données_contrats[[#This Row],[Responsable]]="MMFA",OR(VLOOKUP(K7,T_source_facturation[],2,FALSE)&gt;1,VLOOKUP(K7,T_source_facturation[],2,FALSE)&lt;11)),((((M7*0.025)/T_base_données_contrats[[#This Row],[Durée en années]])/VLOOKUP(T_base_données_contrats[[#This Row],[Facturation]],T_source_facturation[],3,FALSE)))/2,((((M7*0.025)/T_base_données_contrats[[#This Row],[Durée en années]])/VLOOKUP(T_base_données_contrats[[#This Row],[Facturation]],T_source_facturation[],3,FALSE)))/3)</f>
        <v>187.5</v>
      </c>
      <c r="O7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43946</v>
      </c>
      <c r="P7" s="10" t="str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/>
      </c>
      <c r="Q7" s="10" t="str">
        <f>IFERROR(IF(AND(EDATE(P7,VLOOKUP(T_base_données_contrats[[#This Row],[Facturation]],T_source_facturation[],2,FALSE))&lt;(T_base_données_contrats[[#This Row],[Date de fin]]-1),T_base_données_contrats[[#This Row],[Facturation]]&lt;&gt;"annuelle"),EDATE(P7,VLOOKUP(T_base_données_contrats[[#This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/>
      </c>
      <c r="R7" s="10" t="str">
        <f>IFERROR(IF(AND(EDATE(Q7,VLOOKUP(T_base_données_contrats[[#This Row],[Facturation]],T_source_facturation[],2,FALSE))&lt;(T_base_données_contrats[[#This Row],[Date de fin]]-1),T_base_données_contrats[[#This Row],[Facturation]]&lt;&gt;"annuelle"),EDATE(Q7,VLOOKUP(T_base_données_contrats[[#This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7" s="10" t="str">
        <f>IFERROR(IF(AND(EDATE(R7,VLOOKUP(T_base_données_contrats[[#This Row],[Facturation]],T_source_facturation[],2,FALSE))&lt;(T_base_données_contrats[[#This Row],[Date de fin]]-1),T_base_données_contrats[[#This Row],[Facturation]]&lt;&gt;"annuelle"),EDATE(R7,VLOOKUP(T_base_données_contrats[[#This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7" s="10" t="str">
        <f>IFERROR(IF(AND(EDATE(S7,VLOOKUP(T_base_données_contrats[[#This Row],[Facturation]],T_source_facturation[],2,FALSE))&lt;(T_base_données_contrats[[#This Row],[Date de fin]]-1),T_base_données_contrats[[#This Row],[Facturation]]&lt;&gt;"annuelle"),EDATE(S7,VLOOKUP(T_base_données_contrats[[#This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7" s="10" t="str">
        <f>IFERROR(IF(AND(EDATE(T7,VLOOKUP(T_base_données_contrats[[#This Row],[Facturation]],T_source_facturation[],2,FALSE))&lt;(T_base_données_contrats[[#This Row],[Date de fin]]-1),T_base_données_contrats[[#This Row],[Facturation]]&lt;&gt;"annuelle"),EDATE(T7,VLOOKUP(T_base_données_contrats[[#This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7" s="10" t="str">
        <f>IFERROR(IF(AND(EDATE(U7,VLOOKUP(T_base_données_contrats[[#This Row],[Facturation]],T_source_facturation[],2,FALSE))&lt;(T_base_données_contrats[[#This Row],[Date de fin]]-1),T_base_données_contrats[[#This Row],[Facturation]]&lt;&gt;"annuelle"),EDATE(U7,VLOOKUP(T_base_données_contrats[[#This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7" s="10" t="str">
        <f>IFERROR(IF(AND(EDATE(V7,VLOOKUP(T_base_données_contrats[[#This Row],[Facturation]],T_source_facturation[],2,FALSE))&lt;(T_base_données_contrats[[#This Row],[Date de fin]]-1),T_base_données_contrats[[#This Row],[Facturation]]&lt;&gt;"annuelle"),EDATE(V7,VLOOKUP(T_base_données_contrats[[#This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7" s="10" t="str">
        <f>IFERROR(IF(AND(EDATE(W7,VLOOKUP(T_base_données_contrats[[#This Row],[Facturation]],T_source_facturation[],2,FALSE))&lt;(T_base_données_contrats[[#This Row],[Date de fin]]-1),T_base_données_contrats[[#This Row],[Facturation]]&lt;&gt;"annuelle"),EDATE(W7,VLOOKUP(T_base_données_contrats[[#This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7" s="10" t="str">
        <f>IFERROR(IF(AND(EDATE(X7,VLOOKUP(T_base_données_contrats[[#This Row],[Facturation]],T_source_facturation[],2,FALSE))&lt;(T_base_données_contrats[[#This Row],[Date de fin]]-1),T_base_données_contrats[[#This Row],[Facturation]]&lt;&gt;"annuelle"),EDATE(X7,VLOOKUP(T_base_données_contrats[[#This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7" s="10" t="str">
        <f>IFERROR(IF(AND(EDATE(Y7,VLOOKUP(T_base_données_contrats[[#This Row],[Facturation]],T_source_facturation[],2,FALSE))&lt;(T_base_données_contrats[[#This Row],[Date de fin]]-1),T_base_données_contrats[[#This Row],[Facturation]]&lt;&gt;"annuelle"),EDATE(Y7,VLOOKUP(T_base_données_contrats[[#This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7" s="10" t="str">
        <f>IFERROR(IF(AND(EDATE(Z7,VLOOKUP(T_base_données_contrats[[#This Row],[Facturation]],T_source_facturation[],2,FALSE))&lt;(T_base_données_contrats[[#This Row],[Date de fin]]-1),T_base_données_contrats[[#This Row],[Facturation]]&lt;&gt;"annuelle"),EDATE(Z7,VLOOKUP(T_base_données_contrats[[#This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7" s="10" t="str">
        <f>IFERROR(IF(AND(EDATE(AA7,VLOOKUP(T_base_données_contrats[[#This Row],[Facturation]],T_source_facturation[],2,FALSE))&lt;(T_base_données_contrats[[#This Row],[Date de fin]]-1),T_base_données_contrats[[#This Row],[Facturation]]&lt;&gt;"annuelle"),EDATE(AA7,VLOOKUP(T_base_données_contrats[[#This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7" s="10" t="str">
        <f>IFERROR(IF(AND(EDATE(AB7,VLOOKUP(T_base_données_contrats[[#This Row],[Facturation]],T_source_facturation[],2,FALSE))&lt;(T_base_données_contrats[[#This Row],[Date de fin]]-1),T_base_données_contrats[[#This Row],[Facturation]]&lt;&gt;"annuelle"),EDATE(AB7,VLOOKUP(T_base_données_contrats[[#This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7" s="10" t="str">
        <f>IFERROR(IF(AND(EDATE(AC7,VLOOKUP(T_base_données_contrats[[#This Row],[Facturation]],T_source_facturation[],2,FALSE))&lt;(T_base_données_contrats[[#This Row],[Date de fin]]-1),T_base_données_contrats[[#This Row],[Facturation]]&lt;&gt;"annuelle"),EDATE(AC7,VLOOKUP(T_base_données_contrats[[#This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7" s="10" t="str">
        <f>IFERROR(IF(AND(EDATE(AD7,VLOOKUP(T_base_données_contrats[[#This Row],[Facturation]],T_source_facturation[],2,FALSE))&lt;(T_base_données_contrats[[#This Row],[Date de fin]]-1),T_base_données_contrats[[#This Row],[Facturation]]&lt;&gt;"annuelle"),EDATE(AD7,VLOOKUP(T_base_données_contrats[[#This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7" s="10" t="str">
        <f>IFERROR(IF(AND(EDATE(AE7,VLOOKUP(T_base_données_contrats[[#This Row],[Facturation]],T_source_facturation[],2,FALSE))&lt;(T_base_données_contrats[[#This Row],[Date de fin]]-1),T_base_données_contrats[[#This Row],[Facturation]]&lt;&gt;"annuelle"),EDATE(AE7,VLOOKUP(T_base_données_contrats[[#This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7" s="10" t="str">
        <f>IFERROR(IF(AND(EDATE(AF7,VLOOKUP(T_base_données_contrats[[#This Row],[Facturation]],T_source_facturation[],2,FALSE))&lt;(T_base_données_contrats[[#This Row],[Date de fin]]-1),T_base_données_contrats[[#This Row],[Facturation]]&lt;&gt;"annuelle"),EDATE(AF7,VLOOKUP(T_base_données_contrats[[#This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7" s="10" t="str">
        <f>IFERROR(IF(AND(EDATE(AG7,VLOOKUP(T_base_données_contrats[[#This Row],[Facturation]],T_source_facturation[],2,FALSE))&lt;(T_base_données_contrats[[#This Row],[Date de fin]]-1),T_base_données_contrats[[#This Row],[Facturation]]&lt;&gt;"annuelle"),EDATE(AG7,VLOOKUP(T_base_données_contrats[[#This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7" s="10"/>
      <c r="AJ7" s="10"/>
    </row>
    <row r="8" spans="1:43" x14ac:dyDescent="0.2">
      <c r="A8" s="9">
        <v>7</v>
      </c>
      <c r="B8" s="9" t="s">
        <v>9</v>
      </c>
      <c r="C8" s="9" t="s">
        <v>28</v>
      </c>
      <c r="D8" s="9" t="s">
        <v>19</v>
      </c>
      <c r="E8" s="9" t="s">
        <v>19</v>
      </c>
      <c r="F8" s="12" t="s">
        <v>20</v>
      </c>
      <c r="G8" s="9">
        <v>543</v>
      </c>
      <c r="H8" s="10">
        <v>43997</v>
      </c>
      <c r="I8" s="10">
        <v>45092</v>
      </c>
      <c r="J8" s="9">
        <f t="shared" si="1"/>
        <v>3</v>
      </c>
      <c r="K8" s="10" t="s">
        <v>27</v>
      </c>
      <c r="L8" s="11">
        <v>5500</v>
      </c>
      <c r="M8" s="11">
        <f t="shared" si="2"/>
        <v>4583.3333333333339</v>
      </c>
      <c r="N8" s="11">
        <f>IF(AND(J8&gt;=1,T_base_données_contrats[[#This Row],[Responsable]]="MMFA",OR(VLOOKUP(K8,T_source_facturation[],2,FALSE)&gt;1,VLOOKUP(K8,T_source_facturation[],2,FALSE)&lt;11)),((((M8*0.025)/T_base_données_contrats[[#This Row],[Durée en années]])/VLOOKUP(T_base_données_contrats[[#This Row],[Facturation]],T_source_facturation[],3,FALSE)))/2,((((M8*0.025)/T_base_données_contrats[[#This Row],[Durée en années]])/VLOOKUP(T_base_données_contrats[[#This Row],[Facturation]],T_source_facturation[],3,FALSE)))/3)</f>
        <v>19.097222222222225</v>
      </c>
      <c r="O8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44362</v>
      </c>
      <c r="P8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44727</v>
      </c>
      <c r="Q8" s="10">
        <f>IFERROR(IF(AND(EDATE(P8,VLOOKUP(T_base_données_contrats[[#This Row],[Facturation]],T_source_facturation[],2,FALSE))&lt;(T_base_données_contrats[[#This Row],[Date de fin]]-1),T_base_données_contrats[[#This Row],[Facturation]]&lt;&gt;"annuelle"),EDATE(P8,VLOOKUP(T_base_données_contrats[[#This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45092</v>
      </c>
      <c r="R8" s="10" t="str">
        <f>IFERROR(IF(AND(EDATE(Q8,VLOOKUP(T_base_données_contrats[[#This Row],[Facturation]],T_source_facturation[],2,FALSE))&lt;(T_base_données_contrats[[#This Row],[Date de fin]]-1),T_base_données_contrats[[#This Row],[Facturation]]&lt;&gt;"annuelle"),EDATE(Q8,VLOOKUP(T_base_données_contrats[[#This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/>
      </c>
      <c r="S8" s="10" t="str">
        <f>IFERROR(IF(AND(EDATE(R8,VLOOKUP(T_base_données_contrats[[#This Row],[Facturation]],T_source_facturation[],2,FALSE))&lt;(T_base_données_contrats[[#This Row],[Date de fin]]-1),T_base_données_contrats[[#This Row],[Facturation]]&lt;&gt;"annuelle"),EDATE(R8,VLOOKUP(T_base_données_contrats[[#This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8" s="10" t="str">
        <f>IFERROR(IF(AND(EDATE(S8,VLOOKUP(T_base_données_contrats[[#This Row],[Facturation]],T_source_facturation[],2,FALSE))&lt;(T_base_données_contrats[[#This Row],[Date de fin]]-1),T_base_données_contrats[[#This Row],[Facturation]]&lt;&gt;"annuelle"),EDATE(S8,VLOOKUP(T_base_données_contrats[[#This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8" s="10" t="str">
        <f>IFERROR(IF(AND(EDATE(T8,VLOOKUP(T_base_données_contrats[[#This Row],[Facturation]],T_source_facturation[],2,FALSE))&lt;(T_base_données_contrats[[#This Row],[Date de fin]]-1),T_base_données_contrats[[#This Row],[Facturation]]&lt;&gt;"annuelle"),EDATE(T8,VLOOKUP(T_base_données_contrats[[#This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8" s="10" t="str">
        <f>IFERROR(IF(AND(EDATE(U8,VLOOKUP(T_base_données_contrats[[#This Row],[Facturation]],T_source_facturation[],2,FALSE))&lt;(T_base_données_contrats[[#This Row],[Date de fin]]-1),T_base_données_contrats[[#This Row],[Facturation]]&lt;&gt;"annuelle"),EDATE(U8,VLOOKUP(T_base_données_contrats[[#This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8" s="10" t="str">
        <f>IFERROR(IF(AND(EDATE(V8,VLOOKUP(T_base_données_contrats[[#This Row],[Facturation]],T_source_facturation[],2,FALSE))&lt;(T_base_données_contrats[[#This Row],[Date de fin]]-1),T_base_données_contrats[[#This Row],[Facturation]]&lt;&gt;"annuelle"),EDATE(V8,VLOOKUP(T_base_données_contrats[[#This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8" s="10" t="str">
        <f>IFERROR(IF(AND(EDATE(W8,VLOOKUP(T_base_données_contrats[[#This Row],[Facturation]],T_source_facturation[],2,FALSE))&lt;(T_base_données_contrats[[#This Row],[Date de fin]]-1),T_base_données_contrats[[#This Row],[Facturation]]&lt;&gt;"annuelle"),EDATE(W8,VLOOKUP(T_base_données_contrats[[#This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8" s="10" t="str">
        <f>IFERROR(IF(AND(EDATE(X8,VLOOKUP(T_base_données_contrats[[#This Row],[Facturation]],T_source_facturation[],2,FALSE))&lt;(T_base_données_contrats[[#This Row],[Date de fin]]-1),T_base_données_contrats[[#This Row],[Facturation]]&lt;&gt;"annuelle"),EDATE(X8,VLOOKUP(T_base_données_contrats[[#This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8" s="10" t="str">
        <f>IFERROR(IF(AND(EDATE(Y8,VLOOKUP(T_base_données_contrats[[#This Row],[Facturation]],T_source_facturation[],2,FALSE))&lt;(T_base_données_contrats[[#This Row],[Date de fin]]-1),T_base_données_contrats[[#This Row],[Facturation]]&lt;&gt;"annuelle"),EDATE(Y8,VLOOKUP(T_base_données_contrats[[#This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8" s="10" t="str">
        <f>IFERROR(IF(AND(EDATE(Z8,VLOOKUP(T_base_données_contrats[[#This Row],[Facturation]],T_source_facturation[],2,FALSE))&lt;(T_base_données_contrats[[#This Row],[Date de fin]]-1),T_base_données_contrats[[#This Row],[Facturation]]&lt;&gt;"annuelle"),EDATE(Z8,VLOOKUP(T_base_données_contrats[[#This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8" s="10" t="str">
        <f>IFERROR(IF(AND(EDATE(AA8,VLOOKUP(T_base_données_contrats[[#This Row],[Facturation]],T_source_facturation[],2,FALSE))&lt;(T_base_données_contrats[[#This Row],[Date de fin]]-1),T_base_données_contrats[[#This Row],[Facturation]]&lt;&gt;"annuelle"),EDATE(AA8,VLOOKUP(T_base_données_contrats[[#This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8" s="10" t="str">
        <f>IFERROR(IF(AND(EDATE(AB8,VLOOKUP(T_base_données_contrats[[#This Row],[Facturation]],T_source_facturation[],2,FALSE))&lt;(T_base_données_contrats[[#This Row],[Date de fin]]-1),T_base_données_contrats[[#This Row],[Facturation]]&lt;&gt;"annuelle"),EDATE(AB8,VLOOKUP(T_base_données_contrats[[#This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8" s="10" t="str">
        <f>IFERROR(IF(AND(EDATE(AC8,VLOOKUP(T_base_données_contrats[[#This Row],[Facturation]],T_source_facturation[],2,FALSE))&lt;(T_base_données_contrats[[#This Row],[Date de fin]]-1),T_base_données_contrats[[#This Row],[Facturation]]&lt;&gt;"annuelle"),EDATE(AC8,VLOOKUP(T_base_données_contrats[[#This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8" s="10" t="str">
        <f>IFERROR(IF(AND(EDATE(AD8,VLOOKUP(T_base_données_contrats[[#This Row],[Facturation]],T_source_facturation[],2,FALSE))&lt;(T_base_données_contrats[[#This Row],[Date de fin]]-1),T_base_données_contrats[[#This Row],[Facturation]]&lt;&gt;"annuelle"),EDATE(AD8,VLOOKUP(T_base_données_contrats[[#This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8" s="10" t="str">
        <f>IFERROR(IF(AND(EDATE(AE8,VLOOKUP(T_base_données_contrats[[#This Row],[Facturation]],T_source_facturation[],2,FALSE))&lt;(T_base_données_contrats[[#This Row],[Date de fin]]-1),T_base_données_contrats[[#This Row],[Facturation]]&lt;&gt;"annuelle"),EDATE(AE8,VLOOKUP(T_base_données_contrats[[#This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8" s="10" t="str">
        <f>IFERROR(IF(AND(EDATE(AF8,VLOOKUP(T_base_données_contrats[[#This Row],[Facturation]],T_source_facturation[],2,FALSE))&lt;(T_base_données_contrats[[#This Row],[Date de fin]]-1),T_base_données_contrats[[#This Row],[Facturation]]&lt;&gt;"annuelle"),EDATE(AF8,VLOOKUP(T_base_données_contrats[[#This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8" s="10" t="str">
        <f>IFERROR(IF(AND(EDATE(AG8,VLOOKUP(T_base_données_contrats[[#This Row],[Facturation]],T_source_facturation[],2,FALSE))&lt;(T_base_données_contrats[[#This Row],[Date de fin]]-1),T_base_données_contrats[[#This Row],[Facturation]]&lt;&gt;"annuelle"),EDATE(AG8,VLOOKUP(T_base_données_contrats[[#This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8" s="10"/>
      <c r="AJ8" s="10"/>
    </row>
    <row r="9" spans="1:43" x14ac:dyDescent="0.2">
      <c r="A9" s="9">
        <v>8</v>
      </c>
      <c r="B9" s="9" t="s">
        <v>9</v>
      </c>
      <c r="C9" s="9" t="s">
        <v>30</v>
      </c>
      <c r="D9" s="9" t="s">
        <v>19</v>
      </c>
      <c r="E9" s="9" t="s">
        <v>19</v>
      </c>
      <c r="F9" s="12" t="s">
        <v>20</v>
      </c>
      <c r="G9" s="9">
        <v>765</v>
      </c>
      <c r="H9" s="10">
        <v>44028</v>
      </c>
      <c r="I9" s="10">
        <v>45854</v>
      </c>
      <c r="J9" s="9">
        <f t="shared" si="1"/>
        <v>5</v>
      </c>
      <c r="K9" s="10" t="s">
        <v>26</v>
      </c>
      <c r="L9" s="11">
        <v>8500</v>
      </c>
      <c r="M9" s="11">
        <f t="shared" si="2"/>
        <v>7083.3333333333339</v>
      </c>
      <c r="N9" s="11">
        <f>IF(AND(J9&gt;=1,T_base_données_contrats[[#This Row],[Responsable]]="MMFA",OR(VLOOKUP(K9,T_source_facturation[],2,FALSE)&gt;1,VLOOKUP(K9,T_source_facturation[],2,FALSE)&lt;11)),((((M9*0.025)/T_base_données_contrats[[#This Row],[Durée en années]])/VLOOKUP(T_base_données_contrats[[#This Row],[Facturation]],T_source_facturation[],3,FALSE)))/2,((((M9*0.025)/T_base_données_contrats[[#This Row],[Durée en années]])/VLOOKUP(T_base_données_contrats[[#This Row],[Facturation]],T_source_facturation[],3,FALSE)))/3)</f>
        <v>4.4270833333333339</v>
      </c>
      <c r="O9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44028</v>
      </c>
      <c r="P9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44120</v>
      </c>
      <c r="Q9" s="10">
        <f>IFERROR(IF(AND(EDATE(P9,VLOOKUP(T_base_données_contrats[[#This Row],[Facturation]],T_source_facturation[],2,FALSE))&lt;(T_base_données_contrats[[#This Row],[Date de fin]]-1),T_base_données_contrats[[#This Row],[Facturation]]&lt;&gt;"annuelle"),EDATE(P9,VLOOKUP(T_base_données_contrats[[#This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44212</v>
      </c>
      <c r="R9" s="10">
        <f>IFERROR(IF(AND(EDATE(Q9,VLOOKUP(T_base_données_contrats[[#This Row],[Facturation]],T_source_facturation[],2,FALSE))&lt;(T_base_données_contrats[[#This Row],[Date de fin]]-1),T_base_données_contrats[[#This Row],[Facturation]]&lt;&gt;"annuelle"),EDATE(Q9,VLOOKUP(T_base_données_contrats[[#This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44302</v>
      </c>
      <c r="S9" s="10">
        <f>IFERROR(IF(AND(EDATE(R9,VLOOKUP(T_base_données_contrats[[#This Row],[Facturation]],T_source_facturation[],2,FALSE))&lt;(T_base_données_contrats[[#This Row],[Date de fin]]-1),T_base_données_contrats[[#This Row],[Facturation]]&lt;&gt;"annuelle"),EDATE(R9,VLOOKUP(T_base_données_contrats[[#This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>44393</v>
      </c>
      <c r="T9" s="10">
        <f>IFERROR(IF(AND(EDATE(S9,VLOOKUP(T_base_données_contrats[[#This Row],[Facturation]],T_source_facturation[],2,FALSE))&lt;(T_base_données_contrats[[#This Row],[Date de fin]]-1),T_base_données_contrats[[#This Row],[Facturation]]&lt;&gt;"annuelle"),EDATE(S9,VLOOKUP(T_base_données_contrats[[#This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>44485</v>
      </c>
      <c r="U9" s="10">
        <f>IFERROR(IF(AND(EDATE(T9,VLOOKUP(T_base_données_contrats[[#This Row],[Facturation]],T_source_facturation[],2,FALSE))&lt;(T_base_données_contrats[[#This Row],[Date de fin]]-1),T_base_données_contrats[[#This Row],[Facturation]]&lt;&gt;"annuelle"),EDATE(T9,VLOOKUP(T_base_données_contrats[[#This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>44577</v>
      </c>
      <c r="V9" s="10">
        <f>IFERROR(IF(AND(EDATE(U9,VLOOKUP(T_base_données_contrats[[#This Row],[Facturation]],T_source_facturation[],2,FALSE))&lt;(T_base_données_contrats[[#This Row],[Date de fin]]-1),T_base_données_contrats[[#This Row],[Facturation]]&lt;&gt;"annuelle"),EDATE(U9,VLOOKUP(T_base_données_contrats[[#This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>44667</v>
      </c>
      <c r="W9" s="10">
        <f>IFERROR(IF(AND(EDATE(V9,VLOOKUP(T_base_données_contrats[[#This Row],[Facturation]],T_source_facturation[],2,FALSE))&lt;(T_base_données_contrats[[#This Row],[Date de fin]]-1),T_base_données_contrats[[#This Row],[Facturation]]&lt;&gt;"annuelle"),EDATE(V9,VLOOKUP(T_base_données_contrats[[#This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>44758</v>
      </c>
      <c r="X9" s="10">
        <f>IFERROR(IF(AND(EDATE(W9,VLOOKUP(T_base_données_contrats[[#This Row],[Facturation]],T_source_facturation[],2,FALSE))&lt;(T_base_données_contrats[[#This Row],[Date de fin]]-1),T_base_données_contrats[[#This Row],[Facturation]]&lt;&gt;"annuelle"),EDATE(W9,VLOOKUP(T_base_données_contrats[[#This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>44850</v>
      </c>
      <c r="Y9" s="10">
        <f>IFERROR(IF(AND(EDATE(X9,VLOOKUP(T_base_données_contrats[[#This Row],[Facturation]],T_source_facturation[],2,FALSE))&lt;(T_base_données_contrats[[#This Row],[Date de fin]]-1),T_base_données_contrats[[#This Row],[Facturation]]&lt;&gt;"annuelle"),EDATE(X9,VLOOKUP(T_base_données_contrats[[#This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>44942</v>
      </c>
      <c r="Z9" s="10">
        <f>IFERROR(IF(AND(EDATE(Y9,VLOOKUP(T_base_données_contrats[[#This Row],[Facturation]],T_source_facturation[],2,FALSE))&lt;(T_base_données_contrats[[#This Row],[Date de fin]]-1),T_base_données_contrats[[#This Row],[Facturation]]&lt;&gt;"annuelle"),EDATE(Y9,VLOOKUP(T_base_données_contrats[[#This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>45032</v>
      </c>
      <c r="AA9" s="10">
        <f>IFERROR(IF(AND(EDATE(Z9,VLOOKUP(T_base_données_contrats[[#This Row],[Facturation]],T_source_facturation[],2,FALSE))&lt;(T_base_données_contrats[[#This Row],[Date de fin]]-1),T_base_données_contrats[[#This Row],[Facturation]]&lt;&gt;"annuelle"),EDATE(Z9,VLOOKUP(T_base_données_contrats[[#This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>45123</v>
      </c>
      <c r="AB9" s="10">
        <f>IFERROR(IF(AND(EDATE(AA9,VLOOKUP(T_base_données_contrats[[#This Row],[Facturation]],T_source_facturation[],2,FALSE))&lt;(T_base_données_contrats[[#This Row],[Date de fin]]-1),T_base_données_contrats[[#This Row],[Facturation]]&lt;&gt;"annuelle"),EDATE(AA9,VLOOKUP(T_base_données_contrats[[#This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>45215</v>
      </c>
      <c r="AC9" s="10">
        <f>IFERROR(IF(AND(EDATE(AB9,VLOOKUP(T_base_données_contrats[[#This Row],[Facturation]],T_source_facturation[],2,FALSE))&lt;(T_base_données_contrats[[#This Row],[Date de fin]]-1),T_base_données_contrats[[#This Row],[Facturation]]&lt;&gt;"annuelle"),EDATE(AB9,VLOOKUP(T_base_données_contrats[[#This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>45307</v>
      </c>
      <c r="AD9" s="10">
        <f>IFERROR(IF(AND(EDATE(AC9,VLOOKUP(T_base_données_contrats[[#This Row],[Facturation]],T_source_facturation[],2,FALSE))&lt;(T_base_données_contrats[[#This Row],[Date de fin]]-1),T_base_données_contrats[[#This Row],[Facturation]]&lt;&gt;"annuelle"),EDATE(AC9,VLOOKUP(T_base_données_contrats[[#This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>45398</v>
      </c>
      <c r="AE9" s="10">
        <f>IFERROR(IF(AND(EDATE(AD9,VLOOKUP(T_base_données_contrats[[#This Row],[Facturation]],T_source_facturation[],2,FALSE))&lt;(T_base_données_contrats[[#This Row],[Date de fin]]-1),T_base_données_contrats[[#This Row],[Facturation]]&lt;&gt;"annuelle"),EDATE(AD9,VLOOKUP(T_base_données_contrats[[#This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>45489</v>
      </c>
      <c r="AF9" s="10">
        <f>IFERROR(IF(AND(EDATE(AE9,VLOOKUP(T_base_données_contrats[[#This Row],[Facturation]],T_source_facturation[],2,FALSE))&lt;(T_base_données_contrats[[#This Row],[Date de fin]]-1),T_base_données_contrats[[#This Row],[Facturation]]&lt;&gt;"annuelle"),EDATE(AE9,VLOOKUP(T_base_données_contrats[[#This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>45581</v>
      </c>
      <c r="AG9" s="10">
        <f>IFERROR(IF(AND(EDATE(AF9,VLOOKUP(T_base_données_contrats[[#This Row],[Facturation]],T_source_facturation[],2,FALSE))&lt;(T_base_données_contrats[[#This Row],[Date de fin]]-1),T_base_données_contrats[[#This Row],[Facturation]]&lt;&gt;"annuelle"),EDATE(AF9,VLOOKUP(T_base_données_contrats[[#This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>45673</v>
      </c>
      <c r="AH9" s="10">
        <f>IFERROR(IF(AND(EDATE(AG9,VLOOKUP(T_base_données_contrats[[#This Row],[Facturation]],T_source_facturation[],2,FALSE))&lt;(T_base_données_contrats[[#This Row],[Date de fin]]-1),T_base_données_contrats[[#This Row],[Facturation]]&lt;&gt;"annuelle"),EDATE(AG9,VLOOKUP(T_base_données_contrats[[#This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>45763</v>
      </c>
      <c r="AI9" s="10"/>
      <c r="AJ9" s="10"/>
      <c r="AL9" t="s">
        <v>23</v>
      </c>
      <c r="AM9" t="s">
        <v>32</v>
      </c>
      <c r="AN9" t="s">
        <v>38</v>
      </c>
    </row>
    <row r="10" spans="1:43" x14ac:dyDescent="0.2">
      <c r="A10" s="9">
        <v>9</v>
      </c>
      <c r="B10" s="9" t="s">
        <v>9</v>
      </c>
      <c r="C10" s="9" t="s">
        <v>29</v>
      </c>
      <c r="D10" s="9" t="s">
        <v>19</v>
      </c>
      <c r="E10" s="9" t="s">
        <v>19</v>
      </c>
      <c r="F10" s="12" t="s">
        <v>20</v>
      </c>
      <c r="G10" s="9">
        <v>432</v>
      </c>
      <c r="H10" s="10">
        <v>44036</v>
      </c>
      <c r="I10" s="10">
        <v>45131</v>
      </c>
      <c r="J10" s="9">
        <f t="shared" si="1"/>
        <v>3</v>
      </c>
      <c r="K10" s="10" t="s">
        <v>25</v>
      </c>
      <c r="L10" s="11">
        <v>24000</v>
      </c>
      <c r="M10" s="11">
        <f t="shared" si="2"/>
        <v>20000</v>
      </c>
      <c r="N10" s="11">
        <f>IF(AND(J10&gt;=1,T_base_données_contrats[[#This Row],[Responsable]]="MMFA",OR(VLOOKUP(K10,T_source_facturation[],2,FALSE)&gt;1,VLOOKUP(K10,T_source_facturation[],2,FALSE)&lt;11)),((((M10*0.025)/T_base_données_contrats[[#This Row],[Durée en années]])/VLOOKUP(T_base_données_contrats[[#This Row],[Facturation]],T_source_facturation[],3,FALSE)))/2,((((M10*0.025)/T_base_données_contrats[[#This Row],[Durée en années]])/VLOOKUP(T_base_données_contrats[[#This Row],[Facturation]],T_source_facturation[],3,FALSE)))/3)</f>
        <v>41.666666666666664</v>
      </c>
      <c r="O10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44036</v>
      </c>
      <c r="P10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44220</v>
      </c>
      <c r="Q10" s="10">
        <f>IFERROR(IF(AND(EDATE(P10,VLOOKUP(T_base_données_contrats[[#This Row],[Facturation]],T_source_facturation[],2,FALSE))&lt;(T_base_données_contrats[[#This Row],[Date de fin]]-1),T_base_données_contrats[[#This Row],[Facturation]]&lt;&gt;"annuelle"),EDATE(P10,VLOOKUP(T_base_données_contrats[[#This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44401</v>
      </c>
      <c r="R10" s="10">
        <f>IFERROR(IF(AND(EDATE(Q10,VLOOKUP(T_base_données_contrats[[#This Row],[Facturation]],T_source_facturation[],2,FALSE))&lt;(T_base_données_contrats[[#This Row],[Date de fin]]-1),T_base_données_contrats[[#This Row],[Facturation]]&lt;&gt;"annuelle"),EDATE(Q10,VLOOKUP(T_base_données_contrats[[#This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44585</v>
      </c>
      <c r="S10" s="10">
        <f>IFERROR(IF(AND(EDATE(R10,VLOOKUP(T_base_données_contrats[[#This Row],[Facturation]],T_source_facturation[],2,FALSE))&lt;(T_base_données_contrats[[#This Row],[Date de fin]]-1),T_base_données_contrats[[#This Row],[Facturation]]&lt;&gt;"annuelle"),EDATE(R10,VLOOKUP(T_base_données_contrats[[#This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>44766</v>
      </c>
      <c r="T10" s="10">
        <f>IFERROR(IF(AND(EDATE(S10,VLOOKUP(T_base_données_contrats[[#This Row],[Facturation]],T_source_facturation[],2,FALSE))&lt;(T_base_données_contrats[[#This Row],[Date de fin]]-1),T_base_données_contrats[[#This Row],[Facturation]]&lt;&gt;"annuelle"),EDATE(S10,VLOOKUP(T_base_données_contrats[[#This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>44950</v>
      </c>
      <c r="U10" s="10" t="str">
        <f>IFERROR(IF(AND(EDATE(T10,VLOOKUP(T_base_données_contrats[[#This Row],[Facturation]],T_source_facturation[],2,FALSE))&lt;(T_base_données_contrats[[#This Row],[Date de fin]]-1),T_base_données_contrats[[#This Row],[Facturation]]&lt;&gt;"annuelle"),EDATE(T10,VLOOKUP(T_base_données_contrats[[#This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10" s="10" t="str">
        <f>IFERROR(IF(AND(EDATE(U10,VLOOKUP(T_base_données_contrats[[#This Row],[Facturation]],T_source_facturation[],2,FALSE))&lt;(T_base_données_contrats[[#This Row],[Date de fin]]-1),T_base_données_contrats[[#This Row],[Facturation]]&lt;&gt;"annuelle"),EDATE(U10,VLOOKUP(T_base_données_contrats[[#This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10" s="10" t="str">
        <f>IFERROR(IF(AND(EDATE(V10,VLOOKUP(T_base_données_contrats[[#This Row],[Facturation]],T_source_facturation[],2,FALSE))&lt;(T_base_données_contrats[[#This Row],[Date de fin]]-1),T_base_données_contrats[[#This Row],[Facturation]]&lt;&gt;"annuelle"),EDATE(V10,VLOOKUP(T_base_données_contrats[[#This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10" s="10" t="str">
        <f>IFERROR(IF(AND(EDATE(W10,VLOOKUP(T_base_données_contrats[[#This Row],[Facturation]],T_source_facturation[],2,FALSE))&lt;(T_base_données_contrats[[#This Row],[Date de fin]]-1),T_base_données_contrats[[#This Row],[Facturation]]&lt;&gt;"annuelle"),EDATE(W10,VLOOKUP(T_base_données_contrats[[#This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10" s="10" t="str">
        <f>IFERROR(IF(AND(EDATE(X10,VLOOKUP(T_base_données_contrats[[#This Row],[Facturation]],T_source_facturation[],2,FALSE))&lt;(T_base_données_contrats[[#This Row],[Date de fin]]-1),T_base_données_contrats[[#This Row],[Facturation]]&lt;&gt;"annuelle"),EDATE(X10,VLOOKUP(T_base_données_contrats[[#This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10" s="10" t="str">
        <f>IFERROR(IF(AND(EDATE(Y10,VLOOKUP(T_base_données_contrats[[#This Row],[Facturation]],T_source_facturation[],2,FALSE))&lt;(T_base_données_contrats[[#This Row],[Date de fin]]-1),T_base_données_contrats[[#This Row],[Facturation]]&lt;&gt;"annuelle"),EDATE(Y10,VLOOKUP(T_base_données_contrats[[#This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10" s="10" t="str">
        <f>IFERROR(IF(AND(EDATE(Z10,VLOOKUP(T_base_données_contrats[[#This Row],[Facturation]],T_source_facturation[],2,FALSE))&lt;(T_base_données_contrats[[#This Row],[Date de fin]]-1),T_base_données_contrats[[#This Row],[Facturation]]&lt;&gt;"annuelle"),EDATE(Z10,VLOOKUP(T_base_données_contrats[[#This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10" s="10" t="str">
        <f>IFERROR(IF(AND(EDATE(AA10,VLOOKUP(T_base_données_contrats[[#This Row],[Facturation]],T_source_facturation[],2,FALSE))&lt;(T_base_données_contrats[[#This Row],[Date de fin]]-1),T_base_données_contrats[[#This Row],[Facturation]]&lt;&gt;"annuelle"),EDATE(AA10,VLOOKUP(T_base_données_contrats[[#This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10" s="10" t="str">
        <f>IFERROR(IF(AND(EDATE(AB10,VLOOKUP(T_base_données_contrats[[#This Row],[Facturation]],T_source_facturation[],2,FALSE))&lt;(T_base_données_contrats[[#This Row],[Date de fin]]-1),T_base_données_contrats[[#This Row],[Facturation]]&lt;&gt;"annuelle"),EDATE(AB10,VLOOKUP(T_base_données_contrats[[#This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10" s="10" t="str">
        <f>IFERROR(IF(AND(EDATE(AC10,VLOOKUP(T_base_données_contrats[[#This Row],[Facturation]],T_source_facturation[],2,FALSE))&lt;(T_base_données_contrats[[#This Row],[Date de fin]]-1),T_base_données_contrats[[#This Row],[Facturation]]&lt;&gt;"annuelle"),EDATE(AC10,VLOOKUP(T_base_données_contrats[[#This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10" s="10" t="str">
        <f>IFERROR(IF(AND(EDATE(AD10,VLOOKUP(T_base_données_contrats[[#This Row],[Facturation]],T_source_facturation[],2,FALSE))&lt;(T_base_données_contrats[[#This Row],[Date de fin]]-1),T_base_données_contrats[[#This Row],[Facturation]]&lt;&gt;"annuelle"),EDATE(AD10,VLOOKUP(T_base_données_contrats[[#This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10" s="10" t="str">
        <f>IFERROR(IF(AND(EDATE(AE10,VLOOKUP(T_base_données_contrats[[#This Row],[Facturation]],T_source_facturation[],2,FALSE))&lt;(T_base_données_contrats[[#This Row],[Date de fin]]-1),T_base_données_contrats[[#This Row],[Facturation]]&lt;&gt;"annuelle"),EDATE(AE10,VLOOKUP(T_base_données_contrats[[#This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10" s="10" t="str">
        <f>IFERROR(IF(AND(EDATE(AF10,VLOOKUP(T_base_données_contrats[[#This Row],[Facturation]],T_source_facturation[],2,FALSE))&lt;(T_base_données_contrats[[#This Row],[Date de fin]]-1),T_base_données_contrats[[#This Row],[Facturation]]&lt;&gt;"annuelle"),EDATE(AF10,VLOOKUP(T_base_données_contrats[[#This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10" s="10" t="str">
        <f>IFERROR(IF(AND(EDATE(AG10,VLOOKUP(T_base_données_contrats[[#This Row],[Facturation]],T_source_facturation[],2,FALSE))&lt;(T_base_données_contrats[[#This Row],[Date de fin]]-1),T_base_données_contrats[[#This Row],[Facturation]]&lt;&gt;"annuelle"),EDATE(AG10,VLOOKUP(T_base_données_contrats[[#This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I10" s="10"/>
      <c r="AJ10" s="10"/>
      <c r="AL10" t="s">
        <v>24</v>
      </c>
      <c r="AM10" s="9">
        <v>0</v>
      </c>
      <c r="AN10">
        <v>1</v>
      </c>
    </row>
    <row r="11" spans="1:43" x14ac:dyDescent="0.2">
      <c r="A11" s="9">
        <v>10</v>
      </c>
      <c r="B11" s="9" t="s">
        <v>9</v>
      </c>
      <c r="C11" s="9" t="s">
        <v>59</v>
      </c>
      <c r="D11" s="9" t="s">
        <v>19</v>
      </c>
      <c r="E11" s="9" t="s">
        <v>19</v>
      </c>
      <c r="F11" s="9" t="s">
        <v>19</v>
      </c>
      <c r="G11" s="9" t="s">
        <v>19</v>
      </c>
      <c r="H11" s="10">
        <v>44105</v>
      </c>
      <c r="I11" s="10">
        <v>44835</v>
      </c>
      <c r="J11" s="9">
        <f>DATEDIF(H11,I11,"Y")</f>
        <v>2</v>
      </c>
      <c r="K11" s="10" t="s">
        <v>25</v>
      </c>
      <c r="L11" s="13">
        <v>15000</v>
      </c>
      <c r="M11" s="11">
        <f>L11/1.2</f>
        <v>12500</v>
      </c>
      <c r="N11" s="11">
        <f>IF(AND(J11&gt;=1,T_base_données_contrats[[#This Row],[Responsable]]="MMFA",OR(VLOOKUP(K11,T_source_facturation[],2,FALSE)&gt;1,VLOOKUP(K11,T_source_facturation[],2,FALSE)&lt;11)),((((M11*0.025)/T_base_données_contrats[[#This Row],[Durée en années]])/VLOOKUP(T_base_données_contrats[[#This Row],[Facturation]],T_source_facturation[],3,FALSE)))/2,((((M11*0.025)/T_base_données_contrats[[#This Row],[Durée en années]])/VLOOKUP(T_base_données_contrats[[#This Row],[Facturation]],T_source_facturation[],3,FALSE)))/3)</f>
        <v>39.0625</v>
      </c>
      <c r="O11" s="10">
        <f>IF(T_base_données_contrats[[#This Row],[Facturation]]="à terme échu",EDATE(T_base_données_contrats[[#This Row],[Date  de début]],VLOOKUP(T_base_données_contrats[[#This Row],[Facturation]],T_source_facturation[],2,FALSE)),T_base_données_contrats[[#This Row],[Date  de début]])</f>
        <v>44105</v>
      </c>
      <c r="P11" s="10">
        <f>IF(AND(VLOOKUP(T_base_données_contrats[[#This Row],[Facturation]],T_source_facturation[],2,FALSE)&gt;1,VLOOKUP(T_base_données_contrats[[#This Row],[Facturation]],T_source_facturation[],2,FALSE)&lt;11),EDATE(T_base_données_contrats[[#This Row],[Facturation 1]],VLOOKUP(T_base_données_contrats[[#This Row],[Facturation]],T_source_facturation[],2,FALSE)),IF(OR(T_base_données_contrats[[#This Row],[Durée en années]]&gt;1,T_base_données_contrats[[#This Row],[Facturation]]="à terme échu"),EDATE(T_base_données_contrats[[#This Row],[Facturation 1]],12),""))</f>
        <v>44287</v>
      </c>
      <c r="Q11" s="10">
        <f>IFERROR(IF(AND(EDATE(P11,VLOOKUP(T_base_données_contrats[[#This Row],[Facturation]],T_source_facturation[],2,FALSE))&lt;(T_base_données_contrats[[#This Row],[Date de fin]]-1),T_base_données_contrats[[#This Row],[Facturation]]&lt;&gt;"annuelle"),EDATE(P11,VLOOKUP(T_base_données_contrats[[#This Row],[Facturation]],T_source_facturation[],2,FALSE)),IF(AND(T_base_données_contrats[[#This Row],[Facturation]]="annuelle",T_base_données_contrats[[#This Row],[Facturation 2]]+365&lt;T_base_données_contrats[[#This Row],[Date de fin]]),T_base_données_contrats[[#This Row],[Facturation 2]]+365,IF(AND(T_base_données_contrats[[#This Row],[Facturation]]="à terme échu",T_base_données_contrats[[#This Row],[Facturation 2]]+365=T_base_données_contrats[[#This Row],[Date de fin]]),T_base_données_contrats[[#This Row],[Facturation 2]]+365,""))),"")</f>
        <v>44470</v>
      </c>
      <c r="R11" s="10">
        <f>IFERROR(IF(AND(EDATE(Q11,VLOOKUP(T_base_données_contrats[[#This Row],[Facturation]],T_source_facturation[],2,FALSE))&lt;(T_base_données_contrats[[#This Row],[Date de fin]]-1),T_base_données_contrats[[#This Row],[Facturation]]&lt;&gt;"annuelle"),EDATE(Q11,VLOOKUP(T_base_données_contrats[[#This Row],[Facturation]],T_source_facturation[],2,FALSE)),IF(AND(T_base_données_contrats[[#This Row],[Facturation]]="annuelle",T_base_données_contrats[[#This Row],[Facturation 3]]+365&lt;T_base_données_contrats[[#This Row],[Date de fin]]),T_base_données_contrats[[#This Row],[Facturation 3]]+365,IF(AND(T_base_données_contrats[[#This Row],[Facturation]]="à terme échu",T_base_données_contrats[[#This Row],[Facturation 3]]+365=T_base_données_contrats[[#This Row],[Date de fin]]),T_base_données_contrats[[#This Row],[Facturation 3]]+365,""))),"")</f>
        <v>44652</v>
      </c>
      <c r="S11" s="10" t="str">
        <f>IFERROR(IF(AND(EDATE(R11,VLOOKUP(T_base_données_contrats[[#This Row],[Facturation]],T_source_facturation[],2,FALSE))&lt;(T_base_données_contrats[[#This Row],[Date de fin]]-1),T_base_données_contrats[[#This Row],[Facturation]]&lt;&gt;"annuelle"),EDATE(R11,VLOOKUP(T_base_données_contrats[[#This Row],[Facturation]],T_source_facturation[],2,FALSE)),IF(AND(T_base_données_contrats[[#This Row],[Facturation]]="annuelle",T_base_données_contrats[[#This Row],[Facturation 4]]+365&lt;T_base_données_contrats[[#This Row],[Date de fin]]),T_base_données_contrats[[#This Row],[Facturation 4]]+365,IF(AND(T_base_données_contrats[[#This Row],[Facturation]]="à terme échu",T_base_données_contrats[[#This Row],[Facturation 4]]+365=T_base_données_contrats[[#This Row],[Date de fin]]),T_base_données_contrats[[#This Row],[Facturation 4]]+365,""))),"")</f>
        <v/>
      </c>
      <c r="T11" s="10" t="str">
        <f>IFERROR(IF(AND(EDATE(S11,VLOOKUP(T_base_données_contrats[[#This Row],[Facturation]],T_source_facturation[],2,FALSE))&lt;(T_base_données_contrats[[#This Row],[Date de fin]]-1),T_base_données_contrats[[#This Row],[Facturation]]&lt;&gt;"annuelle"),EDATE(S11,VLOOKUP(T_base_données_contrats[[#This Row],[Facturation]],T_source_facturation[],2,FALSE)),IF(AND(T_base_données_contrats[[#This Row],[Facturation]]="annuelle",T_base_données_contrats[[#This Row],[Facturation 5]]+365&lt;T_base_données_contrats[[#This Row],[Date de fin]]),T_base_données_contrats[[#This Row],[Facturation 5]]+365,IF(AND(T_base_données_contrats[[#This Row],[Facturation]]="à terme échu",T_base_données_contrats[[#This Row],[Facturation 5]]+365=T_base_données_contrats[[#This Row],[Date de fin]]),T_base_données_contrats[[#This Row],[Facturation 5]]+365,""))),"")</f>
        <v/>
      </c>
      <c r="U11" s="10" t="str">
        <f>IFERROR(IF(AND(EDATE(T11,VLOOKUP(T_base_données_contrats[[#This Row],[Facturation]],T_source_facturation[],2,FALSE))&lt;(T_base_données_contrats[[#This Row],[Date de fin]]-1),T_base_données_contrats[[#This Row],[Facturation]]&lt;&gt;"annuelle"),EDATE(T11,VLOOKUP(T_base_données_contrats[[#This Row],[Facturation]],T_source_facturation[],2,FALSE)),IF(AND(T_base_données_contrats[[#This Row],[Facturation]]="annuelle",T_base_données_contrats[[#This Row],[Facturation 6]]+365&lt;T_base_données_contrats[[#This Row],[Date de fin]]),T_base_données_contrats[[#This Row],[Facturation 6]]+365,IF(AND(T_base_données_contrats[[#This Row],[Facturation]]="à terme échu",T_base_données_contrats[[#This Row],[Facturation 6]]+365=T_base_données_contrats[[#This Row],[Date de fin]]),T_base_données_contrats[[#This Row],[Facturation 6]]+365,""))),"")</f>
        <v/>
      </c>
      <c r="V11" s="10" t="str">
        <f>IFERROR(IF(AND(EDATE(U11,VLOOKUP(T_base_données_contrats[[#This Row],[Facturation]],T_source_facturation[],2,FALSE))&lt;(T_base_données_contrats[[#This Row],[Date de fin]]-1),T_base_données_contrats[[#This Row],[Facturation]]&lt;&gt;"annuelle"),EDATE(U11,VLOOKUP(T_base_données_contrats[[#This Row],[Facturation]],T_source_facturation[],2,FALSE)),IF(AND(T_base_données_contrats[[#This Row],[Facturation]]="annuelle",T_base_données_contrats[[#This Row],[Facturation 7]]+365&lt;T_base_données_contrats[[#This Row],[Date de fin]]),T_base_données_contrats[[#This Row],[Facturation 7]]+365,IF(AND(T_base_données_contrats[[#This Row],[Facturation]]="à terme échu",T_base_données_contrats[[#This Row],[Facturation 7]]+365=T_base_données_contrats[[#This Row],[Date de fin]]),T_base_données_contrats[[#This Row],[Facturation 7]]+365,""))),"")</f>
        <v/>
      </c>
      <c r="W11" s="10" t="str">
        <f>IFERROR(IF(AND(EDATE(V11,VLOOKUP(T_base_données_contrats[[#This Row],[Facturation]],T_source_facturation[],2,FALSE))&lt;(T_base_données_contrats[[#This Row],[Date de fin]]-1),T_base_données_contrats[[#This Row],[Facturation]]&lt;&gt;"annuelle"),EDATE(V11,VLOOKUP(T_base_données_contrats[[#This Row],[Facturation]],T_source_facturation[],2,FALSE)),IF(AND(T_base_données_contrats[[#This Row],[Facturation]]="annuelle",T_base_données_contrats[[#This Row],[Facturation 8]]+365&lt;T_base_données_contrats[[#This Row],[Date de fin]]),T_base_données_contrats[[#This Row],[Facturation 8]]+365,IF(AND(T_base_données_contrats[[#This Row],[Facturation]]="à terme échu",T_base_données_contrats[[#This Row],[Facturation 8]]+365=T_base_données_contrats[[#This Row],[Date de fin]]),T_base_données_contrats[[#This Row],[Facturation 8]]+365,""))),"")</f>
        <v/>
      </c>
      <c r="X11" s="10" t="str">
        <f>IFERROR(IF(AND(EDATE(W11,VLOOKUP(T_base_données_contrats[[#This Row],[Facturation]],T_source_facturation[],2,FALSE))&lt;(T_base_données_contrats[[#This Row],[Date de fin]]-1),T_base_données_contrats[[#This Row],[Facturation]]&lt;&gt;"annuelle"),EDATE(W11,VLOOKUP(T_base_données_contrats[[#This Row],[Facturation]],T_source_facturation[],2,FALSE)),IF(AND(T_base_données_contrats[[#This Row],[Facturation]]="annuelle",T_base_données_contrats[[#This Row],[Facturation 9]]+365&lt;T_base_données_contrats[[#This Row],[Date de fin]]),T_base_données_contrats[[#This Row],[Facturation 9]]+365,IF(AND(T_base_données_contrats[[#This Row],[Facturation]]="à terme échu",T_base_données_contrats[[#This Row],[Facturation 9]]+365=T_base_données_contrats[[#This Row],[Date de fin]]),T_base_données_contrats[[#This Row],[Facturation 9]]+365,""))),"")</f>
        <v/>
      </c>
      <c r="Y11" s="10" t="str">
        <f>IFERROR(IF(AND(EDATE(X11,VLOOKUP(T_base_données_contrats[[#This Row],[Facturation]],T_source_facturation[],2,FALSE))&lt;(T_base_données_contrats[[#This Row],[Date de fin]]-1),T_base_données_contrats[[#This Row],[Facturation]]&lt;&gt;"annuelle"),EDATE(X11,VLOOKUP(T_base_données_contrats[[#This Row],[Facturation]],T_source_facturation[],2,FALSE)),IF(AND(T_base_données_contrats[[#This Row],[Facturation]]="annuelle",T_base_données_contrats[[#This Row],[Facturation 10]]+365&lt;T_base_données_contrats[[#This Row],[Date de fin]]),T_base_données_contrats[[#This Row],[Facturation 10]]+365,IF(AND(T_base_données_contrats[[#This Row],[Facturation]]="à terme échu",T_base_données_contrats[[#This Row],[Facturation 10]]+365=T_base_données_contrats[[#This Row],[Date de fin]]),T_base_données_contrats[[#This Row],[Facturation 10]]+365,""))),"")</f>
        <v/>
      </c>
      <c r="Z11" s="10" t="str">
        <f>IFERROR(IF(AND(EDATE(Y11,VLOOKUP(T_base_données_contrats[[#This Row],[Facturation]],T_source_facturation[],2,FALSE))&lt;(T_base_données_contrats[[#This Row],[Date de fin]]-1),T_base_données_contrats[[#This Row],[Facturation]]&lt;&gt;"annuelle"),EDATE(Y11,VLOOKUP(T_base_données_contrats[[#This Row],[Facturation]],T_source_facturation[],2,FALSE)),IF(AND(T_base_données_contrats[[#This Row],[Facturation]]="annuelle",T_base_données_contrats[[#This Row],[Facturation 11]]+365&lt;T_base_données_contrats[[#This Row],[Date de fin]]),T_base_données_contrats[[#This Row],[Facturation 11]]+365,IF(AND(T_base_données_contrats[[#This Row],[Facturation]]="à terme échu",T_base_données_contrats[[#This Row],[Facturation 11]]+365=T_base_données_contrats[[#This Row],[Date de fin]]),T_base_données_contrats[[#This Row],[Facturation 11]]+365,""))),"")</f>
        <v/>
      </c>
      <c r="AA11" s="10" t="str">
        <f>IFERROR(IF(AND(EDATE(Z11,VLOOKUP(T_base_données_contrats[[#This Row],[Facturation]],T_source_facturation[],2,FALSE))&lt;(T_base_données_contrats[[#This Row],[Date de fin]]-1),T_base_données_contrats[[#This Row],[Facturation]]&lt;&gt;"annuelle"),EDATE(Z11,VLOOKUP(T_base_données_contrats[[#This Row],[Facturation]],T_source_facturation[],2,FALSE)),IF(AND(T_base_données_contrats[[#This Row],[Facturation]]="annuelle",T_base_données_contrats[[#This Row],[Facturation 12]]+365&lt;T_base_données_contrats[[#This Row],[Date de fin]]),T_base_données_contrats[[#This Row],[Facturation 12]]+365,IF(AND(T_base_données_contrats[[#This Row],[Facturation]]="à terme échu",T_base_données_contrats[[#This Row],[Facturation 12]]+365=T_base_données_contrats[[#This Row],[Date de fin]]),T_base_données_contrats[[#This Row],[Facturation 12]]+365,""))),"")</f>
        <v/>
      </c>
      <c r="AB11" s="10" t="str">
        <f>IFERROR(IF(AND(EDATE(AA11,VLOOKUP(T_base_données_contrats[[#This Row],[Facturation]],T_source_facturation[],2,FALSE))&lt;(T_base_données_contrats[[#This Row],[Date de fin]]-1),T_base_données_contrats[[#This Row],[Facturation]]&lt;&gt;"annuelle"),EDATE(AA11,VLOOKUP(T_base_données_contrats[[#This Row],[Facturation]],T_source_facturation[],2,FALSE)),IF(AND(T_base_données_contrats[[#This Row],[Facturation]]="annuelle",T_base_données_contrats[[#This Row],[Facturation 13]]+365&lt;T_base_données_contrats[[#This Row],[Date de fin]]),T_base_données_contrats[[#This Row],[Facturation 13]]+365,IF(AND(T_base_données_contrats[[#This Row],[Facturation]]="à terme échu",T_base_données_contrats[[#This Row],[Facturation 13]]+365=T_base_données_contrats[[#This Row],[Date de fin]]),T_base_données_contrats[[#This Row],[Facturation 13]]+365,""))),"")</f>
        <v/>
      </c>
      <c r="AC11" s="10" t="str">
        <f>IFERROR(IF(AND(EDATE(AB11,VLOOKUP(T_base_données_contrats[[#This Row],[Facturation]],T_source_facturation[],2,FALSE))&lt;(T_base_données_contrats[[#This Row],[Date de fin]]-1),T_base_données_contrats[[#This Row],[Facturation]]&lt;&gt;"annuelle"),EDATE(AB11,VLOOKUP(T_base_données_contrats[[#This Row],[Facturation]],T_source_facturation[],2,FALSE)),IF(AND(T_base_données_contrats[[#This Row],[Facturation]]="annuelle",T_base_données_contrats[[#This Row],[Facturation 14]]+365&lt;T_base_données_contrats[[#This Row],[Date de fin]]),T_base_données_contrats[[#This Row],[Facturation 14]]+365,IF(AND(T_base_données_contrats[[#This Row],[Facturation]]="à terme échu",T_base_données_contrats[[#This Row],[Facturation 14]]+365=T_base_données_contrats[[#This Row],[Date de fin]]),T_base_données_contrats[[#This Row],[Facturation 14]]+365,""))),"")</f>
        <v/>
      </c>
      <c r="AD11" s="10" t="str">
        <f>IFERROR(IF(AND(EDATE(AC11,VLOOKUP(T_base_données_contrats[[#This Row],[Facturation]],T_source_facturation[],2,FALSE))&lt;(T_base_données_contrats[[#This Row],[Date de fin]]-1),T_base_données_contrats[[#This Row],[Facturation]]&lt;&gt;"annuelle"),EDATE(AC11,VLOOKUP(T_base_données_contrats[[#This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E11" s="10" t="str">
        <f>IFERROR(IF(AND(EDATE(AD11,VLOOKUP(T_base_données_contrats[[#This Row],[Facturation]],T_source_facturation[],2,FALSE))&lt;(T_base_données_contrats[[#This Row],[Date de fin]]-1),T_base_données_contrats[[#This Row],[Facturation]]&lt;&gt;"annuelle"),EDATE(AD11,VLOOKUP(T_base_données_contrats[[#This Row],[Facturation]],T_source_facturation[],2,FALSE)),IF(AND(T_base_données_contrats[[#This Row],[Facturation]]="annuelle",T_base_données_contrats[[#This Row],[Facturation 16]]+365&lt;T_base_données_contrats[[#This Row],[Date de fin]]),T_base_données_contrats[[#This Row],[Facturation 16]]+365,IF(AND(T_base_données_contrats[[#This Row],[Facturation]]="à terme échu",T_base_données_contrats[[#This Row],[Facturation 16]]+365=T_base_données_contrats[[#This Row],[Date de fin]]),T_base_données_contrats[[#This Row],[Facturation 16]]+365,""))),"")</f>
        <v/>
      </c>
      <c r="AF11" s="10" t="str">
        <f>IFERROR(IF(AND(EDATE(AE11,VLOOKUP(T_base_données_contrats[[#This Row],[Facturation]],T_source_facturation[],2,FALSE))&lt;(T_base_données_contrats[[#This Row],[Date de fin]]-1),T_base_données_contrats[[#This Row],[Facturation]]&lt;&gt;"annuelle"),EDATE(AE11,VLOOKUP(T_base_données_contrats[[#This Row],[Facturation]],T_source_facturation[],2,FALSE)),IF(AND(T_base_données_contrats[[#This Row],[Facturation]]="annuelle",T_base_données_contrats[[#This Row],[Facturation 17]]+365&lt;T_base_données_contrats[[#This Row],[Date de fin]]),T_base_données_contrats[[#This Row],[Facturation 17]]+365,IF(AND(T_base_données_contrats[[#This Row],[Facturation]]="à terme échu",T_base_données_contrats[[#This Row],[Facturation 17]]+365=T_base_données_contrats[[#This Row],[Date de fin]]),T_base_données_contrats[[#This Row],[Facturation 17]]+365,""))),"")</f>
        <v/>
      </c>
      <c r="AG11" s="10" t="str">
        <f>IFERROR(IF(AND(EDATE(AF11,VLOOKUP(T_base_données_contrats[[#This Row],[Facturation]],T_source_facturation[],2,FALSE))&lt;(T_base_données_contrats[[#This Row],[Date de fin]]-1),T_base_données_contrats[[#This Row],[Facturation]]&lt;&gt;"annuelle"),EDATE(AF11,VLOOKUP(T_base_données_contrats[[#This Row],[Facturation]],T_source_facturation[],2,FALSE)),IF(AND(T_base_données_contrats[[#This Row],[Facturation]]="annuelle",T_base_données_contrats[[#This Row],[Facturation 18]]+365&lt;T_base_données_contrats[[#This Row],[Date de fin]]),T_base_données_contrats[[#This Row],[Facturation 18]]+365,IF(AND(T_base_données_contrats[[#This Row],[Facturation]]="à terme échu",T_base_données_contrats[[#This Row],[Facturation 18]]+365=T_base_données_contrats[[#This Row],[Date de fin]]),T_base_données_contrats[[#This Row],[Facturation 18]]+365,""))),"")</f>
        <v/>
      </c>
      <c r="AH11" s="10" t="str">
        <f>IFERROR(IF(AND(EDATE(AG11,VLOOKUP(T_base_données_contrats[[#This Row],[Facturation]],T_source_facturation[],2,FALSE))&lt;(T_base_données_contrats[[#This Row],[Date de fin]]-1),T_base_données_contrats[[#This Row],[Facturation]]&lt;&gt;"annuelle"),EDATE(AG11,VLOOKUP(T_base_données_contrats[[#This Row],[Facturation]],T_source_facturation[],2,FALSE)),IF(AND(T_base_données_contrats[[#This Row],[Facturation]]="annuelle",T_base_données_contrats[[#This Row],[Facturation 19]]+365&lt;T_base_données_contrats[[#This Row],[Date de fin]]),T_base_données_contrats[[#This Row],[Facturation 19]]+365,IF(AND(T_base_données_contrats[[#This Row],[Facturation]]="à terme échu",T_base_données_contrats[[#This Row],[Facturation 19]]+365=T_base_données_contrats[[#This Row],[Date de fin]]),T_base_données_contrats[[#This Row],[Facturation 19]]+365,""))),"")</f>
        <v/>
      </c>
      <c r="AL11" t="s">
        <v>25</v>
      </c>
      <c r="AM11" s="9">
        <v>6</v>
      </c>
      <c r="AN11">
        <v>2</v>
      </c>
    </row>
    <row r="12" spans="1:43" x14ac:dyDescent="0.2">
      <c r="AL12" t="s">
        <v>26</v>
      </c>
      <c r="AM12" s="9">
        <v>3</v>
      </c>
      <c r="AN12">
        <v>4</v>
      </c>
    </row>
    <row r="13" spans="1:43" x14ac:dyDescent="0.2">
      <c r="AD13" s="14"/>
      <c r="AE13" s="14"/>
      <c r="AF13" s="14"/>
      <c r="AL13" t="s">
        <v>27</v>
      </c>
      <c r="AM13" s="9">
        <v>12</v>
      </c>
      <c r="AN13">
        <v>1</v>
      </c>
    </row>
    <row r="14" spans="1:43" x14ac:dyDescent="0.2">
      <c r="AD14" s="15"/>
      <c r="AE14" s="16"/>
      <c r="AF14" s="14"/>
    </row>
    <row r="15" spans="1:43" x14ac:dyDescent="0.2">
      <c r="W15" s="10"/>
      <c r="AD15" s="17"/>
      <c r="AE15" s="17"/>
    </row>
    <row r="16" spans="1:43" x14ac:dyDescent="0.2">
      <c r="W16" s="10"/>
      <c r="AD16" s="17"/>
      <c r="AE16" s="17"/>
    </row>
    <row r="17" spans="18:32" x14ac:dyDescent="0.2">
      <c r="W17" s="10"/>
      <c r="AD17" s="17"/>
      <c r="AE17" s="17"/>
    </row>
    <row r="18" spans="18:32" x14ac:dyDescent="0.2">
      <c r="W18" s="10"/>
      <c r="AD18" s="17"/>
      <c r="AE18" s="17"/>
    </row>
    <row r="19" spans="18:32" x14ac:dyDescent="0.2">
      <c r="W19" s="10"/>
      <c r="AD19" s="17"/>
      <c r="AE19" s="17"/>
    </row>
    <row r="20" spans="18:32" x14ac:dyDescent="0.2">
      <c r="R20" s="10"/>
      <c r="W20" s="10"/>
      <c r="AD20" s="17"/>
      <c r="AE20" s="17"/>
      <c r="AF20" s="14"/>
    </row>
    <row r="21" spans="18:32" x14ac:dyDescent="0.2">
      <c r="R21" s="10"/>
      <c r="W21" s="10"/>
      <c r="AD21" s="17"/>
      <c r="AE21" s="17"/>
      <c r="AF21" s="14"/>
    </row>
    <row r="22" spans="18:32" x14ac:dyDescent="0.2">
      <c r="R22" s="10"/>
      <c r="W22" s="10"/>
      <c r="AD22" s="17"/>
      <c r="AE22" s="17"/>
      <c r="AF22" s="14"/>
    </row>
    <row r="23" spans="18:32" x14ac:dyDescent="0.2">
      <c r="R23" s="10"/>
      <c r="W23" s="10"/>
      <c r="AD23" s="17"/>
      <c r="AE23" s="17"/>
    </row>
    <row r="24" spans="18:32" x14ac:dyDescent="0.2">
      <c r="R24" s="10"/>
      <c r="W24" s="10"/>
    </row>
    <row r="25" spans="18:32" x14ac:dyDescent="0.2">
      <c r="R25" s="10"/>
    </row>
    <row r="26" spans="18:32" x14ac:dyDescent="0.2">
      <c r="R26" s="10"/>
    </row>
    <row r="27" spans="18:32" x14ac:dyDescent="0.2">
      <c r="R27" s="10"/>
    </row>
    <row r="28" spans="18:32" x14ac:dyDescent="0.2">
      <c r="R28" s="10"/>
    </row>
    <row r="29" spans="18:32" x14ac:dyDescent="0.2">
      <c r="R29" s="10"/>
    </row>
    <row r="30" spans="18:32" x14ac:dyDescent="0.2">
      <c r="R30" s="10"/>
    </row>
    <row r="31" spans="18:32" x14ac:dyDescent="0.2">
      <c r="R31" s="10"/>
    </row>
    <row r="32" spans="18:32" x14ac:dyDescent="0.2">
      <c r="R32" s="10"/>
    </row>
    <row r="33" spans="18:18" x14ac:dyDescent="0.2">
      <c r="R33" s="10"/>
    </row>
    <row r="34" spans="18:18" x14ac:dyDescent="0.2">
      <c r="R34" s="10"/>
    </row>
    <row r="35" spans="18:18" x14ac:dyDescent="0.2">
      <c r="R35" s="10"/>
    </row>
    <row r="36" spans="18:18" x14ac:dyDescent="0.2">
      <c r="R36" s="10"/>
    </row>
  </sheetData>
  <phoneticPr fontId="3" type="noConversion"/>
  <dataValidations count="1">
    <dataValidation type="list" allowBlank="1" showInputMessage="1" showErrorMessage="1" sqref="K2:K11" xr:uid="{00000000-0002-0000-0000-000000000000}">
      <formula1>$AL$10:$AL$13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abelle1.RegrouperFacturations">
                <anchor moveWithCells="1" sizeWithCells="1">
                  <from>
                    <xdr:col>13</xdr:col>
                    <xdr:colOff>127000</xdr:colOff>
                    <xdr:row>16</xdr:row>
                    <xdr:rowOff>0</xdr:rowOff>
                  </from>
                  <to>
                    <xdr:col>14</xdr:col>
                    <xdr:colOff>444500</xdr:colOff>
                    <xdr:row>19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B2:AA11"/>
  <sheetViews>
    <sheetView workbookViewId="0"/>
  </sheetViews>
  <sheetFormatPr baseColWidth="10" defaultRowHeight="16" x14ac:dyDescent="0.2"/>
  <cols>
    <col min="2" max="13" width="15.83203125" customWidth="1"/>
    <col min="22" max="23" width="33" bestFit="1" customWidth="1"/>
    <col min="24" max="24" width="22" bestFit="1" customWidth="1"/>
    <col min="27" max="27" width="20.1640625" bestFit="1" customWidth="1"/>
    <col min="28" max="28" width="19.83203125" bestFit="1" customWidth="1"/>
    <col min="29" max="29" width="15.5" bestFit="1" customWidth="1"/>
  </cols>
  <sheetData>
    <row r="2" spans="2:27" x14ac:dyDescent="0.2">
      <c r="Y2" t="s">
        <v>13</v>
      </c>
      <c r="AA2" s="4" t="s">
        <v>12</v>
      </c>
    </row>
    <row r="3" spans="2:27" x14ac:dyDescent="0.2">
      <c r="Y3">
        <v>2020</v>
      </c>
      <c r="AA3" s="5">
        <v>1</v>
      </c>
    </row>
    <row r="4" spans="2:27" x14ac:dyDescent="0.2">
      <c r="Y4">
        <v>2021</v>
      </c>
      <c r="AA4" s="5">
        <v>2</v>
      </c>
    </row>
    <row r="5" spans="2:27" x14ac:dyDescent="0.2">
      <c r="Y5">
        <v>2022</v>
      </c>
      <c r="AA5" s="5">
        <v>3</v>
      </c>
    </row>
    <row r="6" spans="2:27" x14ac:dyDescent="0.2">
      <c r="Y6">
        <v>2023</v>
      </c>
      <c r="AA6" s="5">
        <v>4</v>
      </c>
    </row>
    <row r="7" spans="2:27" ht="21" x14ac:dyDescent="0.2">
      <c r="B7" s="8" t="s">
        <v>13</v>
      </c>
      <c r="C7" cm="1">
        <f t="array" ref="C7">INDEX(Liste_années[Année],D7,1)</f>
        <v>2020</v>
      </c>
      <c r="D7">
        <v>1</v>
      </c>
      <c r="Y7">
        <v>2024</v>
      </c>
      <c r="AA7" s="5">
        <v>5</v>
      </c>
    </row>
    <row r="8" spans="2:27" x14ac:dyDescent="0.2">
      <c r="AA8" s="5">
        <v>6</v>
      </c>
    </row>
    <row r="9" spans="2:27" x14ac:dyDescent="0.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AA9" s="5">
        <v>7</v>
      </c>
    </row>
    <row r="10" spans="2:27" x14ac:dyDescent="0.2">
      <c r="AA10" s="5">
        <v>8</v>
      </c>
    </row>
    <row r="11" spans="2:27" ht="21" x14ac:dyDescent="0.2">
      <c r="B11" s="7" t="str">
        <f>TEXT(DATE($C$7,1,1),"mmmm")</f>
        <v>janvier</v>
      </c>
      <c r="C11" s="7" t="str">
        <f>TEXT(DATE($C$7,2,1),"mmmm")</f>
        <v>février</v>
      </c>
      <c r="D11" s="7" t="str">
        <f>TEXT(DATE($C$7,3,1),"mmmm")</f>
        <v>mars</v>
      </c>
      <c r="E11" s="7" t="str">
        <f>TEXT(DATE($C$7,4,1),"mmmm")</f>
        <v>avril</v>
      </c>
      <c r="F11" s="7" t="str">
        <f>TEXT(DATE($C$7,5,1),"mmmm")</f>
        <v>mai</v>
      </c>
      <c r="G11" s="7" t="str">
        <f>TEXT(DATE($C$7,6,1),"mmmm")</f>
        <v>juin</v>
      </c>
      <c r="H11" s="7" t="str">
        <f>TEXT(DATE($C$7,7,1),"mmmm")</f>
        <v>juillet</v>
      </c>
      <c r="I11" s="7" t="str">
        <f>TEXT(DATE($C$7,8,1),"mmmm")</f>
        <v>août</v>
      </c>
      <c r="J11" s="7" t="str">
        <f>TEXT(DATE($C$7,9,1),"mmmm")</f>
        <v>septembre</v>
      </c>
      <c r="K11" s="7" t="str">
        <f>TEXT(DATE($C$7,10,1),"mmmm")</f>
        <v>octobre</v>
      </c>
      <c r="L11" s="7" t="str">
        <f>TEXT(DATE($C$7,11,1),"mmmm")</f>
        <v>novembre</v>
      </c>
      <c r="M11" s="7" t="str">
        <f>TEXT(DATE($C$7,12,1),"mmmm")</f>
        <v>décembre</v>
      </c>
      <c r="AA11" s="5">
        <v>9</v>
      </c>
    </row>
  </sheetData>
  <phoneticPr fontId="3" type="noConversion"/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2</xdr:col>
                    <xdr:colOff>12700</xdr:colOff>
                    <xdr:row>6</xdr:row>
                    <xdr:rowOff>12700</xdr:rowOff>
                  </from>
                  <to>
                    <xdr:col>4</xdr:col>
                    <xdr:colOff>25400</xdr:colOff>
                    <xdr:row>7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C46"/>
  <sheetViews>
    <sheetView topLeftCell="A11" workbookViewId="0">
      <selection sqref="A1:C46"/>
    </sheetView>
  </sheetViews>
  <sheetFormatPr baseColWidth="10" defaultRowHeight="16" x14ac:dyDescent="0.2"/>
  <cols>
    <col min="1" max="1" width="16.1640625" customWidth="1"/>
    <col min="2" max="2" width="13.33203125" customWidth="1"/>
    <col min="3" max="3" width="25.33203125" customWidth="1"/>
  </cols>
  <sheetData>
    <row r="1" spans="1:3" x14ac:dyDescent="0.2">
      <c r="A1" t="s">
        <v>14</v>
      </c>
      <c r="B1" t="s">
        <v>58</v>
      </c>
      <c r="C1" t="s">
        <v>33</v>
      </c>
    </row>
    <row r="2" spans="1:3" x14ac:dyDescent="0.2">
      <c r="A2">
        <v>1</v>
      </c>
      <c r="B2" s="18">
        <v>43860</v>
      </c>
      <c r="C2">
        <v>88.541700000000006</v>
      </c>
    </row>
    <row r="3" spans="1:3" x14ac:dyDescent="0.2">
      <c r="A3">
        <v>2</v>
      </c>
      <c r="B3" s="18">
        <v>43858</v>
      </c>
      <c r="C3">
        <v>119.58329999999999</v>
      </c>
    </row>
    <row r="4" spans="1:3" x14ac:dyDescent="0.2">
      <c r="A4">
        <v>2</v>
      </c>
      <c r="B4" s="18">
        <v>44224</v>
      </c>
      <c r="C4">
        <v>119.58329999999999</v>
      </c>
    </row>
    <row r="5" spans="1:3" x14ac:dyDescent="0.2">
      <c r="A5">
        <v>3</v>
      </c>
      <c r="B5" s="18">
        <v>43853</v>
      </c>
      <c r="C5">
        <v>93.75</v>
      </c>
    </row>
    <row r="6" spans="1:3" x14ac:dyDescent="0.2">
      <c r="A6">
        <v>4</v>
      </c>
      <c r="B6" s="18">
        <v>43906</v>
      </c>
      <c r="C6">
        <v>79.861099999999993</v>
      </c>
    </row>
    <row r="7" spans="1:3" x14ac:dyDescent="0.2">
      <c r="A7">
        <v>4</v>
      </c>
      <c r="B7" s="18">
        <v>44271</v>
      </c>
      <c r="C7">
        <v>79.861099999999993</v>
      </c>
    </row>
    <row r="8" spans="1:3" x14ac:dyDescent="0.2">
      <c r="A8">
        <v>5</v>
      </c>
      <c r="B8" s="18">
        <v>43906</v>
      </c>
      <c r="C8">
        <v>41.666699999999999</v>
      </c>
    </row>
    <row r="9" spans="1:3" x14ac:dyDescent="0.2">
      <c r="A9">
        <v>5</v>
      </c>
      <c r="B9" s="18">
        <v>44271</v>
      </c>
      <c r="C9">
        <v>41.666699999999999</v>
      </c>
    </row>
    <row r="10" spans="1:3" x14ac:dyDescent="0.2">
      <c r="A10">
        <v>5</v>
      </c>
      <c r="B10" s="18">
        <v>44636</v>
      </c>
      <c r="C10">
        <v>41.666699999999999</v>
      </c>
    </row>
    <row r="11" spans="1:3" x14ac:dyDescent="0.2">
      <c r="A11">
        <v>5</v>
      </c>
      <c r="B11" s="18">
        <v>45001</v>
      </c>
      <c r="C11">
        <v>41.666699999999999</v>
      </c>
    </row>
    <row r="12" spans="1:3" x14ac:dyDescent="0.2">
      <c r="A12">
        <v>5</v>
      </c>
      <c r="B12" s="18">
        <v>45366</v>
      </c>
      <c r="C12">
        <v>41.666699999999999</v>
      </c>
    </row>
    <row r="13" spans="1:3" x14ac:dyDescent="0.2">
      <c r="A13">
        <v>6</v>
      </c>
      <c r="B13" s="18">
        <v>43946</v>
      </c>
      <c r="C13">
        <v>187.5</v>
      </c>
    </row>
    <row r="14" spans="1:3" x14ac:dyDescent="0.2">
      <c r="A14">
        <v>7</v>
      </c>
      <c r="B14" s="18">
        <v>44362</v>
      </c>
      <c r="C14">
        <v>19.097200000000001</v>
      </c>
    </row>
    <row r="15" spans="1:3" x14ac:dyDescent="0.2">
      <c r="A15">
        <v>7</v>
      </c>
      <c r="B15" s="18">
        <v>44727</v>
      </c>
      <c r="C15">
        <v>19.097200000000001</v>
      </c>
    </row>
    <row r="16" spans="1:3" x14ac:dyDescent="0.2">
      <c r="A16">
        <v>7</v>
      </c>
      <c r="B16" s="18">
        <v>45092</v>
      </c>
      <c r="C16">
        <v>19.097200000000001</v>
      </c>
    </row>
    <row r="17" spans="1:3" x14ac:dyDescent="0.2">
      <c r="A17">
        <v>8</v>
      </c>
      <c r="B17" s="18">
        <v>44028</v>
      </c>
      <c r="C17">
        <v>4.4271000000000003</v>
      </c>
    </row>
    <row r="18" spans="1:3" x14ac:dyDescent="0.2">
      <c r="A18">
        <v>8</v>
      </c>
      <c r="B18" s="18">
        <v>44120</v>
      </c>
      <c r="C18">
        <v>4.4271000000000003</v>
      </c>
    </row>
    <row r="19" spans="1:3" x14ac:dyDescent="0.2">
      <c r="A19">
        <v>8</v>
      </c>
      <c r="B19" s="18">
        <v>44212</v>
      </c>
      <c r="C19">
        <v>4.4271000000000003</v>
      </c>
    </row>
    <row r="20" spans="1:3" x14ac:dyDescent="0.2">
      <c r="A20">
        <v>8</v>
      </c>
      <c r="B20" s="18">
        <v>44302</v>
      </c>
      <c r="C20">
        <v>4.4271000000000003</v>
      </c>
    </row>
    <row r="21" spans="1:3" x14ac:dyDescent="0.2">
      <c r="A21">
        <v>8</v>
      </c>
      <c r="B21" s="18">
        <v>44393</v>
      </c>
      <c r="C21">
        <v>4.4271000000000003</v>
      </c>
    </row>
    <row r="22" spans="1:3" x14ac:dyDescent="0.2">
      <c r="A22">
        <v>8</v>
      </c>
      <c r="B22" s="18">
        <v>44485</v>
      </c>
      <c r="C22">
        <v>4.4271000000000003</v>
      </c>
    </row>
    <row r="23" spans="1:3" x14ac:dyDescent="0.2">
      <c r="A23">
        <v>8</v>
      </c>
      <c r="B23" s="18">
        <v>44577</v>
      </c>
      <c r="C23">
        <v>4.4271000000000003</v>
      </c>
    </row>
    <row r="24" spans="1:3" x14ac:dyDescent="0.2">
      <c r="A24">
        <v>8</v>
      </c>
      <c r="B24" s="18">
        <v>44667</v>
      </c>
      <c r="C24">
        <v>4.4271000000000003</v>
      </c>
    </row>
    <row r="25" spans="1:3" x14ac:dyDescent="0.2">
      <c r="A25">
        <v>8</v>
      </c>
      <c r="B25" s="18">
        <v>44758</v>
      </c>
      <c r="C25">
        <v>4.4271000000000003</v>
      </c>
    </row>
    <row r="26" spans="1:3" x14ac:dyDescent="0.2">
      <c r="A26">
        <v>8</v>
      </c>
      <c r="B26" s="18">
        <v>44850</v>
      </c>
      <c r="C26">
        <v>4.4271000000000003</v>
      </c>
    </row>
    <row r="27" spans="1:3" x14ac:dyDescent="0.2">
      <c r="A27">
        <v>8</v>
      </c>
      <c r="B27" s="18">
        <v>44942</v>
      </c>
      <c r="C27">
        <v>4.4271000000000003</v>
      </c>
    </row>
    <row r="28" spans="1:3" x14ac:dyDescent="0.2">
      <c r="A28">
        <v>8</v>
      </c>
      <c r="B28" s="18">
        <v>45032</v>
      </c>
      <c r="C28">
        <v>4.4271000000000003</v>
      </c>
    </row>
    <row r="29" spans="1:3" x14ac:dyDescent="0.2">
      <c r="A29">
        <v>8</v>
      </c>
      <c r="B29" s="18">
        <v>45123</v>
      </c>
      <c r="C29">
        <v>4.4271000000000003</v>
      </c>
    </row>
    <row r="30" spans="1:3" x14ac:dyDescent="0.2">
      <c r="A30">
        <v>8</v>
      </c>
      <c r="B30" s="18">
        <v>45215</v>
      </c>
      <c r="C30">
        <v>4.4271000000000003</v>
      </c>
    </row>
    <row r="31" spans="1:3" x14ac:dyDescent="0.2">
      <c r="A31">
        <v>8</v>
      </c>
      <c r="B31" s="18">
        <v>45307</v>
      </c>
      <c r="C31">
        <v>4.4271000000000003</v>
      </c>
    </row>
    <row r="32" spans="1:3" x14ac:dyDescent="0.2">
      <c r="A32">
        <v>8</v>
      </c>
      <c r="B32" s="18">
        <v>45398</v>
      </c>
      <c r="C32">
        <v>4.4271000000000003</v>
      </c>
    </row>
    <row r="33" spans="1:3" x14ac:dyDescent="0.2">
      <c r="A33">
        <v>8</v>
      </c>
      <c r="B33" s="18">
        <v>45489</v>
      </c>
      <c r="C33">
        <v>4.4271000000000003</v>
      </c>
    </row>
    <row r="34" spans="1:3" x14ac:dyDescent="0.2">
      <c r="A34">
        <v>8</v>
      </c>
      <c r="B34" s="18">
        <v>45581</v>
      </c>
      <c r="C34">
        <v>4.4271000000000003</v>
      </c>
    </row>
    <row r="35" spans="1:3" x14ac:dyDescent="0.2">
      <c r="A35">
        <v>8</v>
      </c>
      <c r="B35" s="18">
        <v>45673</v>
      </c>
      <c r="C35">
        <v>4.4271000000000003</v>
      </c>
    </row>
    <row r="36" spans="1:3" x14ac:dyDescent="0.2">
      <c r="A36">
        <v>8</v>
      </c>
      <c r="B36" s="18">
        <v>45763</v>
      </c>
      <c r="C36">
        <v>4.4271000000000003</v>
      </c>
    </row>
    <row r="37" spans="1:3" x14ac:dyDescent="0.2">
      <c r="A37">
        <v>9</v>
      </c>
      <c r="B37" s="18">
        <v>44036</v>
      </c>
      <c r="C37">
        <v>41.666699999999999</v>
      </c>
    </row>
    <row r="38" spans="1:3" x14ac:dyDescent="0.2">
      <c r="A38">
        <v>9</v>
      </c>
      <c r="B38" s="18">
        <v>44220</v>
      </c>
      <c r="C38">
        <v>41.666699999999999</v>
      </c>
    </row>
    <row r="39" spans="1:3" x14ac:dyDescent="0.2">
      <c r="A39">
        <v>9</v>
      </c>
      <c r="B39" s="18">
        <v>44401</v>
      </c>
      <c r="C39">
        <v>41.666699999999999</v>
      </c>
    </row>
    <row r="40" spans="1:3" x14ac:dyDescent="0.2">
      <c r="A40">
        <v>9</v>
      </c>
      <c r="B40" s="18">
        <v>44585</v>
      </c>
      <c r="C40">
        <v>41.666699999999999</v>
      </c>
    </row>
    <row r="41" spans="1:3" x14ac:dyDescent="0.2">
      <c r="A41">
        <v>9</v>
      </c>
      <c r="B41" s="18">
        <v>44766</v>
      </c>
      <c r="C41">
        <v>41.666699999999999</v>
      </c>
    </row>
    <row r="42" spans="1:3" x14ac:dyDescent="0.2">
      <c r="A42">
        <v>9</v>
      </c>
      <c r="B42" s="18">
        <v>44950</v>
      </c>
      <c r="C42">
        <v>41.666699999999999</v>
      </c>
    </row>
    <row r="43" spans="1:3" x14ac:dyDescent="0.2">
      <c r="A43">
        <v>10</v>
      </c>
      <c r="B43" s="18">
        <v>44105</v>
      </c>
      <c r="C43">
        <v>39.0625</v>
      </c>
    </row>
    <row r="44" spans="1:3" x14ac:dyDescent="0.2">
      <c r="A44">
        <v>10</v>
      </c>
      <c r="B44" s="18">
        <v>44287</v>
      </c>
      <c r="C44">
        <v>39.0625</v>
      </c>
    </row>
    <row r="45" spans="1:3" x14ac:dyDescent="0.2">
      <c r="A45">
        <v>10</v>
      </c>
      <c r="B45" s="18">
        <v>44470</v>
      </c>
      <c r="C45">
        <v>39.0625</v>
      </c>
    </row>
    <row r="46" spans="1:3" x14ac:dyDescent="0.2">
      <c r="A46">
        <v>10</v>
      </c>
      <c r="B46" s="18">
        <v>44652</v>
      </c>
      <c r="C46">
        <v>39.0625</v>
      </c>
    </row>
  </sheetData>
  <sortState xmlns:xlrd2="http://schemas.microsoft.com/office/spreadsheetml/2017/richdata2" ref="A2:C46">
    <sortCondition ref="A2:A46"/>
  </sortState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 contrats</vt:lpstr>
      <vt:lpstr>Récapitulatif des commissions</vt:lpstr>
      <vt:lpstr>Resultat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2020-02-29T10:30:02Z</dcterms:created>
  <dcterms:modified xsi:type="dcterms:W3CDTF">2020-03-22T09:30:14Z</dcterms:modified>
</cp:coreProperties>
</file>