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erion\Desktop\"/>
    </mc:Choice>
  </mc:AlternateContent>
  <xr:revisionPtr revIDLastSave="0" documentId="13_ncr:1_{FBBD5D4C-E707-4064-BC06-CB4D313F64BA}" xr6:coauthVersionLast="45" xr6:coauthVersionMax="45" xr10:uidLastSave="{00000000-0000-0000-0000-000000000000}"/>
  <bookViews>
    <workbookView xWindow="-28920" yWindow="-120" windowWidth="29040" windowHeight="17640" activeTab="2" xr2:uid="{D7CA757E-0EE4-4B2B-888A-751DDB131CA8}"/>
  </bookViews>
  <sheets>
    <sheet name="Base_congrès" sheetId="1" r:id="rId1"/>
    <sheet name="Base_marketing" sheetId="3" r:id="rId2"/>
    <sheet name="Marketing" sheetId="4" r:id="rId3"/>
    <sheet name="Congrès" sheetId="2" r:id="rId4"/>
  </sheets>
  <definedNames>
    <definedName name="Année_période">Marketing!$BN$16</definedName>
    <definedName name="ChoixAn">Congrès!$D$4</definedName>
    <definedName name="ChoixAnMarketing">Marketing!$BD$17</definedName>
    <definedName name="ChoixMois">Congrès!$E$5</definedName>
    <definedName name="DonnéesExternes_1" localSheetId="3" hidden="1">Congrès!$L$6:$P$9</definedName>
    <definedName name="période_à">Marketing!$BP$16</definedName>
  </definedNames>
  <calcPr calcId="191029"/>
  <pivotCaches>
    <pivotCache cacheId="19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8" i="4" l="1"/>
  <c r="S17" i="4"/>
  <c r="S16" i="4"/>
  <c r="Q19" i="4"/>
  <c r="Q18" i="4"/>
  <c r="Q17" i="4"/>
  <c r="Q16" i="4"/>
  <c r="Q15" i="4"/>
  <c r="Q14" i="4"/>
  <c r="Q13" i="4"/>
  <c r="S13" i="4" s="1"/>
  <c r="Q12" i="4"/>
  <c r="S12" i="4" s="1"/>
  <c r="Q11" i="4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2" i="1"/>
  <c r="D31" i="1"/>
  <c r="F6" i="3" l="1"/>
  <c r="G33" i="4" l="1"/>
  <c r="BP16" i="4" s="1"/>
  <c r="D33" i="4"/>
  <c r="BN16" i="4" s="1"/>
  <c r="E6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E4" i="1"/>
  <c r="E5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31" i="1"/>
  <c r="F2" i="3"/>
  <c r="F3" i="3" s="1"/>
  <c r="F4" i="3"/>
  <c r="D3" i="1"/>
  <c r="E3" i="1"/>
  <c r="D2" i="1"/>
  <c r="E2" i="1"/>
  <c r="L28" i="1"/>
  <c r="L29" i="1"/>
  <c r="L30" i="1"/>
  <c r="F5" i="3" l="1"/>
  <c r="BK20" i="4"/>
  <c r="BK19" i="4"/>
  <c r="BJ20" i="4"/>
  <c r="BJ19" i="4"/>
  <c r="B31" i="4"/>
  <c r="BK30" i="4"/>
  <c r="BK29" i="4"/>
  <c r="BJ30" i="4"/>
  <c r="BJ29" i="4"/>
  <c r="E5" i="4"/>
  <c r="B3" i="4" s="1"/>
  <c r="BK31" i="4" l="1"/>
  <c r="BJ31" i="4"/>
  <c r="BK21" i="4"/>
  <c r="BJ21" i="4"/>
  <c r="L2" i="1"/>
  <c r="G11" i="4" s="1"/>
  <c r="BD17" i="4"/>
  <c r="D4" i="2"/>
  <c r="N11" i="4" l="1"/>
  <c r="S15" i="4"/>
  <c r="S14" i="4"/>
  <c r="BJ33" i="4"/>
  <c r="BJ23" i="4"/>
  <c r="I11" i="4"/>
  <c r="L3" i="1"/>
  <c r="O12" i="4"/>
  <c r="N12" i="4"/>
  <c r="O11" i="4"/>
  <c r="AG29" i="2"/>
  <c r="AI29" i="2"/>
  <c r="D24" i="1"/>
  <c r="D25" i="1"/>
  <c r="D26" i="1"/>
  <c r="D27" i="1"/>
  <c r="D28" i="1"/>
  <c r="D29" i="1"/>
  <c r="D30" i="1"/>
  <c r="E24" i="1"/>
  <c r="E25" i="1"/>
  <c r="E26" i="1"/>
  <c r="E27" i="1"/>
  <c r="E28" i="1"/>
  <c r="E29" i="1"/>
  <c r="E30" i="1"/>
  <c r="E23" i="1"/>
  <c r="D23" i="1"/>
  <c r="N13" i="4" l="1"/>
  <c r="O13" i="4"/>
  <c r="E7" i="2"/>
  <c r="C7" i="2"/>
  <c r="I7" i="2"/>
  <c r="H7" i="2"/>
  <c r="G7" i="2"/>
  <c r="F7" i="2"/>
  <c r="D7" i="2"/>
  <c r="AL30" i="2"/>
  <c r="AK29" i="2"/>
  <c r="D22" i="1"/>
  <c r="E22" i="1"/>
  <c r="L11" i="1" l="1"/>
  <c r="G12" i="4"/>
  <c r="I12" i="4" s="1"/>
  <c r="N15" i="4"/>
  <c r="AN29" i="2"/>
  <c r="AO29" i="2"/>
  <c r="AL29" i="2"/>
  <c r="C8" i="2"/>
  <c r="D8" i="2" s="1"/>
  <c r="E8" i="2" s="1"/>
  <c r="F8" i="2" s="1"/>
  <c r="G8" i="2" s="1"/>
  <c r="H8" i="2" s="1"/>
  <c r="I8" i="2" s="1"/>
  <c r="C9" i="2" s="1"/>
  <c r="D9" i="2" s="1"/>
  <c r="E9" i="2" s="1"/>
  <c r="F9" i="2" s="1"/>
  <c r="G9" i="2" s="1"/>
  <c r="H9" i="2" s="1"/>
  <c r="I9" i="2" s="1"/>
  <c r="C10" i="2" s="1"/>
  <c r="D10" i="2" s="1"/>
  <c r="E10" i="2" s="1"/>
  <c r="F10" i="2" s="1"/>
  <c r="G10" i="2" s="1"/>
  <c r="H10" i="2" s="1"/>
  <c r="I10" i="2" s="1"/>
  <c r="C11" i="2" s="1"/>
  <c r="D11" i="2" s="1"/>
  <c r="E11" i="2" s="1"/>
  <c r="F11" i="2" s="1"/>
  <c r="G11" i="2" s="1"/>
  <c r="H11" i="2" s="1"/>
  <c r="I11" i="2" s="1"/>
  <c r="C12" i="2" s="1"/>
  <c r="D12" i="2" s="1"/>
  <c r="E12" i="2" s="1"/>
  <c r="F12" i="2" s="1"/>
  <c r="G12" i="2" s="1"/>
  <c r="H12" i="2" s="1"/>
  <c r="I12" i="2" s="1"/>
  <c r="AK30" i="2"/>
  <c r="AK31" i="2" l="1"/>
  <c r="AN30" i="2"/>
  <c r="AQ30" i="2" s="1"/>
  <c r="AO30" i="2"/>
  <c r="AQ29" i="2"/>
  <c r="AP29" i="2"/>
  <c r="L4" i="1" l="1"/>
  <c r="G13" i="4" s="1"/>
  <c r="AP30" i="2"/>
  <c r="AK32" i="2"/>
  <c r="AN31" i="2"/>
  <c r="AQ31" i="2" s="1"/>
  <c r="AO31" i="2"/>
  <c r="L26" i="1" l="1"/>
  <c r="L5" i="1"/>
  <c r="AP31" i="2"/>
  <c r="AK33" i="2"/>
  <c r="AN32" i="2"/>
  <c r="AQ32" i="2" s="1"/>
  <c r="AO32" i="2"/>
  <c r="AP32" i="2" l="1"/>
  <c r="AK34" i="2"/>
  <c r="AO33" i="2"/>
  <c r="AN33" i="2"/>
  <c r="AQ33" i="2" s="1"/>
  <c r="AP33" i="2" l="1"/>
  <c r="AK35" i="2"/>
  <c r="AN34" i="2"/>
  <c r="AQ34" i="2" s="1"/>
  <c r="AO34" i="2"/>
  <c r="AP34" i="2" l="1"/>
  <c r="AK36" i="2"/>
  <c r="AN35" i="2"/>
  <c r="AQ35" i="2" s="1"/>
  <c r="AO35" i="2"/>
  <c r="AP35" i="2" l="1"/>
  <c r="AK37" i="2"/>
  <c r="AN36" i="2"/>
  <c r="AQ36" i="2" s="1"/>
  <c r="AO36" i="2"/>
  <c r="AP36" i="2" l="1"/>
  <c r="AK38" i="2"/>
  <c r="AN37" i="2"/>
  <c r="AQ37" i="2" s="1"/>
  <c r="AO37" i="2"/>
  <c r="AP37" i="2" l="1"/>
  <c r="AK39" i="2"/>
  <c r="AO38" i="2"/>
  <c r="AN38" i="2"/>
  <c r="AQ38" i="2" s="1"/>
  <c r="AP38" i="2" l="1"/>
  <c r="AK40" i="2"/>
  <c r="AN39" i="2"/>
  <c r="AQ39" i="2" s="1"/>
  <c r="AO39" i="2"/>
  <c r="AK41" i="2" l="1"/>
  <c r="AO40" i="2"/>
  <c r="AN40" i="2"/>
  <c r="AQ40" i="2" s="1"/>
  <c r="AP39" i="2"/>
  <c r="AK42" i="2" l="1"/>
  <c r="AO41" i="2"/>
  <c r="AN41" i="2"/>
  <c r="AQ41" i="2" s="1"/>
  <c r="AP40" i="2"/>
  <c r="AP41" i="2" l="1"/>
  <c r="AK43" i="2"/>
  <c r="AN42" i="2"/>
  <c r="AQ42" i="2" s="1"/>
  <c r="AO42" i="2"/>
  <c r="AP42" i="2" l="1"/>
  <c r="AK44" i="2"/>
  <c r="AN43" i="2"/>
  <c r="AQ43" i="2" s="1"/>
  <c r="AO43" i="2"/>
  <c r="AP43" i="2" l="1"/>
  <c r="AK45" i="2"/>
  <c r="AN44" i="2"/>
  <c r="AQ44" i="2" s="1"/>
  <c r="AO44" i="2"/>
  <c r="AP44" i="2" l="1"/>
  <c r="AK46" i="2"/>
  <c r="AN45" i="2"/>
  <c r="AQ45" i="2" s="1"/>
  <c r="AO45" i="2"/>
  <c r="AK47" i="2" l="1"/>
  <c r="AN46" i="2"/>
  <c r="AQ46" i="2" s="1"/>
  <c r="AO46" i="2"/>
  <c r="AP45" i="2"/>
  <c r="AK48" i="2" l="1"/>
  <c r="AN47" i="2"/>
  <c r="AQ47" i="2" s="1"/>
  <c r="AO47" i="2"/>
  <c r="AP46" i="2"/>
  <c r="AP47" i="2" l="1"/>
  <c r="AK49" i="2"/>
  <c r="AO48" i="2"/>
  <c r="AN48" i="2"/>
  <c r="AQ48" i="2" s="1"/>
  <c r="AP48" i="2" l="1"/>
  <c r="AK50" i="2"/>
  <c r="AO49" i="2"/>
  <c r="AN49" i="2"/>
  <c r="AQ49" i="2" s="1"/>
  <c r="AP49" i="2" l="1"/>
  <c r="AK51" i="2"/>
  <c r="AN50" i="2"/>
  <c r="AQ50" i="2" s="1"/>
  <c r="AO50" i="2"/>
  <c r="AP50" i="2" l="1"/>
  <c r="AK52" i="2"/>
  <c r="AN51" i="2"/>
  <c r="AQ51" i="2" s="1"/>
  <c r="AO51" i="2"/>
  <c r="AP51" i="2" l="1"/>
  <c r="AK53" i="2"/>
  <c r="AN52" i="2"/>
  <c r="AQ52" i="2" s="1"/>
  <c r="AO52" i="2"/>
  <c r="AK54" i="2" l="1"/>
  <c r="AN53" i="2"/>
  <c r="AQ53" i="2" s="1"/>
  <c r="AO53" i="2"/>
  <c r="AP52" i="2"/>
  <c r="AP53" i="2" l="1"/>
  <c r="AK55" i="2"/>
  <c r="AO54" i="2"/>
  <c r="AN54" i="2"/>
  <c r="AQ54" i="2" s="1"/>
  <c r="AP54" i="2" l="1"/>
  <c r="AK56" i="2"/>
  <c r="AO55" i="2"/>
  <c r="AN55" i="2"/>
  <c r="AQ55" i="2" s="1"/>
  <c r="AP55" i="2" l="1"/>
  <c r="AK57" i="2"/>
  <c r="AO56" i="2"/>
  <c r="AN56" i="2"/>
  <c r="AQ56" i="2" s="1"/>
  <c r="AP56" i="2" l="1"/>
  <c r="AK58" i="2"/>
  <c r="AO57" i="2"/>
  <c r="AN57" i="2"/>
  <c r="AQ57" i="2" s="1"/>
  <c r="AP57" i="2" l="1"/>
  <c r="AK59" i="2"/>
  <c r="AN58" i="2"/>
  <c r="AQ58" i="2" s="1"/>
  <c r="AO58" i="2"/>
  <c r="AP58" i="2" l="1"/>
  <c r="AN59" i="2"/>
  <c r="AQ59" i="2" s="1"/>
  <c r="AO59" i="2"/>
  <c r="AP59" i="2" l="1"/>
  <c r="L20" i="1"/>
  <c r="L19" i="1"/>
  <c r="L6" i="1"/>
  <c r="G14" i="4"/>
  <c r="I14" i="4" s="1"/>
  <c r="L7" i="1" l="1"/>
  <c r="G15" i="4" s="1"/>
  <c r="I15" i="4" s="1"/>
  <c r="L8" i="1" l="1"/>
  <c r="G16" i="4" s="1"/>
  <c r="I16" i="4" s="1"/>
  <c r="L9" i="1" l="1"/>
  <c r="L10" i="1" l="1"/>
  <c r="G17" i="4"/>
  <c r="I17" i="4" s="1"/>
  <c r="L12" i="1" l="1"/>
  <c r="L13" i="1" s="1"/>
  <c r="L14" i="1" l="1"/>
  <c r="L15" i="1" s="1"/>
  <c r="L16" i="1" s="1"/>
  <c r="L17" i="1" s="1"/>
  <c r="L18" i="1" s="1"/>
  <c r="L21" i="1" l="1"/>
  <c r="L31" i="1"/>
  <c r="L22" i="1" l="1"/>
  <c r="L23" i="1" s="1"/>
  <c r="L24" i="1" l="1"/>
  <c r="L25" i="1" l="1"/>
  <c r="L27" i="1" s="1"/>
  <c r="S11" i="4" l="1"/>
  <c r="I13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FB8F8D-250A-4B43-B160-C11056901EFB}" keepAlive="1" name="Requête - An" description="Connexion à la requête « An » dans le classeur." type="5" refreshedVersion="0" background="1">
    <dbPr connection="Provider=Microsoft.Mashup.OleDb.1;Data Source=$Workbook$;Location=An;Extended Properties=&quot;&quot;" command="SELECT * FROM [An]"/>
  </connection>
  <connection id="2" xr16:uid="{A4A91207-B935-42E8-91FF-D58F3E7B2516}" keepAlive="1" name="Requête - Liste_congrès" description="Connexion à la requête « Liste_congrès » dans le classeur." type="5" refreshedVersion="0" background="1">
    <dbPr connection="Provider=Microsoft.Mashup.OleDb.1;Data Source=$Workbook$;Location=Liste_congrès;Extended Properties=&quot;&quot;" command="SELECT * FROM [Liste_congrès]"/>
  </connection>
  <connection id="3" xr16:uid="{BF278992-9E82-41E8-AEB7-9064CE534709}" keepAlive="1" name="Requête - Liste_congrès Congrès!" description="Connexion à la requête « Liste_congrès Congrès! » dans le classeur." type="5" refreshedVersion="6" background="1" saveData="1">
    <dbPr connection="Provider=Microsoft.Mashup.OleDb.1;Data Source=$Workbook$;Location=&quot;Liste_congrès Congrès!&quot;;Extended Properties=&quot;&quot;" command="SELECT * FROM [Liste_congrès Congrès!]"/>
  </connection>
  <connection id="4" xr16:uid="{05B71059-E40D-4BC1-AFBD-35E715246B43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</connections>
</file>

<file path=xl/sharedStrings.xml><?xml version="1.0" encoding="utf-8"?>
<sst xmlns="http://schemas.openxmlformats.org/spreadsheetml/2006/main" count="282" uniqueCount="157">
  <si>
    <t>Date de début</t>
  </si>
  <si>
    <t>Date de fin</t>
  </si>
  <si>
    <t>Nom congrès</t>
  </si>
  <si>
    <t>Lieu</t>
  </si>
  <si>
    <t>Durée du congrès</t>
  </si>
  <si>
    <t>Date du congrès</t>
  </si>
  <si>
    <t>Palavas-les-Flots</t>
  </si>
  <si>
    <t>R 360</t>
  </si>
  <si>
    <t>Toulouse</t>
  </si>
  <si>
    <t>SFR</t>
  </si>
  <si>
    <t>Paris</t>
  </si>
  <si>
    <t>SM</t>
  </si>
  <si>
    <t>Maroc</t>
  </si>
  <si>
    <t>JR</t>
  </si>
  <si>
    <t>Ri</t>
  </si>
  <si>
    <t>Bordeaux</t>
  </si>
  <si>
    <t>Duo</t>
  </si>
  <si>
    <t>Montpellier</t>
  </si>
  <si>
    <t>Pratique</t>
  </si>
  <si>
    <t>SC</t>
  </si>
  <si>
    <t>Calendrier Congrès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</si>
  <si>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</si>
  <si>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</si>
  <si>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</si>
  <si>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</si>
  <si>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</si>
  <si>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</si>
  <si>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</si>
  <si>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</si>
  <si>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</si>
  <si>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</si>
  <si>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</si>
  <si>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</si>
  <si>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</si>
  <si>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</si>
  <si>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</si>
  <si>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ChoixAn</t>
  </si>
  <si>
    <t>ChoixMois</t>
  </si>
  <si>
    <t>Participation</t>
  </si>
  <si>
    <t>Prix</t>
  </si>
  <si>
    <t>Participants</t>
  </si>
  <si>
    <t>Organisateur</t>
  </si>
  <si>
    <t>oui</t>
  </si>
  <si>
    <t>non</t>
  </si>
  <si>
    <t>FR</t>
  </si>
  <si>
    <t>MM</t>
  </si>
  <si>
    <t>FD</t>
  </si>
  <si>
    <t>YG</t>
  </si>
  <si>
    <t>JL</t>
  </si>
  <si>
    <t>JC</t>
  </si>
  <si>
    <t>GM</t>
  </si>
  <si>
    <t>GR</t>
  </si>
  <si>
    <t>Informations Congrès</t>
  </si>
  <si>
    <t>Jours  Mois</t>
  </si>
  <si>
    <t>date</t>
  </si>
  <si>
    <t>Période</t>
  </si>
  <si>
    <t>Du 11 janvier au 12 janvier</t>
  </si>
  <si>
    <t>Le 18 janvier</t>
  </si>
  <si>
    <t>Le 19 janvier</t>
  </si>
  <si>
    <t>Étiquettes de lignes</t>
  </si>
  <si>
    <t>Total général</t>
  </si>
  <si>
    <t>Somme de Durée du congrès</t>
  </si>
  <si>
    <t>Congrès début</t>
  </si>
  <si>
    <t>Congrès fin</t>
  </si>
  <si>
    <t>Total</t>
  </si>
  <si>
    <t>Durée</t>
  </si>
  <si>
    <t>HELPP</t>
  </si>
  <si>
    <t>Date</t>
  </si>
  <si>
    <t>Nature de l'opération</t>
  </si>
  <si>
    <t xml:space="preserve">Prestataire </t>
  </si>
  <si>
    <t>Commentaires</t>
  </si>
  <si>
    <t>Facture</t>
  </si>
  <si>
    <t>Format</t>
  </si>
  <si>
    <t>Thème du congrès</t>
  </si>
  <si>
    <t>Impression TAP 8 pages</t>
  </si>
  <si>
    <t>26x20</t>
  </si>
  <si>
    <t>Quantité</t>
  </si>
  <si>
    <t>Mad Création</t>
  </si>
  <si>
    <t>Insertion jeté</t>
  </si>
  <si>
    <t>A5</t>
  </si>
  <si>
    <t>Choix de la période</t>
  </si>
  <si>
    <t>ChoixAnMarketing</t>
  </si>
  <si>
    <t>Prix en € HT</t>
  </si>
  <si>
    <t>HELPP (en €)</t>
  </si>
  <si>
    <t>Op marketing</t>
  </si>
  <si>
    <t>Congrès</t>
  </si>
  <si>
    <t>Dépenses marketing total</t>
  </si>
  <si>
    <t>Budget réel</t>
  </si>
  <si>
    <t>Dépenses congrès par participants</t>
  </si>
  <si>
    <t>Montants</t>
  </si>
  <si>
    <t xml:space="preserve"> HELPP</t>
  </si>
  <si>
    <t>Dépenses congrès par organisateur</t>
  </si>
  <si>
    <t>Organisateurs</t>
  </si>
  <si>
    <t>Dépenses marketing par prestataire</t>
  </si>
  <si>
    <t>Prestataires</t>
  </si>
  <si>
    <t>Dépenses</t>
  </si>
  <si>
    <t>FR; JL; GR</t>
  </si>
  <si>
    <t>Indice ligne</t>
  </si>
  <si>
    <t>Matériel à prévoir</t>
  </si>
  <si>
    <t>FR; GR, JL</t>
  </si>
  <si>
    <t>Lyon</t>
  </si>
  <si>
    <t>FD ;GM</t>
  </si>
  <si>
    <t>FR; GR; CC; JL; FD; SK; JC; GM</t>
  </si>
  <si>
    <t>Avignon</t>
  </si>
  <si>
    <t>FD ; FR</t>
  </si>
  <si>
    <t>Perpignan</t>
  </si>
  <si>
    <t xml:space="preserve">oui </t>
  </si>
  <si>
    <t>GR; FR</t>
  </si>
  <si>
    <t>JL; SF</t>
  </si>
  <si>
    <t>La Grande Motte</t>
  </si>
  <si>
    <t>FD; FR</t>
  </si>
  <si>
    <t>Reims</t>
  </si>
  <si>
    <t>La Baule</t>
  </si>
  <si>
    <t>JC; SK</t>
  </si>
  <si>
    <t>Monaco</t>
  </si>
  <si>
    <t>FD; GR; FR; CC; JL</t>
  </si>
  <si>
    <t>Pavillon Dauphine</t>
  </si>
  <si>
    <t>JL; SF; FR</t>
  </si>
  <si>
    <t>JL; GM</t>
  </si>
  <si>
    <t>FD; SK; FR; GR</t>
  </si>
  <si>
    <t>"</t>
  </si>
  <si>
    <t>Tours</t>
  </si>
  <si>
    <t>Participation congrès</t>
  </si>
  <si>
    <t xml:space="preserve">Période </t>
  </si>
  <si>
    <t>à</t>
  </si>
  <si>
    <t>Dépenses marketing début</t>
  </si>
  <si>
    <t>Dépenses marketing fin</t>
  </si>
  <si>
    <t xml:space="preserve">Impression brochure </t>
  </si>
  <si>
    <t>Création tottem</t>
  </si>
  <si>
    <t>2x3m</t>
  </si>
  <si>
    <t>Mad print</t>
  </si>
  <si>
    <t>Impression</t>
  </si>
  <si>
    <t>AM</t>
  </si>
  <si>
    <t>CN</t>
  </si>
  <si>
    <t>OM</t>
  </si>
  <si>
    <t>JP</t>
  </si>
  <si>
    <t>SN</t>
  </si>
  <si>
    <t>SF</t>
  </si>
  <si>
    <t xml:space="preserve">Planète </t>
  </si>
  <si>
    <t>IS</t>
  </si>
  <si>
    <t>Atlantic</t>
  </si>
  <si>
    <t>Nice</t>
  </si>
  <si>
    <t>Journée</t>
  </si>
  <si>
    <t>FN</t>
  </si>
  <si>
    <t>JO</t>
  </si>
  <si>
    <t>Image</t>
  </si>
  <si>
    <t>SAF</t>
  </si>
  <si>
    <t>CO</t>
  </si>
  <si>
    <t>Régi</t>
  </si>
  <si>
    <t>J</t>
  </si>
  <si>
    <t>COM</t>
  </si>
  <si>
    <t>event</t>
  </si>
  <si>
    <t>Organisation</t>
  </si>
  <si>
    <t>PC</t>
  </si>
  <si>
    <t>Association</t>
  </si>
  <si>
    <t>PW</t>
  </si>
  <si>
    <t>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</si>
</sst>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"/>
    <numFmt numFmtId="165" formatCode="[$-F800]dddd\,\ mmmm\ dd\,\ yyyy"/>
    <numFmt numFmtId="166" formatCode="#,##0.00\ &quot;€&quot;"/>
  </numFmts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5C8C3"/>
        <bgColor indexed="64"/>
      </patternFill>
    </fill>
    <fill>
      <patternFill patternType="solid">
        <fgColor theme="4" tint="0.7999816888943144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/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thin">
        <color indexed="64"/>
      </left>
      <right style="medium">
        <color rgb="FFC00000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130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4" xfId="0" applyNumberFormat="1" applyBorder="1"/>
    <xf numFmtId="14" fontId="0" fillId="0" borderId="5" xfId="0" applyNumberFormat="1" applyBorder="1"/>
    <xf numFmtId="14" fontId="0" fillId="0" borderId="6" xfId="0" applyNumberFormat="1" applyBorder="1"/>
    <xf numFmtId="0" fontId="0" fillId="0" borderId="10" xfId="0" applyBorder="1"/>
    <xf numFmtId="14" fontId="0" fillId="0" borderId="11" xfId="0" applyNumberFormat="1" applyBorder="1"/>
    <xf numFmtId="14" fontId="0" fillId="0" borderId="12" xfId="0" applyNumberFormat="1" applyBorder="1"/>
    <xf numFmtId="0" fontId="0" fillId="0" borderId="0" xfId="0" applyNumberFormat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14" fontId="0" fillId="0" borderId="0" xfId="0" applyNumberFormat="1" applyBorder="1"/>
    <xf numFmtId="0" fontId="0" fillId="0" borderId="0" xfId="0" applyNumberFormat="1" applyBorder="1"/>
    <xf numFmtId="0" fontId="0" fillId="0" borderId="28" xfId="0" applyBorder="1"/>
    <xf numFmtId="0" fontId="0" fillId="0" borderId="27" xfId="0" applyBorder="1"/>
    <xf numFmtId="0" fontId="0" fillId="0" borderId="29" xfId="0" applyBorder="1"/>
    <xf numFmtId="0" fontId="0" fillId="3" borderId="3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65" fontId="0" fillId="0" borderId="0" xfId="0" applyNumberFormat="1"/>
    <xf numFmtId="165" fontId="0" fillId="0" borderId="0" xfId="0" pivotButton="1" applyNumberFormat="1"/>
    <xf numFmtId="165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6" xfId="0" applyFont="1" applyBorder="1" applyAlignment="1">
      <alignment horizontal="center" vertical="center" wrapText="1"/>
    </xf>
    <xf numFmtId="166" fontId="0" fillId="6" borderId="38" xfId="0" applyNumberFormat="1" applyFill="1" applyBorder="1" applyAlignment="1">
      <alignment horizontal="center" vertical="center"/>
    </xf>
    <xf numFmtId="166" fontId="0" fillId="6" borderId="41" xfId="0" applyNumberFormat="1" applyFill="1" applyBorder="1" applyAlignment="1">
      <alignment horizontal="center" vertical="center"/>
    </xf>
    <xf numFmtId="166" fontId="0" fillId="2" borderId="39" xfId="0" applyNumberFormat="1" applyFill="1" applyBorder="1" applyAlignment="1">
      <alignment horizontal="center" vertical="center"/>
    </xf>
    <xf numFmtId="166" fontId="0" fillId="2" borderId="44" xfId="0" applyNumberFormat="1" applyFill="1" applyBorder="1" applyAlignment="1">
      <alignment horizontal="center" vertical="center"/>
    </xf>
    <xf numFmtId="166" fontId="7" fillId="6" borderId="42" xfId="0" applyNumberFormat="1" applyFont="1" applyFill="1" applyBorder="1" applyAlignment="1">
      <alignment horizontal="center" vertical="center"/>
    </xf>
    <xf numFmtId="166" fontId="7" fillId="2" borderId="12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1" xfId="0" applyNumberFormat="1" applyFont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0" xfId="0" applyBorder="1" applyAlignment="1">
      <alignment horizontal="right"/>
    </xf>
    <xf numFmtId="0" fontId="5" fillId="7" borderId="40" xfId="0" applyFont="1" applyFill="1" applyBorder="1" applyAlignment="1">
      <alignment horizontal="center" vertical="center"/>
    </xf>
    <xf numFmtId="0" fontId="5" fillId="7" borderId="50" xfId="0" applyFont="1" applyFill="1" applyBorder="1" applyAlignment="1">
      <alignment horizontal="center" vertical="center"/>
    </xf>
    <xf numFmtId="166" fontId="8" fillId="7" borderId="48" xfId="0" applyNumberFormat="1" applyFont="1" applyFill="1" applyBorder="1" applyAlignment="1">
      <alignment horizontal="center" vertical="center"/>
    </xf>
    <xf numFmtId="0" fontId="8" fillId="7" borderId="49" xfId="0" applyFont="1" applyFill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6" fontId="0" fillId="0" borderId="24" xfId="1" applyNumberFormat="1" applyFont="1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0" fillId="0" borderId="0" xfId="0" applyAlignment="1">
      <alignment horizontal="center"/>
    </xf>
    <xf numFmtId="166" fontId="0" fillId="0" borderId="37" xfId="1" applyNumberFormat="1" applyFont="1" applyBorder="1" applyAlignment="1">
      <alignment horizontal="center" vertical="center"/>
    </xf>
    <xf numFmtId="166" fontId="0" fillId="0" borderId="56" xfId="1" applyNumberFormat="1" applyFont="1" applyBorder="1" applyAlignment="1">
      <alignment horizontal="center" vertical="center"/>
    </xf>
    <xf numFmtId="166" fontId="0" fillId="0" borderId="58" xfId="1" applyNumberFormat="1" applyFont="1" applyBorder="1" applyAlignment="1">
      <alignment horizontal="center" vertical="center"/>
    </xf>
    <xf numFmtId="166" fontId="0" fillId="0" borderId="59" xfId="1" applyNumberFormat="1" applyFont="1" applyBorder="1" applyAlignment="1">
      <alignment horizontal="center" vertical="center"/>
    </xf>
    <xf numFmtId="166" fontId="0" fillId="0" borderId="53" xfId="1" applyNumberFormat="1" applyFont="1" applyBorder="1" applyAlignment="1">
      <alignment horizontal="center" vertical="center"/>
    </xf>
    <xf numFmtId="166" fontId="0" fillId="0" borderId="54" xfId="1" applyNumberFormat="1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47" xfId="0" applyNumberFormat="1" applyFont="1" applyBorder="1" applyAlignment="1">
      <alignment horizontal="center" vertical="center"/>
    </xf>
    <xf numFmtId="14" fontId="0" fillId="0" borderId="33" xfId="0" applyNumberFormat="1" applyFont="1" applyBorder="1" applyAlignment="1">
      <alignment horizontal="center" vertical="center"/>
    </xf>
    <xf numFmtId="166" fontId="0" fillId="0" borderId="31" xfId="0" applyNumberFormat="1" applyFont="1" applyBorder="1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  <xf numFmtId="0" fontId="0" fillId="0" borderId="34" xfId="0" applyFont="1" applyBorder="1" applyAlignment="1">
      <alignment horizontal="center" vertical="center"/>
    </xf>
    <xf numFmtId="0" fontId="0" fillId="0" borderId="33" xfId="0" applyNumberFormat="1" applyFont="1" applyBorder="1" applyAlignment="1">
      <alignment horizontal="center" vertical="center"/>
    </xf>
    <xf numFmtId="14" fontId="0" fillId="0" borderId="35" xfId="0" applyNumberFormat="1" applyFont="1" applyBorder="1" applyAlignment="1">
      <alignment horizontal="center" vertical="center"/>
    </xf>
    <xf numFmtId="166" fontId="0" fillId="0" borderId="32" xfId="0" applyNumberFormat="1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14" fontId="0" fillId="0" borderId="31" xfId="0" applyNumberFormat="1" applyFont="1" applyBorder="1" applyAlignment="1">
      <alignment horizontal="center" vertical="center"/>
    </xf>
    <xf numFmtId="166" fontId="0" fillId="0" borderId="2" xfId="1" applyNumberFormat="1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82"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border>
        <left/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patternFill>
          <bgColor theme="9" tint="0.79998168889431442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80001220740379042"/>
          </stop>
        </gradient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0" tint="-0.14996795556505021"/>
      </font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0" tint="-0.14996795556505021"/>
      </font>
    </dxf>
    <dxf>
      <fill>
        <patternFill>
          <bgColor theme="9" tint="0.79998168889431442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[$-F800]dddd\,\ mmmm\ dd\,\ yyyy"/>
    </dxf>
    <dxf>
      <numFmt numFmtId="165" formatCode="[$-F800]dddd\,\ mmmm\ dd\,\ yyyy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5C8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F5" fmlaRange="$BC$17:$BC$22" noThreeD="1" sel="2" val="0"/>
</file>

<file path=xl/ctrlProps/ctrlProp2.xml><?xml version="1.0" encoding="utf-8"?>
<formControlPr xmlns="http://schemas.microsoft.com/office/spreadsheetml/2009/9/main" objectType="Drop" dropStyle="combo" dx="22" fmlaLink="E33" fmlaRange="$BC$17:$BC$22" noThreeD="1" sel="1" val="0"/>
</file>

<file path=xl/ctrlProps/ctrlProp3.xml><?xml version="1.0" encoding="utf-8"?>
<formControlPr xmlns="http://schemas.microsoft.com/office/spreadsheetml/2009/9/main" objectType="Drop" dropStyle="combo" dx="22" fmlaLink="H33" fmlaRange="$BC$17:$BC$22" noThreeD="1" sel="3" val="0"/>
</file>

<file path=xl/ctrlProps/ctrlProp4.xml><?xml version="1.0" encoding="utf-8"?>
<formControlPr xmlns="http://schemas.microsoft.com/office/spreadsheetml/2009/9/main" objectType="Drop" dropStyle="combo" dx="22" fmlaLink="$E$4" fmlaRange="$AF$29:$AF$34" noThreeD="1" sel="2" val="0"/>
</file>

<file path=xl/ctrlProps/ctrlProp5.xml><?xml version="1.0" encoding="utf-8"?>
<formControlPr xmlns="http://schemas.microsoft.com/office/spreadsheetml/2009/9/main" objectType="Drop" dropStyle="combo" dx="22" fmlaLink="$E$5" fmlaRange="$AH$29:$AH$40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6</xdr:col>
          <xdr:colOff>0</xdr:colOff>
          <xdr:row>5</xdr:row>
          <xdr:rowOff>190500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31</xdr:row>
          <xdr:rowOff>200025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0</xdr:rowOff>
        </xdr:from>
        <xdr:to>
          <xdr:col>8</xdr:col>
          <xdr:colOff>0</xdr:colOff>
          <xdr:row>33</xdr:row>
          <xdr:rowOff>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19</xdr:col>
      <xdr:colOff>727855</xdr:colOff>
      <xdr:row>6</xdr:row>
      <xdr:rowOff>116816</xdr:rowOff>
    </xdr:from>
    <xdr:to>
      <xdr:col>27</xdr:col>
      <xdr:colOff>530165</xdr:colOff>
      <xdr:row>19</xdr:row>
      <xdr:rowOff>98844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9AF2F57B-B427-4500-BD7D-C27F3BF46917}"/>
            </a:ext>
          </a:extLst>
        </xdr:cNvPr>
        <xdr:cNvSpPr/>
      </xdr:nvSpPr>
      <xdr:spPr>
        <a:xfrm>
          <a:off x="15240001" y="1887028"/>
          <a:ext cx="5912688" cy="309113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L'idéal serait que cette</a:t>
          </a:r>
          <a:r>
            <a:rPr lang="fr-FR" sz="1100" baseline="0"/>
            <a:t> ligne soit vide si le montant est de 0€ (le montant est une somme de plusieurs opérations qui sont récupérées dans le tableau "T_base_marketing" dans la feuille "Base_marketing!"</a:t>
          </a:r>
        </a:p>
        <a:p>
          <a:pPr algn="ctr"/>
          <a:r>
            <a:rPr lang="fr-FR" sz="1100" baseline="0"/>
            <a:t>les prestataires varient selon les années donc les lignes peuvent s'ajouter mais avec une macro je pourrais éliminer les cellules vides</a:t>
          </a:r>
          <a:endParaRPr lang="fr-FR" sz="1100"/>
        </a:p>
      </xdr:txBody>
    </xdr:sp>
    <xdr:clientData/>
  </xdr:twoCellAnchor>
  <xdr:twoCellAnchor>
    <xdr:from>
      <xdr:col>5</xdr:col>
      <xdr:colOff>727853</xdr:colOff>
      <xdr:row>17</xdr:row>
      <xdr:rowOff>89857</xdr:rowOff>
    </xdr:from>
    <xdr:to>
      <xdr:col>10</xdr:col>
      <xdr:colOff>116816</xdr:colOff>
      <xdr:row>28</xdr:row>
      <xdr:rowOff>107830</xdr:rowOff>
    </xdr:to>
    <xdr:sp macro="" textlink="">
      <xdr:nvSpPr>
        <xdr:cNvPr id="4" name="Flèche : haut 3">
          <a:extLst>
            <a:ext uri="{FF2B5EF4-FFF2-40B4-BE49-F238E27FC236}">
              <a16:creationId xmlns:a16="http://schemas.microsoft.com/office/drawing/2014/main" id="{654F8390-B411-4140-9BEC-215A0E694F48}"/>
            </a:ext>
          </a:extLst>
        </xdr:cNvPr>
        <xdr:cNvSpPr/>
      </xdr:nvSpPr>
      <xdr:spPr>
        <a:xfrm>
          <a:off x="4546839" y="4582782"/>
          <a:ext cx="3207949" cy="216559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idem que pour les dépenses</a:t>
          </a:r>
          <a:r>
            <a:rPr lang="fr-FR" sz="1100" baseline="0"/>
            <a:t> par prestataires</a:t>
          </a:r>
          <a:endParaRPr lang="fr-FR" sz="1100"/>
        </a:p>
      </xdr:txBody>
    </xdr:sp>
    <xdr:clientData/>
  </xdr:twoCellAnchor>
  <xdr:twoCellAnchor>
    <xdr:from>
      <xdr:col>0</xdr:col>
      <xdr:colOff>727853</xdr:colOff>
      <xdr:row>14</xdr:row>
      <xdr:rowOff>17972</xdr:rowOff>
    </xdr:from>
    <xdr:to>
      <xdr:col>5</xdr:col>
      <xdr:colOff>116816</xdr:colOff>
      <xdr:row>24</xdr:row>
      <xdr:rowOff>143774</xdr:rowOff>
    </xdr:to>
    <xdr:sp macro="" textlink="">
      <xdr:nvSpPr>
        <xdr:cNvPr id="9" name="Flèche : haut 8">
          <a:extLst>
            <a:ext uri="{FF2B5EF4-FFF2-40B4-BE49-F238E27FC236}">
              <a16:creationId xmlns:a16="http://schemas.microsoft.com/office/drawing/2014/main" id="{485C948F-4563-4FD6-91D1-5C16822A9B3E}"/>
            </a:ext>
          </a:extLst>
        </xdr:cNvPr>
        <xdr:cNvSpPr/>
      </xdr:nvSpPr>
      <xdr:spPr>
        <a:xfrm>
          <a:off x="727853" y="3827972"/>
          <a:ext cx="3207949" cy="216559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Récupérer</a:t>
          </a:r>
          <a:r>
            <a:rPr lang="fr-FR" sz="1100" baseline="0"/>
            <a:t> les participants de façons uniques (ex:première ligne participants : FR et montant : somme des congrès ou FR est présent dans la case participants) et faire la somme du prix des congrès auxquels ils ont particpé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2</xdr:row>
          <xdr:rowOff>190500</xdr:rowOff>
        </xdr:from>
        <xdr:to>
          <xdr:col>5</xdr:col>
          <xdr:colOff>0</xdr:colOff>
          <xdr:row>4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erion" refreshedDate="43839.708808101852" createdVersion="6" refreshedVersion="6" minRefreshableVersion="3" recordCount="30" xr:uid="{E571BD03-1A3D-4A7A-A51B-9E44CC2CC75D}">
  <cacheSource type="worksheet">
    <worksheetSource name="Liste_congrès"/>
  </cacheSource>
  <cacheFields count="15">
    <cacheField name="Année" numFmtId="0">
      <sharedItems/>
    </cacheField>
    <cacheField name="Date de début" numFmtId="14">
      <sharedItems containsSemiMixedTypes="0" containsNonDate="0" containsDate="1" containsString="0" minDate="2018-01-19T00:00:00" maxDate="2020-01-19T00:00:00" count="26">
        <d v="2018-01-19T00:00:00"/>
        <d v="2018-01-20T00:00:00"/>
        <d v="2018-01-25T00:00:00"/>
        <d v="2018-02-22T00:00:00"/>
        <d v="2018-03-17T00:00:00"/>
        <d v="2018-03-24T00:00:00"/>
        <d v="2018-03-30T00:00:00"/>
        <d v="2018-05-05T00:00:00"/>
        <d v="2018-06-09T00:00:00"/>
        <d v="2018-06-20T00:00:00"/>
        <d v="2018-06-22T00:00:00"/>
        <d v="2018-06-29T00:00:00"/>
        <d v="2018-09-14T00:00:00"/>
        <d v="2018-10-05T00:00:00"/>
        <d v="2018-10-12T00:00:00"/>
        <d v="2018-11-10T00:00:00"/>
        <d v="2018-11-16T00:00:00"/>
        <d v="2019-01-11T00:00:00"/>
        <d v="2019-01-18T00:00:00"/>
        <d v="2019-01-19T00:00:00"/>
        <d v="2019-02-07T00:00:00"/>
        <d v="2019-03-07T00:00:00"/>
        <d v="2019-03-15T00:00:00"/>
        <d v="2019-03-22T00:00:00"/>
        <d v="2019-03-29T00:00:00"/>
        <d v="2020-01-18T00:00:00"/>
      </sharedItems>
    </cacheField>
    <cacheField name="Date de fin" numFmtId="14">
      <sharedItems containsSemiMixedTypes="0" containsNonDate="0" containsDate="1" containsString="0" minDate="2018-01-20T00:00:00" maxDate="2020-01-20T00:00:00" count="24">
        <d v="2018-01-20T00:00:00"/>
        <d v="2018-01-26T00:00:00"/>
        <d v="2018-02-24T00:00:00"/>
        <d v="2018-03-17T00:00:00"/>
        <d v="2018-03-24T00:00:00"/>
        <d v="2018-03-30T00:00:00"/>
        <d v="2018-05-08T00:00:00"/>
        <d v="2018-06-09T00:00:00"/>
        <d v="2018-06-23T00:00:00"/>
        <d v="2018-06-29T00:00:00"/>
        <d v="2018-09-14T00:00:00"/>
        <d v="2018-10-06T00:00:00"/>
        <d v="2018-10-12T00:00:00"/>
        <d v="2018-11-10T00:00:00"/>
        <d v="2018-11-16T00:00:00"/>
        <d v="2019-01-12T00:00:00"/>
        <d v="2019-01-18T00:00:00"/>
        <d v="2019-01-19T00:00:00"/>
        <d v="2019-02-09T00:00:00"/>
        <d v="2019-03-09T00:00:00"/>
        <d v="2019-03-15T00:00:00"/>
        <d v="2019-03-22T00:00:00"/>
        <d v="2019-03-29T00:00:00"/>
        <d v="2020-01-19T00:00:00"/>
      </sharedItems>
    </cacheField>
    <cacheField name="Durée du congrès" numFmtId="0">
      <sharedItems containsSemiMixedTypes="0" containsString="0" containsNumber="1" containsInteger="1" minValue="0" maxValue="3"/>
    </cacheField>
    <cacheField name="Date du congrès" numFmtId="0">
      <sharedItems/>
    </cacheField>
    <cacheField name="Nom congrès" numFmtId="0">
      <sharedItems/>
    </cacheField>
    <cacheField name="Thème du congrès" numFmtId="0">
      <sharedItems containsNonDate="0" containsString="0" containsBlank="1"/>
    </cacheField>
    <cacheField name="Lieu" numFmtId="0">
      <sharedItems/>
    </cacheField>
    <cacheField name="Participation" numFmtId="0">
      <sharedItems/>
    </cacheField>
    <cacheField name="Prix en € HT" numFmtId="166">
      <sharedItems containsSemiMixedTypes="0" containsString="0" containsNumber="1" containsInteger="1" minValue="0" maxValue="7500"/>
    </cacheField>
    <cacheField name="HELPP (en €)" numFmtId="166">
      <sharedItems containsString="0" containsBlank="1" containsNumber="1" containsInteger="1" minValue="0" maxValue="750"/>
    </cacheField>
    <cacheField name="Indice ligne" numFmtId="0">
      <sharedItems containsMixedTypes="1" containsNumber="1" containsInteger="1" minValue="1" maxValue="12"/>
    </cacheField>
    <cacheField name="Organisateur" numFmtId="0">
      <sharedItems containsBlank="1"/>
    </cacheField>
    <cacheField name="Matériel à prévoir" numFmtId="0">
      <sharedItems containsNonDate="0" containsString="0" containsBlank="1"/>
    </cacheField>
    <cacheField name="Participant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s v="2018"/>
    <x v="0"/>
    <x v="0"/>
    <n v="1"/>
    <s v="Du 19 janvier au 20 janvier"/>
    <s v="AM"/>
    <m/>
    <s v="Palavas-les-Flots"/>
    <s v="oui"/>
    <n v="2500"/>
    <n v="0"/>
    <n v="1"/>
    <s v="COM"/>
    <m/>
    <m/>
  </r>
  <r>
    <s v="2018"/>
    <x v="1"/>
    <x v="0"/>
    <n v="0"/>
    <s v="Le 20 janvier"/>
    <s v="SFR"/>
    <m/>
    <s v="Paris"/>
    <s v="oui"/>
    <n v="4500"/>
    <n v="0"/>
    <n v="2"/>
    <s v="Régi"/>
    <m/>
    <s v="FR; GR, JL"/>
  </r>
  <r>
    <s v="2018"/>
    <x v="2"/>
    <x v="1"/>
    <n v="1"/>
    <s v="Du 25 janvier au 26 janvier"/>
    <s v="CN"/>
    <m/>
    <s v="Lyon"/>
    <s v="oui"/>
    <n v="1500"/>
    <m/>
    <n v="3"/>
    <s v="&quot;"/>
    <m/>
    <s v="FD ;GM"/>
  </r>
  <r>
    <s v="2018"/>
    <x v="3"/>
    <x v="2"/>
    <n v="2"/>
    <s v="Du 22 février au 24 février"/>
    <s v="JR"/>
    <m/>
    <s v="Paris"/>
    <s v="oui"/>
    <n v="6800"/>
    <m/>
    <n v="4"/>
    <s v="J"/>
    <m/>
    <s v="FR; GR; CC; JL; FD; SK; JC; GM"/>
  </r>
  <r>
    <s v="2018"/>
    <x v="4"/>
    <x v="3"/>
    <n v="0"/>
    <s v="Le 17 mars"/>
    <s v="OM"/>
    <m/>
    <s v="Avignon"/>
    <s v="oui"/>
    <n v="1500"/>
    <m/>
    <n v="5"/>
    <s v="PW"/>
    <m/>
    <s v="FD ; FR"/>
  </r>
  <r>
    <s v="2018"/>
    <x v="5"/>
    <x v="4"/>
    <n v="0"/>
    <s v="Le 24 mars"/>
    <s v="JP"/>
    <m/>
    <s v="Perpignan"/>
    <s v="oui "/>
    <n v="2609"/>
    <m/>
    <n v="6"/>
    <s v="event"/>
    <m/>
    <s v="FD"/>
  </r>
  <r>
    <s v="2018"/>
    <x v="5"/>
    <x v="4"/>
    <n v="0"/>
    <s v="Le 24 mars"/>
    <s v="SN"/>
    <m/>
    <s v="Lyon"/>
    <s v="oui"/>
    <n v="750"/>
    <m/>
    <n v="7"/>
    <s v="SN"/>
    <m/>
    <s v="GR; FR"/>
  </r>
  <r>
    <s v="2018"/>
    <x v="6"/>
    <x v="5"/>
    <n v="0"/>
    <s v="Le 30 mars"/>
    <s v="Pratique"/>
    <m/>
    <s v="Paris"/>
    <s v="oui"/>
    <n v="3300"/>
    <m/>
    <n v="8"/>
    <s v="PC"/>
    <m/>
    <s v="JL; SF"/>
  </r>
  <r>
    <s v="2018"/>
    <x v="7"/>
    <x v="6"/>
    <n v="3"/>
    <s v="Du 05 mai au 08 mai"/>
    <s v="SF"/>
    <m/>
    <s v="Paris"/>
    <s v="oui"/>
    <n v="0"/>
    <m/>
    <n v="9"/>
    <s v="Organisation"/>
    <m/>
    <m/>
  </r>
  <r>
    <s v="2018"/>
    <x v="8"/>
    <x v="7"/>
    <n v="0"/>
    <s v="Le 09 juin"/>
    <s v="Planète "/>
    <m/>
    <s v="La Grande Motte"/>
    <s v="oui"/>
    <n v="1500"/>
    <m/>
    <s v=""/>
    <s v="&quot;"/>
    <m/>
    <s v="FD; FR"/>
  </r>
  <r>
    <s v="2018"/>
    <x v="9"/>
    <x v="8"/>
    <n v="3"/>
    <s v="Du 20 juin au 23 juin"/>
    <s v="IS"/>
    <m/>
    <s v="Reims"/>
    <s v="oui"/>
    <n v="2500"/>
    <m/>
    <n v="10"/>
    <s v="Association"/>
    <m/>
    <s v="GM"/>
  </r>
  <r>
    <s v="2018"/>
    <x v="10"/>
    <x v="8"/>
    <n v="1"/>
    <s v="Du 22 juin au 23 juin"/>
    <s v="Atlantic"/>
    <m/>
    <s v="La Baule"/>
    <s v="oui"/>
    <n v="2800"/>
    <m/>
    <s v=""/>
    <s v="J"/>
    <m/>
    <s v="JC; SK"/>
  </r>
  <r>
    <s v="2018"/>
    <x v="10"/>
    <x v="8"/>
    <n v="1"/>
    <s v="Du 22 juin au 23 juin"/>
    <s v="Nice"/>
    <m/>
    <s v="Monaco"/>
    <s v="oui"/>
    <n v="1500"/>
    <m/>
    <n v="11"/>
    <s v="SC"/>
    <m/>
    <s v="FD; GR; FR; CC; JL"/>
  </r>
  <r>
    <s v="2018"/>
    <x v="11"/>
    <x v="9"/>
    <n v="0"/>
    <s v="Le 29 juin"/>
    <s v="Journée"/>
    <m/>
    <s v="Pavillon Dauphine"/>
    <s v="oui"/>
    <n v="3000"/>
    <m/>
    <s v=""/>
    <s v="Régi"/>
    <m/>
    <s v="JL; SF; FR"/>
  </r>
  <r>
    <s v="2018"/>
    <x v="11"/>
    <x v="9"/>
    <n v="0"/>
    <s v="Le 29 juin"/>
    <s v="FN"/>
    <m/>
    <s v="Paris"/>
    <s v="oui"/>
    <n v="1900"/>
    <m/>
    <s v=""/>
    <s v="J"/>
    <m/>
    <s v="GR; FR"/>
  </r>
  <r>
    <s v="2018"/>
    <x v="12"/>
    <x v="10"/>
    <n v="0"/>
    <s v="Le 14 septembre"/>
    <s v="Pratique"/>
    <m/>
    <s v="Paris"/>
    <s v="oui"/>
    <n v="4500"/>
    <m/>
    <s v=""/>
    <s v="PC"/>
    <m/>
    <s v="JL; GM"/>
  </r>
  <r>
    <s v="2018"/>
    <x v="13"/>
    <x v="11"/>
    <n v="1"/>
    <s v="Du 05 octobre au 06 octobre"/>
    <s v="JO"/>
    <m/>
    <s v="Toulouse"/>
    <s v="oui"/>
    <n v="3930"/>
    <m/>
    <s v=""/>
    <s v="Organisation"/>
    <m/>
    <s v="FD; SK; FR; GR"/>
  </r>
  <r>
    <s v="2018"/>
    <x v="14"/>
    <x v="12"/>
    <n v="0"/>
    <s v="Le 12 octobre"/>
    <s v="Image"/>
    <m/>
    <s v="Paris"/>
    <s v="non"/>
    <n v="7500"/>
    <m/>
    <s v=""/>
    <s v="&quot;"/>
    <m/>
    <m/>
  </r>
  <r>
    <s v="2018"/>
    <x v="15"/>
    <x v="13"/>
    <n v="0"/>
    <s v="Le 10 novembre"/>
    <s v="SAF"/>
    <m/>
    <s v="Reims"/>
    <s v="non"/>
    <n v="3000"/>
    <m/>
    <s v=""/>
    <s v="&quot;"/>
    <m/>
    <m/>
  </r>
  <r>
    <s v="2018"/>
    <x v="16"/>
    <x v="14"/>
    <n v="0"/>
    <s v="Le 16 novembre"/>
    <s v="CO"/>
    <m/>
    <s v="Tours"/>
    <s v="non"/>
    <n v="2500"/>
    <m/>
    <n v="12"/>
    <m/>
    <m/>
    <m/>
  </r>
  <r>
    <s v="2019"/>
    <x v="17"/>
    <x v="15"/>
    <n v="1"/>
    <s v="Du 11 janvier au 12 janvier"/>
    <s v="AM"/>
    <m/>
    <s v="Palavas-les-Flots"/>
    <s v="oui"/>
    <n v="1500"/>
    <n v="750"/>
    <s v=""/>
    <s v="COM"/>
    <m/>
    <s v="FR; JL; GR"/>
  </r>
  <r>
    <s v="2019"/>
    <x v="18"/>
    <x v="16"/>
    <n v="0"/>
    <s v="Le 18 janvier"/>
    <s v="R 360"/>
    <m/>
    <s v="Toulouse"/>
    <s v="oui"/>
    <n v="1500"/>
    <n v="750"/>
    <s v=""/>
    <s v="Régi"/>
    <m/>
    <s v="FD"/>
  </r>
  <r>
    <s v="2019"/>
    <x v="19"/>
    <x v="17"/>
    <n v="0"/>
    <s v="Le 19 janvier"/>
    <s v="SFR"/>
    <m/>
    <s v="Paris"/>
    <s v="oui"/>
    <n v="1500"/>
    <n v="750"/>
    <s v=""/>
    <s v="event"/>
    <m/>
    <s v="YG"/>
  </r>
  <r>
    <s v="2019"/>
    <x v="20"/>
    <x v="18"/>
    <n v="2"/>
    <s v="Du 07 février au 09 février"/>
    <s v="SM"/>
    <m/>
    <s v="Maroc"/>
    <s v="oui"/>
    <n v="1500"/>
    <n v="750"/>
    <s v=""/>
    <s v="Régi"/>
    <m/>
    <s v="JL"/>
  </r>
  <r>
    <s v="2019"/>
    <x v="21"/>
    <x v="19"/>
    <n v="2"/>
    <s v="Du 07 mars au 09 mars"/>
    <s v="JR"/>
    <m/>
    <s v="Paris"/>
    <s v="oui"/>
    <n v="1500"/>
    <n v="750"/>
    <s v=""/>
    <s v="COM"/>
    <m/>
    <s v="JC"/>
  </r>
  <r>
    <s v="2019"/>
    <x v="22"/>
    <x v="20"/>
    <n v="0"/>
    <s v="Le 15 mars"/>
    <s v="Ri"/>
    <m/>
    <s v="Bordeaux"/>
    <s v="oui"/>
    <n v="1500"/>
    <n v="750"/>
    <s v=""/>
    <s v="J"/>
    <m/>
    <s v="GM"/>
  </r>
  <r>
    <s v="2019"/>
    <x v="23"/>
    <x v="21"/>
    <n v="0"/>
    <s v="Le 22 mars"/>
    <s v="Duo"/>
    <m/>
    <s v="Montpellier"/>
    <s v="oui"/>
    <n v="1500"/>
    <n v="750"/>
    <s v=""/>
    <s v="J"/>
    <m/>
    <s v="MM"/>
  </r>
  <r>
    <s v="2019"/>
    <x v="24"/>
    <x v="22"/>
    <n v="0"/>
    <s v="Le 29 mars"/>
    <s v="Pratique"/>
    <m/>
    <s v="Paris"/>
    <s v="oui"/>
    <n v="1500"/>
    <n v="750"/>
    <s v=""/>
    <s v="J"/>
    <m/>
    <s v="GR"/>
  </r>
  <r>
    <s v="2019"/>
    <x v="24"/>
    <x v="22"/>
    <n v="0"/>
    <s v="Le 29 mars"/>
    <s v="SC"/>
    <m/>
    <s v="Paris"/>
    <s v="non"/>
    <n v="1500"/>
    <n v="750"/>
    <s v=""/>
    <s v="J"/>
    <m/>
    <s v="FR"/>
  </r>
  <r>
    <s v="2020"/>
    <x v="25"/>
    <x v="23"/>
    <n v="1"/>
    <s v="Du 18 janvier au 19 janvier"/>
    <s v="Journée"/>
    <m/>
    <s v="Paris"/>
    <s v="oui"/>
    <n v="4500"/>
    <m/>
    <s v=""/>
    <s v="Régi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4C4D28-5B22-411E-8F96-2653F15B7B1E}" name="Tableau croisé dynamique1" cacheId="19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T86:AU113" firstHeaderRow="1" firstDataRow="1" firstDataCol="1"/>
  <pivotFields count="15">
    <pivotField showAll="0"/>
    <pivotField axis="axisRow" numFmtId="14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umFmtId="14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Somme de Durée du congrès" fld="3" baseField="0" baseItem="0"/>
  </dataFields>
  <formats count="2">
    <format dxfId="63">
      <pivotArea field="1" type="button" dataOnly="0" labelOnly="1" outline="0" axis="axisRow" fieldPosition="0"/>
    </format>
    <format dxfId="62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EEF650-52C4-4026-BDF2-9F1638E86ABD}" name="Tableau croisé dynamique2" cacheId="19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V86:AV111" firstHeaderRow="1" firstDataRow="1" firstDataCol="1"/>
  <pivotFields count="15">
    <pivotField showAll="0"/>
    <pivotField numFmtId="14" showAll="0"/>
    <pivotField axis="axisRow" numFmtId="14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754518A7-02B3-4DD3-9B7C-06D39B9D8FC5}" autoFormatId="16" applyNumberFormats="0" applyBorderFormats="0" applyFontFormats="0" applyPatternFormats="0" applyAlignmentFormats="0" applyWidthHeightFormats="0">
  <queryTableRefresh nextId="6">
    <queryTableFields count="5">
      <queryTableField id="1" name="Date du congrès" tableColumnId="1"/>
      <queryTableField id="2" name="Nom congrès" tableColumnId="2"/>
      <queryTableField id="3" name="Lieu" tableColumnId="3"/>
      <queryTableField id="4" name="Participants" tableColumnId="4"/>
      <queryTableField id="5" name="Matériel à prévoir" tableColumnId="5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FEEDB3-04D1-47E7-BEAC-89C90533EA5F}" name="Liste_congrès" displayName="Liste_congrès" ref="A1:O31" totalsRowShown="0" headerRowDxfId="81" dataDxfId="80">
  <autoFilter ref="A1:O31" xr:uid="{F06A4444-63FE-4572-962E-093519C65DCC}"/>
  <sortState xmlns:xlrd2="http://schemas.microsoft.com/office/spreadsheetml/2017/richdata2" ref="A2:O39">
    <sortCondition ref="B1:B39"/>
  </sortState>
  <tableColumns count="15">
    <tableColumn id="14" xr3:uid="{F26E1422-1A7D-4F2D-8873-5C415A4FEE6D}" name="Année" dataDxfId="46">
      <calculatedColumnFormula>TEXT(Liste_congrès[[#This Row],[Date de fin]],"aaaa")</calculatedColumnFormula>
    </tableColumn>
    <tableColumn id="1" xr3:uid="{27CB7D6A-22C8-4345-BC14-295D9B0828AA}" name="Date de début" dataDxfId="79"/>
    <tableColumn id="2" xr3:uid="{A90370C5-FB6E-4A52-866B-D34859DA4548}" name="Date de fin" dataDxfId="78"/>
    <tableColumn id="3" xr3:uid="{00FC4FD4-74B9-457B-976F-A1C359DFB791}" name="Durée du congrès" dataDxfId="77">
      <calculatedColumnFormula>DATEDIF(B2,C2,"D")</calculatedColumnFormula>
    </tableColumn>
    <tableColumn id="4" xr3:uid="{13833D01-F997-483A-8E67-B7E5DA451379}" name="Date du congrès" dataDxfId="76">
      <calculatedColumnFormula>IF(C2=B2,CONCATENATE("Le "&amp;TEXT(C2,"jj mmmm")),CONCATENATE("Du "&amp;TEXT(B2,"jj mmmm")&amp;" au "&amp;TEXT(C2,"jj mmmm")))</calculatedColumnFormula>
    </tableColumn>
    <tableColumn id="5" xr3:uid="{CE7E9F2D-6A36-45BF-AC5B-2583DFAB6D95}" name="Nom congrès" dataDxfId="75"/>
    <tableColumn id="12" xr3:uid="{DF9E251A-9280-42C0-AF89-E9B9DB49A78B}" name="Thème du congrès" dataDxfId="74"/>
    <tableColumn id="6" xr3:uid="{E5BDDFA3-94F7-48C2-9835-ADD7A3E5A548}" name="Lieu" dataDxfId="73"/>
    <tableColumn id="7" xr3:uid="{82AC594E-B39D-4C30-806A-259C3EB2BCBD}" name="Participation" dataDxfId="72"/>
    <tableColumn id="8" xr3:uid="{14B50DE6-3A02-4CB5-8CC7-2D30FF1C900B}" name="Prix en € HT" dataDxfId="71"/>
    <tableColumn id="10" xr3:uid="{C6DCD8A0-4B9C-44B1-8DDE-56E17189C983}" name="HELPP (en €)" dataDxfId="70"/>
    <tableColumn id="18" xr3:uid="{9D3CD094-D684-433F-872F-12316149DAF4}" name="Indice ligne" dataDxfId="69">
      <calculatedColumnFormula>IF(COUNTIF(M$1:M1,M2)&gt;0,"",MAX(L$1:L1)+1)</calculatedColumnFormula>
    </tableColumn>
    <tableColumn id="9" xr3:uid="{75CE452B-6301-48C3-A6F6-C366F8E760B9}" name="Organisateur" dataDxfId="68"/>
    <tableColumn id="19" xr3:uid="{1FEDF4FE-6506-4391-9BB0-EAA4674B265E}" name="Matériel à prévoir" dataDxfId="67"/>
    <tableColumn id="11" xr3:uid="{90CC912B-D2BF-413A-8885-D1EBCCADA0FA}" name="Participants" dataDxfId="6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4CBEDB-6A79-49C8-83C4-B315814E58AF}" name="T_base_marketing" displayName="T_base_marketing" ref="A1:L6" totalsRowShown="0" dataDxfId="47">
  <autoFilter ref="A1:L6" xr:uid="{7EFD8CF3-C1F2-4E2D-B3E4-77C55D569619}"/>
  <tableColumns count="12">
    <tableColumn id="10" xr3:uid="{04F9ECBF-B098-4D0A-827D-9E7BB5F7180D}" name="Année" dataDxfId="59"/>
    <tableColumn id="1" xr3:uid="{20AEBAAB-1F6A-411D-A2F1-81810D99A304}" name="Date" dataDxfId="58"/>
    <tableColumn id="2" xr3:uid="{AE4A6BDF-90EB-4C2E-8ABB-EE94340BDE4C}" name="Nature de l'opération" dataDxfId="57"/>
    <tableColumn id="3" xr3:uid="{59BAC974-4880-456C-8C4F-D01E2255D4ED}" name="Format" dataDxfId="56"/>
    <tableColumn id="4" xr3:uid="{2FBC8826-8A9D-45B5-B425-A9105BDFADBC}" name="Quantité" dataDxfId="55"/>
    <tableColumn id="11" xr3:uid="{B85E5D23-14C2-4F29-8DCC-CCB98A13A6FA}" name="Indice ligne" dataDxfId="54">
      <calculatedColumnFormula>IF(COUNTIF(G$1:G1,G2)&gt;0,"",MAX(F$1:F1)+1)</calculatedColumnFormula>
    </tableColumn>
    <tableColumn id="5" xr3:uid="{4CCAE94F-84D6-46B2-AD15-C54A0346F19C}" name="Prestataire " dataDxfId="53"/>
    <tableColumn id="6" xr3:uid="{E2780F04-13C0-4BC9-A349-A8539B91AF10}" name="Prix" dataDxfId="52"/>
    <tableColumn id="7" xr3:uid="{A46E94B0-DB54-4B59-B025-BD5B395288E3}" name="HELPP" dataDxfId="51" dataCellStyle="Monétaire"/>
    <tableColumn id="8" xr3:uid="{22D21711-42CE-46C6-8610-1E93F9517AAE}" name="Commentaires" dataDxfId="50"/>
    <tableColumn id="9" xr3:uid="{3C0BE203-2364-43CC-9A45-BFD83B987B6A}" name="Facture" dataDxfId="49"/>
    <tableColumn id="12" xr3:uid="{6C97DA1F-BDC8-4DA2-B014-57A40356FA32}" name="Payé" dataDxfId="4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C340EA4-F963-4730-8CA7-D4B1FA53FFAB}" name="T_années_mark" displayName="T_années_mark" ref="BC16:BC22" totalsRowShown="0" headerRowDxfId="65" headerRowBorderDxfId="64">
  <autoFilter ref="BC16:BC22" xr:uid="{41F682BF-A415-497E-A1D9-898C3A74B5A2}"/>
  <tableColumns count="1">
    <tableColumn id="1" xr3:uid="{39664E94-2E08-41FE-B949-2E9610DB3E55}" name="Années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F479BA-1486-4771-ADED-57614A3F1855}" name="T_mois" displayName="T_mois" ref="AH28:AH40" totalsRowShown="0" tableBorderDxfId="61">
  <autoFilter ref="AH28:AH40" xr:uid="{9FA952B1-5409-4C96-8635-170F378CF799}"/>
  <tableColumns count="1">
    <tableColumn id="1" xr3:uid="{0F92288E-A7FA-4EAB-8FEF-38E9A37E3D48}" name="Mois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F6FE83-248A-46FF-A8BA-DFD79254C859}" name="T_année" displayName="T_année" ref="AF28:AF34" totalsRowShown="0" tableBorderDxfId="60">
  <autoFilter ref="AF28:AF34" xr:uid="{37039C4D-C8DF-4162-B18E-AD43CCE709A2}"/>
  <tableColumns count="1">
    <tableColumn id="1" xr3:uid="{569438D0-FB01-4115-8E3D-3D55FBF1DB31}" name="Années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666039A-4639-4F7A-9B45-165CD32F5166}" name="Liste_congrès_Congrès" displayName="Liste_congrès_Congrès" ref="L6:P9" tableType="queryTable" totalsRowShown="0">
  <autoFilter ref="L6:P9" xr:uid="{ADE368B7-F02E-4E20-A0CF-3460CBEB1A50}"/>
  <tableColumns count="5">
    <tableColumn id="1" xr3:uid="{4C323DC9-3B7D-4373-A7AA-C05CBEC4C314}" uniqueName="1" name="Date du congrès" queryTableFieldId="1" dataDxfId="7"/>
    <tableColumn id="2" xr3:uid="{D21EBBC1-D1BD-4821-A0E3-FD346A543B30}" uniqueName="2" name="Nom congrès" queryTableFieldId="2" dataDxfId="6"/>
    <tableColumn id="3" xr3:uid="{306DDD5C-634E-452C-AB62-3860BF654293}" uniqueName="3" name="Lieu" queryTableFieldId="3" dataDxfId="5"/>
    <tableColumn id="4" xr3:uid="{042F55DE-6618-433D-B1A7-D27AB421649D}" uniqueName="4" name="Participants" queryTableFieldId="4" dataDxfId="4"/>
    <tableColumn id="5" xr3:uid="{32D51B6A-8D6D-4343-B813-898A40844D19}" uniqueName="5" name="Matériel à prévoir" queryTableFieldId="5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printerSettings" Target="../printerSettings/printerSettings4.bin"/><Relationship Id="rId7" Type="http://schemas.openxmlformats.org/officeDocument/2006/relationships/ctrlProp" Target="../ctrlProps/ctrlProp5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4.xml"/><Relationship Id="rId5" Type="http://schemas.openxmlformats.org/officeDocument/2006/relationships/vmlDrawing" Target="../drawings/vmlDrawing2.vml"/><Relationship Id="rId10" Type="http://schemas.openxmlformats.org/officeDocument/2006/relationships/table" Target="../tables/table6.xml"/><Relationship Id="rId4" Type="http://schemas.openxmlformats.org/officeDocument/2006/relationships/drawing" Target="../drawings/drawing2.xml"/><Relationship Id="rId9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E643F-B117-4409-8F0B-08C9E3401614}">
  <sheetPr codeName="Feuil1"/>
  <dimension ref="A1:AE39"/>
  <sheetViews>
    <sheetView workbookViewId="0">
      <selection activeCell="C2" sqref="C2"/>
    </sheetView>
  </sheetViews>
  <sheetFormatPr baseColWidth="10" defaultRowHeight="15" x14ac:dyDescent="0.25"/>
  <cols>
    <col min="1" max="1" width="15.7109375" style="5" customWidth="1"/>
    <col min="2" max="2" width="15.85546875" bestFit="1" customWidth="1"/>
    <col min="3" max="3" width="13" bestFit="1" customWidth="1"/>
    <col min="4" max="4" width="21.140625" bestFit="1" customWidth="1"/>
    <col min="5" max="5" width="25.7109375" bestFit="1" customWidth="1"/>
    <col min="6" max="6" width="23.28515625" bestFit="1" customWidth="1"/>
    <col min="7" max="7" width="14.5703125" bestFit="1" customWidth="1"/>
    <col min="8" max="8" width="17.28515625" bestFit="1" customWidth="1"/>
    <col min="9" max="9" width="14.5703125" bestFit="1" customWidth="1"/>
    <col min="10" max="11" width="14.7109375" bestFit="1" customWidth="1"/>
    <col min="12" max="12" width="13.5703125" style="5" bestFit="1" customWidth="1"/>
    <col min="13" max="13" width="19" bestFit="1" customWidth="1"/>
    <col min="14" max="14" width="19.42578125" bestFit="1" customWidth="1"/>
    <col min="15" max="15" width="26" bestFit="1" customWidth="1"/>
    <col min="30" max="30" width="15" bestFit="1" customWidth="1"/>
  </cols>
  <sheetData>
    <row r="1" spans="1:31" s="41" customFormat="1" x14ac:dyDescent="0.25">
      <c r="A1" s="15" t="s">
        <v>21</v>
      </c>
      <c r="B1" s="41" t="s">
        <v>0</v>
      </c>
      <c r="C1" s="41" t="s">
        <v>1</v>
      </c>
      <c r="D1" s="41" t="s">
        <v>4</v>
      </c>
      <c r="E1" s="41" t="s">
        <v>5</v>
      </c>
      <c r="F1" s="41" t="s">
        <v>2</v>
      </c>
      <c r="G1" s="41" t="s">
        <v>73</v>
      </c>
      <c r="H1" s="41" t="s">
        <v>3</v>
      </c>
      <c r="I1" s="41" t="s">
        <v>38</v>
      </c>
      <c r="J1" s="41" t="s">
        <v>82</v>
      </c>
      <c r="K1" s="41" t="s">
        <v>83</v>
      </c>
      <c r="L1" s="15" t="s">
        <v>97</v>
      </c>
      <c r="M1" s="41" t="s">
        <v>41</v>
      </c>
      <c r="N1" s="41" t="s">
        <v>98</v>
      </c>
      <c r="O1" s="60" t="s">
        <v>40</v>
      </c>
    </row>
    <row r="2" spans="1:31" x14ac:dyDescent="0.25">
      <c r="A2" s="15" t="str">
        <f>TEXT(Liste_congrès[[#This Row],[Date de fin]],"aaaa")</f>
        <v>2018</v>
      </c>
      <c r="B2" s="45">
        <v>43119</v>
      </c>
      <c r="C2" s="45">
        <v>43120</v>
      </c>
      <c r="D2" s="41">
        <f>DATEDIF(B2,C2,"D")</f>
        <v>1</v>
      </c>
      <c r="E2" s="41" t="str">
        <f>IF(C2=B2,CONCATENATE("Le "&amp;TEXT(C2,"jj mmmm")),CONCATENATE("Du "&amp;TEXT(B2,"jj mmmm")&amp;" au "&amp;TEXT(C2,"jj mmmm")))</f>
        <v>Du 19 janvier au 20 janvier</v>
      </c>
      <c r="F2" s="41" t="s">
        <v>132</v>
      </c>
      <c r="G2" s="41"/>
      <c r="H2" s="41" t="s">
        <v>6</v>
      </c>
      <c r="I2" s="41" t="s">
        <v>42</v>
      </c>
      <c r="J2" s="43">
        <v>2500</v>
      </c>
      <c r="K2" s="43">
        <v>0</v>
      </c>
      <c r="L2" s="15">
        <f>IF(COUNTIF(M$1:M1,M2)&gt;0,"",MAX(L$1:L1)+1)</f>
        <v>1</v>
      </c>
      <c r="M2" s="41" t="s">
        <v>150</v>
      </c>
      <c r="N2" s="41"/>
      <c r="O2" s="46"/>
    </row>
    <row r="3" spans="1:31" x14ac:dyDescent="0.25">
      <c r="A3" s="15" t="str">
        <f>TEXT(Liste_congrès[[#This Row],[Date de fin]],"aaaa")</f>
        <v>2018</v>
      </c>
      <c r="B3" s="45">
        <v>43120</v>
      </c>
      <c r="C3" s="45">
        <v>43120</v>
      </c>
      <c r="D3" s="41">
        <f>DATEDIF(B3,C3,"D")</f>
        <v>0</v>
      </c>
      <c r="E3" s="41" t="str">
        <f>IF(C3=B3,CONCATENATE("Le "&amp;TEXT(C3,"jj mmmm")),CONCATENATE("Du "&amp;TEXT(B3,"jj mmmm")&amp;" au "&amp;TEXT(C3,"jj mmmm")))</f>
        <v>Le 20 janvier</v>
      </c>
      <c r="F3" s="41" t="s">
        <v>9</v>
      </c>
      <c r="G3" s="41"/>
      <c r="H3" s="41" t="s">
        <v>10</v>
      </c>
      <c r="I3" s="41" t="s">
        <v>42</v>
      </c>
      <c r="J3" s="43">
        <v>4500</v>
      </c>
      <c r="K3" s="43">
        <v>0</v>
      </c>
      <c r="L3" s="15">
        <f>IF(COUNTIF(M$1:M2,M3)&gt;0,"",MAX(L$1:L2)+1)</f>
        <v>2</v>
      </c>
      <c r="M3" s="41" t="s">
        <v>148</v>
      </c>
      <c r="N3" s="41"/>
      <c r="O3" s="46" t="s">
        <v>99</v>
      </c>
    </row>
    <row r="4" spans="1:31" x14ac:dyDescent="0.25">
      <c r="A4" s="15" t="str">
        <f>TEXT(Liste_congrès[[#This Row],[Date de fin]],"aaaa")</f>
        <v>2018</v>
      </c>
      <c r="B4" s="45">
        <v>43125</v>
      </c>
      <c r="C4" s="45">
        <v>43126</v>
      </c>
      <c r="D4" s="41">
        <f>DATEDIF(B4,C4,"D")</f>
        <v>1</v>
      </c>
      <c r="E4" s="41" t="str">
        <f>IF(C4=B4,CONCATENATE("Le "&amp;TEXT(C4,"jj mmmm")),CONCATENATE("Du "&amp;TEXT(B4,"jj mmmm")&amp;" au "&amp;TEXT(C4,"jj mmmm")))</f>
        <v>Du 25 janvier au 26 janvier</v>
      </c>
      <c r="F4" s="41" t="s">
        <v>133</v>
      </c>
      <c r="G4" s="41"/>
      <c r="H4" s="41" t="s">
        <v>100</v>
      </c>
      <c r="I4" s="41" t="s">
        <v>42</v>
      </c>
      <c r="J4" s="43">
        <v>1500</v>
      </c>
      <c r="K4" s="43"/>
      <c r="L4" s="15">
        <f>IF(COUNTIF(M$1:M3,M4)&gt;0,"",MAX(L$1:L3)+1)</f>
        <v>3</v>
      </c>
      <c r="M4" s="41" t="s">
        <v>120</v>
      </c>
      <c r="N4" s="57"/>
      <c r="O4" s="59" t="s">
        <v>101</v>
      </c>
    </row>
    <row r="5" spans="1:31" x14ac:dyDescent="0.25">
      <c r="A5" s="15" t="str">
        <f>TEXT(Liste_congrès[[#This Row],[Date de fin]],"aaaa")</f>
        <v>2018</v>
      </c>
      <c r="B5" s="45">
        <v>43153</v>
      </c>
      <c r="C5" s="45">
        <v>43155</v>
      </c>
      <c r="D5" s="41">
        <f>DATEDIF(B5,C5,"D")</f>
        <v>2</v>
      </c>
      <c r="E5" s="41" t="str">
        <f>IF(C5=B5,CONCATENATE("Le "&amp;TEXT(C5,"jj mmmm")),CONCATENATE("Du "&amp;TEXT(B5,"jj mmmm")&amp;" au "&amp;TEXT(C5,"jj mmmm")))</f>
        <v>Du 22 février au 24 février</v>
      </c>
      <c r="F5" s="41" t="s">
        <v>13</v>
      </c>
      <c r="G5" s="41"/>
      <c r="H5" s="41" t="s">
        <v>10</v>
      </c>
      <c r="I5" s="41" t="s">
        <v>42</v>
      </c>
      <c r="J5" s="43">
        <v>6800</v>
      </c>
      <c r="K5" s="43"/>
      <c r="L5" s="15">
        <f>IF(COUNTIF(M$1:M4,M5)&gt;0,"",MAX(L$1:L4)+1)</f>
        <v>4</v>
      </c>
      <c r="M5" s="41" t="s">
        <v>149</v>
      </c>
      <c r="N5" s="57"/>
      <c r="O5" s="59" t="s">
        <v>102</v>
      </c>
    </row>
    <row r="6" spans="1:31" x14ac:dyDescent="0.25">
      <c r="A6" s="15" t="str">
        <f>TEXT(Liste_congrès[[#This Row],[Date de fin]],"aaaa")</f>
        <v>2018</v>
      </c>
      <c r="B6" s="45">
        <v>43176</v>
      </c>
      <c r="C6" s="45">
        <v>43176</v>
      </c>
      <c r="D6" s="41">
        <f>DATEDIF(B6,C6,"D")</f>
        <v>0</v>
      </c>
      <c r="E6" s="41" t="str">
        <f>IF(C6=B6,CONCATENATE("Le "&amp;TEXT(C6,"jj mmmm")),CONCATENATE("Du "&amp;TEXT(B6,"jj mmmm")&amp;" au "&amp;TEXT(C6,"jj mmmm")))</f>
        <v>Le 17 mars</v>
      </c>
      <c r="F6" s="41" t="s">
        <v>134</v>
      </c>
      <c r="G6" s="41"/>
      <c r="H6" s="41" t="s">
        <v>103</v>
      </c>
      <c r="I6" s="41" t="s">
        <v>42</v>
      </c>
      <c r="J6" s="43">
        <v>1500</v>
      </c>
      <c r="K6" s="43"/>
      <c r="L6" s="15">
        <f>IF(COUNTIF(M$1:M5,M6)&gt;0,"",MAX(L$1:L5)+1)</f>
        <v>5</v>
      </c>
      <c r="M6" s="41" t="s">
        <v>155</v>
      </c>
      <c r="N6" s="41"/>
      <c r="O6" s="46" t="s">
        <v>104</v>
      </c>
    </row>
    <row r="7" spans="1:31" x14ac:dyDescent="0.25">
      <c r="A7" s="15" t="str">
        <f>TEXT(Liste_congrès[[#This Row],[Date de fin]],"aaaa")</f>
        <v>2018</v>
      </c>
      <c r="B7" s="45">
        <v>43183</v>
      </c>
      <c r="C7" s="45">
        <v>43183</v>
      </c>
      <c r="D7" s="41">
        <f>DATEDIF(B7,C7,"D")</f>
        <v>0</v>
      </c>
      <c r="E7" s="41" t="str">
        <f>IF(C7=B7,CONCATENATE("Le "&amp;TEXT(C7,"jj mmmm")),CONCATENATE("Du "&amp;TEXT(B7,"jj mmmm")&amp;" au "&amp;TEXT(C7,"jj mmmm")))</f>
        <v>Le 24 mars</v>
      </c>
      <c r="F7" s="41" t="s">
        <v>135</v>
      </c>
      <c r="G7" s="41"/>
      <c r="H7" s="41" t="s">
        <v>105</v>
      </c>
      <c r="I7" s="41" t="s">
        <v>106</v>
      </c>
      <c r="J7" s="43">
        <v>2609</v>
      </c>
      <c r="K7" s="43"/>
      <c r="L7" s="15">
        <f>IF(COUNTIF(M$1:M6,M7)&gt;0,"",MAX(L$1:L6)+1)</f>
        <v>6</v>
      </c>
      <c r="M7" s="41" t="s">
        <v>151</v>
      </c>
      <c r="N7" s="41"/>
      <c r="O7" s="46" t="s">
        <v>46</v>
      </c>
    </row>
    <row r="8" spans="1:31" x14ac:dyDescent="0.25">
      <c r="A8" s="15" t="str">
        <f>TEXT(Liste_congrès[[#This Row],[Date de fin]],"aaaa")</f>
        <v>2018</v>
      </c>
      <c r="B8" s="45">
        <v>43183</v>
      </c>
      <c r="C8" s="45">
        <v>43183</v>
      </c>
      <c r="D8" s="41">
        <f>DATEDIF(B8,C8,"D")</f>
        <v>0</v>
      </c>
      <c r="E8" s="41" t="str">
        <f>IF(C8=B8,CONCATENATE("Le "&amp;TEXT(C8,"jj mmmm")),CONCATENATE("Du "&amp;TEXT(B8,"jj mmmm")&amp;" au "&amp;TEXT(C8,"jj mmmm")))</f>
        <v>Le 24 mars</v>
      </c>
      <c r="F8" s="41" t="s">
        <v>136</v>
      </c>
      <c r="G8" s="41"/>
      <c r="H8" s="41" t="s">
        <v>100</v>
      </c>
      <c r="I8" s="41" t="s">
        <v>42</v>
      </c>
      <c r="J8" s="43">
        <v>750</v>
      </c>
      <c r="K8" s="43"/>
      <c r="L8" s="15">
        <f>IF(COUNTIF(M$1:M7,M8)&gt;0,"",MAX(L$1:L7)+1)</f>
        <v>7</v>
      </c>
      <c r="M8" s="41" t="s">
        <v>136</v>
      </c>
      <c r="N8" s="41"/>
      <c r="O8" s="46" t="s">
        <v>107</v>
      </c>
    </row>
    <row r="9" spans="1:31" x14ac:dyDescent="0.25">
      <c r="A9" s="15" t="str">
        <f>TEXT(Liste_congrès[[#This Row],[Date de fin]],"aaaa")</f>
        <v>2018</v>
      </c>
      <c r="B9" s="45">
        <v>43189</v>
      </c>
      <c r="C9" s="45">
        <v>43189</v>
      </c>
      <c r="D9" s="41">
        <f>DATEDIF(B9,C9,"D")</f>
        <v>0</v>
      </c>
      <c r="E9" s="41" t="str">
        <f>IF(C9=B9,CONCATENATE("Le "&amp;TEXT(C9,"jj mmmm")),CONCATENATE("Du "&amp;TEXT(B9,"jj mmmm")&amp;" au "&amp;TEXT(C9,"jj mmmm")))</f>
        <v>Le 30 mars</v>
      </c>
      <c r="F9" s="41" t="s">
        <v>18</v>
      </c>
      <c r="G9" s="41"/>
      <c r="H9" s="41" t="s">
        <v>10</v>
      </c>
      <c r="I9" s="41" t="s">
        <v>42</v>
      </c>
      <c r="J9" s="43">
        <v>3300</v>
      </c>
      <c r="K9" s="43"/>
      <c r="L9" s="15">
        <f>IF(COUNTIF(M$1:M8,M9)&gt;0,"",MAX(L$1:L8)+1)</f>
        <v>8</v>
      </c>
      <c r="M9" s="41" t="s">
        <v>153</v>
      </c>
      <c r="N9" s="41"/>
      <c r="O9" s="47" t="s">
        <v>108</v>
      </c>
      <c r="AE9" s="3"/>
    </row>
    <row r="10" spans="1:31" x14ac:dyDescent="0.25">
      <c r="A10" s="15" t="str">
        <f>TEXT(Liste_congrès[[#This Row],[Date de fin]],"aaaa")</f>
        <v>2018</v>
      </c>
      <c r="B10" s="45">
        <v>43225</v>
      </c>
      <c r="C10" s="45">
        <v>43228</v>
      </c>
      <c r="D10" s="41">
        <f>DATEDIF(B10,C10,"D")</f>
        <v>3</v>
      </c>
      <c r="E10" s="41" t="str">
        <f>IF(C10=B10,CONCATENATE("Le "&amp;TEXT(C10,"jj mmmm")),CONCATENATE("Du "&amp;TEXT(B10,"jj mmmm")&amp;" au "&amp;TEXT(C10,"jj mmmm")))</f>
        <v>Du 05 mai au 08 mai</v>
      </c>
      <c r="F10" s="41" t="s">
        <v>137</v>
      </c>
      <c r="G10" s="41"/>
      <c r="H10" s="41" t="s">
        <v>10</v>
      </c>
      <c r="I10" s="41" t="s">
        <v>42</v>
      </c>
      <c r="J10" s="43">
        <v>0</v>
      </c>
      <c r="K10" s="43"/>
      <c r="L10" s="15">
        <f>IF(COUNTIF(M$1:M9,M10)&gt;0,"",MAX(L$1:L9)+1)</f>
        <v>9</v>
      </c>
      <c r="M10" s="41" t="s">
        <v>152</v>
      </c>
      <c r="N10" s="41"/>
      <c r="O10" s="46"/>
      <c r="AE10" s="42"/>
    </row>
    <row r="11" spans="1:31" x14ac:dyDescent="0.25">
      <c r="A11" s="15" t="str">
        <f>TEXT(Liste_congrès[[#This Row],[Date de fin]],"aaaa")</f>
        <v>2018</v>
      </c>
      <c r="B11" s="45">
        <v>43260</v>
      </c>
      <c r="C11" s="45">
        <v>43260</v>
      </c>
      <c r="D11" s="41">
        <f>DATEDIF(B11,C11,"D")</f>
        <v>0</v>
      </c>
      <c r="E11" s="41" t="str">
        <f>IF(C11=B11,CONCATENATE("Le "&amp;TEXT(C11,"jj mmmm")),CONCATENATE("Du "&amp;TEXT(B11,"jj mmmm")&amp;" au "&amp;TEXT(C11,"jj mmmm")))</f>
        <v>Le 09 juin</v>
      </c>
      <c r="F11" s="41" t="s">
        <v>138</v>
      </c>
      <c r="G11" s="41"/>
      <c r="H11" s="41" t="s">
        <v>109</v>
      </c>
      <c r="I11" s="41" t="s">
        <v>42</v>
      </c>
      <c r="J11" s="43">
        <v>1500</v>
      </c>
      <c r="K11" s="43"/>
      <c r="L11" s="15" t="str">
        <f>IF(COUNTIF(M$1:M10,M11)&gt;0,"",MAX(L$1:L10)+1)</f>
        <v/>
      </c>
      <c r="M11" s="41" t="s">
        <v>120</v>
      </c>
      <c r="N11" s="41"/>
      <c r="O11" s="46" t="s">
        <v>110</v>
      </c>
      <c r="AC11" s="42"/>
    </row>
    <row r="12" spans="1:31" x14ac:dyDescent="0.25">
      <c r="A12" s="15" t="str">
        <f>TEXT(Liste_congrès[[#This Row],[Date de fin]],"aaaa")</f>
        <v>2018</v>
      </c>
      <c r="B12" s="45">
        <v>43271</v>
      </c>
      <c r="C12" s="45">
        <v>43274</v>
      </c>
      <c r="D12" s="41">
        <f>DATEDIF(B12,C12,"D")</f>
        <v>3</v>
      </c>
      <c r="E12" s="41" t="str">
        <f>IF(C12=B12,CONCATENATE("Le "&amp;TEXT(C12,"jj mmmm")),CONCATENATE("Du "&amp;TEXT(B12,"jj mmmm")&amp;" au "&amp;TEXT(C12,"jj mmmm")))</f>
        <v>Du 20 juin au 23 juin</v>
      </c>
      <c r="F12" s="41" t="s">
        <v>139</v>
      </c>
      <c r="G12" s="41"/>
      <c r="H12" s="41" t="s">
        <v>111</v>
      </c>
      <c r="I12" s="41" t="s">
        <v>42</v>
      </c>
      <c r="J12" s="43">
        <v>2500</v>
      </c>
      <c r="K12" s="43"/>
      <c r="L12" s="15">
        <f>IF(COUNTIF(M$1:M11,M12)&gt;0,"",MAX(L$1:L11)+1)</f>
        <v>10</v>
      </c>
      <c r="M12" s="41" t="s">
        <v>154</v>
      </c>
      <c r="N12" s="41"/>
      <c r="O12" s="46" t="s">
        <v>50</v>
      </c>
      <c r="AC12" s="42"/>
    </row>
    <row r="13" spans="1:31" x14ac:dyDescent="0.25">
      <c r="A13" s="15" t="str">
        <f>TEXT(Liste_congrès[[#This Row],[Date de fin]],"aaaa")</f>
        <v>2018</v>
      </c>
      <c r="B13" s="45">
        <v>43273</v>
      </c>
      <c r="C13" s="45">
        <v>43274</v>
      </c>
      <c r="D13" s="41">
        <f>DATEDIF(B13,C13,"D")</f>
        <v>1</v>
      </c>
      <c r="E13" s="41" t="str">
        <f>IF(C13=B13,CONCATENATE("Le "&amp;TEXT(C13,"jj mmmm")),CONCATENATE("Du "&amp;TEXT(B13,"jj mmmm")&amp;" au "&amp;TEXT(C13,"jj mmmm")))</f>
        <v>Du 22 juin au 23 juin</v>
      </c>
      <c r="F13" s="41" t="s">
        <v>140</v>
      </c>
      <c r="G13" s="41"/>
      <c r="H13" s="41" t="s">
        <v>112</v>
      </c>
      <c r="I13" s="41" t="s">
        <v>42</v>
      </c>
      <c r="J13" s="43">
        <v>2800</v>
      </c>
      <c r="K13" s="43"/>
      <c r="L13" s="15" t="str">
        <f>IF(COUNTIF(M$1:M12,M13)&gt;0,"",MAX(L$1:L12)+1)</f>
        <v/>
      </c>
      <c r="M13" s="41" t="s">
        <v>149</v>
      </c>
      <c r="N13" s="61"/>
      <c r="O13" s="46" t="s">
        <v>113</v>
      </c>
      <c r="AB13" s="42"/>
    </row>
    <row r="14" spans="1:31" x14ac:dyDescent="0.25">
      <c r="A14" s="15" t="str">
        <f>TEXT(Liste_congrès[[#This Row],[Date de fin]],"aaaa")</f>
        <v>2018</v>
      </c>
      <c r="B14" s="45">
        <v>43273</v>
      </c>
      <c r="C14" s="45">
        <v>43274</v>
      </c>
      <c r="D14" s="41">
        <f>DATEDIF(B14,C14,"D")</f>
        <v>1</v>
      </c>
      <c r="E14" s="41" t="str">
        <f>IF(C14=B14,CONCATENATE("Le "&amp;TEXT(C14,"jj mmmm")),CONCATENATE("Du "&amp;TEXT(B14,"jj mmmm")&amp;" au "&amp;TEXT(C14,"jj mmmm")))</f>
        <v>Du 22 juin au 23 juin</v>
      </c>
      <c r="F14" s="41" t="s">
        <v>141</v>
      </c>
      <c r="G14" s="41"/>
      <c r="H14" s="41" t="s">
        <v>114</v>
      </c>
      <c r="I14" s="41" t="s">
        <v>42</v>
      </c>
      <c r="J14" s="43">
        <v>1500</v>
      </c>
      <c r="K14" s="43"/>
      <c r="L14" s="15">
        <f>IF(COUNTIF(M$1:M13,M14)&gt;0,"",MAX(L$1:L13)+1)</f>
        <v>11</v>
      </c>
      <c r="M14" s="41" t="s">
        <v>19</v>
      </c>
      <c r="N14" s="61"/>
      <c r="O14" s="46" t="s">
        <v>115</v>
      </c>
      <c r="AB14" s="42"/>
    </row>
    <row r="15" spans="1:31" x14ac:dyDescent="0.25">
      <c r="A15" s="15" t="str">
        <f>TEXT(Liste_congrès[[#This Row],[Date de fin]],"aaaa")</f>
        <v>2018</v>
      </c>
      <c r="B15" s="45">
        <v>43280</v>
      </c>
      <c r="C15" s="45">
        <v>43280</v>
      </c>
      <c r="D15" s="41">
        <f>DATEDIF(B15,C15,"D")</f>
        <v>0</v>
      </c>
      <c r="E15" s="41" t="str">
        <f>IF(C15=B15,CONCATENATE("Le "&amp;TEXT(C15,"jj mmmm")),CONCATENATE("Du "&amp;TEXT(B15,"jj mmmm")&amp;" au "&amp;TEXT(C15,"jj mmmm")))</f>
        <v>Le 29 juin</v>
      </c>
      <c r="F15" s="41" t="s">
        <v>142</v>
      </c>
      <c r="G15" s="41"/>
      <c r="H15" s="41" t="s">
        <v>116</v>
      </c>
      <c r="I15" s="41" t="s">
        <v>42</v>
      </c>
      <c r="J15" s="43">
        <v>3000</v>
      </c>
      <c r="K15" s="43"/>
      <c r="L15" s="15" t="str">
        <f>IF(COUNTIF(M$1:M14,M15)&gt;0,"",MAX(L$1:L14)+1)</f>
        <v/>
      </c>
      <c r="M15" s="41" t="s">
        <v>148</v>
      </c>
      <c r="N15" s="41"/>
      <c r="O15" s="46" t="s">
        <v>117</v>
      </c>
      <c r="AB15" s="42"/>
    </row>
    <row r="16" spans="1:31" x14ac:dyDescent="0.25">
      <c r="A16" s="15" t="str">
        <f>TEXT(Liste_congrès[[#This Row],[Date de fin]],"aaaa")</f>
        <v>2018</v>
      </c>
      <c r="B16" s="45">
        <v>43280</v>
      </c>
      <c r="C16" s="45">
        <v>43280</v>
      </c>
      <c r="D16" s="41">
        <f>DATEDIF(B16,C16,"D")</f>
        <v>0</v>
      </c>
      <c r="E16" s="41" t="str">
        <f>IF(C16=B16,CONCATENATE("Le "&amp;TEXT(C16,"jj mmmm")),CONCATENATE("Du "&amp;TEXT(B16,"jj mmmm")&amp;" au "&amp;TEXT(C16,"jj mmmm")))</f>
        <v>Le 29 juin</v>
      </c>
      <c r="F16" s="41" t="s">
        <v>143</v>
      </c>
      <c r="G16" s="41"/>
      <c r="H16" s="41" t="s">
        <v>10</v>
      </c>
      <c r="I16" s="41" t="s">
        <v>42</v>
      </c>
      <c r="J16" s="43">
        <v>1900</v>
      </c>
      <c r="K16" s="43"/>
      <c r="L16" s="15" t="str">
        <f>IF(COUNTIF(M$1:M15,M16)&gt;0,"",MAX(L$1:L15)+1)</f>
        <v/>
      </c>
      <c r="M16" s="41" t="s">
        <v>149</v>
      </c>
      <c r="N16" s="41"/>
      <c r="O16" s="46" t="s">
        <v>107</v>
      </c>
      <c r="AB16" s="3"/>
    </row>
    <row r="17" spans="1:28" x14ac:dyDescent="0.25">
      <c r="A17" s="15" t="str">
        <f>TEXT(Liste_congrès[[#This Row],[Date de fin]],"aaaa")</f>
        <v>2018</v>
      </c>
      <c r="B17" s="45">
        <v>43357</v>
      </c>
      <c r="C17" s="45">
        <v>43357</v>
      </c>
      <c r="D17" s="41">
        <f>DATEDIF(B17,C17,"D")</f>
        <v>0</v>
      </c>
      <c r="E17" s="41" t="str">
        <f>IF(C17=B17,CONCATENATE("Le "&amp;TEXT(C17,"jj mmmm")),CONCATENATE("Du "&amp;TEXT(B17,"jj mmmm")&amp;" au "&amp;TEXT(C17,"jj mmmm")))</f>
        <v>Le 14 septembre</v>
      </c>
      <c r="F17" s="41" t="s">
        <v>18</v>
      </c>
      <c r="G17" s="41"/>
      <c r="H17" s="41" t="s">
        <v>10</v>
      </c>
      <c r="I17" s="41" t="s">
        <v>42</v>
      </c>
      <c r="J17" s="43">
        <v>4500</v>
      </c>
      <c r="K17" s="43"/>
      <c r="L17" s="15" t="str">
        <f>IF(COUNTIF(M$1:M16,M17)&gt;0,"",MAX(L$1:L16)+1)</f>
        <v/>
      </c>
      <c r="M17" s="41" t="s">
        <v>153</v>
      </c>
      <c r="N17" s="41"/>
      <c r="O17" s="46" t="s">
        <v>118</v>
      </c>
      <c r="AB17" s="3"/>
    </row>
    <row r="18" spans="1:28" x14ac:dyDescent="0.25">
      <c r="A18" s="15" t="str">
        <f>TEXT(Liste_congrès[[#This Row],[Date de fin]],"aaaa")</f>
        <v>2018</v>
      </c>
      <c r="B18" s="45">
        <v>43378</v>
      </c>
      <c r="C18" s="45">
        <v>43379</v>
      </c>
      <c r="D18" s="41">
        <f>DATEDIF(B18,C18,"D")</f>
        <v>1</v>
      </c>
      <c r="E18" s="41" t="str">
        <f>IF(C18=B18,CONCATENATE("Le "&amp;TEXT(C18,"jj mmmm")),CONCATENATE("Du "&amp;TEXT(B18,"jj mmmm")&amp;" au "&amp;TEXT(C18,"jj mmmm")))</f>
        <v>Du 05 octobre au 06 octobre</v>
      </c>
      <c r="F18" s="41" t="s">
        <v>144</v>
      </c>
      <c r="G18" s="41"/>
      <c r="H18" s="41" t="s">
        <v>8</v>
      </c>
      <c r="I18" s="41" t="s">
        <v>42</v>
      </c>
      <c r="J18" s="43">
        <v>3930</v>
      </c>
      <c r="K18" s="43"/>
      <c r="L18" s="15" t="str">
        <f>IF(COUNTIF(M$1:M17,M18)&gt;0,"",MAX(L$1:L17)+1)</f>
        <v/>
      </c>
      <c r="M18" s="41" t="s">
        <v>152</v>
      </c>
      <c r="N18" s="42"/>
      <c r="O18" s="46" t="s">
        <v>119</v>
      </c>
      <c r="AB18" s="3"/>
    </row>
    <row r="19" spans="1:28" x14ac:dyDescent="0.25">
      <c r="A19" s="15" t="str">
        <f>TEXT(Liste_congrès[[#This Row],[Date de fin]],"aaaa")</f>
        <v>2018</v>
      </c>
      <c r="B19" s="45">
        <v>43385</v>
      </c>
      <c r="C19" s="45">
        <v>43385</v>
      </c>
      <c r="D19" s="41">
        <f>DATEDIF(B19,C19,"D")</f>
        <v>0</v>
      </c>
      <c r="E19" s="41" t="str">
        <f>IF(C19=B19,CONCATENATE("Le "&amp;TEXT(C19,"jj mmmm")),CONCATENATE("Du "&amp;TEXT(B19,"jj mmmm")&amp;" au "&amp;TEXT(C19,"jj mmmm")))</f>
        <v>Le 12 octobre</v>
      </c>
      <c r="F19" s="41" t="s">
        <v>145</v>
      </c>
      <c r="G19" s="41"/>
      <c r="H19" s="41" t="s">
        <v>10</v>
      </c>
      <c r="I19" s="41" t="s">
        <v>43</v>
      </c>
      <c r="J19" s="43">
        <v>7500</v>
      </c>
      <c r="K19" s="43"/>
      <c r="L19" s="15" t="str">
        <f>IF(COUNTIF(M$1:M18,M19)&gt;0,"",MAX(L$1:L18)+1)</f>
        <v/>
      </c>
      <c r="M19" s="41" t="s">
        <v>120</v>
      </c>
      <c r="N19" s="42"/>
      <c r="O19" s="46"/>
    </row>
    <row r="20" spans="1:28" x14ac:dyDescent="0.25">
      <c r="A20" s="15" t="str">
        <f>TEXT(Liste_congrès[[#This Row],[Date de fin]],"aaaa")</f>
        <v>2018</v>
      </c>
      <c r="B20" s="45">
        <v>43414</v>
      </c>
      <c r="C20" s="45">
        <v>43414</v>
      </c>
      <c r="D20" s="41">
        <f>DATEDIF(B20,C20,"D")</f>
        <v>0</v>
      </c>
      <c r="E20" s="41" t="str">
        <f>IF(C20=B20,CONCATENATE("Le "&amp;TEXT(C20,"jj mmmm")),CONCATENATE("Du "&amp;TEXT(B20,"jj mmmm")&amp;" au "&amp;TEXT(C20,"jj mmmm")))</f>
        <v>Le 10 novembre</v>
      </c>
      <c r="F20" s="41" t="s">
        <v>146</v>
      </c>
      <c r="G20" s="41"/>
      <c r="H20" s="41" t="s">
        <v>111</v>
      </c>
      <c r="I20" s="41" t="s">
        <v>43</v>
      </c>
      <c r="J20" s="43">
        <v>3000</v>
      </c>
      <c r="K20" s="43"/>
      <c r="L20" s="15" t="str">
        <f>IF(COUNTIF(M$1:M19,M20)&gt;0,"",MAX(L$1:L19)+1)</f>
        <v/>
      </c>
      <c r="M20" s="41" t="s">
        <v>120</v>
      </c>
      <c r="N20" s="41"/>
      <c r="O20" s="46"/>
    </row>
    <row r="21" spans="1:28" x14ac:dyDescent="0.25">
      <c r="A21" s="15" t="str">
        <f>TEXT(Liste_congrès[[#This Row],[Date de fin]],"aaaa")</f>
        <v>2018</v>
      </c>
      <c r="B21" s="45">
        <v>43420</v>
      </c>
      <c r="C21" s="45">
        <v>43420</v>
      </c>
      <c r="D21" s="41">
        <f>DATEDIF(B21,C21,"D")</f>
        <v>0</v>
      </c>
      <c r="E21" s="41" t="str">
        <f>IF(C21=B21,CONCATENATE("Le "&amp;TEXT(C21,"jj mmmm")),CONCATENATE("Du "&amp;TEXT(B21,"jj mmmm")&amp;" au "&amp;TEXT(C21,"jj mmmm")))</f>
        <v>Le 16 novembre</v>
      </c>
      <c r="F21" s="41" t="s">
        <v>147</v>
      </c>
      <c r="G21" s="41"/>
      <c r="H21" s="41" t="s">
        <v>121</v>
      </c>
      <c r="I21" s="41" t="s">
        <v>43</v>
      </c>
      <c r="J21" s="43">
        <v>2500</v>
      </c>
      <c r="K21" s="43"/>
      <c r="L21" s="15">
        <f>IF(COUNTIF(M$1:M20,M21)&gt;0,"",MAX(L$1:L20)+1)</f>
        <v>12</v>
      </c>
      <c r="M21" s="41"/>
      <c r="N21" s="41"/>
      <c r="O21" s="46"/>
    </row>
    <row r="22" spans="1:28" x14ac:dyDescent="0.25">
      <c r="A22" s="15" t="str">
        <f>TEXT(Liste_congrès[[#This Row],[Date de fin]],"aaaa")</f>
        <v>2019</v>
      </c>
      <c r="B22" s="45">
        <v>43476</v>
      </c>
      <c r="C22" s="45">
        <v>43477</v>
      </c>
      <c r="D22" s="41">
        <f>DATEDIF(B22,C22,"D")</f>
        <v>1</v>
      </c>
      <c r="E22" s="41" t="str">
        <f>IF(C22=B22,CONCATENATE("Le "&amp;TEXT(C22,"jj mmmm")),CONCATENATE("Du "&amp;TEXT(B22,"jj mmmm")&amp;" au "&amp;TEXT(C22,"jj mmmm")))</f>
        <v>Du 11 janvier au 12 janvier</v>
      </c>
      <c r="F22" s="41" t="s">
        <v>132</v>
      </c>
      <c r="G22" s="41"/>
      <c r="H22" s="41" t="s">
        <v>6</v>
      </c>
      <c r="I22" s="41" t="s">
        <v>42</v>
      </c>
      <c r="J22" s="43">
        <v>1500</v>
      </c>
      <c r="K22" s="43">
        <v>750</v>
      </c>
      <c r="L22" s="15" t="str">
        <f>IF(COUNTIF(M$1:M21,M22)&gt;0,"",MAX(L$1:L21)+1)</f>
        <v/>
      </c>
      <c r="M22" s="41" t="s">
        <v>150</v>
      </c>
      <c r="N22" s="41"/>
      <c r="O22" s="46" t="s">
        <v>96</v>
      </c>
    </row>
    <row r="23" spans="1:28" x14ac:dyDescent="0.25">
      <c r="A23" s="15" t="str">
        <f>TEXT(Liste_congrès[[#This Row],[Date de fin]],"aaaa")</f>
        <v>2019</v>
      </c>
      <c r="B23" s="45">
        <v>43483</v>
      </c>
      <c r="C23" s="45">
        <v>43483</v>
      </c>
      <c r="D23" s="41">
        <f>DATEDIF(B23,C23,"D")</f>
        <v>0</v>
      </c>
      <c r="E23" s="41" t="str">
        <f>IF(C23=B23,CONCATENATE("Le "&amp;TEXT(C23,"jj mmmm")),CONCATENATE("Du "&amp;TEXT(B23,"jj mmmm")&amp;" au "&amp;TEXT(C23,"jj mmmm")))</f>
        <v>Le 18 janvier</v>
      </c>
      <c r="F23" s="41" t="s">
        <v>7</v>
      </c>
      <c r="G23" s="41"/>
      <c r="H23" s="41" t="s">
        <v>8</v>
      </c>
      <c r="I23" s="41" t="s">
        <v>42</v>
      </c>
      <c r="J23" s="43">
        <v>1500</v>
      </c>
      <c r="K23" s="43">
        <v>750</v>
      </c>
      <c r="L23" s="15" t="str">
        <f>IF(COUNTIF(M$1:M22,M23)&gt;0,"",MAX(L$1:L22)+1)</f>
        <v/>
      </c>
      <c r="M23" s="41" t="s">
        <v>148</v>
      </c>
      <c r="N23" s="41"/>
      <c r="O23" s="46" t="s">
        <v>46</v>
      </c>
    </row>
    <row r="24" spans="1:28" x14ac:dyDescent="0.25">
      <c r="A24" s="15" t="str">
        <f>TEXT(Liste_congrès[[#This Row],[Date de fin]],"aaaa")</f>
        <v>2019</v>
      </c>
      <c r="B24" s="45">
        <v>43484</v>
      </c>
      <c r="C24" s="45">
        <v>43484</v>
      </c>
      <c r="D24" s="41">
        <f>DATEDIF(B24,C24,"D")</f>
        <v>0</v>
      </c>
      <c r="E24" s="41" t="str">
        <f>IF(C24=B24,CONCATENATE("Le "&amp;TEXT(C24,"jj mmmm")),CONCATENATE("Du "&amp;TEXT(B24,"jj mmmm")&amp;" au "&amp;TEXT(C24,"jj mmmm")))</f>
        <v>Le 19 janvier</v>
      </c>
      <c r="F24" s="41" t="s">
        <v>9</v>
      </c>
      <c r="G24" s="41"/>
      <c r="H24" s="41" t="s">
        <v>10</v>
      </c>
      <c r="I24" s="41" t="s">
        <v>42</v>
      </c>
      <c r="J24" s="43">
        <v>1500</v>
      </c>
      <c r="K24" s="43">
        <v>750</v>
      </c>
      <c r="L24" s="15" t="str">
        <f>IF(COUNTIF(M$1:M23,M24)&gt;0,"",MAX(L$1:L23)+1)</f>
        <v/>
      </c>
      <c r="M24" s="41" t="s">
        <v>151</v>
      </c>
      <c r="N24" s="41"/>
      <c r="O24" s="46" t="s">
        <v>47</v>
      </c>
    </row>
    <row r="25" spans="1:28" x14ac:dyDescent="0.25">
      <c r="A25" s="15" t="str">
        <f>TEXT(Liste_congrès[[#This Row],[Date de fin]],"aaaa")</f>
        <v>2019</v>
      </c>
      <c r="B25" s="45">
        <v>43503</v>
      </c>
      <c r="C25" s="45">
        <v>43505</v>
      </c>
      <c r="D25" s="41">
        <f>DATEDIF(B25,C25,"D")</f>
        <v>2</v>
      </c>
      <c r="E25" s="41" t="str">
        <f>IF(C25=B25,CONCATENATE("Le "&amp;TEXT(C25,"jj mmmm")),CONCATENATE("Du "&amp;TEXT(B25,"jj mmmm")&amp;" au "&amp;TEXT(C25,"jj mmmm")))</f>
        <v>Du 07 février au 09 février</v>
      </c>
      <c r="F25" s="41" t="s">
        <v>11</v>
      </c>
      <c r="G25" s="41"/>
      <c r="H25" s="41" t="s">
        <v>12</v>
      </c>
      <c r="I25" s="41" t="s">
        <v>42</v>
      </c>
      <c r="J25" s="43">
        <v>1500</v>
      </c>
      <c r="K25" s="43">
        <v>750</v>
      </c>
      <c r="L25" s="15" t="str">
        <f>IF(COUNTIF(M$1:M24,M25)&gt;0,"",MAX(L$1:L24)+1)</f>
        <v/>
      </c>
      <c r="M25" s="41" t="s">
        <v>148</v>
      </c>
      <c r="N25" s="41"/>
      <c r="O25" s="46" t="s">
        <v>48</v>
      </c>
    </row>
    <row r="26" spans="1:28" x14ac:dyDescent="0.25">
      <c r="A26" s="15" t="str">
        <f>TEXT(Liste_congrès[[#This Row],[Date de fin]],"aaaa")</f>
        <v>2019</v>
      </c>
      <c r="B26" s="45">
        <v>43531</v>
      </c>
      <c r="C26" s="45">
        <v>43533</v>
      </c>
      <c r="D26" s="41">
        <f>DATEDIF(B26,C26,"D")</f>
        <v>2</v>
      </c>
      <c r="E26" s="41" t="str">
        <f>IF(C26=B26,CONCATENATE("Le "&amp;TEXT(C26,"jj mmmm")),CONCATENATE("Du "&amp;TEXT(B26,"jj mmmm")&amp;" au "&amp;TEXT(C26,"jj mmmm")))</f>
        <v>Du 07 mars au 09 mars</v>
      </c>
      <c r="F26" s="41" t="s">
        <v>13</v>
      </c>
      <c r="G26" s="41"/>
      <c r="H26" s="41" t="s">
        <v>10</v>
      </c>
      <c r="I26" s="41" t="s">
        <v>42</v>
      </c>
      <c r="J26" s="43">
        <v>1500</v>
      </c>
      <c r="K26" s="43">
        <v>750</v>
      </c>
      <c r="L26" s="15" t="str">
        <f>IF(COUNTIF(M$1:M25,M26)&gt;0,"",MAX(L$1:L25)+1)</f>
        <v/>
      </c>
      <c r="M26" s="41" t="s">
        <v>150</v>
      </c>
      <c r="N26" s="41"/>
      <c r="O26" s="46" t="s">
        <v>49</v>
      </c>
    </row>
    <row r="27" spans="1:28" x14ac:dyDescent="0.25">
      <c r="A27" s="15" t="str">
        <f>TEXT(Liste_congrès[[#This Row],[Date de fin]],"aaaa")</f>
        <v>2019</v>
      </c>
      <c r="B27" s="45">
        <v>43539</v>
      </c>
      <c r="C27" s="45">
        <v>43539</v>
      </c>
      <c r="D27" s="41">
        <f>DATEDIF(B27,C27,"D")</f>
        <v>0</v>
      </c>
      <c r="E27" s="41" t="str">
        <f>IF(C27=B27,CONCATENATE("Le "&amp;TEXT(C27,"jj mmmm")),CONCATENATE("Du "&amp;TEXT(B27,"jj mmmm")&amp;" au "&amp;TEXT(C27,"jj mmmm")))</f>
        <v>Le 15 mars</v>
      </c>
      <c r="F27" s="41" t="s">
        <v>14</v>
      </c>
      <c r="G27" s="41"/>
      <c r="H27" s="41" t="s">
        <v>15</v>
      </c>
      <c r="I27" s="41" t="s">
        <v>42</v>
      </c>
      <c r="J27" s="43">
        <v>1500</v>
      </c>
      <c r="K27" s="43">
        <v>750</v>
      </c>
      <c r="L27" s="15" t="str">
        <f>IF(COUNTIF(M$1:M26,M27)&gt;0,"",MAX(L$1:L26)+1)</f>
        <v/>
      </c>
      <c r="M27" s="41" t="s">
        <v>149</v>
      </c>
      <c r="N27" s="41"/>
      <c r="O27" s="46" t="s">
        <v>50</v>
      </c>
    </row>
    <row r="28" spans="1:28" x14ac:dyDescent="0.25">
      <c r="A28" s="15" t="str">
        <f>TEXT(Liste_congrès[[#This Row],[Date de fin]],"aaaa")</f>
        <v>2019</v>
      </c>
      <c r="B28" s="45">
        <v>43546</v>
      </c>
      <c r="C28" s="45">
        <v>43546</v>
      </c>
      <c r="D28" s="41">
        <f>DATEDIF(B28,C28,"D")</f>
        <v>0</v>
      </c>
      <c r="E28" s="41" t="str">
        <f>IF(C28=B28,CONCATENATE("Le "&amp;TEXT(C28,"jj mmmm")),CONCATENATE("Du "&amp;TEXT(B28,"jj mmmm")&amp;" au "&amp;TEXT(C28,"jj mmmm")))</f>
        <v>Le 22 mars</v>
      </c>
      <c r="F28" s="41" t="s">
        <v>16</v>
      </c>
      <c r="G28" s="41"/>
      <c r="H28" s="41" t="s">
        <v>17</v>
      </c>
      <c r="I28" s="41" t="s">
        <v>42</v>
      </c>
      <c r="J28" s="43">
        <v>1500</v>
      </c>
      <c r="K28" s="43">
        <v>750</v>
      </c>
      <c r="L28" s="15" t="str">
        <f>IF(COUNTIF(M$1:M27,M28)&gt;0,"",MAX(L$1:L27)+1)</f>
        <v/>
      </c>
      <c r="M28" s="41" t="s">
        <v>149</v>
      </c>
      <c r="N28" s="41"/>
      <c r="O28" s="46" t="s">
        <v>45</v>
      </c>
    </row>
    <row r="29" spans="1:28" x14ac:dyDescent="0.25">
      <c r="A29" s="15" t="str">
        <f>TEXT(Liste_congrès[[#This Row],[Date de fin]],"aaaa")</f>
        <v>2019</v>
      </c>
      <c r="B29" s="45">
        <v>43553</v>
      </c>
      <c r="C29" s="45">
        <v>43553</v>
      </c>
      <c r="D29" s="41">
        <f>DATEDIF(B29,C29,"D")</f>
        <v>0</v>
      </c>
      <c r="E29" s="41" t="str">
        <f>IF(C29=B29,CONCATENATE("Le "&amp;TEXT(C29,"jj mmmm")),CONCATENATE("Du "&amp;TEXT(B29,"jj mmmm")&amp;" au "&amp;TEXT(C29,"jj mmmm")))</f>
        <v>Le 29 mars</v>
      </c>
      <c r="F29" s="41" t="s">
        <v>18</v>
      </c>
      <c r="G29" s="41"/>
      <c r="H29" s="41" t="s">
        <v>10</v>
      </c>
      <c r="I29" s="41" t="s">
        <v>42</v>
      </c>
      <c r="J29" s="43">
        <v>1500</v>
      </c>
      <c r="K29" s="43">
        <v>750</v>
      </c>
      <c r="L29" s="15" t="str">
        <f>IF(COUNTIF(M$1:M28,M29)&gt;0,"",MAX(L$1:L28)+1)</f>
        <v/>
      </c>
      <c r="M29" s="41" t="s">
        <v>149</v>
      </c>
      <c r="N29" s="41"/>
      <c r="O29" s="46" t="s">
        <v>51</v>
      </c>
    </row>
    <row r="30" spans="1:28" x14ac:dyDescent="0.25">
      <c r="A30" s="15" t="str">
        <f>TEXT(Liste_congrès[[#This Row],[Date de fin]],"aaaa")</f>
        <v>2019</v>
      </c>
      <c r="B30" s="45">
        <v>43553</v>
      </c>
      <c r="C30" s="45">
        <v>43553</v>
      </c>
      <c r="D30" s="41">
        <f>DATEDIF(B30,C30,"D")</f>
        <v>0</v>
      </c>
      <c r="E30" s="41" t="str">
        <f>IF(C30=B30,CONCATENATE("Le "&amp;TEXT(C30,"jj mmmm")),CONCATENATE("Du "&amp;TEXT(B30,"jj mmmm")&amp;" au "&amp;TEXT(C30,"jj mmmm")))</f>
        <v>Le 29 mars</v>
      </c>
      <c r="F30" s="41" t="s">
        <v>19</v>
      </c>
      <c r="G30" s="41"/>
      <c r="H30" s="41" t="s">
        <v>10</v>
      </c>
      <c r="I30" s="41" t="s">
        <v>43</v>
      </c>
      <c r="J30" s="43">
        <v>1500</v>
      </c>
      <c r="K30" s="43">
        <v>750</v>
      </c>
      <c r="L30" s="15" t="str">
        <f>IF(COUNTIF(M$1:M29,M30)&gt;0,"",MAX(L$1:L29)+1)</f>
        <v/>
      </c>
      <c r="M30" s="41" t="s">
        <v>149</v>
      </c>
      <c r="N30" s="41"/>
      <c r="O30" s="46" t="s">
        <v>44</v>
      </c>
    </row>
    <row r="31" spans="1:28" x14ac:dyDescent="0.25">
      <c r="A31" s="15" t="str">
        <f>TEXT(Liste_congrès[[#This Row],[Date de fin]],"aaaa")</f>
        <v>2020</v>
      </c>
      <c r="B31" s="45">
        <v>43848</v>
      </c>
      <c r="C31" s="45">
        <v>43849</v>
      </c>
      <c r="D31" s="41">
        <f>DATEDIF(B31,C31,"D")</f>
        <v>1</v>
      </c>
      <c r="E31" s="41" t="str">
        <f>IF(C31=B31,CONCATENATE("Le "&amp;TEXT(C31,"jj mmmm")),CONCATENATE("Du "&amp;TEXT(B31,"jj mmmm")&amp;" au "&amp;TEXT(C31,"jj mmmm")))</f>
        <v>Du 18 janvier au 19 janvier</v>
      </c>
      <c r="F31" s="41" t="s">
        <v>142</v>
      </c>
      <c r="G31" s="41"/>
      <c r="H31" s="41" t="s">
        <v>10</v>
      </c>
      <c r="I31" s="41" t="s">
        <v>42</v>
      </c>
      <c r="J31" s="43">
        <v>4500</v>
      </c>
      <c r="K31" s="43"/>
      <c r="L31" s="15" t="str">
        <f>IF(COUNTIF(M$1:M30,M31)&gt;0,"",MAX(L$1:L30)+1)</f>
        <v/>
      </c>
      <c r="M31" s="41" t="s">
        <v>148</v>
      </c>
      <c r="N31" s="41"/>
      <c r="O31" s="46"/>
    </row>
    <row r="32" spans="1:28" x14ac:dyDescent="0.25">
      <c r="A32" s="15"/>
      <c r="B32" s="45"/>
      <c r="C32" s="45"/>
      <c r="D32" s="41"/>
      <c r="E32" s="41"/>
      <c r="F32" s="41"/>
      <c r="G32" s="41"/>
      <c r="H32" s="41"/>
      <c r="I32" s="41"/>
      <c r="J32" s="43"/>
      <c r="K32" s="43"/>
      <c r="L32" s="15"/>
      <c r="M32" s="41"/>
      <c r="N32" s="41"/>
      <c r="O32" s="46"/>
    </row>
    <row r="33" spans="1:15" x14ac:dyDescent="0.25">
      <c r="A33" s="15"/>
      <c r="B33" s="45"/>
      <c r="C33" s="45"/>
      <c r="D33" s="41"/>
      <c r="E33" s="41"/>
      <c r="F33" s="41"/>
      <c r="G33" s="41"/>
      <c r="H33" s="41"/>
      <c r="I33" s="41"/>
      <c r="J33" s="43"/>
      <c r="K33" s="43"/>
      <c r="L33" s="15"/>
      <c r="M33" s="41"/>
      <c r="N33" s="41"/>
      <c r="O33" s="46"/>
    </row>
    <row r="34" spans="1:15" x14ac:dyDescent="0.25">
      <c r="A34" s="15"/>
      <c r="B34" s="45"/>
      <c r="C34" s="45"/>
      <c r="D34" s="41"/>
      <c r="E34" s="41"/>
      <c r="F34" s="41"/>
      <c r="G34" s="41"/>
      <c r="H34" s="41"/>
      <c r="I34" s="41"/>
      <c r="J34" s="43"/>
      <c r="K34" s="43"/>
      <c r="L34" s="15"/>
      <c r="M34" s="41"/>
      <c r="N34" s="41"/>
      <c r="O34" s="46"/>
    </row>
    <row r="35" spans="1:15" x14ac:dyDescent="0.25">
      <c r="A35" s="15"/>
      <c r="B35" s="45"/>
      <c r="C35" s="45"/>
      <c r="D35" s="41"/>
      <c r="E35" s="41"/>
      <c r="F35" s="41"/>
      <c r="G35" s="41"/>
      <c r="H35" s="41"/>
      <c r="I35" s="41"/>
      <c r="J35" s="43"/>
      <c r="K35" s="43"/>
      <c r="L35" s="15"/>
      <c r="M35" s="41"/>
      <c r="N35" s="41"/>
      <c r="O35" s="46"/>
    </row>
    <row r="36" spans="1:15" x14ac:dyDescent="0.25">
      <c r="A36" s="15"/>
      <c r="B36" s="45"/>
      <c r="C36" s="45"/>
      <c r="D36" s="41"/>
      <c r="E36" s="41"/>
      <c r="F36" s="41"/>
      <c r="G36" s="41"/>
      <c r="H36" s="41"/>
      <c r="I36" s="41"/>
      <c r="J36" s="43"/>
      <c r="K36" s="43"/>
      <c r="L36" s="15"/>
      <c r="M36" s="41"/>
      <c r="N36" s="41"/>
      <c r="O36" s="46"/>
    </row>
    <row r="37" spans="1:15" x14ac:dyDescent="0.25">
      <c r="A37" s="15"/>
      <c r="B37" s="45"/>
      <c r="C37" s="45"/>
      <c r="D37" s="41"/>
      <c r="E37" s="41"/>
      <c r="F37" s="41"/>
      <c r="G37" s="41"/>
      <c r="H37" s="41"/>
      <c r="I37" s="41"/>
      <c r="J37" s="43"/>
      <c r="K37" s="43"/>
      <c r="L37" s="15"/>
      <c r="M37" s="41"/>
      <c r="N37" s="41"/>
      <c r="O37" s="46"/>
    </row>
    <row r="38" spans="1:15" x14ac:dyDescent="0.25">
      <c r="A38" s="15"/>
      <c r="B38" s="45"/>
      <c r="C38" s="45"/>
      <c r="D38" s="41"/>
      <c r="E38" s="41"/>
      <c r="F38" s="41"/>
      <c r="G38" s="41"/>
      <c r="H38" s="41"/>
      <c r="I38" s="41"/>
      <c r="J38" s="43"/>
      <c r="K38" s="43"/>
      <c r="L38" s="15"/>
      <c r="M38" s="41"/>
      <c r="N38" s="41"/>
      <c r="O38" s="46"/>
    </row>
    <row r="39" spans="1:15" x14ac:dyDescent="0.25">
      <c r="A39" s="15"/>
      <c r="B39" s="45"/>
      <c r="C39" s="45"/>
      <c r="D39" s="41"/>
      <c r="E39" s="41"/>
      <c r="F39" s="41"/>
      <c r="G39" s="41"/>
      <c r="H39" s="41"/>
      <c r="I39" s="41"/>
      <c r="J39" s="43"/>
      <c r="K39" s="43"/>
      <c r="L39" s="15"/>
      <c r="M39" s="41"/>
      <c r="N39" s="41"/>
      <c r="O39" s="46"/>
    </row>
  </sheetData>
  <phoneticPr fontId="3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50DC6-78FC-4519-9ED1-A848EF6E9C76}">
  <dimension ref="A1:L10"/>
  <sheetViews>
    <sheetView workbookViewId="0">
      <selection activeCell="A2" sqref="A2:L6"/>
    </sheetView>
  </sheetViews>
  <sheetFormatPr baseColWidth="10" defaultRowHeight="15" x14ac:dyDescent="0.25"/>
  <cols>
    <col min="2" max="2" width="13.85546875" customWidth="1"/>
    <col min="3" max="3" width="25.140625" bestFit="1" customWidth="1"/>
    <col min="4" max="4" width="18" customWidth="1"/>
    <col min="5" max="5" width="13.28515625" customWidth="1"/>
    <col min="6" max="6" width="13.5703125" bestFit="1" customWidth="1"/>
    <col min="7" max="7" width="13.42578125" bestFit="1" customWidth="1"/>
    <col min="8" max="8" width="10.42578125" bestFit="1" customWidth="1"/>
    <col min="10" max="10" width="16.28515625" bestFit="1" customWidth="1"/>
  </cols>
  <sheetData>
    <row r="1" spans="1:12" x14ac:dyDescent="0.25">
      <c r="A1" t="s">
        <v>21</v>
      </c>
      <c r="B1" t="s">
        <v>67</v>
      </c>
      <c r="C1" t="s">
        <v>68</v>
      </c>
      <c r="D1" t="s">
        <v>72</v>
      </c>
      <c r="E1" t="s">
        <v>76</v>
      </c>
      <c r="F1" t="s">
        <v>97</v>
      </c>
      <c r="G1" t="s">
        <v>69</v>
      </c>
      <c r="H1" t="s">
        <v>39</v>
      </c>
      <c r="I1" t="s">
        <v>66</v>
      </c>
      <c r="J1" t="s">
        <v>70</v>
      </c>
      <c r="K1" t="s">
        <v>71</v>
      </c>
      <c r="L1" t="s">
        <v>156</v>
      </c>
    </row>
    <row r="2" spans="1:12" x14ac:dyDescent="0.25">
      <c r="A2" s="114">
        <v>2019</v>
      </c>
      <c r="B2" s="115">
        <v>43497</v>
      </c>
      <c r="C2" s="46" t="s">
        <v>74</v>
      </c>
      <c r="D2" s="46" t="s">
        <v>75</v>
      </c>
      <c r="E2" s="46">
        <v>7000</v>
      </c>
      <c r="F2" s="46">
        <f>IF(COUNTIF(G$1:G1,G2)&gt;0,"",MAX(F$1:F1)+1)</f>
        <v>1</v>
      </c>
      <c r="G2" s="46" t="s">
        <v>77</v>
      </c>
      <c r="H2" s="116">
        <v>5600</v>
      </c>
      <c r="I2" s="117">
        <v>750</v>
      </c>
      <c r="J2" s="41"/>
      <c r="K2" s="118" t="s">
        <v>42</v>
      </c>
      <c r="L2" s="41" t="s">
        <v>42</v>
      </c>
    </row>
    <row r="3" spans="1:12" x14ac:dyDescent="0.25">
      <c r="A3" s="119">
        <v>2019</v>
      </c>
      <c r="B3" s="115">
        <v>43511</v>
      </c>
      <c r="C3" s="46" t="s">
        <v>78</v>
      </c>
      <c r="D3" s="46" t="s">
        <v>75</v>
      </c>
      <c r="E3" s="46">
        <v>6800</v>
      </c>
      <c r="F3" s="46">
        <f>IF(COUNTIF(G$1:G2,G3)&gt;0,"",MAX(F$1:F2)+1)</f>
        <v>2</v>
      </c>
      <c r="G3" s="46" t="s">
        <v>149</v>
      </c>
      <c r="H3" s="116">
        <v>11900</v>
      </c>
      <c r="I3" s="117">
        <v>750</v>
      </c>
      <c r="J3" s="41"/>
      <c r="K3" s="118" t="s">
        <v>42</v>
      </c>
      <c r="L3" s="41"/>
    </row>
    <row r="4" spans="1:12" x14ac:dyDescent="0.25">
      <c r="A4" s="119">
        <v>2019</v>
      </c>
      <c r="B4" s="120">
        <v>43539</v>
      </c>
      <c r="C4" s="47" t="s">
        <v>127</v>
      </c>
      <c r="D4" s="47" t="s">
        <v>79</v>
      </c>
      <c r="E4" s="47">
        <v>200</v>
      </c>
      <c r="F4" s="47" t="str">
        <f>IF(COUNTIF(G$1:G3,G4)&gt;0,"",MAX(F$1:F3)+1)</f>
        <v/>
      </c>
      <c r="G4" s="47" t="s">
        <v>77</v>
      </c>
      <c r="H4" s="121">
        <v>136.83000000000001</v>
      </c>
      <c r="I4" s="117">
        <v>750</v>
      </c>
      <c r="J4" s="41"/>
      <c r="K4" s="122" t="s">
        <v>42</v>
      </c>
      <c r="L4" s="41" t="s">
        <v>42</v>
      </c>
    </row>
    <row r="5" spans="1:12" x14ac:dyDescent="0.25">
      <c r="A5" s="119">
        <v>2018</v>
      </c>
      <c r="B5" s="123">
        <v>43205</v>
      </c>
      <c r="C5" s="46" t="s">
        <v>128</v>
      </c>
      <c r="D5" s="46" t="s">
        <v>129</v>
      </c>
      <c r="E5" s="46">
        <v>3</v>
      </c>
      <c r="F5" s="59">
        <f>IF(COUNTIF(G$1:G4,G5)&gt;0,"",MAX(F$1:F4)+1)</f>
        <v>3</v>
      </c>
      <c r="G5" s="46" t="s">
        <v>130</v>
      </c>
      <c r="H5" s="116">
        <v>1500</v>
      </c>
      <c r="I5" s="117">
        <v>0</v>
      </c>
      <c r="J5" s="41"/>
      <c r="K5" s="118" t="s">
        <v>42</v>
      </c>
      <c r="L5" s="41" t="s">
        <v>42</v>
      </c>
    </row>
    <row r="6" spans="1:12" x14ac:dyDescent="0.25">
      <c r="A6" s="119">
        <v>2018</v>
      </c>
      <c r="B6" s="123">
        <v>43388</v>
      </c>
      <c r="C6" s="46" t="s">
        <v>131</v>
      </c>
      <c r="D6" s="46" t="s">
        <v>75</v>
      </c>
      <c r="E6" s="46">
        <v>7000</v>
      </c>
      <c r="F6" s="59" t="str">
        <f>IF(COUNTIF(G$1:G5,G6)&gt;0,"",MAX(F$1:F5)+1)</f>
        <v/>
      </c>
      <c r="G6" s="46" t="s">
        <v>77</v>
      </c>
      <c r="H6" s="116">
        <v>5000</v>
      </c>
      <c r="I6" s="117">
        <v>0</v>
      </c>
      <c r="J6" s="41"/>
      <c r="K6" s="118" t="s">
        <v>42</v>
      </c>
      <c r="L6" s="41" t="s">
        <v>42</v>
      </c>
    </row>
    <row r="8" spans="1:12" x14ac:dyDescent="0.25">
      <c r="A8" s="1"/>
    </row>
    <row r="9" spans="1:12" x14ac:dyDescent="0.25">
      <c r="A9" s="1"/>
    </row>
    <row r="10" spans="1:12" x14ac:dyDescent="0.25">
      <c r="A10" s="1"/>
    </row>
  </sheetData>
  <conditionalFormatting sqref="A2:L6">
    <cfRule type="expression" dxfId="45" priority="1">
      <formula>$L2="oui"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42F03-0F27-4337-8337-73632251BA03}">
  <dimension ref="B2:BP40"/>
  <sheetViews>
    <sheetView tabSelected="1" topLeftCell="A4" zoomScale="106" zoomScaleNormal="106" workbookViewId="0">
      <selection activeCell="D12" sqref="D12:E12"/>
    </sheetView>
  </sheetViews>
  <sheetFormatPr baseColWidth="10" defaultRowHeight="15" x14ac:dyDescent="0.25"/>
  <cols>
    <col min="56" max="56" width="17.5703125" bestFit="1" customWidth="1"/>
  </cols>
  <sheetData>
    <row r="2" spans="2:68" ht="15.75" thickBot="1" x14ac:dyDescent="0.3"/>
    <row r="3" spans="2:68" ht="63" customHeight="1" thickBot="1" x14ac:dyDescent="0.3">
      <c r="B3" s="106" t="str">
        <f>CONCATENATE("Budget Marketing pour la période "&amp;E5)</f>
        <v>Budget Marketing pour la période 2019</v>
      </c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8"/>
    </row>
    <row r="4" spans="2:68" ht="15.75" thickBot="1" x14ac:dyDescent="0.3"/>
    <row r="5" spans="2:68" x14ac:dyDescent="0.25">
      <c r="C5" s="102" t="s">
        <v>80</v>
      </c>
      <c r="D5" s="103"/>
      <c r="E5" s="26">
        <f>INDEX(T_années_mark[Années],F5,1)</f>
        <v>2019</v>
      </c>
      <c r="F5" s="12">
        <v>2</v>
      </c>
    </row>
    <row r="6" spans="2:68" ht="15.75" thickBot="1" x14ac:dyDescent="0.3">
      <c r="C6" s="104"/>
      <c r="D6" s="105"/>
      <c r="E6" s="31"/>
      <c r="F6" s="33"/>
    </row>
    <row r="7" spans="2:68" ht="15.75" thickBot="1" x14ac:dyDescent="0.3"/>
    <row r="8" spans="2:68" ht="25.5" customHeight="1" thickBot="1" x14ac:dyDescent="0.3">
      <c r="B8" s="73" t="s">
        <v>88</v>
      </c>
      <c r="C8" s="74"/>
      <c r="D8" s="74"/>
      <c r="E8" s="75"/>
      <c r="G8" s="73" t="s">
        <v>91</v>
      </c>
      <c r="H8" s="74"/>
      <c r="I8" s="74"/>
      <c r="J8" s="75"/>
      <c r="L8" s="73" t="s">
        <v>86</v>
      </c>
      <c r="M8" s="74"/>
      <c r="N8" s="74"/>
      <c r="O8" s="75"/>
      <c r="Q8" s="73" t="s">
        <v>93</v>
      </c>
      <c r="R8" s="74"/>
      <c r="S8" s="74"/>
      <c r="T8" s="75"/>
    </row>
    <row r="9" spans="2:68" ht="20.25" customHeight="1" thickBot="1" x14ac:dyDescent="0.3"/>
    <row r="10" spans="2:68" ht="18.75" customHeight="1" thickBot="1" x14ac:dyDescent="0.3">
      <c r="B10" s="127" t="s">
        <v>40</v>
      </c>
      <c r="C10" s="128"/>
      <c r="D10" s="128" t="s">
        <v>89</v>
      </c>
      <c r="E10" s="129"/>
      <c r="G10" s="99" t="s">
        <v>92</v>
      </c>
      <c r="H10" s="99"/>
      <c r="I10" s="99" t="s">
        <v>89</v>
      </c>
      <c r="J10" s="99"/>
      <c r="L10" s="41"/>
      <c r="M10" s="41"/>
      <c r="N10" s="48" t="s">
        <v>95</v>
      </c>
      <c r="O10" s="50" t="s">
        <v>90</v>
      </c>
      <c r="Q10" s="98" t="s">
        <v>94</v>
      </c>
      <c r="R10" s="82"/>
      <c r="S10" s="82" t="s">
        <v>89</v>
      </c>
      <c r="T10" s="83"/>
    </row>
    <row r="11" spans="2:68" ht="18.75" customHeight="1" thickBot="1" x14ac:dyDescent="0.3">
      <c r="B11" s="125"/>
      <c r="C11" s="125"/>
      <c r="D11" s="125"/>
      <c r="E11" s="125"/>
      <c r="G11" s="86" t="str">
        <f>IFERROR(VLOOKUP(ROW(L1),Base_congrès!L1:M31,2,0),"")</f>
        <v>COM</v>
      </c>
      <c r="H11" s="87"/>
      <c r="I11" s="96">
        <f>SUMIFS(Liste_congrès[Prix en € HT],Liste_congrès[Année],ChoixAnMarketing,Liste_congrès[Organisateur],G11,Liste_congrès[Participation],Marketing!$BE$17)</f>
        <v>3000</v>
      </c>
      <c r="J11" s="97"/>
      <c r="L11" s="76" t="s">
        <v>85</v>
      </c>
      <c r="M11" s="77"/>
      <c r="N11" s="51">
        <f>SUMIFS(Liste_congrès[Prix en € HT],Liste_congrès[Année],ChoixAnMarketing,Liste_congrès[Participation],$BE$17)</f>
        <v>12000</v>
      </c>
      <c r="O11" s="53">
        <f>SUMIF(Liste_congrès[Année],$BD$17,Liste_congrès[HELPP (en €)])</f>
        <v>6750</v>
      </c>
      <c r="Q11" s="88" t="str">
        <f>IFERROR(VLOOKUP(ROW(L1),T_base_marketing[[Indice ligne]:[Prestataire ]],2,0),"")</f>
        <v>Mad Création</v>
      </c>
      <c r="R11" s="88"/>
      <c r="S11" s="124">
        <f>IF(SUMIFS(T_base_marketing[Prix],T_base_marketing[Année],$BD$17,T_base_marketing[[Prestataire ]],Q11)=0,"",SUMIFS(T_base_marketing[Prix],T_base_marketing[Année],$BD$17,T_base_marketing[[Prestataire ]],Q11))</f>
        <v>5736.83</v>
      </c>
      <c r="T11" s="124"/>
    </row>
    <row r="12" spans="2:68" ht="19.5" customHeight="1" thickBot="1" x14ac:dyDescent="0.3">
      <c r="B12" s="126"/>
      <c r="C12" s="126"/>
      <c r="D12" s="126"/>
      <c r="E12" s="126"/>
      <c r="G12" s="84" t="str">
        <f>IFERROR(VLOOKUP(ROW(L2),Base_congrès!L2:M13,2,0),"")</f>
        <v>Régi</v>
      </c>
      <c r="H12" s="85"/>
      <c r="I12" s="92">
        <f>SUMIFS(Liste_congrès[Prix en € HT],Liste_congrès[Année],ChoixAnMarketing,Liste_congrès[Organisateur],G12,Liste_congrès[Participation],Marketing!$BE$17)</f>
        <v>3000</v>
      </c>
      <c r="J12" s="93"/>
      <c r="L12" s="78" t="s">
        <v>84</v>
      </c>
      <c r="M12" s="79"/>
      <c r="N12" s="52">
        <f>SUMIF(T_base_marketing[Année],$BD$17,T_base_marketing[Prix])</f>
        <v>17636.830000000002</v>
      </c>
      <c r="O12" s="54">
        <f>SUMIF(T_base_marketing[Année],$BD$17,T_base_marketing[HELPP])</f>
        <v>2250</v>
      </c>
      <c r="Q12" s="88" t="str">
        <f>IFERROR(VLOOKUP(ROW(L2),T_base_marketing[[Indice ligne]:[Prestataire ]],2,0),"")</f>
        <v>J</v>
      </c>
      <c r="R12" s="88"/>
      <c r="S12" s="124">
        <f>SUMIFS(T_base_marketing[Prix],T_base_marketing[Année],$BD$17,T_base_marketing[[Prestataire ]],Q12)</f>
        <v>11900</v>
      </c>
      <c r="T12" s="124"/>
    </row>
    <row r="13" spans="2:68" ht="20.25" customHeight="1" thickBot="1" x14ac:dyDescent="0.3">
      <c r="B13" s="125"/>
      <c r="C13" s="125"/>
      <c r="D13" s="125"/>
      <c r="E13" s="125"/>
      <c r="G13" s="84" t="str">
        <f>IFERROR(VLOOKUP(ROW(L3),Base_congrès!L3:M14,2,0),"")</f>
        <v>"</v>
      </c>
      <c r="H13" s="85"/>
      <c r="I13" s="92">
        <f>SUMIFS(Liste_congrès[Prix en € HT],Liste_congrès[Année],ChoixAnMarketing,Liste_congrès[Organisateur],G13,Liste_congrès[Participation],Marketing!$BE$17)</f>
        <v>0</v>
      </c>
      <c r="J13" s="93"/>
      <c r="L13" s="80" t="s">
        <v>64</v>
      </c>
      <c r="M13" s="81"/>
      <c r="N13" s="55">
        <f>SUM(N11:N12)</f>
        <v>29636.83</v>
      </c>
      <c r="O13" s="56">
        <f>SUM(O11:O12)</f>
        <v>9000</v>
      </c>
      <c r="Q13" s="88" t="str">
        <f>IFERROR(VLOOKUP(ROW(L3),T_base_marketing[[Indice ligne]:[Prestataire ]],2,0),"")</f>
        <v>Mad print</v>
      </c>
      <c r="R13" s="88"/>
      <c r="S13" s="124">
        <f>SUMIFS(T_base_marketing[Prix],T_base_marketing[Année],$BD$17,T_base_marketing[[Prestataire ]],Q13)</f>
        <v>0</v>
      </c>
      <c r="T13" s="124"/>
    </row>
    <row r="14" spans="2:68" ht="20.25" customHeight="1" thickBot="1" x14ac:dyDescent="0.3">
      <c r="G14" s="84" t="str">
        <f>IFERROR(VLOOKUP(ROW(L4),Base_congrès!L4:M15,2,0),"")</f>
        <v>J</v>
      </c>
      <c r="H14" s="85"/>
      <c r="I14" s="92">
        <f>SUMIFS(Liste_congrès[Prix en € HT],Liste_congrès[Année],ChoixAnMarketing,Liste_congrès[Organisateur],G14,Liste_congrès[Participation],Marketing!$BE$17)</f>
        <v>4500</v>
      </c>
      <c r="J14" s="93"/>
      <c r="L14" s="41"/>
      <c r="M14" s="41"/>
      <c r="N14" s="58"/>
      <c r="O14" s="58"/>
      <c r="Q14" s="88" t="str">
        <f>IFERROR(VLOOKUP(ROW(L4),T_base_marketing[[Indice ligne]:[Prestataire ]],2,0),"")</f>
        <v/>
      </c>
      <c r="R14" s="88"/>
      <c r="S14" s="89" t="str">
        <f>IF(SUMIFS(T_base_marketing[Prix],T_base_marketing[Année],$BD$17,T_base_marketing[[Prestataire ]],Q14)=0,"",SUMIFS(T_base_marketing[Prix],T_base_marketing[Année],$BD$17,T_base_marketing[[Prestataire ]],Q14))</f>
        <v/>
      </c>
      <c r="T14" s="89"/>
    </row>
    <row r="15" spans="2:68" ht="22.5" customHeight="1" thickBot="1" x14ac:dyDescent="0.3">
      <c r="F15" s="49"/>
      <c r="G15" s="84" t="str">
        <f>IFERROR(VLOOKUP(ROW(L6),Base_congrès!L6:M17,2,0),"")</f>
        <v>event</v>
      </c>
      <c r="H15" s="85"/>
      <c r="I15" s="92">
        <f>SUMIFS(Liste_congrès[Prix en € HT],Liste_congrès[Année],ChoixAnMarketing,Liste_congrès[Organisateur],G15,Liste_congrès[Participation],Marketing!$BE$17)</f>
        <v>1500</v>
      </c>
      <c r="J15" s="93"/>
      <c r="L15" s="66" t="s">
        <v>87</v>
      </c>
      <c r="M15" s="67"/>
      <c r="N15" s="68">
        <f>N13-O13</f>
        <v>20636.830000000002</v>
      </c>
      <c r="O15" s="69"/>
      <c r="P15" s="3"/>
      <c r="Q15" s="88" t="str">
        <f>IFERROR(VLOOKUP(ROW(L5),T_base_marketing[[Indice ligne]:[Prestataire ]],2,0),"")</f>
        <v/>
      </c>
      <c r="R15" s="88"/>
      <c r="S15" s="89" t="str">
        <f>IF(SUMIFS(T_base_marketing[Prix],T_base_marketing[Année],$BD$17,T_base_marketing[[Prestataire ]],Q15)=0,"",SUMIFS(T_base_marketing[Prix],T_base_marketing[Année],$BD$17,T_base_marketing[[Prestataire ]],Q15))</f>
        <v/>
      </c>
      <c r="T15" s="89"/>
    </row>
    <row r="16" spans="2:68" ht="15.75" thickBot="1" x14ac:dyDescent="0.3">
      <c r="G16" s="84" t="str">
        <f>IFERROR(VLOOKUP(ROW(L7),Base_congrès!L7:M18,2,0),"")</f>
        <v>SN</v>
      </c>
      <c r="H16" s="85"/>
      <c r="I16" s="92">
        <f>SUMIFS(Liste_congrès[Prix en € HT],Liste_congrès[Année],ChoixAnMarketing,Liste_congrès[Organisateur],G16,Liste_congrès[Participation],Marketing!$BE$17)</f>
        <v>0</v>
      </c>
      <c r="J16" s="93"/>
      <c r="N16" s="90"/>
      <c r="O16" s="90"/>
      <c r="Q16" s="88" t="str">
        <f>IFERROR(VLOOKUP(ROW(L6),T_base_marketing[[Indice ligne]:[Prestataire ]],2,0),"")</f>
        <v/>
      </c>
      <c r="R16" s="88"/>
      <c r="S16" s="89" t="str">
        <f>IF(SUMIFS(T_base_marketing[Prix],T_base_marketing[Année],$BD$17,T_base_marketing[[Prestataire ]],Q16)=0,"",SUMIFS(T_base_marketing[Prix],T_base_marketing[Année],$BD$17,T_base_marketing[[Prestataire ]],Q16))</f>
        <v/>
      </c>
      <c r="T16" s="89"/>
      <c r="BC16" s="2" t="s">
        <v>35</v>
      </c>
      <c r="BD16" s="2" t="s">
        <v>81</v>
      </c>
      <c r="BE16" t="s">
        <v>122</v>
      </c>
      <c r="BH16" s="73" t="s">
        <v>125</v>
      </c>
      <c r="BI16" s="74"/>
      <c r="BJ16" s="74"/>
      <c r="BK16" s="75"/>
      <c r="BM16" t="s">
        <v>123</v>
      </c>
      <c r="BN16">
        <f>D33</f>
        <v>2018</v>
      </c>
      <c r="BO16" t="s">
        <v>124</v>
      </c>
      <c r="BP16">
        <f>G33</f>
        <v>2020</v>
      </c>
    </row>
    <row r="17" spans="2:63" ht="15.75" thickBot="1" x14ac:dyDescent="0.3">
      <c r="G17" s="100" t="str">
        <f>IFERROR(VLOOKUP(ROW(L8),Base_congrès!L8:M19,2,0),"")</f>
        <v>PC</v>
      </c>
      <c r="H17" s="101"/>
      <c r="I17" s="94">
        <f>SUMIFS(Liste_congrès[Prix en € HT],Liste_congrès[Année],ChoixAnMarketing,Liste_congrès[Organisateur],G17,Liste_congrès[Participation],Marketing!$BE$17)</f>
        <v>0</v>
      </c>
      <c r="J17" s="95"/>
      <c r="N17" s="91"/>
      <c r="O17" s="91"/>
      <c r="Q17" s="88" t="str">
        <f>IFERROR(VLOOKUP(ROW(L7),T_base_marketing[[Indice ligne]:[Prestataire ]],2,0),"")</f>
        <v/>
      </c>
      <c r="R17" s="88"/>
      <c r="S17" s="89" t="str">
        <f>IF(SUMIFS(T_base_marketing[Prix],T_base_marketing[Année],$BD$17,T_base_marketing[[Prestataire ]],Q17)=0,"",SUMIFS(T_base_marketing[Prix],T_base_marketing[Année],$BD$17,T_base_marketing[[Prestataire ]],Q17))</f>
        <v/>
      </c>
      <c r="T17" s="89"/>
      <c r="BC17">
        <v>2018</v>
      </c>
      <c r="BD17">
        <f>E5</f>
        <v>2019</v>
      </c>
      <c r="BE17" t="s">
        <v>42</v>
      </c>
    </row>
    <row r="18" spans="2:63" ht="15.75" thickBot="1" x14ac:dyDescent="0.3">
      <c r="Q18" s="88" t="str">
        <f>IFERROR(VLOOKUP(ROW(L8),T_base_marketing[[Indice ligne]:[Prestataire ]],2,0),"")</f>
        <v/>
      </c>
      <c r="R18" s="88"/>
      <c r="S18" s="89" t="str">
        <f>IF(SUMIFS(T_base_marketing[Prix],T_base_marketing[Année],$BD$17,T_base_marketing[[Prestataire ]],Q18)=0,"",SUMIFS(T_base_marketing[Prix],T_base_marketing[Année],$BD$17,T_base_marketing[[Prestataire ]],Q18))</f>
        <v/>
      </c>
      <c r="T18" s="89"/>
      <c r="BC18">
        <v>2019</v>
      </c>
      <c r="BH18" s="41"/>
      <c r="BI18" s="41"/>
      <c r="BJ18" s="48" t="s">
        <v>95</v>
      </c>
      <c r="BK18" s="50" t="s">
        <v>90</v>
      </c>
    </row>
    <row r="19" spans="2:63" x14ac:dyDescent="0.25">
      <c r="Q19" s="88" t="str">
        <f>IFERROR(VLOOKUP(ROW(L9),T_base_marketing[[Indice ligne]:[Prestataire ]],2,0),"")</f>
        <v/>
      </c>
      <c r="R19" s="88"/>
      <c r="BC19">
        <v>2020</v>
      </c>
      <c r="BH19" s="76" t="s">
        <v>85</v>
      </c>
      <c r="BI19" s="77"/>
      <c r="BJ19" s="51">
        <f>SUMIFS(Liste_congrès[Prix en € HT],Liste_congrès[Année],Année_période,Liste_congrès[Participation],$BE$17)</f>
        <v>42480</v>
      </c>
      <c r="BK19" s="53">
        <f>SUMIF(Liste_congrès[Année],Année_période,Liste_congrès[HELPP (en €)])</f>
        <v>0</v>
      </c>
    </row>
    <row r="20" spans="2:63" x14ac:dyDescent="0.25">
      <c r="BC20">
        <v>2021</v>
      </c>
      <c r="BH20" s="78" t="s">
        <v>84</v>
      </c>
      <c r="BI20" s="79"/>
      <c r="BJ20" s="52">
        <f>SUMIF(T_base_marketing[Année],Année_période,T_base_marketing[Prix])</f>
        <v>6500</v>
      </c>
      <c r="BK20" s="54">
        <f>SUMIF(T_base_marketing[Année],Année_période,T_base_marketing[HELPP])</f>
        <v>0</v>
      </c>
    </row>
    <row r="21" spans="2:63" ht="15.75" thickBot="1" x14ac:dyDescent="0.3">
      <c r="BC21">
        <v>2022</v>
      </c>
      <c r="BH21" s="80" t="s">
        <v>64</v>
      </c>
      <c r="BI21" s="81"/>
      <c r="BJ21" s="55">
        <f>SUM(BJ19:BJ20)</f>
        <v>48980</v>
      </c>
      <c r="BK21" s="56">
        <f>SUM(BK19:BK20)</f>
        <v>0</v>
      </c>
    </row>
    <row r="22" spans="2:63" ht="15.75" thickBot="1" x14ac:dyDescent="0.3">
      <c r="BC22">
        <v>2023</v>
      </c>
      <c r="BH22" s="41"/>
      <c r="BI22" s="41"/>
      <c r="BJ22" s="58"/>
      <c r="BK22" s="58"/>
    </row>
    <row r="23" spans="2:63" ht="15.75" thickBot="1" x14ac:dyDescent="0.3">
      <c r="BH23" s="66" t="s">
        <v>87</v>
      </c>
      <c r="BI23" s="67"/>
      <c r="BJ23" s="68">
        <f>BJ21-BK21</f>
        <v>48980</v>
      </c>
      <c r="BK23" s="69"/>
    </row>
    <row r="25" spans="2:63" ht="15.75" thickBot="1" x14ac:dyDescent="0.3"/>
    <row r="26" spans="2:63" ht="15.75" thickBot="1" x14ac:dyDescent="0.3">
      <c r="BH26" s="73" t="s">
        <v>126</v>
      </c>
      <c r="BI26" s="74"/>
      <c r="BJ26" s="74"/>
      <c r="BK26" s="75"/>
    </row>
    <row r="27" spans="2:63" ht="15.75" thickBot="1" x14ac:dyDescent="0.3"/>
    <row r="28" spans="2:63" ht="15.75" thickBot="1" x14ac:dyDescent="0.3">
      <c r="BH28" s="41"/>
      <c r="BI28" s="41"/>
      <c r="BJ28" s="48" t="s">
        <v>95</v>
      </c>
      <c r="BK28" s="50" t="s">
        <v>90</v>
      </c>
    </row>
    <row r="29" spans="2:63" x14ac:dyDescent="0.25">
      <c r="BH29" s="76" t="s">
        <v>85</v>
      </c>
      <c r="BI29" s="77"/>
      <c r="BJ29" s="51">
        <f>SUMIFS(Liste_congrès[Prix en € HT],Liste_congrès[Année],période_à,Liste_congrès[Participation],$BE$17)</f>
        <v>4500</v>
      </c>
      <c r="BK29" s="53">
        <f>SUMIF(Liste_congrès[Année],période_à,Liste_congrès[HELPP (en €)])</f>
        <v>0</v>
      </c>
    </row>
    <row r="30" spans="2:63" ht="15.75" thickBot="1" x14ac:dyDescent="0.3">
      <c r="BH30" s="78" t="s">
        <v>84</v>
      </c>
      <c r="BI30" s="79"/>
      <c r="BJ30" s="52">
        <f>SUMIF(T_base_marketing[Année],période_à,T_base_marketing[Prix])</f>
        <v>0</v>
      </c>
      <c r="BK30" s="54">
        <f>SUMIF(T_base_marketing[Année],période_à,T_base_marketing[HELPP])</f>
        <v>0</v>
      </c>
    </row>
    <row r="31" spans="2:63" ht="62.25" customHeight="1" thickBot="1" x14ac:dyDescent="0.3">
      <c r="B31" s="70" t="str">
        <f>CONCATENATE("Synthèse comparative du budget pour la période de "&amp;D33&amp;" à "&amp;G33)</f>
        <v>Synthèse comparative du budget pour la période de 2018 à 2020</v>
      </c>
      <c r="C31" s="71"/>
      <c r="D31" s="71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2"/>
      <c r="BH31" s="80" t="s">
        <v>64</v>
      </c>
      <c r="BI31" s="81"/>
      <c r="BJ31" s="55">
        <f>SUM(BJ29:BJ30)</f>
        <v>4500</v>
      </c>
      <c r="BK31" s="56">
        <f>SUM(BK29:BK30)</f>
        <v>0</v>
      </c>
    </row>
    <row r="32" spans="2:63" ht="15.75" thickBot="1" x14ac:dyDescent="0.3">
      <c r="BH32" s="41"/>
      <c r="BI32" s="41"/>
      <c r="BJ32" s="58"/>
      <c r="BK32" s="58"/>
    </row>
    <row r="33" spans="3:63" ht="15.75" thickBot="1" x14ac:dyDescent="0.3">
      <c r="C33" s="62" t="s">
        <v>123</v>
      </c>
      <c r="D33" s="63">
        <f>INDEX(T_années_mark[Années],E33,1)</f>
        <v>2018</v>
      </c>
      <c r="E33" s="64">
        <v>1</v>
      </c>
      <c r="F33" s="65" t="s">
        <v>124</v>
      </c>
      <c r="G33" s="63">
        <f>INDEX(T_années_mark[Années],H33,1)</f>
        <v>2020</v>
      </c>
      <c r="H33" s="64">
        <v>3</v>
      </c>
      <c r="BH33" s="66" t="s">
        <v>87</v>
      </c>
      <c r="BI33" s="67"/>
      <c r="BJ33" s="68">
        <f>BJ31-BK31</f>
        <v>4500</v>
      </c>
      <c r="BK33" s="69"/>
    </row>
    <row r="40" spans="3:63" x14ac:dyDescent="0.25">
      <c r="H40" s="44"/>
    </row>
  </sheetData>
  <mergeCells count="69">
    <mergeCell ref="Q19:R19"/>
    <mergeCell ref="B10:C10"/>
    <mergeCell ref="D10:E10"/>
    <mergeCell ref="B11:C11"/>
    <mergeCell ref="B12:C12"/>
    <mergeCell ref="B13:C13"/>
    <mergeCell ref="D11:E11"/>
    <mergeCell ref="D12:E12"/>
    <mergeCell ref="D13:E13"/>
    <mergeCell ref="Q15:R15"/>
    <mergeCell ref="S15:T15"/>
    <mergeCell ref="Q16:R16"/>
    <mergeCell ref="Q17:R17"/>
    <mergeCell ref="Q18:R18"/>
    <mergeCell ref="S16:T16"/>
    <mergeCell ref="S17:T17"/>
    <mergeCell ref="S18:T18"/>
    <mergeCell ref="C5:D6"/>
    <mergeCell ref="Q8:T8"/>
    <mergeCell ref="B3:T3"/>
    <mergeCell ref="S13:T13"/>
    <mergeCell ref="Q14:R14"/>
    <mergeCell ref="S14:T14"/>
    <mergeCell ref="B8:E8"/>
    <mergeCell ref="G17:H17"/>
    <mergeCell ref="L11:M11"/>
    <mergeCell ref="L12:M12"/>
    <mergeCell ref="L13:M13"/>
    <mergeCell ref="L15:M15"/>
    <mergeCell ref="G8:J8"/>
    <mergeCell ref="G10:H10"/>
    <mergeCell ref="I10:J10"/>
    <mergeCell ref="L8:O8"/>
    <mergeCell ref="N15:O15"/>
    <mergeCell ref="G14:H14"/>
    <mergeCell ref="I11:J11"/>
    <mergeCell ref="I12:J12"/>
    <mergeCell ref="I13:J13"/>
    <mergeCell ref="I14:J14"/>
    <mergeCell ref="N16:O16"/>
    <mergeCell ref="G15:H15"/>
    <mergeCell ref="G16:H16"/>
    <mergeCell ref="N17:O17"/>
    <mergeCell ref="I15:J15"/>
    <mergeCell ref="I16:J16"/>
    <mergeCell ref="I17:J17"/>
    <mergeCell ref="S10:T10"/>
    <mergeCell ref="G13:H13"/>
    <mergeCell ref="G12:H12"/>
    <mergeCell ref="G11:H11"/>
    <mergeCell ref="Q11:R11"/>
    <mergeCell ref="Q12:R12"/>
    <mergeCell ref="Q13:R13"/>
    <mergeCell ref="S11:T11"/>
    <mergeCell ref="S12:T12"/>
    <mergeCell ref="Q10:R10"/>
    <mergeCell ref="BH16:BK16"/>
    <mergeCell ref="BH19:BI19"/>
    <mergeCell ref="BH20:BI20"/>
    <mergeCell ref="BH21:BI21"/>
    <mergeCell ref="BH23:BI23"/>
    <mergeCell ref="BJ23:BK23"/>
    <mergeCell ref="BH33:BI33"/>
    <mergeCell ref="BJ33:BK33"/>
    <mergeCell ref="B31:T31"/>
    <mergeCell ref="BH26:BK26"/>
    <mergeCell ref="BH29:BI29"/>
    <mergeCell ref="BH30:BI30"/>
    <mergeCell ref="BH31:BI31"/>
  </mergeCells>
  <conditionalFormatting sqref="G11:H17">
    <cfRule type="expression" dxfId="2" priority="3">
      <formula>""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5" name="Drop Down 7">
              <controlPr defaultSize="0" autoLine="0" autoPict="0">
                <anchor moveWithCells="1">
                  <from>
                    <xdr:col>2</xdr:col>
                    <xdr:colOff>762000</xdr:colOff>
                    <xdr:row>31</xdr:row>
                    <xdr:rowOff>200025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6" name="Drop Down 8">
              <controlPr defaultSize="0" autoLine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8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138C7-61B0-44DD-82AA-B671F35479E0}">
  <sheetPr codeName="Feuil2"/>
  <dimension ref="B1:AV113"/>
  <sheetViews>
    <sheetView zoomScale="98" zoomScaleNormal="98" workbookViewId="0">
      <selection activeCell="P7" sqref="P7"/>
    </sheetView>
  </sheetViews>
  <sheetFormatPr baseColWidth="10" defaultRowHeight="15" x14ac:dyDescent="0.25"/>
  <cols>
    <col min="10" max="10" width="15.85546875" bestFit="1" customWidth="1"/>
    <col min="11" max="11" width="11.42578125" customWidth="1"/>
    <col min="12" max="12" width="24.42578125" bestFit="1" customWidth="1"/>
    <col min="13" max="13" width="14.85546875" bestFit="1" customWidth="1"/>
    <col min="14" max="14" width="16" bestFit="1" customWidth="1"/>
    <col min="15" max="15" width="13.7109375" bestFit="1" customWidth="1"/>
    <col min="16" max="16" width="19.42578125" bestFit="1" customWidth="1"/>
    <col min="17" max="17" width="14.85546875" bestFit="1" customWidth="1"/>
    <col min="18" max="18" width="19.5703125" bestFit="1" customWidth="1"/>
    <col min="19" max="19" width="15.85546875" bestFit="1" customWidth="1"/>
    <col min="20" max="20" width="14.5703125" bestFit="1" customWidth="1"/>
    <col min="21" max="21" width="13.5703125" bestFit="1" customWidth="1"/>
    <col min="22" max="22" width="14.28515625" bestFit="1" customWidth="1"/>
    <col min="23" max="23" width="13.5703125" bestFit="1" customWidth="1"/>
    <col min="24" max="24" width="14.7109375" bestFit="1" customWidth="1"/>
    <col min="25" max="25" width="19.42578125" bestFit="1" customWidth="1"/>
    <col min="26" max="26" width="13.7109375" bestFit="1" customWidth="1"/>
    <col min="27" max="27" width="7.7109375" bestFit="1" customWidth="1"/>
    <col min="40" max="40" width="13.85546875" bestFit="1" customWidth="1"/>
    <col min="46" max="46" width="21" style="38" bestFit="1" customWidth="1"/>
    <col min="47" max="47" width="26.7109375" bestFit="1" customWidth="1"/>
    <col min="48" max="48" width="21" bestFit="1" customWidth="1"/>
  </cols>
  <sheetData>
    <row r="1" spans="2:26" ht="42" customHeight="1" thickBot="1" x14ac:dyDescent="0.3"/>
    <row r="2" spans="2:26" ht="24" thickBot="1" x14ac:dyDescent="0.3">
      <c r="B2" s="109" t="s">
        <v>20</v>
      </c>
      <c r="C2" s="110"/>
      <c r="D2" s="110"/>
      <c r="E2" s="110"/>
      <c r="F2" s="110"/>
      <c r="G2" s="110"/>
      <c r="H2" s="110"/>
      <c r="I2" s="110"/>
      <c r="J2" s="111"/>
      <c r="K2" s="109" t="s">
        <v>52</v>
      </c>
      <c r="L2" s="112"/>
      <c r="M2" s="112"/>
      <c r="N2" s="112"/>
      <c r="O2" s="112"/>
      <c r="P2" s="113"/>
    </row>
    <row r="3" spans="2:26" x14ac:dyDescent="0.25">
      <c r="B3" s="25"/>
      <c r="C3" s="26"/>
      <c r="D3" s="26"/>
      <c r="E3" s="26"/>
      <c r="F3" s="26"/>
      <c r="G3" s="26"/>
      <c r="H3" s="26"/>
      <c r="I3" s="26"/>
      <c r="J3" s="12"/>
      <c r="K3" s="3"/>
      <c r="L3" s="3"/>
      <c r="M3" s="3"/>
      <c r="N3" s="3"/>
      <c r="O3" s="3"/>
      <c r="P3" s="3"/>
    </row>
    <row r="4" spans="2:26" x14ac:dyDescent="0.25">
      <c r="B4" s="27"/>
      <c r="C4" s="34" t="s">
        <v>21</v>
      </c>
      <c r="D4" s="3">
        <f>INDEX(T_année[Années],E4,1)</f>
        <v>2019</v>
      </c>
      <c r="E4" s="3">
        <v>2</v>
      </c>
      <c r="F4" s="3"/>
      <c r="G4" s="3"/>
      <c r="H4" s="3"/>
      <c r="I4" s="3"/>
      <c r="J4" s="28"/>
      <c r="K4" s="3"/>
      <c r="P4" s="3"/>
    </row>
    <row r="5" spans="2:26" x14ac:dyDescent="0.25">
      <c r="B5" s="27"/>
      <c r="C5" s="35" t="s">
        <v>22</v>
      </c>
      <c r="D5" s="3"/>
      <c r="E5" s="3">
        <v>1</v>
      </c>
      <c r="F5" s="3"/>
      <c r="G5" s="3"/>
      <c r="H5" s="3"/>
      <c r="I5" s="3"/>
      <c r="J5" s="28"/>
      <c r="K5" s="3"/>
      <c r="P5" s="3"/>
    </row>
    <row r="6" spans="2:26" x14ac:dyDescent="0.25">
      <c r="B6" s="27"/>
      <c r="C6" s="3"/>
      <c r="D6" s="3"/>
      <c r="E6" s="3"/>
      <c r="F6" s="3"/>
      <c r="G6" s="3"/>
      <c r="H6" s="3"/>
      <c r="I6" s="3"/>
      <c r="J6" s="28"/>
      <c r="K6" s="3"/>
      <c r="L6" t="s">
        <v>5</v>
      </c>
      <c r="M6" t="s">
        <v>2</v>
      </c>
      <c r="N6" t="s">
        <v>3</v>
      </c>
      <c r="O6" s="5" t="s">
        <v>40</v>
      </c>
      <c r="P6" s="30" t="s">
        <v>98</v>
      </c>
      <c r="Q6" s="5"/>
      <c r="S6" s="5"/>
      <c r="T6" s="5"/>
      <c r="X6" s="5"/>
      <c r="Z6" s="5"/>
    </row>
    <row r="7" spans="2:26" x14ac:dyDescent="0.25">
      <c r="B7" s="27"/>
      <c r="C7" s="22" t="str">
        <f>PROPER(TEXT(DATE($AG$29,$AI$29,$AJ29),"jjjj"))</f>
        <v>Mardi</v>
      </c>
      <c r="D7" s="23" t="str">
        <f>PROPER(TEXT(DATE($AG$29,$AI$29,$AJ30),"jjjj"))</f>
        <v>Mercredi</v>
      </c>
      <c r="E7" s="23" t="str">
        <f>PROPER(TEXT(DATE($AG$29,$AI$29,$AJ31),"jjjj"))</f>
        <v>Jeudi</v>
      </c>
      <c r="F7" s="23" t="str">
        <f>PROPER(TEXT(DATE($AG$29,$AI$29,$AJ32),"jjjj"))</f>
        <v>Vendredi</v>
      </c>
      <c r="G7" s="23" t="str">
        <f>PROPER(TEXT(DATE($AG$29,$AI$29,$AJ33),"jjjj"))</f>
        <v>Samedi</v>
      </c>
      <c r="H7" s="23" t="str">
        <f>PROPER(TEXT(DATE($AG$29,$AI$29,$AJ34),"jjjj"))</f>
        <v>Dimanche</v>
      </c>
      <c r="I7" s="24" t="str">
        <f>PROPER(TEXT(DATE($AG$29,$AI$29,$AJ35),"jjjj"))</f>
        <v>Lundi</v>
      </c>
      <c r="J7" s="28"/>
      <c r="K7" s="3"/>
      <c r="L7" s="5" t="s">
        <v>56</v>
      </c>
      <c r="M7" s="5" t="s">
        <v>132</v>
      </c>
      <c r="N7" s="5" t="s">
        <v>6</v>
      </c>
      <c r="O7" s="5" t="s">
        <v>96</v>
      </c>
      <c r="P7" s="5"/>
      <c r="Q7" s="5"/>
      <c r="S7" s="5"/>
      <c r="T7" s="5"/>
      <c r="X7" s="5"/>
      <c r="Z7" s="5"/>
    </row>
    <row r="8" spans="2:26" x14ac:dyDescent="0.25">
      <c r="B8" s="27"/>
      <c r="C8" s="16">
        <f>AK29</f>
        <v>43466</v>
      </c>
      <c r="D8" s="17">
        <f>C8+1</f>
        <v>43467</v>
      </c>
      <c r="E8" s="17">
        <f t="shared" ref="E8:I8" si="0">D8+1</f>
        <v>43468</v>
      </c>
      <c r="F8" s="17">
        <f t="shared" si="0"/>
        <v>43469</v>
      </c>
      <c r="G8" s="17">
        <f t="shared" si="0"/>
        <v>43470</v>
      </c>
      <c r="H8" s="17">
        <f t="shared" si="0"/>
        <v>43471</v>
      </c>
      <c r="I8" s="18">
        <f t="shared" si="0"/>
        <v>43472</v>
      </c>
      <c r="J8" s="28"/>
      <c r="K8" s="3"/>
      <c r="L8" s="5" t="s">
        <v>57</v>
      </c>
      <c r="M8" s="5" t="s">
        <v>7</v>
      </c>
      <c r="N8" s="5" t="s">
        <v>8</v>
      </c>
      <c r="O8" s="5" t="s">
        <v>46</v>
      </c>
      <c r="P8" s="5"/>
      <c r="Q8" s="5"/>
      <c r="S8" s="5"/>
      <c r="T8" s="5"/>
      <c r="X8" s="5"/>
      <c r="Z8" s="5"/>
    </row>
    <row r="9" spans="2:26" x14ac:dyDescent="0.25">
      <c r="B9" s="27"/>
      <c r="C9" s="16">
        <f>I8+1</f>
        <v>43473</v>
      </c>
      <c r="D9" s="17">
        <f>C9+1</f>
        <v>43474</v>
      </c>
      <c r="E9" s="17">
        <f t="shared" ref="E9:I9" si="1">D9+1</f>
        <v>43475</v>
      </c>
      <c r="F9" s="17">
        <f t="shared" si="1"/>
        <v>43476</v>
      </c>
      <c r="G9" s="17">
        <f t="shared" si="1"/>
        <v>43477</v>
      </c>
      <c r="H9" s="17">
        <f t="shared" si="1"/>
        <v>43478</v>
      </c>
      <c r="I9" s="18">
        <f t="shared" si="1"/>
        <v>43479</v>
      </c>
      <c r="J9" s="28"/>
      <c r="K9" s="29"/>
      <c r="L9" s="5" t="s">
        <v>58</v>
      </c>
      <c r="M9" s="5" t="s">
        <v>9</v>
      </c>
      <c r="N9" s="5" t="s">
        <v>10</v>
      </c>
      <c r="O9" s="5" t="s">
        <v>47</v>
      </c>
      <c r="P9" s="5"/>
      <c r="Q9" s="5"/>
      <c r="S9" s="5"/>
      <c r="T9" s="5"/>
      <c r="X9" s="5"/>
      <c r="Z9" s="5"/>
    </row>
    <row r="10" spans="2:26" x14ac:dyDescent="0.25">
      <c r="B10" s="27"/>
      <c r="C10" s="16">
        <f>I9+1</f>
        <v>43480</v>
      </c>
      <c r="D10" s="17">
        <f>C10+1</f>
        <v>43481</v>
      </c>
      <c r="E10" s="17">
        <f t="shared" ref="E10:I10" si="2">D10+1</f>
        <v>43482</v>
      </c>
      <c r="F10" s="17">
        <f t="shared" si="2"/>
        <v>43483</v>
      </c>
      <c r="G10" s="17">
        <f t="shared" si="2"/>
        <v>43484</v>
      </c>
      <c r="H10" s="17">
        <f t="shared" si="2"/>
        <v>43485</v>
      </c>
      <c r="I10" s="18">
        <f t="shared" si="2"/>
        <v>43486</v>
      </c>
      <c r="J10" s="28"/>
      <c r="K10" s="29"/>
      <c r="O10" s="5"/>
      <c r="P10" s="30"/>
      <c r="Q10" s="5"/>
      <c r="S10" s="5"/>
      <c r="T10" s="5"/>
      <c r="X10" s="5"/>
      <c r="Z10" s="5"/>
    </row>
    <row r="11" spans="2:26" x14ac:dyDescent="0.25">
      <c r="B11" s="27"/>
      <c r="C11" s="16">
        <f>I10+1</f>
        <v>43487</v>
      </c>
      <c r="D11" s="17">
        <f>C11+1</f>
        <v>43488</v>
      </c>
      <c r="E11" s="17">
        <f t="shared" ref="E11:I12" si="3">D11+1</f>
        <v>43489</v>
      </c>
      <c r="F11" s="17">
        <f t="shared" si="3"/>
        <v>43490</v>
      </c>
      <c r="G11" s="17">
        <f t="shared" si="3"/>
        <v>43491</v>
      </c>
      <c r="H11" s="17">
        <f t="shared" si="3"/>
        <v>43492</v>
      </c>
      <c r="I11" s="18">
        <f t="shared" si="3"/>
        <v>43493</v>
      </c>
      <c r="J11" s="28"/>
      <c r="K11" s="29"/>
      <c r="O11" s="5"/>
      <c r="P11" s="30"/>
      <c r="Q11" s="5"/>
      <c r="S11" s="5"/>
      <c r="T11" s="5"/>
      <c r="X11" s="5"/>
      <c r="Z11" s="5"/>
    </row>
    <row r="12" spans="2:26" x14ac:dyDescent="0.25">
      <c r="B12" s="27"/>
      <c r="C12" s="19">
        <f>I11+1</f>
        <v>43494</v>
      </c>
      <c r="D12" s="20">
        <f>C12+1</f>
        <v>43495</v>
      </c>
      <c r="E12" s="20">
        <f t="shared" si="3"/>
        <v>43496</v>
      </c>
      <c r="F12" s="20">
        <f t="shared" si="3"/>
        <v>43497</v>
      </c>
      <c r="G12" s="20">
        <f t="shared" si="3"/>
        <v>43498</v>
      </c>
      <c r="H12" s="20">
        <f t="shared" si="3"/>
        <v>43499</v>
      </c>
      <c r="I12" s="21">
        <f t="shared" si="3"/>
        <v>43500</v>
      </c>
      <c r="J12" s="28"/>
      <c r="K12" s="29"/>
      <c r="O12" s="5"/>
      <c r="P12" s="30"/>
      <c r="Q12" s="5"/>
      <c r="S12" s="5"/>
      <c r="T12" s="5"/>
      <c r="X12" s="5"/>
      <c r="Z12" s="5"/>
    </row>
    <row r="13" spans="2:26" x14ac:dyDescent="0.25">
      <c r="B13" s="27"/>
      <c r="C13" s="3"/>
      <c r="D13" s="3"/>
      <c r="E13" s="3"/>
      <c r="F13" s="3"/>
      <c r="G13" s="3"/>
      <c r="H13" s="3"/>
      <c r="I13" s="3"/>
      <c r="J13" s="28"/>
      <c r="K13" s="29"/>
      <c r="O13" s="5"/>
      <c r="P13" s="30"/>
      <c r="Q13" s="5"/>
      <c r="S13" s="5"/>
      <c r="T13" s="5"/>
      <c r="X13" s="5"/>
      <c r="Z13" s="5"/>
    </row>
    <row r="14" spans="2:26" x14ac:dyDescent="0.25">
      <c r="B14" s="27"/>
      <c r="C14" s="3"/>
      <c r="D14" s="3"/>
      <c r="E14" s="3"/>
      <c r="F14" s="3"/>
      <c r="G14" s="3"/>
      <c r="H14" s="3"/>
      <c r="I14" s="3"/>
      <c r="J14" s="28"/>
      <c r="K14" s="29"/>
      <c r="O14" s="5"/>
      <c r="P14" s="30"/>
      <c r="Q14" s="5"/>
      <c r="S14" s="5"/>
      <c r="T14" s="5"/>
      <c r="X14" s="5"/>
      <c r="Z14" s="5"/>
    </row>
    <row r="15" spans="2:26" ht="15.75" thickBot="1" x14ac:dyDescent="0.3">
      <c r="B15" s="32"/>
      <c r="C15" s="31"/>
      <c r="D15" s="31"/>
      <c r="E15" s="31"/>
      <c r="F15" s="31"/>
      <c r="G15" s="31"/>
      <c r="H15" s="31"/>
      <c r="I15" s="31"/>
      <c r="J15" s="33"/>
      <c r="K15" s="29"/>
      <c r="O15" s="5"/>
      <c r="P15" s="30"/>
      <c r="Q15" s="5"/>
      <c r="S15" s="5"/>
      <c r="T15" s="5"/>
      <c r="X15" s="5"/>
      <c r="Z15" s="5"/>
    </row>
    <row r="16" spans="2:26" x14ac:dyDescent="0.25">
      <c r="J16" s="1"/>
      <c r="K16" s="1"/>
      <c r="O16" s="5"/>
      <c r="P16" s="5"/>
      <c r="Q16" s="5"/>
      <c r="S16" s="5"/>
      <c r="T16" s="5"/>
      <c r="X16" s="5"/>
      <c r="Z16" s="5"/>
    </row>
    <row r="17" spans="15:43" x14ac:dyDescent="0.25">
      <c r="O17" s="5"/>
      <c r="P17" s="5"/>
      <c r="Q17" s="5"/>
      <c r="S17" s="5"/>
      <c r="T17" s="5"/>
      <c r="X17" s="5"/>
      <c r="Z17" s="5"/>
    </row>
    <row r="18" spans="15:43" x14ac:dyDescent="0.25">
      <c r="O18" s="5"/>
      <c r="P18" s="5"/>
      <c r="Q18" s="5"/>
      <c r="S18" s="5"/>
      <c r="T18" s="5"/>
      <c r="X18" s="5"/>
      <c r="Z18" s="5"/>
    </row>
    <row r="19" spans="15:43" x14ac:dyDescent="0.25">
      <c r="O19" s="5"/>
    </row>
    <row r="27" spans="15:43" ht="15.75" thickBot="1" x14ac:dyDescent="0.3"/>
    <row r="28" spans="15:43" ht="15.75" thickBot="1" x14ac:dyDescent="0.3">
      <c r="AF28" s="3" t="s">
        <v>35</v>
      </c>
      <c r="AG28" s="4" t="s">
        <v>36</v>
      </c>
      <c r="AH28" s="3" t="s">
        <v>22</v>
      </c>
      <c r="AI28" s="4" t="s">
        <v>37</v>
      </c>
      <c r="AJ28" s="2" t="s">
        <v>53</v>
      </c>
      <c r="AK28" s="2" t="s">
        <v>54</v>
      </c>
      <c r="AL28" s="12" t="s">
        <v>55</v>
      </c>
      <c r="AN28" s="41" t="s">
        <v>62</v>
      </c>
      <c r="AO28" s="41" t="s">
        <v>63</v>
      </c>
      <c r="AP28" s="41" t="s">
        <v>64</v>
      </c>
      <c r="AQ28" s="41" t="s">
        <v>65</v>
      </c>
    </row>
    <row r="29" spans="15:43" x14ac:dyDescent="0.25">
      <c r="AF29" s="3">
        <v>2018</v>
      </c>
      <c r="AG29">
        <f>ChoixAn</f>
        <v>2019</v>
      </c>
      <c r="AH29" s="3" t="s">
        <v>23</v>
      </c>
      <c r="AI29">
        <f>ChoixMois</f>
        <v>1</v>
      </c>
      <c r="AJ29" s="6">
        <v>1</v>
      </c>
      <c r="AK29" s="9">
        <f>DATE($AG$29,$AI$29,AJ29)</f>
        <v>43466</v>
      </c>
      <c r="AL29" s="13">
        <f>AK29</f>
        <v>43466</v>
      </c>
      <c r="AN29" s="41">
        <f>IFERROR(IF(VLOOKUP(AK29,Base_congrès!A:A,1,0)=Congrès!AK29,1,""),0)</f>
        <v>0</v>
      </c>
      <c r="AO29" s="41">
        <f>IFERROR(IF(VLOOKUP(AK29,Base_congrès!B:B,1,0)=Congrès!AK29,1,""),0)</f>
        <v>0</v>
      </c>
      <c r="AP29" s="41">
        <f>SUM(AN29,AO29)</f>
        <v>0</v>
      </c>
      <c r="AQ29" s="41">
        <f>IF(AN29=1,VLOOKUP(AK29,Liste_congrès[[Date de début]:[Durée du congrès]],3,0),0)</f>
        <v>0</v>
      </c>
    </row>
    <row r="30" spans="15:43" ht="15.75" thickBot="1" x14ac:dyDescent="0.3">
      <c r="AF30" s="3">
        <v>2019</v>
      </c>
      <c r="AH30" s="3" t="s">
        <v>24</v>
      </c>
      <c r="AJ30" s="7">
        <v>2</v>
      </c>
      <c r="AK30" s="10">
        <f>IFERROR(IF(AK29+1&gt;$AL$30,"-",AK29+1),"")</f>
        <v>43467</v>
      </c>
      <c r="AL30" s="14">
        <f>DATE($AG$29,$AI$29+1,AJ29)-1</f>
        <v>43496</v>
      </c>
      <c r="AN30" s="41">
        <f>IFERROR(IF(VLOOKUP(AK30,Base_congrès!A:A,1,0)=Congrès!AK30,1,""),0)</f>
        <v>0</v>
      </c>
      <c r="AO30" s="41">
        <f>IFERROR(IF(VLOOKUP(AK30,Base_congrès!B:B,1,0)=Congrès!AK30,1,""),0)</f>
        <v>0</v>
      </c>
      <c r="AP30" s="41">
        <f t="shared" ref="AP30:AP59" si="4">SUM(AN30,AO30)</f>
        <v>0</v>
      </c>
      <c r="AQ30" s="41">
        <f>IF(AN30=1,VLOOKUP(AK30,Liste_congrès[[Date de début]:[Durée du congrès]],3,0),0)</f>
        <v>0</v>
      </c>
    </row>
    <row r="31" spans="15:43" x14ac:dyDescent="0.25">
      <c r="AF31" s="3">
        <v>2020</v>
      </c>
      <c r="AH31" s="3" t="s">
        <v>25</v>
      </c>
      <c r="AJ31" s="7">
        <v>3</v>
      </c>
      <c r="AK31" s="10">
        <f t="shared" ref="AK31:AK59" si="5">IFERROR(IF(AK30+1&gt;$AL$30,"-",AK30+1),"")</f>
        <v>43468</v>
      </c>
      <c r="AN31" s="41">
        <f>IFERROR(IF(VLOOKUP(AK31,Base_congrès!A:A,1,0)=Congrès!AK31,1,""),0)</f>
        <v>0</v>
      </c>
      <c r="AO31" s="41">
        <f>IFERROR(IF(VLOOKUP(AK31,Base_congrès!B:B,1,0)=Congrès!AK31,1,""),0)</f>
        <v>0</v>
      </c>
      <c r="AP31" s="41">
        <f t="shared" si="4"/>
        <v>0</v>
      </c>
      <c r="AQ31" s="41">
        <f>IF(AN31=1,VLOOKUP(AK31,Liste_congrès[[Date de début]:[Durée du congrès]],3,0),0)</f>
        <v>0</v>
      </c>
    </row>
    <row r="32" spans="15:43" x14ac:dyDescent="0.25">
      <c r="AF32" s="3">
        <v>2021</v>
      </c>
      <c r="AH32" s="3" t="s">
        <v>26</v>
      </c>
      <c r="AJ32" s="7">
        <v>4</v>
      </c>
      <c r="AK32" s="10">
        <f t="shared" si="5"/>
        <v>43469</v>
      </c>
      <c r="AN32" s="41">
        <f>IFERROR(IF(VLOOKUP(AK32,Base_congrès!A:A,1,0)=Congrès!AK32,1,""),0)</f>
        <v>0</v>
      </c>
      <c r="AO32" s="41">
        <f>IFERROR(IF(VLOOKUP(AK32,Base_congrès!B:B,1,0)=Congrès!AK32,1,""),0)</f>
        <v>0</v>
      </c>
      <c r="AP32" s="41">
        <f t="shared" si="4"/>
        <v>0</v>
      </c>
      <c r="AQ32" s="41">
        <f>IF(AN32=1,VLOOKUP(AK32,Liste_congrès[[Date de début]:[Durée du congrès]],3,0),0)</f>
        <v>0</v>
      </c>
    </row>
    <row r="33" spans="32:43" x14ac:dyDescent="0.25">
      <c r="AF33" s="3">
        <v>2022</v>
      </c>
      <c r="AH33" s="3" t="s">
        <v>27</v>
      </c>
      <c r="AJ33" s="7">
        <v>5</v>
      </c>
      <c r="AK33" s="10">
        <f t="shared" si="5"/>
        <v>43470</v>
      </c>
      <c r="AN33" s="41">
        <f>IFERROR(IF(VLOOKUP(AK33,Base_congrès!A:A,1,0)=Congrès!AK33,1,""),0)</f>
        <v>0</v>
      </c>
      <c r="AO33" s="41">
        <f>IFERROR(IF(VLOOKUP(AK33,Base_congrès!B:B,1,0)=Congrès!AK33,1,""),0)</f>
        <v>0</v>
      </c>
      <c r="AP33" s="41">
        <f t="shared" si="4"/>
        <v>0</v>
      </c>
      <c r="AQ33" s="41">
        <f>IF(AN33=1,VLOOKUP(AK33,Liste_congrès[[Date de début]:[Durée du congrès]],3,0),0)</f>
        <v>0</v>
      </c>
    </row>
    <row r="34" spans="32:43" x14ac:dyDescent="0.25">
      <c r="AF34" s="3">
        <v>2023</v>
      </c>
      <c r="AH34" s="3" t="s">
        <v>28</v>
      </c>
      <c r="AJ34" s="7">
        <v>6</v>
      </c>
      <c r="AK34" s="10">
        <f t="shared" si="5"/>
        <v>43471</v>
      </c>
      <c r="AN34" s="41">
        <f>IFERROR(IF(VLOOKUP(AK34,Base_congrès!A:A,1,0)=Congrès!AK34,1,""),0)</f>
        <v>0</v>
      </c>
      <c r="AO34" s="41">
        <f>IFERROR(IF(VLOOKUP(AK34,Base_congrès!B:B,1,0)=Congrès!AK34,1,""),0)</f>
        <v>0</v>
      </c>
      <c r="AP34" s="41">
        <f t="shared" si="4"/>
        <v>0</v>
      </c>
      <c r="AQ34" s="41">
        <f>IF(AN34=1,VLOOKUP(AK34,Liste_congrès[[Date de début]:[Durée du congrès]],3,0),0)</f>
        <v>0</v>
      </c>
    </row>
    <row r="35" spans="32:43" x14ac:dyDescent="0.25">
      <c r="AH35" s="3" t="s">
        <v>29</v>
      </c>
      <c r="AJ35" s="7">
        <v>7</v>
      </c>
      <c r="AK35" s="10">
        <f t="shared" si="5"/>
        <v>43472</v>
      </c>
      <c r="AN35" s="41">
        <f>IFERROR(IF(VLOOKUP(AK35,Base_congrès!A:A,1,0)=Congrès!AK35,1,""),0)</f>
        <v>0</v>
      </c>
      <c r="AO35" s="41">
        <f>IFERROR(IF(VLOOKUP(AK35,Base_congrès!B:B,1,0)=Congrès!AK35,1,""),0)</f>
        <v>0</v>
      </c>
      <c r="AP35" s="41">
        <f t="shared" si="4"/>
        <v>0</v>
      </c>
      <c r="AQ35" s="41">
        <f>IF(AN35=1,VLOOKUP(AK35,Liste_congrès[[Date de début]:[Durée du congrès]],3,0),0)</f>
        <v>0</v>
      </c>
    </row>
    <row r="36" spans="32:43" x14ac:dyDescent="0.25">
      <c r="AH36" s="3" t="s">
        <v>30</v>
      </c>
      <c r="AJ36" s="7">
        <v>8</v>
      </c>
      <c r="AK36" s="10">
        <f t="shared" si="5"/>
        <v>43473</v>
      </c>
      <c r="AN36" s="41">
        <f>IFERROR(IF(VLOOKUP(AK36,Base_congrès!A:A,1,0)=Congrès!AK36,1,""),0)</f>
        <v>0</v>
      </c>
      <c r="AO36" s="41">
        <f>IFERROR(IF(VLOOKUP(AK36,Base_congrès!B:B,1,0)=Congrès!AK36,1,""),0)</f>
        <v>0</v>
      </c>
      <c r="AP36" s="41">
        <f t="shared" si="4"/>
        <v>0</v>
      </c>
      <c r="AQ36" s="41">
        <f>IF(AN36=1,VLOOKUP(AK36,Liste_congrès[[Date de début]:[Durée du congrès]],3,0),0)</f>
        <v>0</v>
      </c>
    </row>
    <row r="37" spans="32:43" x14ac:dyDescent="0.25">
      <c r="AH37" s="3" t="s">
        <v>31</v>
      </c>
      <c r="AJ37" s="7">
        <v>9</v>
      </c>
      <c r="AK37" s="10">
        <f t="shared" si="5"/>
        <v>43474</v>
      </c>
      <c r="AN37" s="41">
        <f>IFERROR(IF(VLOOKUP(AK37,Base_congrès!A:A,1,0)=Congrès!AK37,1,""),0)</f>
        <v>0</v>
      </c>
      <c r="AO37" s="41">
        <f>IFERROR(IF(VLOOKUP(AK37,Base_congrès!B:B,1,0)=Congrès!AK37,1,""),0)</f>
        <v>0</v>
      </c>
      <c r="AP37" s="41">
        <f t="shared" si="4"/>
        <v>0</v>
      </c>
      <c r="AQ37" s="41">
        <f>IF(AN37=1,VLOOKUP(AK37,Liste_congrès[[Date de début]:[Durée du congrès]],3,0),0)</f>
        <v>0</v>
      </c>
    </row>
    <row r="38" spans="32:43" x14ac:dyDescent="0.25">
      <c r="AH38" s="3" t="s">
        <v>32</v>
      </c>
      <c r="AJ38" s="7">
        <v>10</v>
      </c>
      <c r="AK38" s="10">
        <f t="shared" si="5"/>
        <v>43475</v>
      </c>
      <c r="AN38" s="41">
        <f>IFERROR(IF(VLOOKUP(AK38,Base_congrès!A:A,1,0)=Congrès!AK38,1,""),0)</f>
        <v>0</v>
      </c>
      <c r="AO38" s="41">
        <f>IFERROR(IF(VLOOKUP(AK38,Base_congrès!B:B,1,0)=Congrès!AK38,1,""),0)</f>
        <v>0</v>
      </c>
      <c r="AP38" s="41">
        <f t="shared" si="4"/>
        <v>0</v>
      </c>
      <c r="AQ38" s="41">
        <f>IF(AN38=1,VLOOKUP(AK38,Liste_congrès[[Date de début]:[Durée du congrès]],3,0),0)</f>
        <v>0</v>
      </c>
    </row>
    <row r="39" spans="32:43" x14ac:dyDescent="0.25">
      <c r="AH39" s="3" t="s">
        <v>33</v>
      </c>
      <c r="AJ39" s="7">
        <v>11</v>
      </c>
      <c r="AK39" s="10">
        <f t="shared" si="5"/>
        <v>43476</v>
      </c>
      <c r="AN39" s="41">
        <f>IFERROR(IF(VLOOKUP(AK39,Base_congrès!A:A,1,0)=Congrès!AK39,1,""),0)</f>
        <v>0</v>
      </c>
      <c r="AO39" s="41">
        <f>IFERROR(IF(VLOOKUP(AK39,Base_congrès!B:B,1,0)=Congrès!AK39,1,""),0)</f>
        <v>1</v>
      </c>
      <c r="AP39" s="41">
        <f t="shared" si="4"/>
        <v>1</v>
      </c>
      <c r="AQ39" s="41">
        <f>IF(AN39=1,VLOOKUP(AK39,Liste_congrès[[Date de début]:[Durée du congrès]],3,0),0)</f>
        <v>0</v>
      </c>
    </row>
    <row r="40" spans="32:43" x14ac:dyDescent="0.25">
      <c r="AH40" s="3" t="s">
        <v>34</v>
      </c>
      <c r="AJ40" s="7">
        <v>12</v>
      </c>
      <c r="AK40" s="10">
        <f t="shared" si="5"/>
        <v>43477</v>
      </c>
      <c r="AN40" s="41">
        <f>IFERROR(IF(VLOOKUP(AK40,Base_congrès!A:A,1,0)=Congrès!AK40,1,""),0)</f>
        <v>0</v>
      </c>
      <c r="AO40" s="41">
        <f>IFERROR(IF(VLOOKUP(AK40,Base_congrès!B:B,1,0)=Congrès!AK40,1,""),0)</f>
        <v>0</v>
      </c>
      <c r="AP40" s="41">
        <f t="shared" si="4"/>
        <v>0</v>
      </c>
      <c r="AQ40" s="41">
        <f>IF(AN40=1,VLOOKUP(AK40,Liste_congrès[[Date de début]:[Durée du congrès]],3,0),0)</f>
        <v>0</v>
      </c>
    </row>
    <row r="41" spans="32:43" x14ac:dyDescent="0.25">
      <c r="AJ41" s="7">
        <v>13</v>
      </c>
      <c r="AK41" s="10">
        <f t="shared" si="5"/>
        <v>43478</v>
      </c>
      <c r="AN41" s="41">
        <f>IFERROR(IF(VLOOKUP(AK41,Base_congrès!A:A,1,0)=Congrès!AK41,1,""),0)</f>
        <v>0</v>
      </c>
      <c r="AO41" s="41">
        <f>IFERROR(IF(VLOOKUP(AK41,Base_congrès!B:B,1,0)=Congrès!AK41,1,""),0)</f>
        <v>0</v>
      </c>
      <c r="AP41" s="41">
        <f t="shared" si="4"/>
        <v>0</v>
      </c>
      <c r="AQ41" s="41">
        <f>IF(AN41=1,VLOOKUP(AK41,Liste_congrès[[Date de début]:[Durée du congrès]],3,0),0)</f>
        <v>0</v>
      </c>
    </row>
    <row r="42" spans="32:43" x14ac:dyDescent="0.25">
      <c r="AJ42" s="7">
        <v>14</v>
      </c>
      <c r="AK42" s="10">
        <f t="shared" si="5"/>
        <v>43479</v>
      </c>
      <c r="AN42" s="41">
        <f>IFERROR(IF(VLOOKUP(AK42,Base_congrès!A:A,1,0)=Congrès!AK42,1,""),0)</f>
        <v>0</v>
      </c>
      <c r="AO42" s="41">
        <f>IFERROR(IF(VLOOKUP(AK42,Base_congrès!B:B,1,0)=Congrès!AK42,1,""),0)</f>
        <v>0</v>
      </c>
      <c r="AP42" s="41">
        <f t="shared" si="4"/>
        <v>0</v>
      </c>
      <c r="AQ42" s="41">
        <f>IF(AN42=1,VLOOKUP(AK42,Liste_congrès[[Date de début]:[Durée du congrès]],3,0),0)</f>
        <v>0</v>
      </c>
    </row>
    <row r="43" spans="32:43" x14ac:dyDescent="0.25">
      <c r="AJ43" s="7">
        <v>15</v>
      </c>
      <c r="AK43" s="10">
        <f t="shared" si="5"/>
        <v>43480</v>
      </c>
      <c r="AN43" s="41">
        <f>IFERROR(IF(VLOOKUP(AK43,Base_congrès!A:A,1,0)=Congrès!AK43,1,""),0)</f>
        <v>0</v>
      </c>
      <c r="AO43" s="41">
        <f>IFERROR(IF(VLOOKUP(AK43,Base_congrès!B:B,1,0)=Congrès!AK43,1,""),0)</f>
        <v>0</v>
      </c>
      <c r="AP43" s="41">
        <f t="shared" si="4"/>
        <v>0</v>
      </c>
      <c r="AQ43" s="41">
        <f>IF(AN43=1,VLOOKUP(AK43,Liste_congrès[[Date de début]:[Durée du congrès]],3,0),0)</f>
        <v>0</v>
      </c>
    </row>
    <row r="44" spans="32:43" x14ac:dyDescent="0.25">
      <c r="AJ44" s="7">
        <v>16</v>
      </c>
      <c r="AK44" s="10">
        <f t="shared" si="5"/>
        <v>43481</v>
      </c>
      <c r="AN44" s="41">
        <f>IFERROR(IF(VLOOKUP(AK44,Base_congrès!A:A,1,0)=Congrès!AK44,1,""),0)</f>
        <v>0</v>
      </c>
      <c r="AO44" s="41">
        <f>IFERROR(IF(VLOOKUP(AK44,Base_congrès!B:B,1,0)=Congrès!AK44,1,""),0)</f>
        <v>0</v>
      </c>
      <c r="AP44" s="41">
        <f t="shared" si="4"/>
        <v>0</v>
      </c>
      <c r="AQ44" s="41">
        <f>IF(AN44=1,VLOOKUP(AK44,Liste_congrès[[Date de début]:[Durée du congrès]],3,0),0)</f>
        <v>0</v>
      </c>
    </row>
    <row r="45" spans="32:43" x14ac:dyDescent="0.25">
      <c r="AJ45" s="7">
        <v>17</v>
      </c>
      <c r="AK45" s="10">
        <f t="shared" si="5"/>
        <v>43482</v>
      </c>
      <c r="AN45" s="41">
        <f>IFERROR(IF(VLOOKUP(AK45,Base_congrès!A:A,1,0)=Congrès!AK45,1,""),0)</f>
        <v>0</v>
      </c>
      <c r="AO45" s="41">
        <f>IFERROR(IF(VLOOKUP(AK45,Base_congrès!B:B,1,0)=Congrès!AK45,1,""),0)</f>
        <v>0</v>
      </c>
      <c r="AP45" s="41">
        <f t="shared" si="4"/>
        <v>0</v>
      </c>
      <c r="AQ45" s="41">
        <f>IF(AN45=1,VLOOKUP(AK45,Liste_congrès[[Date de début]:[Durée du congrès]],3,0),0)</f>
        <v>0</v>
      </c>
    </row>
    <row r="46" spans="32:43" x14ac:dyDescent="0.25">
      <c r="AJ46" s="7">
        <v>18</v>
      </c>
      <c r="AK46" s="10">
        <f t="shared" si="5"/>
        <v>43483</v>
      </c>
      <c r="AN46" s="41">
        <f>IFERROR(IF(VLOOKUP(AK46,Base_congrès!A:A,1,0)=Congrès!AK46,1,""),0)</f>
        <v>0</v>
      </c>
      <c r="AO46" s="41">
        <f>IFERROR(IF(VLOOKUP(AK46,Base_congrès!B:B,1,0)=Congrès!AK46,1,""),0)</f>
        <v>1</v>
      </c>
      <c r="AP46" s="41">
        <f t="shared" si="4"/>
        <v>1</v>
      </c>
      <c r="AQ46" s="41">
        <f>IF(AN46=1,VLOOKUP(AK46,Liste_congrès[[Date de début]:[Durée du congrès]],3,0),0)</f>
        <v>0</v>
      </c>
    </row>
    <row r="47" spans="32:43" x14ac:dyDescent="0.25">
      <c r="AJ47" s="7">
        <v>19</v>
      </c>
      <c r="AK47" s="10">
        <f t="shared" si="5"/>
        <v>43484</v>
      </c>
      <c r="AN47" s="41">
        <f>IFERROR(IF(VLOOKUP(AK47,Base_congrès!A:A,1,0)=Congrès!AK47,1,""),0)</f>
        <v>0</v>
      </c>
      <c r="AO47" s="41">
        <f>IFERROR(IF(VLOOKUP(AK47,Base_congrès!B:B,1,0)=Congrès!AK47,1,""),0)</f>
        <v>1</v>
      </c>
      <c r="AP47" s="41">
        <f t="shared" si="4"/>
        <v>1</v>
      </c>
      <c r="AQ47" s="41">
        <f>IF(AN47=1,VLOOKUP(AK47,Liste_congrès[[Date de début]:[Durée du congrès]],3,0),0)</f>
        <v>0</v>
      </c>
    </row>
    <row r="48" spans="32:43" x14ac:dyDescent="0.25">
      <c r="AJ48" s="7">
        <v>20</v>
      </c>
      <c r="AK48" s="10">
        <f t="shared" si="5"/>
        <v>43485</v>
      </c>
      <c r="AN48" s="41">
        <f>IFERROR(IF(VLOOKUP(AK48,Base_congrès!A:A,1,0)=Congrès!AK48,1,""),0)</f>
        <v>0</v>
      </c>
      <c r="AO48" s="41">
        <f>IFERROR(IF(VLOOKUP(AK48,Base_congrès!B:B,1,0)=Congrès!AK48,1,""),0)</f>
        <v>0</v>
      </c>
      <c r="AP48" s="41">
        <f t="shared" si="4"/>
        <v>0</v>
      </c>
      <c r="AQ48" s="41">
        <f>IF(AN48=1,VLOOKUP(AK48,Liste_congrès[[Date de début]:[Durée du congrès]],3,0),0)</f>
        <v>0</v>
      </c>
    </row>
    <row r="49" spans="36:43" x14ac:dyDescent="0.25">
      <c r="AJ49" s="7">
        <v>21</v>
      </c>
      <c r="AK49" s="10">
        <f t="shared" si="5"/>
        <v>43486</v>
      </c>
      <c r="AN49" s="41">
        <f>IFERROR(IF(VLOOKUP(AK49,Base_congrès!A:A,1,0)=Congrès!AK49,1,""),0)</f>
        <v>0</v>
      </c>
      <c r="AO49" s="41">
        <f>IFERROR(IF(VLOOKUP(AK49,Base_congrès!B:B,1,0)=Congrès!AK49,1,""),0)</f>
        <v>0</v>
      </c>
      <c r="AP49" s="41">
        <f t="shared" si="4"/>
        <v>0</v>
      </c>
      <c r="AQ49" s="41">
        <f>IF(AN49=1,VLOOKUP(AK49,Liste_congrès[[Date de début]:[Durée du congrès]],3,0),0)</f>
        <v>0</v>
      </c>
    </row>
    <row r="50" spans="36:43" x14ac:dyDescent="0.25">
      <c r="AJ50" s="7">
        <v>22</v>
      </c>
      <c r="AK50" s="10">
        <f t="shared" si="5"/>
        <v>43487</v>
      </c>
      <c r="AN50" s="41">
        <f>IFERROR(IF(VLOOKUP(AK50,Base_congrès!A:A,1,0)=Congrès!AK50,1,""),0)</f>
        <v>0</v>
      </c>
      <c r="AO50" s="41">
        <f>IFERROR(IF(VLOOKUP(AK50,Base_congrès!B:B,1,0)=Congrès!AK50,1,""),0)</f>
        <v>0</v>
      </c>
      <c r="AP50" s="41">
        <f t="shared" si="4"/>
        <v>0</v>
      </c>
      <c r="AQ50" s="41">
        <f>IF(AN50=1,VLOOKUP(AK50,Liste_congrès[[Date de début]:[Durée du congrès]],3,0),0)</f>
        <v>0</v>
      </c>
    </row>
    <row r="51" spans="36:43" x14ac:dyDescent="0.25">
      <c r="AJ51" s="7">
        <v>23</v>
      </c>
      <c r="AK51" s="10">
        <f t="shared" si="5"/>
        <v>43488</v>
      </c>
      <c r="AN51" s="41">
        <f>IFERROR(IF(VLOOKUP(AK51,Base_congrès!A:A,1,0)=Congrès!AK51,1,""),0)</f>
        <v>0</v>
      </c>
      <c r="AO51" s="41">
        <f>IFERROR(IF(VLOOKUP(AK51,Base_congrès!B:B,1,0)=Congrès!AK51,1,""),0)</f>
        <v>0</v>
      </c>
      <c r="AP51" s="41">
        <f t="shared" si="4"/>
        <v>0</v>
      </c>
      <c r="AQ51" s="41">
        <f>IF(AN51=1,VLOOKUP(AK51,Liste_congrès[[Date de début]:[Durée du congrès]],3,0),0)</f>
        <v>0</v>
      </c>
    </row>
    <row r="52" spans="36:43" x14ac:dyDescent="0.25">
      <c r="AJ52" s="7">
        <v>24</v>
      </c>
      <c r="AK52" s="10">
        <f t="shared" si="5"/>
        <v>43489</v>
      </c>
      <c r="AN52" s="41">
        <f>IFERROR(IF(VLOOKUP(AK52,Base_congrès!A:A,1,0)=Congrès!AK52,1,""),0)</f>
        <v>0</v>
      </c>
      <c r="AO52" s="41">
        <f>IFERROR(IF(VLOOKUP(AK52,Base_congrès!B:B,1,0)=Congrès!AK52,1,""),0)</f>
        <v>0</v>
      </c>
      <c r="AP52" s="41">
        <f t="shared" si="4"/>
        <v>0</v>
      </c>
      <c r="AQ52" s="41">
        <f>IF(AN52=1,VLOOKUP(AK52,Liste_congrès[[Date de début]:[Durée du congrès]],3,0),0)</f>
        <v>0</v>
      </c>
    </row>
    <row r="53" spans="36:43" x14ac:dyDescent="0.25">
      <c r="AJ53" s="7">
        <v>25</v>
      </c>
      <c r="AK53" s="10">
        <f t="shared" si="5"/>
        <v>43490</v>
      </c>
      <c r="AN53" s="41">
        <f>IFERROR(IF(VLOOKUP(AK53,Base_congrès!A:A,1,0)=Congrès!AK53,1,""),0)</f>
        <v>0</v>
      </c>
      <c r="AO53" s="41">
        <f>IFERROR(IF(VLOOKUP(AK53,Base_congrès!B:B,1,0)=Congrès!AK53,1,""),0)</f>
        <v>0</v>
      </c>
      <c r="AP53" s="41">
        <f t="shared" si="4"/>
        <v>0</v>
      </c>
      <c r="AQ53" s="41">
        <f>IF(AN53=1,VLOOKUP(AK53,Liste_congrès[[Date de début]:[Durée du congrès]],3,0),0)</f>
        <v>0</v>
      </c>
    </row>
    <row r="54" spans="36:43" x14ac:dyDescent="0.25">
      <c r="AJ54" s="7">
        <v>26</v>
      </c>
      <c r="AK54" s="10">
        <f t="shared" si="5"/>
        <v>43491</v>
      </c>
      <c r="AN54" s="41">
        <f>IFERROR(IF(VLOOKUP(AK54,Base_congrès!A:A,1,0)=Congrès!AK54,1,""),0)</f>
        <v>0</v>
      </c>
      <c r="AO54" s="41">
        <f>IFERROR(IF(VLOOKUP(AK54,Base_congrès!B:B,1,0)=Congrès!AK54,1,""),0)</f>
        <v>0</v>
      </c>
      <c r="AP54" s="41">
        <f t="shared" si="4"/>
        <v>0</v>
      </c>
      <c r="AQ54" s="41">
        <f>IF(AN54=1,VLOOKUP(AK54,Liste_congrès[[Date de début]:[Durée du congrès]],3,0),0)</f>
        <v>0</v>
      </c>
    </row>
    <row r="55" spans="36:43" x14ac:dyDescent="0.25">
      <c r="AJ55" s="7">
        <v>27</v>
      </c>
      <c r="AK55" s="10">
        <f t="shared" si="5"/>
        <v>43492</v>
      </c>
      <c r="AN55" s="41">
        <f>IFERROR(IF(VLOOKUP(AK55,Base_congrès!A:A,1,0)=Congrès!AK55,1,""),0)</f>
        <v>0</v>
      </c>
      <c r="AO55" s="41">
        <f>IFERROR(IF(VLOOKUP(AK55,Base_congrès!B:B,1,0)=Congrès!AK55,1,""),0)</f>
        <v>0</v>
      </c>
      <c r="AP55" s="41">
        <f t="shared" si="4"/>
        <v>0</v>
      </c>
      <c r="AQ55" s="41">
        <f>IF(AN55=1,VLOOKUP(AK55,Liste_congrès[[Date de début]:[Durée du congrès]],3,0),0)</f>
        <v>0</v>
      </c>
    </row>
    <row r="56" spans="36:43" x14ac:dyDescent="0.25">
      <c r="AJ56" s="7">
        <v>28</v>
      </c>
      <c r="AK56" s="10">
        <f t="shared" si="5"/>
        <v>43493</v>
      </c>
      <c r="AN56" s="41">
        <f>IFERROR(IF(VLOOKUP(AK56,Base_congrès!A:A,1,0)=Congrès!AK56,1,""),0)</f>
        <v>0</v>
      </c>
      <c r="AO56" s="41">
        <f>IFERROR(IF(VLOOKUP(AK56,Base_congrès!B:B,1,0)=Congrès!AK56,1,""),0)</f>
        <v>0</v>
      </c>
      <c r="AP56" s="41">
        <f t="shared" si="4"/>
        <v>0</v>
      </c>
      <c r="AQ56" s="41">
        <f>IF(AN56=1,VLOOKUP(AK56,Liste_congrès[[Date de début]:[Durée du congrès]],3,0),0)</f>
        <v>0</v>
      </c>
    </row>
    <row r="57" spans="36:43" x14ac:dyDescent="0.25">
      <c r="AJ57" s="7">
        <v>29</v>
      </c>
      <c r="AK57" s="10">
        <f t="shared" si="5"/>
        <v>43494</v>
      </c>
      <c r="AN57" s="41">
        <f>IFERROR(IF(VLOOKUP(AK57,Base_congrès!A:A,1,0)=Congrès!AK57,1,""),0)</f>
        <v>0</v>
      </c>
      <c r="AO57" s="41">
        <f>IFERROR(IF(VLOOKUP(AK57,Base_congrès!B:B,1,0)=Congrès!AK57,1,""),0)</f>
        <v>0</v>
      </c>
      <c r="AP57" s="41">
        <f t="shared" si="4"/>
        <v>0</v>
      </c>
      <c r="AQ57" s="41">
        <f>IF(AN57=1,VLOOKUP(AK57,Liste_congrès[[Date de début]:[Durée du congrès]],3,0),0)</f>
        <v>0</v>
      </c>
    </row>
    <row r="58" spans="36:43" x14ac:dyDescent="0.25">
      <c r="AJ58" s="7">
        <v>30</v>
      </c>
      <c r="AK58" s="10">
        <f t="shared" si="5"/>
        <v>43495</v>
      </c>
      <c r="AN58" s="41">
        <f>IFERROR(IF(VLOOKUP(AK58,Base_congrès!A:A,1,0)=Congrès!AK58,1,""),0)</f>
        <v>0</v>
      </c>
      <c r="AO58" s="41">
        <f>IFERROR(IF(VLOOKUP(AK58,Base_congrès!B:B,1,0)=Congrès!AK58,1,""),0)</f>
        <v>0</v>
      </c>
      <c r="AP58" s="41">
        <f t="shared" si="4"/>
        <v>0</v>
      </c>
      <c r="AQ58" s="41">
        <f>IF(AN58=1,VLOOKUP(AK58,Liste_congrès[[Date de début]:[Durée du congrès]],3,0),0)</f>
        <v>0</v>
      </c>
    </row>
    <row r="59" spans="36:43" ht="15.75" thickBot="1" x14ac:dyDescent="0.3">
      <c r="AJ59" s="8">
        <v>31</v>
      </c>
      <c r="AK59" s="11">
        <f t="shared" si="5"/>
        <v>43496</v>
      </c>
      <c r="AN59" s="41">
        <f>IFERROR(IF(VLOOKUP(AK59,Base_congrès!A:A,1,0)=Congrès!AK59,1,""),0)</f>
        <v>0</v>
      </c>
      <c r="AO59" s="41">
        <f>IFERROR(IF(VLOOKUP(AK59,Base_congrès!B:B,1,0)=Congrès!AK59,1,""),0)</f>
        <v>0</v>
      </c>
      <c r="AP59" s="41">
        <f t="shared" si="4"/>
        <v>0</v>
      </c>
      <c r="AQ59" s="41">
        <f>IF(AN59=1,VLOOKUP(AK59,Liste_congrès[[Date de début]:[Durée du congrès]],3,0),0)</f>
        <v>0</v>
      </c>
    </row>
    <row r="86" spans="46:48" x14ac:dyDescent="0.25">
      <c r="AT86" s="39" t="s">
        <v>59</v>
      </c>
      <c r="AU86" t="s">
        <v>61</v>
      </c>
      <c r="AV86" s="36" t="s">
        <v>59</v>
      </c>
    </row>
    <row r="87" spans="46:48" x14ac:dyDescent="0.25">
      <c r="AT87" s="37">
        <v>43119</v>
      </c>
      <c r="AU87" s="5">
        <v>1</v>
      </c>
      <c r="AV87" s="37">
        <v>43120</v>
      </c>
    </row>
    <row r="88" spans="46:48" x14ac:dyDescent="0.25">
      <c r="AT88" s="37">
        <v>43120</v>
      </c>
      <c r="AU88" s="5">
        <v>0</v>
      </c>
      <c r="AV88" s="37">
        <v>43126</v>
      </c>
    </row>
    <row r="89" spans="46:48" x14ac:dyDescent="0.25">
      <c r="AT89" s="37">
        <v>43125</v>
      </c>
      <c r="AU89" s="5">
        <v>1</v>
      </c>
      <c r="AV89" s="37">
        <v>43155</v>
      </c>
    </row>
    <row r="90" spans="46:48" x14ac:dyDescent="0.25">
      <c r="AT90" s="37">
        <v>43153</v>
      </c>
      <c r="AU90" s="5">
        <v>2</v>
      </c>
      <c r="AV90" s="37">
        <v>43176</v>
      </c>
    </row>
    <row r="91" spans="46:48" x14ac:dyDescent="0.25">
      <c r="AT91" s="37">
        <v>43176</v>
      </c>
      <c r="AU91" s="5">
        <v>0</v>
      </c>
      <c r="AV91" s="37">
        <v>43183</v>
      </c>
    </row>
    <row r="92" spans="46:48" x14ac:dyDescent="0.25">
      <c r="AT92" s="37">
        <v>43183</v>
      </c>
      <c r="AU92" s="5">
        <v>0</v>
      </c>
      <c r="AV92" s="37">
        <v>43189</v>
      </c>
    </row>
    <row r="93" spans="46:48" x14ac:dyDescent="0.25">
      <c r="AT93" s="37">
        <v>43189</v>
      </c>
      <c r="AU93" s="5">
        <v>0</v>
      </c>
      <c r="AV93" s="37">
        <v>43228</v>
      </c>
    </row>
    <row r="94" spans="46:48" x14ac:dyDescent="0.25">
      <c r="AT94" s="37">
        <v>43225</v>
      </c>
      <c r="AU94" s="5">
        <v>3</v>
      </c>
      <c r="AV94" s="37">
        <v>43260</v>
      </c>
    </row>
    <row r="95" spans="46:48" x14ac:dyDescent="0.25">
      <c r="AT95" s="37">
        <v>43260</v>
      </c>
      <c r="AU95" s="5">
        <v>0</v>
      </c>
      <c r="AV95" s="37">
        <v>43274</v>
      </c>
    </row>
    <row r="96" spans="46:48" x14ac:dyDescent="0.25">
      <c r="AT96" s="37">
        <v>43271</v>
      </c>
      <c r="AU96" s="5">
        <v>3</v>
      </c>
      <c r="AV96" s="37">
        <v>43280</v>
      </c>
    </row>
    <row r="97" spans="46:48" x14ac:dyDescent="0.25">
      <c r="AT97" s="37">
        <v>43273</v>
      </c>
      <c r="AU97" s="5">
        <v>2</v>
      </c>
      <c r="AV97" s="37">
        <v>43357</v>
      </c>
    </row>
    <row r="98" spans="46:48" x14ac:dyDescent="0.25">
      <c r="AT98" s="37">
        <v>43280</v>
      </c>
      <c r="AU98" s="5">
        <v>0</v>
      </c>
      <c r="AV98" s="37">
        <v>43379</v>
      </c>
    </row>
    <row r="99" spans="46:48" x14ac:dyDescent="0.25">
      <c r="AT99" s="37">
        <v>43357</v>
      </c>
      <c r="AU99" s="5">
        <v>0</v>
      </c>
      <c r="AV99" s="37">
        <v>43385</v>
      </c>
    </row>
    <row r="100" spans="46:48" x14ac:dyDescent="0.25">
      <c r="AT100" s="37">
        <v>43378</v>
      </c>
      <c r="AU100" s="5">
        <v>1</v>
      </c>
      <c r="AV100" s="37">
        <v>43414</v>
      </c>
    </row>
    <row r="101" spans="46:48" x14ac:dyDescent="0.25">
      <c r="AT101" s="37">
        <v>43385</v>
      </c>
      <c r="AU101" s="5">
        <v>0</v>
      </c>
      <c r="AV101" s="37">
        <v>43420</v>
      </c>
    </row>
    <row r="102" spans="46:48" x14ac:dyDescent="0.25">
      <c r="AT102" s="37">
        <v>43414</v>
      </c>
      <c r="AU102" s="5">
        <v>0</v>
      </c>
      <c r="AV102" s="37">
        <v>43477</v>
      </c>
    </row>
    <row r="103" spans="46:48" x14ac:dyDescent="0.25">
      <c r="AT103" s="37">
        <v>43420</v>
      </c>
      <c r="AU103" s="5">
        <v>0</v>
      </c>
      <c r="AV103" s="37">
        <v>43483</v>
      </c>
    </row>
    <row r="104" spans="46:48" x14ac:dyDescent="0.25">
      <c r="AT104" s="37">
        <v>43476</v>
      </c>
      <c r="AU104" s="5">
        <v>1</v>
      </c>
      <c r="AV104" s="37">
        <v>43484</v>
      </c>
    </row>
    <row r="105" spans="46:48" x14ac:dyDescent="0.25">
      <c r="AT105" s="37">
        <v>43483</v>
      </c>
      <c r="AU105" s="5">
        <v>0</v>
      </c>
      <c r="AV105" s="37">
        <v>43505</v>
      </c>
    </row>
    <row r="106" spans="46:48" x14ac:dyDescent="0.25">
      <c r="AT106" s="37">
        <v>43484</v>
      </c>
      <c r="AU106" s="5">
        <v>0</v>
      </c>
      <c r="AV106" s="37">
        <v>43533</v>
      </c>
    </row>
    <row r="107" spans="46:48" x14ac:dyDescent="0.25">
      <c r="AT107" s="37">
        <v>43503</v>
      </c>
      <c r="AU107" s="5">
        <v>2</v>
      </c>
      <c r="AV107" s="37">
        <v>43539</v>
      </c>
    </row>
    <row r="108" spans="46:48" x14ac:dyDescent="0.25">
      <c r="AT108" s="37">
        <v>43531</v>
      </c>
      <c r="AU108" s="5">
        <v>2</v>
      </c>
      <c r="AV108" s="37">
        <v>43546</v>
      </c>
    </row>
    <row r="109" spans="46:48" x14ac:dyDescent="0.25">
      <c r="AT109" s="37">
        <v>43539</v>
      </c>
      <c r="AU109" s="5">
        <v>0</v>
      </c>
      <c r="AV109" s="37">
        <v>43553</v>
      </c>
    </row>
    <row r="110" spans="46:48" x14ac:dyDescent="0.25">
      <c r="AT110" s="37">
        <v>43546</v>
      </c>
      <c r="AU110" s="5">
        <v>0</v>
      </c>
      <c r="AV110" s="37">
        <v>43849</v>
      </c>
    </row>
    <row r="111" spans="46:48" x14ac:dyDescent="0.25">
      <c r="AT111" s="37">
        <v>43553</v>
      </c>
      <c r="AU111" s="5">
        <v>0</v>
      </c>
      <c r="AV111" s="37" t="s">
        <v>60</v>
      </c>
    </row>
    <row r="112" spans="46:48" x14ac:dyDescent="0.25">
      <c r="AT112" s="37">
        <v>43848</v>
      </c>
      <c r="AU112" s="5">
        <v>1</v>
      </c>
    </row>
    <row r="113" spans="46:47" x14ac:dyDescent="0.25">
      <c r="AT113" s="40" t="s">
        <v>60</v>
      </c>
      <c r="AU113" s="5">
        <v>19</v>
      </c>
    </row>
  </sheetData>
  <mergeCells count="2">
    <mergeCell ref="B2:J2"/>
    <mergeCell ref="K2:P2"/>
  </mergeCells>
  <phoneticPr fontId="3" type="noConversion"/>
  <conditionalFormatting sqref="I8:I12">
    <cfRule type="expression" dxfId="44" priority="44">
      <formula>OR(I8&lt;$AL$29,I8&gt;$AL$30)</formula>
    </cfRule>
    <cfRule type="expression" dxfId="43" priority="45">
      <formula>OR(H$7="Samedi",I$7="Dimanche")</formula>
    </cfRule>
    <cfRule type="expression" dxfId="42" priority="46">
      <formula>OR(I$7="Samedi",J$6="Dimanche")</formula>
    </cfRule>
  </conditionalFormatting>
  <conditionalFormatting sqref="C8:H12">
    <cfRule type="expression" dxfId="41" priority="47">
      <formula>OR(C8&lt;$AL$29,C8&gt;$AL$30)</formula>
    </cfRule>
    <cfRule type="expression" dxfId="40" priority="48">
      <formula>OR(B$6="Samedi",C$7="Dimanche")</formula>
    </cfRule>
    <cfRule type="expression" dxfId="39" priority="49">
      <formula>OR(C$7="Samedi",D$7="Dimanche")</formula>
    </cfRule>
  </conditionalFormatting>
  <conditionalFormatting sqref="C8">
    <cfRule type="expression" dxfId="38" priority="31">
      <formula>($AP29&gt;=1)</formula>
    </cfRule>
  </conditionalFormatting>
  <conditionalFormatting sqref="D8">
    <cfRule type="expression" dxfId="37" priority="30">
      <formula>($AP30&gt;=1)</formula>
    </cfRule>
  </conditionalFormatting>
  <conditionalFormatting sqref="E8">
    <cfRule type="expression" dxfId="36" priority="29">
      <formula>($AP31&gt;=1)</formula>
    </cfRule>
  </conditionalFormatting>
  <conditionalFormatting sqref="F8">
    <cfRule type="expression" dxfId="35" priority="28">
      <formula>($AP32&gt;=1)</formula>
    </cfRule>
  </conditionalFormatting>
  <conditionalFormatting sqref="G8">
    <cfRule type="expression" dxfId="34" priority="27">
      <formula>($AP33&gt;=1)</formula>
    </cfRule>
  </conditionalFormatting>
  <conditionalFormatting sqref="H8">
    <cfRule type="expression" dxfId="33" priority="26">
      <formula>($AP34&gt;=1)</formula>
    </cfRule>
  </conditionalFormatting>
  <conditionalFormatting sqref="I8">
    <cfRule type="expression" dxfId="32" priority="25">
      <formula>($AP35&gt;=1)</formula>
    </cfRule>
  </conditionalFormatting>
  <conditionalFormatting sqref="C9">
    <cfRule type="expression" dxfId="31" priority="24">
      <formula>($AP36&gt;=1)</formula>
    </cfRule>
  </conditionalFormatting>
  <conditionalFormatting sqref="D9">
    <cfRule type="expression" dxfId="30" priority="23">
      <formula>($AP37&gt;=1)</formula>
    </cfRule>
  </conditionalFormatting>
  <conditionalFormatting sqref="E9">
    <cfRule type="expression" dxfId="29" priority="22">
      <formula>($AP38&gt;=1)</formula>
    </cfRule>
  </conditionalFormatting>
  <conditionalFormatting sqref="F9">
    <cfRule type="expression" dxfId="28" priority="21">
      <formula>($AP39&gt;=1)</formula>
    </cfRule>
  </conditionalFormatting>
  <conditionalFormatting sqref="G9">
    <cfRule type="expression" dxfId="27" priority="20">
      <formula>($AP40&gt;=1)</formula>
    </cfRule>
  </conditionalFormatting>
  <conditionalFormatting sqref="H9">
    <cfRule type="expression" dxfId="26" priority="19">
      <formula>($AP41&gt;=1)</formula>
    </cfRule>
  </conditionalFormatting>
  <conditionalFormatting sqref="I9">
    <cfRule type="expression" dxfId="25" priority="18">
      <formula>($AP42&gt;=1)</formula>
    </cfRule>
  </conditionalFormatting>
  <conditionalFormatting sqref="C10">
    <cfRule type="expression" dxfId="24" priority="17">
      <formula>($AP43&gt;=1)</formula>
    </cfRule>
  </conditionalFormatting>
  <conditionalFormatting sqref="D10">
    <cfRule type="expression" dxfId="23" priority="16">
      <formula>($AP44&gt;=1)</formula>
    </cfRule>
  </conditionalFormatting>
  <conditionalFormatting sqref="E10">
    <cfRule type="expression" dxfId="22" priority="15">
      <formula>($AP45&gt;=1)</formula>
    </cfRule>
  </conditionalFormatting>
  <conditionalFormatting sqref="F10">
    <cfRule type="expression" dxfId="21" priority="14">
      <formula>($AP46&gt;=1)</formula>
    </cfRule>
  </conditionalFormatting>
  <conditionalFormatting sqref="G10">
    <cfRule type="expression" dxfId="20" priority="13">
      <formula>($AP47&gt;=1)</formula>
    </cfRule>
  </conditionalFormatting>
  <conditionalFormatting sqref="H10">
    <cfRule type="expression" dxfId="19" priority="12">
      <formula>($AP48&gt;=1)</formula>
    </cfRule>
  </conditionalFormatting>
  <conditionalFormatting sqref="I10">
    <cfRule type="expression" dxfId="18" priority="11">
      <formula>($AP49&gt;=1)</formula>
    </cfRule>
  </conditionalFormatting>
  <conditionalFormatting sqref="C11">
    <cfRule type="expression" dxfId="17" priority="10">
      <formula>($AP50&gt;=1)</formula>
    </cfRule>
  </conditionalFormatting>
  <conditionalFormatting sqref="D11">
    <cfRule type="expression" dxfId="16" priority="9">
      <formula>($AP51&gt;=1)</formula>
    </cfRule>
  </conditionalFormatting>
  <conditionalFormatting sqref="E11">
    <cfRule type="expression" dxfId="15" priority="8">
      <formula>($AP52&gt;=1)</formula>
    </cfRule>
  </conditionalFormatting>
  <conditionalFormatting sqref="F11">
    <cfRule type="expression" dxfId="14" priority="7">
      <formula>($AP53&gt;=1)</formula>
    </cfRule>
  </conditionalFormatting>
  <conditionalFormatting sqref="G11">
    <cfRule type="expression" dxfId="13" priority="6">
      <formula>($AP54&gt;=1)</formula>
    </cfRule>
  </conditionalFormatting>
  <conditionalFormatting sqref="H11">
    <cfRule type="expression" dxfId="12" priority="5">
      <formula>($AP55&gt;=1)</formula>
    </cfRule>
  </conditionalFormatting>
  <conditionalFormatting sqref="I11">
    <cfRule type="expression" dxfId="11" priority="4">
      <formula>($AP56&gt;=1)</formula>
    </cfRule>
  </conditionalFormatting>
  <conditionalFormatting sqref="C12">
    <cfRule type="expression" dxfId="10" priority="3">
      <formula>($AP57&gt;=1)</formula>
    </cfRule>
  </conditionalFormatting>
  <conditionalFormatting sqref="D12">
    <cfRule type="expression" dxfId="9" priority="2">
      <formula>($AP58&gt;=1)</formula>
    </cfRule>
  </conditionalFormatting>
  <conditionalFormatting sqref="E12">
    <cfRule type="expression" dxfId="8" priority="1">
      <formula>($AP59&gt;=1)</formula>
    </cfRule>
  </conditionalFormatting>
  <pageMargins left="0.7" right="0.7" top="0.75" bottom="0.75" header="0.3" footer="0.3"/>
  <pageSetup paperSize="9" orientation="portrait" horizontalDpi="1200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Drop Down 1">
              <controlPr defaultSize="0" autoLine="0" autoPict="0" macro="[0]!actualisation">
                <anchor moveWithCells="1">
                  <from>
                    <xdr:col>2</xdr:col>
                    <xdr:colOff>762000</xdr:colOff>
                    <xdr:row>2</xdr:row>
                    <xdr:rowOff>190500</xdr:rowOff>
                  </from>
                  <to>
                    <xdr:col>5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Drop Down 2">
              <controlPr defaultSize="0" autoLine="0" autoPict="0" macro="[0]!actualisation">
                <anchor mov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8"/>
    <tablePart r:id="rId9"/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C80C0F-EBB9-4F8D-8147-C9B44C0387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Base_congrès</vt:lpstr>
      <vt:lpstr>Base_marketing</vt:lpstr>
      <vt:lpstr>Marketing</vt:lpstr>
      <vt:lpstr>Congrès</vt:lpstr>
      <vt:lpstr>Année_période</vt:lpstr>
      <vt:lpstr>ChoixAn</vt:lpstr>
      <vt:lpstr>ChoixAnMarketing</vt:lpstr>
      <vt:lpstr>ChoixMois</vt:lpstr>
      <vt:lpstr>période_à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Anterion</dc:creator>
  <cp:lastModifiedBy>Anterion</cp:lastModifiedBy>
  <dcterms:created xsi:type="dcterms:W3CDTF">2020-01-03T14:33:55Z</dcterms:created>
  <dcterms:modified xsi:type="dcterms:W3CDTF">2020-01-09T16:43:41Z</dcterms:modified>
</cp:coreProperties>
</file>