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c00T349\Documents\UG FLUX DOMESTIQUES\EVALUATION\"/>
    </mc:Choice>
  </mc:AlternateContent>
  <xr:revisionPtr revIDLastSave="0" documentId="13_ncr:1_{2B1D4D55-6072-4381-AE87-8B95979474B4}" xr6:coauthVersionLast="47" xr6:coauthVersionMax="47" xr10:uidLastSave="{00000000-0000-0000-0000-000000000000}"/>
  <bookViews>
    <workbookView xWindow="28830" yWindow="0" windowWidth="28770" windowHeight="15600" tabRatio="985" xr2:uid="{00000000-000D-0000-FFFF-FFFF00000000}"/>
  </bookViews>
  <sheets>
    <sheet name="Menu" sheetId="1" r:id="rId1"/>
    <sheet name="Paramétrage" sheetId="2" r:id="rId2"/>
    <sheet name="Base" sheetId="24" r:id="rId3"/>
    <sheet name="Fiche" sheetId="25" r:id="rId4"/>
  </sheets>
  <functionGroups builtInGroupCount="19"/>
  <externalReferences>
    <externalReference r:id="rId5"/>
  </externalReferences>
  <definedNames>
    <definedName name="_xlnm._FilterDatabase" localSheetId="2" hidden="1">Base!$A$1:$AO$4</definedName>
    <definedName name="destinataire">Fiche!$B$11</definedName>
    <definedName name="rngBody">Paramétrage!$D$6</definedName>
    <definedName name="rngCountMail">Paramétrage!$D$21</definedName>
    <definedName name="rngMdp">Fiche!$J$5</definedName>
    <definedName name="rngMtr">Fiche!$D$14</definedName>
    <definedName name="rngPath">Paramétrage!$D$15</definedName>
    <definedName name="rngSendTo">Paramétrage!$D$9</definedName>
    <definedName name="rngSN">Fiche!$H$12</definedName>
    <definedName name="rngSubj">Paramétrage!$D$5</definedName>
    <definedName name="rngTN">Paramétrage!$D$12</definedName>
    <definedName name="StoreNums">Base!$A$2:$A$4</definedName>
    <definedName name="_xlnm.Print_Area" localSheetId="3">Fiche!$A$1:$F$109</definedName>
    <definedName name="_xlnm.Print_Area">Fiche!$A$1:$F$70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3" i="24" l="1"/>
  <c r="O4" i="24"/>
  <c r="O2" i="24"/>
  <c r="R121" i="25"/>
  <c r="R122" i="25"/>
  <c r="R120" i="25"/>
  <c r="N132" i="25"/>
  <c r="O132" i="25"/>
  <c r="P132" i="25"/>
  <c r="Q132" i="25"/>
  <c r="R132" i="25"/>
  <c r="M132" i="25"/>
  <c r="AP3" i="24" l="1"/>
  <c r="AP4" i="24"/>
  <c r="AP2" i="24"/>
  <c r="U98" i="25"/>
  <c r="U97" i="25"/>
  <c r="U96" i="25"/>
  <c r="D14" i="25" l="1"/>
  <c r="Q87" i="25" l="1"/>
  <c r="P87" i="25"/>
  <c r="P86" i="25"/>
  <c r="P85" i="25"/>
  <c r="P84" i="25"/>
  <c r="P83" i="25"/>
  <c r="J86" i="25"/>
  <c r="N86" i="25"/>
  <c r="N85" i="25"/>
  <c r="N84" i="25"/>
  <c r="N83" i="25"/>
  <c r="D18" i="25"/>
  <c r="D16" i="25"/>
  <c r="D17" i="25"/>
  <c r="B11" i="25"/>
  <c r="J94" i="25"/>
  <c r="J89" i="25"/>
  <c r="J87" i="25"/>
  <c r="J93" i="25"/>
  <c r="J85" i="25"/>
  <c r="J92" i="25"/>
  <c r="J84" i="25"/>
  <c r="J90" i="25"/>
  <c r="J91" i="25"/>
  <c r="J83" i="25"/>
  <c r="J88" i="25"/>
  <c r="K88" i="25" l="1"/>
  <c r="J95" i="25"/>
  <c r="B22" i="25" s="1"/>
  <c r="K94" i="25"/>
  <c r="K90" i="25"/>
  <c r="K87" i="25"/>
  <c r="K91" i="25"/>
  <c r="K86" i="25"/>
  <c r="K89" i="25"/>
  <c r="K92" i="25"/>
  <c r="K84" i="25"/>
  <c r="K85" i="25"/>
  <c r="K93" i="25"/>
  <c r="N87" i="25"/>
  <c r="D15" i="25"/>
  <c r="O84" i="25" l="1"/>
  <c r="O85" i="25"/>
  <c r="O86" i="25"/>
  <c r="O83" i="25"/>
  <c r="O87" i="25" l="1"/>
  <c r="I80" i="25"/>
  <c r="L90" i="25" s="1"/>
  <c r="M90" i="25" s="1"/>
  <c r="H97" i="25" l="1"/>
  <c r="I97" i="25" s="1"/>
  <c r="J97" i="25" s="1"/>
  <c r="L117" i="25"/>
  <c r="S90" i="25"/>
  <c r="R90" i="25"/>
  <c r="T90" i="25"/>
  <c r="Q90" i="25"/>
  <c r="P90" i="25"/>
  <c r="O90" i="25"/>
  <c r="N90" i="25"/>
  <c r="D21" i="2"/>
  <c r="L135" i="25" l="1"/>
  <c r="O135" i="25" s="1"/>
  <c r="N117" i="25"/>
  <c r="E103" i="25" s="1"/>
  <c r="M117" i="25"/>
  <c r="P117" i="25"/>
  <c r="E105" i="25" s="1"/>
  <c r="Q117" i="25"/>
  <c r="E106" i="25" s="1"/>
  <c r="O117" i="25"/>
  <c r="E104" i="25" s="1"/>
  <c r="U90" i="25"/>
  <c r="E6" i="2"/>
  <c r="P135" i="25" l="1"/>
  <c r="N135" i="25"/>
  <c r="R135" i="25"/>
  <c r="M135" i="25"/>
  <c r="Q135" i="25"/>
  <c r="R117" i="25"/>
  <c r="E102" i="25"/>
</calcChain>
</file>

<file path=xl/sharedStrings.xml><?xml version="1.0" encoding="utf-8"?>
<sst xmlns="http://schemas.openxmlformats.org/spreadsheetml/2006/main" count="181" uniqueCount="91">
  <si>
    <t>Menu</t>
  </si>
  <si>
    <t>Paramétrage</t>
  </si>
  <si>
    <t>Objet du Mail</t>
  </si>
  <si>
    <t>Combien de Mails test voulez-vous envoyer?</t>
  </si>
  <si>
    <t>Dossier de sauvegarde des fichiers joints</t>
  </si>
  <si>
    <t>Enregistrer dans</t>
  </si>
  <si>
    <t>caractères</t>
  </si>
  <si>
    <t>Entrez un Email de test</t>
  </si>
  <si>
    <t>Email de Test</t>
  </si>
  <si>
    <t>une demande de confirmation du nombre d'Email à envoyer vous sera envoyée!</t>
  </si>
  <si>
    <t>Corps du Mail</t>
  </si>
  <si>
    <t>NOTE: Veuillez ouvrir Outlook avant l'envoi des Emails</t>
  </si>
  <si>
    <t>Adresse Email</t>
  </si>
  <si>
    <t>Numéro</t>
  </si>
  <si>
    <t>Matricule</t>
  </si>
  <si>
    <t>Sexe</t>
  </si>
  <si>
    <t>Date de naissance</t>
  </si>
  <si>
    <t>Direction</t>
  </si>
  <si>
    <t>Service</t>
  </si>
  <si>
    <t>Fonction</t>
  </si>
  <si>
    <t>Classe</t>
  </si>
  <si>
    <t>Date du changement de fonction</t>
  </si>
  <si>
    <t>FEMININ</t>
  </si>
  <si>
    <t>MASCULIN</t>
  </si>
  <si>
    <t>Nom</t>
  </si>
  <si>
    <t>Contenu du Mail</t>
  </si>
  <si>
    <t xml:space="preserve">     Note:Après avoir cliquer sur le bouton d'envoi Email ou de Test Email,</t>
  </si>
  <si>
    <t>Fiche d'évaluation</t>
  </si>
  <si>
    <t>Nbre OPE traités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</si>
  <si>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</si>
  <si>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</si>
  <si>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</si>
  <si>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</si>
  <si>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</si>
  <si>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</si>
  <si>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</si>
  <si>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</si>
  <si>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</si>
  <si>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</si>
  <si>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</si>
  <si>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</si>
  <si>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</si>
  <si>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Total traité</t>
  </si>
  <si>
    <t>INFORMATIONS PERSONNELLES</t>
  </si>
  <si>
    <t>PRODUCTION ANNUELLE</t>
  </si>
  <si>
    <t>Type de virement</t>
  </si>
  <si>
    <t>Nombre</t>
  </si>
  <si>
    <t>Proportion</t>
  </si>
  <si>
    <t>Autres erreurs exécution</t>
  </si>
  <si>
    <t>Indicateur X</t>
  </si>
  <si>
    <t>Evolution</t>
  </si>
  <si>
    <t>% traité</t>
  </si>
  <si>
    <t>POIDS TOTAL</t>
  </si>
  <si>
    <t>Indicateur X2</t>
  </si>
  <si>
    <t>Date d'affectation au poste</t>
  </si>
  <si>
    <t>Rang</t>
  </si>
  <si>
    <t xml:space="preserve">SLA GLOBAL 
</t>
  </si>
  <si>
    <t>Code de saisie</t>
  </si>
  <si>
    <t>Total général</t>
  </si>
  <si>
    <t>Anomalies constatées par agents</t>
  </si>
  <si>
    <t>Dans les SLA</t>
  </si>
  <si>
    <t>Hors SLA</t>
  </si>
  <si>
    <t>RESP. INCIDENT</t>
  </si>
  <si>
    <t>Responsable</t>
  </si>
  <si>
    <t>Synthèse</t>
  </si>
  <si>
    <t>C:\Users\bc00T349\Desktop\fICHE</t>
  </si>
  <si>
    <t>Fiche</t>
  </si>
  <si>
    <t>baba.dicko@hotmail.com</t>
  </si>
  <si>
    <t>Jean Jacques</t>
  </si>
  <si>
    <t>Véronique</t>
  </si>
  <si>
    <t>Myriam</t>
  </si>
  <si>
    <t>A109</t>
  </si>
  <si>
    <t>A107</t>
  </si>
  <si>
    <t>A110</t>
  </si>
  <si>
    <t>jean.jacques@thc.com</t>
  </si>
  <si>
    <t>Domaine</t>
  </si>
  <si>
    <t>Mécano</t>
  </si>
  <si>
    <t>Ingénieur ( e )</t>
  </si>
  <si>
    <t>TTC</t>
  </si>
  <si>
    <t>TAX</t>
  </si>
  <si>
    <t>MEP</t>
  </si>
  <si>
    <t>CCO</t>
  </si>
  <si>
    <t>SLA</t>
  </si>
  <si>
    <t>Erreur d'exécution</t>
  </si>
  <si>
    <t>Compact</t>
  </si>
  <si>
    <t>Proportion 1</t>
  </si>
  <si>
    <t>Proportion 2</t>
  </si>
  <si>
    <t>Proportion 3</t>
  </si>
  <si>
    <t>Proportion 4</t>
  </si>
  <si>
    <t>KO</t>
  </si>
  <si>
    <t>HICS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</si>
</sst>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 mmmm\ yyyy;@"/>
    <numFmt numFmtId="165" formatCode="ddmmyyyy"/>
    <numFmt numFmtId="166" formatCode="0.0%"/>
  </numFmts>
  <fonts count="3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Goudy Old Style"/>
      <family val="1"/>
    </font>
    <font>
      <u/>
      <sz val="11"/>
      <color indexed="1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ED0110"/>
      <name val="Montserrat ExtraBold"/>
    </font>
    <font>
      <sz val="12"/>
      <color theme="1"/>
      <name val="Baskerville Old Face"/>
      <family val="1"/>
    </font>
    <font>
      <sz val="11"/>
      <name val="Calibri"/>
      <family val="2"/>
      <scheme val="minor"/>
    </font>
    <font>
      <sz val="18"/>
      <color theme="1"/>
      <name val="Arial Black"/>
      <family val="2"/>
    </font>
    <font>
      <i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0"/>
      <color theme="0"/>
      <name val="Bahnschrift Light"/>
      <family val="2"/>
    </font>
    <font>
      <sz val="10"/>
      <color theme="1"/>
      <name val="Bahnschrift Light"/>
      <family val="2"/>
    </font>
    <font>
      <sz val="11"/>
      <name val="Calibri Light"/>
      <family val="2"/>
      <scheme val="maj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Bahnschrift Light"/>
      <family val="2"/>
    </font>
    <font>
      <sz val="10"/>
      <color theme="0"/>
      <name val="Bahnschrift Light"/>
      <family val="2"/>
    </font>
    <font>
      <b/>
      <sz val="12"/>
      <color rgb="FFED0110"/>
      <name val="Montserrat ExtraBold"/>
    </font>
    <font>
      <sz val="11"/>
      <color theme="1"/>
      <name val="Avenir Next LT Pro"/>
      <family val="2"/>
    </font>
    <font>
      <b/>
      <sz val="11"/>
      <color theme="1"/>
      <name val="Avenir Next LT Pro"/>
      <family val="2"/>
    </font>
    <font>
      <sz val="9"/>
      <name val="Bahnschrift Light"/>
      <family val="2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9"/>
      <color theme="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ED011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1" tint="0.34998626667073579"/>
        <bgColor theme="4" tint="0.79998168889431442"/>
      </patternFill>
    </fill>
    <fill>
      <patternFill patternType="solid">
        <fgColor rgb="FFC0000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theme="4" tint="0.79998168889431442"/>
      </patternFill>
    </fill>
    <fill>
      <patternFill patternType="solid">
        <fgColor theme="1" tint="0.249977111117893"/>
        <bgColor theme="4" tint="0.79998168889431442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6" fillId="0" borderId="0" applyNumberFormat="0" applyFill="0" applyBorder="0" applyAlignment="0" applyProtection="0"/>
    <xf numFmtId="0" fontId="11" fillId="0" borderId="0" applyNumberFormat="0" applyFill="0" applyBorder="0" applyAlignment="0" applyProtection="0">
      <alignment horizontal="left" indent="1"/>
    </xf>
    <xf numFmtId="9" fontId="25" fillId="0" borderId="0" applyFont="0" applyFill="0" applyBorder="0" applyAlignment="0" applyProtection="0"/>
    <xf numFmtId="0" fontId="34" fillId="0" borderId="0"/>
  </cellStyleXfs>
  <cellXfs count="125">
    <xf numFmtId="0" fontId="0" fillId="0" borderId="0" xfId="0"/>
    <xf numFmtId="0" fontId="3" fillId="0" borderId="0" xfId="0" applyFont="1"/>
    <xf numFmtId="0" fontId="0" fillId="0" borderId="0" xfId="0" applyAlignment="1">
      <alignment horizontal="right" indent="1"/>
    </xf>
    <xf numFmtId="0" fontId="7" fillId="0" borderId="0" xfId="0" applyFont="1"/>
    <xf numFmtId="0" fontId="8" fillId="0" borderId="0" xfId="0" applyFont="1"/>
    <xf numFmtId="0" fontId="7" fillId="0" borderId="0" xfId="0" applyFont="1" applyAlignment="1">
      <alignment horizontal="left" indent="1"/>
    </xf>
    <xf numFmtId="0" fontId="4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7" fillId="0" borderId="0" xfId="0" applyFont="1" applyAlignment="1">
      <alignment horizontal="left" indent="3"/>
    </xf>
    <xf numFmtId="0" fontId="0" fillId="2" borderId="2" xfId="0" applyFill="1" applyBorder="1"/>
    <xf numFmtId="0" fontId="0" fillId="0" borderId="0" xfId="0"/>
    <xf numFmtId="0" fontId="2" fillId="0" borderId="0" xfId="0" applyFont="1" applyAlignment="1">
      <alignment horizontal="right" vertical="center" indent="1"/>
    </xf>
    <xf numFmtId="0" fontId="2" fillId="0" borderId="0" xfId="0" applyFont="1"/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10" fillId="0" borderId="0" xfId="0" applyFont="1" applyAlignment="1">
      <alignment horizontal="left" indent="4"/>
    </xf>
    <xf numFmtId="0" fontId="6" fillId="0" borderId="0" xfId="1" applyAlignment="1">
      <alignment horizontal="center" vertical="center"/>
    </xf>
    <xf numFmtId="0" fontId="12" fillId="0" borderId="0" xfId="0" applyFont="1"/>
    <xf numFmtId="0" fontId="13" fillId="0" borderId="0" xfId="0" applyFont="1"/>
    <xf numFmtId="0" fontId="12" fillId="0" borderId="0" xfId="0" applyFont="1" applyAlignment="1">
      <alignment horizontal="right" indent="2"/>
    </xf>
    <xf numFmtId="0" fontId="1" fillId="0" borderId="0" xfId="0" applyFont="1" applyAlignment="1">
      <alignment horizontal="right" vertical="center" indent="1"/>
    </xf>
    <xf numFmtId="0" fontId="1" fillId="0" borderId="0" xfId="0" applyFont="1" applyAlignment="1">
      <alignment horizontal="right" vertical="top" indent="1"/>
    </xf>
    <xf numFmtId="0" fontId="1" fillId="0" borderId="3" xfId="0" applyFont="1" applyBorder="1" applyAlignment="1">
      <alignment vertical="center"/>
    </xf>
    <xf numFmtId="0" fontId="8" fillId="0" borderId="4" xfId="0" applyFont="1" applyBorder="1" applyAlignment="1">
      <alignment vertical="center"/>
    </xf>
    <xf numFmtId="0" fontId="7" fillId="4" borderId="0" xfId="0" applyFont="1" applyFill="1" applyAlignment="1">
      <alignment horizontal="center" vertical="center"/>
    </xf>
    <xf numFmtId="0" fontId="0" fillId="5" borderId="0" xfId="0" applyFill="1"/>
    <xf numFmtId="0" fontId="9" fillId="5" borderId="0" xfId="0" applyFont="1" applyFill="1" applyAlignment="1">
      <alignment vertical="center"/>
    </xf>
    <xf numFmtId="0" fontId="0" fillId="0" borderId="0" xfId="0" applyAlignment="1">
      <alignment vertical="center" wrapText="1"/>
    </xf>
    <xf numFmtId="0" fontId="0" fillId="5" borderId="0" xfId="0" applyFill="1" applyAlignment="1">
      <alignment vertical="center"/>
    </xf>
    <xf numFmtId="0" fontId="1" fillId="3" borderId="1" xfId="0" applyFont="1" applyFill="1" applyBorder="1" applyAlignment="1" applyProtection="1">
      <alignment horizontal="left" vertical="center" indent="1"/>
      <protection locked="0"/>
    </xf>
    <xf numFmtId="0" fontId="17" fillId="3" borderId="1" xfId="0" applyFont="1" applyFill="1" applyBorder="1" applyAlignment="1" applyProtection="1">
      <alignment horizontal="left" vertical="top" wrapText="1" indent="1"/>
      <protection locked="0"/>
    </xf>
    <xf numFmtId="0" fontId="6" fillId="3" borderId="1" xfId="1" applyFill="1" applyBorder="1" applyAlignment="1" applyProtection="1">
      <alignment horizontal="left" vertical="center"/>
      <protection locked="0"/>
    </xf>
    <xf numFmtId="0" fontId="8" fillId="3" borderId="1" xfId="0" applyFont="1" applyFill="1" applyBorder="1" applyAlignment="1" applyProtection="1">
      <alignment horizontal="left" vertical="top" wrapText="1" indent="1"/>
      <protection locked="0"/>
    </xf>
    <xf numFmtId="0" fontId="1" fillId="3" borderId="1" xfId="0" applyFont="1" applyFill="1" applyBorder="1" applyAlignment="1" applyProtection="1">
      <alignment horizontal="left" vertical="top" wrapText="1" indent="1"/>
      <protection locked="0"/>
    </xf>
    <xf numFmtId="0" fontId="14" fillId="6" borderId="0" xfId="0" applyFont="1" applyFill="1" applyAlignment="1">
      <alignment vertical="center"/>
    </xf>
    <xf numFmtId="0" fontId="14" fillId="6" borderId="0" xfId="0" applyFont="1" applyFill="1" applyAlignment="1">
      <alignment horizontal="center" vertical="center"/>
    </xf>
    <xf numFmtId="0" fontId="0" fillId="5" borderId="0" xfId="0" applyFill="1" applyBorder="1"/>
    <xf numFmtId="0" fontId="16" fillId="5" borderId="0" xfId="0" applyFont="1" applyFill="1" applyBorder="1" applyAlignment="1"/>
    <xf numFmtId="0" fontId="20" fillId="5" borderId="0" xfId="0" applyFont="1" applyFill="1"/>
    <xf numFmtId="0" fontId="21" fillId="5" borderId="0" xfId="0" applyFont="1" applyFill="1"/>
    <xf numFmtId="165" fontId="0" fillId="0" borderId="0" xfId="0" applyNumberFormat="1"/>
    <xf numFmtId="0" fontId="23" fillId="0" borderId="0" xfId="0" applyFont="1" applyAlignment="1">
      <alignment vertical="center"/>
    </xf>
    <xf numFmtId="0" fontId="23" fillId="0" borderId="0" xfId="0" applyFont="1" applyAlignment="1">
      <alignment horizontal="left" vertical="center"/>
    </xf>
    <xf numFmtId="164" fontId="23" fillId="0" borderId="0" xfId="0" applyNumberFormat="1" applyFont="1" applyAlignment="1">
      <alignment vertical="center"/>
    </xf>
    <xf numFmtId="14" fontId="23" fillId="0" borderId="0" xfId="0" applyNumberFormat="1" applyFont="1" applyAlignment="1">
      <alignment vertical="center"/>
    </xf>
    <xf numFmtId="0" fontId="22" fillId="7" borderId="0" xfId="0" applyFont="1" applyFill="1" applyAlignment="1">
      <alignment horizontal="center" vertical="center" wrapText="1"/>
    </xf>
    <xf numFmtId="164" fontId="22" fillId="7" borderId="0" xfId="0" applyNumberFormat="1" applyFont="1" applyFill="1" applyAlignment="1">
      <alignment horizontal="center" vertical="center" wrapText="1"/>
    </xf>
    <xf numFmtId="14" fontId="22" fillId="7" borderId="0" xfId="0" applyNumberFormat="1" applyFont="1" applyFill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15" fillId="8" borderId="6" xfId="0" applyFont="1" applyFill="1" applyBorder="1" applyAlignment="1">
      <alignment horizontal="left" vertical="center"/>
    </xf>
    <xf numFmtId="0" fontId="15" fillId="8" borderId="7" xfId="0" applyFont="1" applyFill="1" applyBorder="1" applyAlignment="1">
      <alignment horizontal="left" vertical="center"/>
    </xf>
    <xf numFmtId="0" fontId="0" fillId="5" borderId="0" xfId="0" applyFont="1" applyFill="1" applyAlignment="1">
      <alignment vertical="center" wrapText="1"/>
    </xf>
    <xf numFmtId="0" fontId="22" fillId="8" borderId="5" xfId="0" applyFont="1" applyFill="1" applyBorder="1" applyAlignment="1">
      <alignment horizontal="left" vertical="center"/>
    </xf>
    <xf numFmtId="0" fontId="23" fillId="5" borderId="5" xfId="0" applyFont="1" applyFill="1" applyBorder="1" applyAlignment="1">
      <alignment horizontal="left" vertical="center"/>
    </xf>
    <xf numFmtId="0" fontId="23" fillId="5" borderId="7" xfId="0" applyFont="1" applyFill="1" applyBorder="1" applyAlignment="1">
      <alignment horizontal="left" vertical="center"/>
    </xf>
    <xf numFmtId="0" fontId="27" fillId="5" borderId="5" xfId="0" applyFont="1" applyFill="1" applyBorder="1" applyAlignment="1">
      <alignment horizontal="left" vertical="center"/>
    </xf>
    <xf numFmtId="0" fontId="27" fillId="5" borderId="7" xfId="0" applyFont="1" applyFill="1" applyBorder="1" applyAlignment="1">
      <alignment horizontal="left" vertical="center"/>
    </xf>
    <xf numFmtId="0" fontId="0" fillId="5" borderId="0" xfId="0" applyFill="1" applyAlignment="1">
      <alignment horizontal="center" vertical="center"/>
    </xf>
    <xf numFmtId="3" fontId="27" fillId="0" borderId="2" xfId="0" applyNumberFormat="1" applyFont="1" applyFill="1" applyBorder="1" applyAlignment="1">
      <alignment horizontal="center" vertical="center"/>
    </xf>
    <xf numFmtId="0" fontId="27" fillId="0" borderId="10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30" fillId="5" borderId="0" xfId="0" applyFont="1" applyFill="1"/>
    <xf numFmtId="0" fontId="30" fillId="0" borderId="0" xfId="0" applyFont="1"/>
    <xf numFmtId="0" fontId="31" fillId="9" borderId="8" xfId="0" applyFont="1" applyFill="1" applyBorder="1" applyAlignment="1">
      <alignment horizontal="center" vertical="center"/>
    </xf>
    <xf numFmtId="0" fontId="30" fillId="0" borderId="0" xfId="0" applyFont="1" applyFill="1" applyAlignment="1">
      <alignment vertical="center"/>
    </xf>
    <xf numFmtId="0" fontId="30" fillId="0" borderId="0" xfId="0" applyFont="1" applyAlignment="1">
      <alignment vertical="center" wrapText="1"/>
    </xf>
    <xf numFmtId="3" fontId="30" fillId="0" borderId="8" xfId="0" applyNumberFormat="1" applyFont="1" applyFill="1" applyBorder="1" applyAlignment="1">
      <alignment vertical="center"/>
    </xf>
    <xf numFmtId="0" fontId="30" fillId="0" borderId="8" xfId="0" applyFont="1" applyFill="1" applyBorder="1" applyAlignment="1">
      <alignment vertical="center"/>
    </xf>
    <xf numFmtId="9" fontId="30" fillId="0" borderId="8" xfId="3" applyFont="1" applyFill="1" applyBorder="1" applyAlignment="1">
      <alignment vertical="center"/>
    </xf>
    <xf numFmtId="0" fontId="22" fillId="10" borderId="0" xfId="0" applyFont="1" applyFill="1" applyAlignment="1">
      <alignment horizontal="center" vertical="center" wrapText="1"/>
    </xf>
    <xf numFmtId="0" fontId="22" fillId="11" borderId="0" xfId="0" applyFont="1" applyFill="1" applyAlignment="1">
      <alignment horizontal="center" vertical="center" wrapText="1"/>
    </xf>
    <xf numFmtId="0" fontId="22" fillId="12" borderId="0" xfId="0" applyFont="1" applyFill="1" applyAlignment="1">
      <alignment horizontal="center" vertical="center" wrapText="1"/>
    </xf>
    <xf numFmtId="0" fontId="23" fillId="0" borderId="9" xfId="0" applyFont="1" applyBorder="1" applyAlignment="1">
      <alignment vertical="center"/>
    </xf>
    <xf numFmtId="0" fontId="23" fillId="0" borderId="9" xfId="0" applyFont="1" applyBorder="1" applyAlignment="1">
      <alignment horizontal="left" vertical="center"/>
    </xf>
    <xf numFmtId="0" fontId="24" fillId="6" borderId="9" xfId="0" applyFont="1" applyFill="1" applyBorder="1" applyAlignment="1">
      <alignment horizontal="left" vertical="center" wrapText="1"/>
    </xf>
    <xf numFmtId="164" fontId="23" fillId="0" borderId="9" xfId="0" applyNumberFormat="1" applyFont="1" applyBorder="1" applyAlignment="1">
      <alignment vertical="center"/>
    </xf>
    <xf numFmtId="14" fontId="23" fillId="0" borderId="9" xfId="0" applyNumberFormat="1" applyFont="1" applyBorder="1" applyAlignment="1">
      <alignment vertical="center"/>
    </xf>
    <xf numFmtId="3" fontId="23" fillId="0" borderId="9" xfId="0" applyNumberFormat="1" applyFont="1" applyBorder="1" applyAlignment="1">
      <alignment vertical="center"/>
    </xf>
    <xf numFmtId="9" fontId="23" fillId="0" borderId="9" xfId="3" applyFont="1" applyBorder="1" applyAlignment="1">
      <alignment vertical="center"/>
    </xf>
    <xf numFmtId="3" fontId="23" fillId="0" borderId="9" xfId="0" applyNumberFormat="1" applyFont="1" applyFill="1" applyBorder="1" applyAlignment="1">
      <alignment vertical="center"/>
    </xf>
    <xf numFmtId="0" fontId="23" fillId="0" borderId="9" xfId="0" applyFont="1" applyFill="1" applyBorder="1" applyAlignment="1">
      <alignment vertical="center"/>
    </xf>
    <xf numFmtId="0" fontId="6" fillId="6" borderId="9" xfId="1" applyFill="1" applyBorder="1" applyAlignment="1">
      <alignment horizontal="left" vertical="center" wrapText="1"/>
    </xf>
    <xf numFmtId="166" fontId="23" fillId="0" borderId="9" xfId="3" applyNumberFormat="1" applyFont="1" applyBorder="1" applyAlignment="1">
      <alignment vertical="center"/>
    </xf>
    <xf numFmtId="166" fontId="30" fillId="0" borderId="8" xfId="3" applyNumberFormat="1" applyFont="1" applyFill="1" applyBorder="1" applyAlignment="1">
      <alignment vertical="center"/>
    </xf>
    <xf numFmtId="164" fontId="27" fillId="5" borderId="0" xfId="0" applyNumberFormat="1" applyFont="1" applyFill="1" applyBorder="1" applyAlignment="1">
      <alignment vertical="center"/>
    </xf>
    <xf numFmtId="0" fontId="28" fillId="6" borderId="0" xfId="0" applyFont="1" applyFill="1" applyAlignment="1">
      <alignment vertical="center"/>
    </xf>
    <xf numFmtId="164" fontId="28" fillId="6" borderId="0" xfId="0" applyNumberFormat="1" applyFont="1" applyFill="1" applyAlignment="1">
      <alignment vertical="center"/>
    </xf>
    <xf numFmtId="0" fontId="23" fillId="0" borderId="9" xfId="0" applyNumberFormat="1" applyFont="1" applyBorder="1" applyAlignment="1">
      <alignment vertical="center"/>
    </xf>
    <xf numFmtId="0" fontId="18" fillId="5" borderId="0" xfId="0" applyFont="1" applyFill="1"/>
    <xf numFmtId="0" fontId="35" fillId="14" borderId="11" xfId="0" applyFont="1" applyFill="1" applyBorder="1" applyAlignment="1">
      <alignment horizontal="center" vertical="center" wrapText="1"/>
    </xf>
    <xf numFmtId="0" fontId="0" fillId="0" borderId="11" xfId="0" applyBorder="1"/>
    <xf numFmtId="0" fontId="23" fillId="13" borderId="9" xfId="0" applyFont="1" applyFill="1" applyBorder="1" applyAlignment="1">
      <alignment horizontal="left" vertical="center"/>
    </xf>
    <xf numFmtId="0" fontId="23" fillId="0" borderId="11" xfId="0" applyFont="1" applyBorder="1" applyAlignment="1">
      <alignment horizontal="left" vertical="center"/>
    </xf>
    <xf numFmtId="0" fontId="23" fillId="13" borderId="11" xfId="0" applyFont="1" applyFill="1" applyBorder="1" applyAlignment="1">
      <alignment horizontal="left" vertical="center"/>
    </xf>
    <xf numFmtId="0" fontId="33" fillId="14" borderId="11" xfId="0" applyFont="1" applyFill="1" applyBorder="1" applyAlignment="1">
      <alignment horizontal="center" vertical="center" wrapText="1"/>
    </xf>
    <xf numFmtId="3" fontId="0" fillId="0" borderId="11" xfId="0" applyNumberFormat="1" applyBorder="1"/>
    <xf numFmtId="3" fontId="30" fillId="5" borderId="0" xfId="0" applyNumberFormat="1" applyFont="1" applyFill="1"/>
    <xf numFmtId="0" fontId="9" fillId="16" borderId="12" xfId="0" applyFont="1" applyFill="1" applyBorder="1"/>
    <xf numFmtId="0" fontId="9" fillId="16" borderId="13" xfId="0" applyFont="1" applyFill="1" applyBorder="1"/>
    <xf numFmtId="0" fontId="33" fillId="17" borderId="12" xfId="0" applyFont="1" applyFill="1" applyBorder="1"/>
    <xf numFmtId="0" fontId="33" fillId="15" borderId="11" xfId="0" applyFont="1" applyFill="1" applyBorder="1" applyAlignment="1">
      <alignment vertical="center"/>
    </xf>
    <xf numFmtId="0" fontId="33" fillId="15" borderId="11" xfId="0" applyFont="1" applyFill="1" applyBorder="1" applyAlignment="1">
      <alignment horizontal="center" vertical="center"/>
    </xf>
    <xf numFmtId="0" fontId="33" fillId="18" borderId="11" xfId="0" applyFont="1" applyFill="1" applyBorder="1" applyAlignment="1">
      <alignment horizontal="center" vertical="center" wrapText="1"/>
    </xf>
    <xf numFmtId="9" fontId="0" fillId="0" borderId="11" xfId="3" applyFont="1" applyBorder="1"/>
    <xf numFmtId="9" fontId="0" fillId="0" borderId="11" xfId="3" applyFont="1" applyBorder="1" applyAlignment="1">
      <alignment horizontal="center"/>
    </xf>
    <xf numFmtId="0" fontId="9" fillId="16" borderId="11" xfId="0" applyFont="1" applyFill="1" applyBorder="1"/>
    <xf numFmtId="3" fontId="23" fillId="13" borderId="11" xfId="0" applyNumberFormat="1" applyFont="1" applyFill="1" applyBorder="1" applyAlignment="1">
      <alignment horizontal="left" vertical="center"/>
    </xf>
    <xf numFmtId="0" fontId="19" fillId="0" borderId="0" xfId="0" applyFont="1" applyAlignment="1">
      <alignment horizontal="center"/>
    </xf>
    <xf numFmtId="0" fontId="36" fillId="15" borderId="11" xfId="0" applyFont="1" applyFill="1" applyBorder="1" applyAlignment="1">
      <alignment horizontal="center"/>
    </xf>
    <xf numFmtId="0" fontId="22" fillId="7" borderId="14" xfId="0" applyFont="1" applyFill="1" applyBorder="1" applyAlignment="1">
      <alignment horizontal="center"/>
    </xf>
    <xf numFmtId="0" fontId="22" fillId="7" borderId="4" xfId="0" applyFont="1" applyFill="1" applyBorder="1" applyAlignment="1">
      <alignment horizontal="center"/>
    </xf>
    <xf numFmtId="0" fontId="22" fillId="7" borderId="3" xfId="0" applyFont="1" applyFill="1" applyBorder="1" applyAlignment="1">
      <alignment horizontal="center"/>
    </xf>
    <xf numFmtId="0" fontId="23" fillId="5" borderId="5" xfId="0" applyFont="1" applyFill="1" applyBorder="1" applyAlignment="1">
      <alignment horizontal="center" vertical="center"/>
    </xf>
    <xf numFmtId="0" fontId="23" fillId="5" borderId="7" xfId="0" applyFont="1" applyFill="1" applyBorder="1" applyAlignment="1">
      <alignment horizontal="center" vertical="center"/>
    </xf>
    <xf numFmtId="164" fontId="27" fillId="5" borderId="5" xfId="0" applyNumberFormat="1" applyFont="1" applyFill="1" applyBorder="1" applyAlignment="1">
      <alignment horizontal="center" vertical="center"/>
    </xf>
    <xf numFmtId="164" fontId="27" fillId="5" borderId="7" xfId="0" applyNumberFormat="1" applyFont="1" applyFill="1" applyBorder="1" applyAlignment="1">
      <alignment horizontal="center" vertical="center"/>
    </xf>
    <xf numFmtId="0" fontId="32" fillId="5" borderId="0" xfId="0" applyFont="1" applyFill="1" applyAlignment="1">
      <alignment horizontal="left" vertical="center" wrapText="1"/>
    </xf>
    <xf numFmtId="0" fontId="27" fillId="5" borderId="5" xfId="0" applyFont="1" applyFill="1" applyBorder="1" applyAlignment="1">
      <alignment horizontal="left" vertical="center"/>
    </xf>
    <xf numFmtId="0" fontId="27" fillId="5" borderId="7" xfId="0" applyFont="1" applyFill="1" applyBorder="1" applyAlignment="1">
      <alignment horizontal="left" vertical="center"/>
    </xf>
    <xf numFmtId="0" fontId="29" fillId="0" borderId="0" xfId="0" applyFont="1" applyAlignment="1">
      <alignment horizontal="left" vertical="top" wrapText="1"/>
    </xf>
    <xf numFmtId="0" fontId="29" fillId="0" borderId="0" xfId="0" applyFont="1" applyAlignment="1">
      <alignment horizontal="left" vertical="top"/>
    </xf>
    <xf numFmtId="0" fontId="0" fillId="5" borderId="0" xfId="0" applyFont="1" applyFill="1" applyAlignment="1">
      <alignment horizontal="left" vertical="center" wrapText="1"/>
    </xf>
    <xf numFmtId="0" fontId="0" fillId="5" borderId="0" xfId="0" applyFill="1" applyAlignment="1">
      <alignment horizontal="left" vertical="center" wrapText="1"/>
    </xf>
    <xf numFmtId="0" fontId="31" fillId="0" borderId="8" xfId="0" applyFont="1" applyFill="1" applyBorder="1" applyAlignment="1">
      <alignment vertical="center"/>
    </xf>
  </cellXfs>
  <cellStyles count="5">
    <cellStyle name="Ctx_Hyperlink" xfId="2" xr:uid="{00000000-0005-0000-0000-000000000000}"/>
    <cellStyle name="Lien hypertexte" xfId="1" builtinId="8"/>
    <cellStyle name="Normal" xfId="0" builtinId="0"/>
    <cellStyle name="Normal 3" xfId="4" xr:uid="{4D0B8054-F3D3-4D1A-B392-E6CF2D173CE0}"/>
    <cellStyle name="Pourcentage" xfId="3" builtinId="5"/>
  </cellStyles>
  <dxfs count="51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166" formatCode="0.0%"/>
      <alignment horizontal="general" vertical="center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166" formatCode="0.0%"/>
      <alignment horizontal="general" vertical="center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166" formatCode="0.0%"/>
      <alignment horizontal="general" vertical="center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166" formatCode="0.0%"/>
      <alignment horizontal="general" vertical="center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166" formatCode="0.0%"/>
      <alignment horizontal="general" vertical="center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3" formatCode="#,##0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3" formatCode="#,##0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3" formatCode="#,##0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3" formatCode="#,##0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3" formatCode="#,##0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3" formatCode="#,##0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3" formatCode="#,##0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3" formatCode="#,##0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3" formatCode="#,##0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3" formatCode="#,##0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3" formatCode="#,##0"/>
      <alignment horizontal="general" vertical="center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3" formatCode="#,##0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164" formatCode="[$-40C]d\ mmmm\ yyyy;@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164" formatCode="[$-40C]d\ mmmm\ yyyy;@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164" formatCode="[$-40C]d\ mmmm\ yyyy;@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/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numFmt numFmtId="164" formatCode="[$-40C]d\ mmmm\ yyyy;@"/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dashed">
          <color indexed="64"/>
        </left>
        <right/>
        <top style="dashed">
          <color indexed="64"/>
        </top>
        <bottom style="dashed">
          <color indexed="64"/>
        </bottom>
      </border>
    </dxf>
    <dxf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border outline="0">
        <bottom style="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 Light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ahnschrift Ligh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ED011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000" b="0" i="0" u="none" strike="noStrike" kern="1200" cap="none" baseline="0">
                <a:solidFill>
                  <a:sysClr val="windowText" lastClr="000000"/>
                </a:solidFill>
                <a:latin typeface="Bahnschrift Light" panose="020B0502040204020203" pitchFamily="34" charset="0"/>
                <a:ea typeface="+mn-ea"/>
                <a:cs typeface="+mn-cs"/>
              </a:defRPr>
            </a:pPr>
            <a:r>
              <a:rPr lang="fr-FR" sz="1000" b="0">
                <a:solidFill>
                  <a:sysClr val="windowText" lastClr="000000"/>
                </a:solidFill>
              </a:rPr>
              <a:t>Volume traité par mois</a:t>
            </a:r>
          </a:p>
        </c:rich>
      </c:tx>
      <c:overlay val="0"/>
      <c:spPr>
        <a:solidFill>
          <a:schemeClr val="bg1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cap="none" baseline="0">
              <a:solidFill>
                <a:sysClr val="windowText" lastClr="000000"/>
              </a:solidFill>
              <a:latin typeface="Bahnschrift Light" panose="020B0502040204020203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3145005484229072E-2"/>
          <c:y val="0.21974763861310664"/>
          <c:w val="0.9337099890315419"/>
          <c:h val="0.65310550786068966"/>
        </c:manualLayout>
      </c:layout>
      <c:barChart>
        <c:barDir val="col"/>
        <c:grouping val="clustered"/>
        <c:varyColors val="0"/>
        <c:ser>
          <c:idx val="0"/>
          <c:order val="0"/>
          <c:spPr>
            <a:noFill/>
            <a:ln w="9525" cap="flat" cmpd="sng" algn="ctr">
              <a:solidFill>
                <a:schemeClr val="accent1"/>
              </a:solidFill>
              <a:miter lim="800000"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ysClr val="windowText" lastClr="000000"/>
                    </a:solidFill>
                    <a:latin typeface="Bahnschrift Light" panose="020B0502040204020203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ellipse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Fiche!$I$83:$I$94</c15:sqref>
                  </c15:fullRef>
                </c:ext>
              </c:extLst>
              <c:f>Fiche!$I$83:$I$87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Fiche!$J$83:$J$94</c15:sqref>
                  </c15:fullRef>
                </c:ext>
              </c:extLst>
              <c:f>Fiche!$J$83:$J$87</c:f>
              <c:numCache>
                <c:formatCode>#,##0</c:formatCode>
                <c:ptCount val="5"/>
                <c:pt idx="0">
                  <c:v>520</c:v>
                </c:pt>
                <c:pt idx="1">
                  <c:v>0</c:v>
                </c:pt>
                <c:pt idx="2">
                  <c:v>665</c:v>
                </c:pt>
                <c:pt idx="3">
                  <c:v>317</c:v>
                </c:pt>
                <c:pt idx="4">
                  <c:v>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C45-4861-B515-487300132A1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86217663"/>
        <c:axId val="186226815"/>
      </c:barChart>
      <c:catAx>
        <c:axId val="1862176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bg1"/>
                </a:solidFill>
                <a:latin typeface="Bahnschrift Ligh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186226815"/>
        <c:crosses val="autoZero"/>
        <c:auto val="1"/>
        <c:lblAlgn val="ctr"/>
        <c:lblOffset val="100"/>
        <c:noMultiLvlLbl val="0"/>
      </c:catAx>
      <c:valAx>
        <c:axId val="186226815"/>
        <c:scaling>
          <c:orientation val="minMax"/>
        </c:scaling>
        <c:delete val="0"/>
        <c:axPos val="l"/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" b="0" i="0" u="none" strike="noStrike" kern="1200" baseline="0">
                <a:solidFill>
                  <a:schemeClr val="tx1">
                    <a:lumMod val="75000"/>
                    <a:lumOff val="25000"/>
                  </a:schemeClr>
                </a:solidFill>
                <a:latin typeface="Bahnschrift Ligh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18621766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>
          <a:latin typeface="Bahnschrift Light" panose="020B0502040204020203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050" b="0" i="0" u="none" strike="noStrike" kern="1200" spc="0" baseline="0">
                <a:solidFill>
                  <a:schemeClr val="bg1"/>
                </a:solidFill>
                <a:latin typeface="Bahnschrift Light" panose="020B0502040204020203" pitchFamily="34" charset="0"/>
                <a:ea typeface="+mn-ea"/>
                <a:cs typeface="+mn-cs"/>
              </a:defRPr>
            </a:pPr>
            <a:r>
              <a:rPr lang="en-US" sz="1050">
                <a:solidFill>
                  <a:schemeClr val="bg1"/>
                </a:solidFill>
              </a:rPr>
              <a:t>Demandes traitées par type </a:t>
            </a:r>
          </a:p>
        </c:rich>
      </c:tx>
      <c:layout>
        <c:manualLayout>
          <c:xMode val="edge"/>
          <c:yMode val="edge"/>
          <c:x val="0.22104627332542334"/>
          <c:y val="2.646785015921466E-2"/>
        </c:manualLayout>
      </c:layout>
      <c:overlay val="0"/>
      <c:spPr>
        <a:solidFill>
          <a:schemeClr val="tx1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spc="0" baseline="0">
              <a:solidFill>
                <a:schemeClr val="bg1"/>
              </a:solidFill>
              <a:latin typeface="Bahnschrift Light" panose="020B0502040204020203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3579141648389843"/>
          <c:y val="0.17524823674640924"/>
          <c:w val="0.36403412073490815"/>
          <c:h val="0.7949130094076553"/>
        </c:manualLayout>
      </c:layout>
      <c:doughnutChart>
        <c:varyColors val="1"/>
        <c:ser>
          <c:idx val="0"/>
          <c:order val="0"/>
          <c:tx>
            <c:strRef>
              <c:f>Fiche!$N$82</c:f>
              <c:strCache>
                <c:ptCount val="1"/>
                <c:pt idx="0">
                  <c:v>Nombre</c:v>
                </c:pt>
              </c:strCache>
            </c:strRef>
          </c:tx>
          <c:dPt>
            <c:idx val="0"/>
            <c:bubble3D val="0"/>
            <c:spPr>
              <a:solidFill>
                <a:schemeClr val="accent3">
                  <a:shade val="58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E112-4E8E-846C-B9B6E55B73D0}"/>
              </c:ext>
            </c:extLst>
          </c:dPt>
          <c:dPt>
            <c:idx val="1"/>
            <c:bubble3D val="0"/>
            <c:spPr>
              <a:solidFill>
                <a:schemeClr val="accent3">
                  <a:shade val="86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E112-4E8E-846C-B9B6E55B73D0}"/>
              </c:ext>
            </c:extLst>
          </c:dPt>
          <c:dPt>
            <c:idx val="2"/>
            <c:bubble3D val="0"/>
            <c:spPr>
              <a:solidFill>
                <a:schemeClr val="accent3">
                  <a:tint val="86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E112-4E8E-846C-B9B6E55B73D0}"/>
              </c:ext>
            </c:extLst>
          </c:dPt>
          <c:dPt>
            <c:idx val="3"/>
            <c:bubble3D val="0"/>
            <c:spPr>
              <a:solidFill>
                <a:schemeClr val="accent3">
                  <a:tint val="58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E112-4E8E-846C-B9B6E55B73D0}"/>
              </c:ext>
            </c:extLst>
          </c:dPt>
          <c:dLbls>
            <c:dLbl>
              <c:idx val="0"/>
              <c:layout>
                <c:manualLayout>
                  <c:x val="0.16969696969696971"/>
                  <c:y val="-9.9255557269153971E-2"/>
                </c:manualLayout>
              </c:layout>
              <c:spPr>
                <a:solidFill>
                  <a:schemeClr val="tx1">
                    <a:lumMod val="50000"/>
                    <a:lumOff val="50000"/>
                  </a:schemeClr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Bahnschrift Light" panose="020B0502040204020203" pitchFamily="34" charset="0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E112-4E8E-846C-B9B6E55B73D0}"/>
                </c:ext>
              </c:extLst>
            </c:dLbl>
            <c:dLbl>
              <c:idx val="1"/>
              <c:layout>
                <c:manualLayout>
                  <c:x val="-9.8408657821881851E-2"/>
                  <c:y val="0.21900455067151361"/>
                </c:manualLayout>
              </c:layout>
              <c:spPr>
                <a:solidFill>
                  <a:schemeClr val="bg2">
                    <a:lumMod val="75000"/>
                  </a:schemeClr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Bahnschrift Light" panose="020B0502040204020203" pitchFamily="34" charset="0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E112-4E8E-846C-B9B6E55B73D0}"/>
                </c:ext>
              </c:extLst>
            </c:dLbl>
            <c:dLbl>
              <c:idx val="2"/>
              <c:layout>
                <c:manualLayout>
                  <c:x val="-0.19218111434700802"/>
                  <c:y val="0.1157723784706845"/>
                </c:manualLayout>
              </c:layout>
              <c:spPr>
                <a:solidFill>
                  <a:schemeClr val="accent3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Bahnschrift Light" panose="020B0502040204020203" pitchFamily="34" charset="0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E112-4E8E-846C-B9B6E55B73D0}"/>
                </c:ext>
              </c:extLst>
            </c:dLbl>
            <c:dLbl>
              <c:idx val="3"/>
              <c:layout>
                <c:manualLayout>
                  <c:x val="-0.17878787878787883"/>
                  <c:y val="6.617037151276932E-3"/>
                </c:manualLayout>
              </c:layout>
              <c:spPr>
                <a:solidFill>
                  <a:schemeClr val="bg2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ysClr val="windowText" lastClr="000000"/>
                      </a:solidFill>
                      <a:latin typeface="Bahnschrift Light" panose="020B0502040204020203" pitchFamily="34" charset="0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E112-4E8E-846C-B9B6E55B73D0}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Bahnschrift Light" panose="020B0502040204020203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bg2">
                      <a:lumMod val="7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Fiche!$M$83:$M$86</c:f>
              <c:strCache>
                <c:ptCount val="4"/>
                <c:pt idx="0">
                  <c:v>TTC</c:v>
                </c:pt>
                <c:pt idx="1">
                  <c:v>TAX</c:v>
                </c:pt>
                <c:pt idx="2">
                  <c:v>MEP</c:v>
                </c:pt>
                <c:pt idx="3">
                  <c:v>CCO</c:v>
                </c:pt>
              </c:strCache>
            </c:strRef>
          </c:cat>
          <c:val>
            <c:numRef>
              <c:f>Fiche!$N$83:$N$86</c:f>
              <c:numCache>
                <c:formatCode>#,##0</c:formatCode>
                <c:ptCount val="4"/>
                <c:pt idx="0">
                  <c:v>716</c:v>
                </c:pt>
                <c:pt idx="1">
                  <c:v>254</c:v>
                </c:pt>
                <c:pt idx="2">
                  <c:v>134</c:v>
                </c:pt>
                <c:pt idx="3">
                  <c:v>450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E112-4E8E-846C-B9B6E55B73D0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42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latin typeface="Bahnschrift Light" panose="020B0502040204020203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000" b="0" i="0" u="none" strike="noStrike" kern="1200" spc="0" baseline="0">
                <a:solidFill>
                  <a:sysClr val="windowText" lastClr="000000"/>
                </a:solidFill>
                <a:latin typeface="Bahnschrift Light" panose="020B0502040204020203" pitchFamily="34" charset="0"/>
                <a:ea typeface="+mn-ea"/>
                <a:cs typeface="+mn-cs"/>
              </a:defRPr>
            </a:pPr>
            <a:r>
              <a:rPr lang="fr-FR" sz="1000">
                <a:solidFill>
                  <a:sysClr val="windowText" lastClr="000000"/>
                </a:solidFill>
              </a:rPr>
              <a:t>Part sur la production Service</a:t>
            </a:r>
          </a:p>
        </c:rich>
      </c:tx>
      <c:overlay val="0"/>
      <c:spPr>
        <a:solidFill>
          <a:sysClr val="window" lastClr="FFFFFF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spc="0" baseline="0">
              <a:solidFill>
                <a:sysClr val="windowText" lastClr="000000"/>
              </a:solidFill>
              <a:latin typeface="Bahnschrift Light" panose="020B0502040204020203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Fiche!$P$82</c:f>
              <c:strCache>
                <c:ptCount val="1"/>
                <c:pt idx="0">
                  <c:v>% traité</c:v>
                </c:pt>
              </c:strCache>
            </c:strRef>
          </c:tx>
          <c:spPr>
            <a:solidFill>
              <a:schemeClr val="accent3"/>
            </a:solidFill>
            <a:ln>
              <a:solidFill>
                <a:srgbClr val="FF0000"/>
              </a:solidFill>
            </a:ln>
            <a:effectLst/>
          </c:spPr>
          <c:invertIfNegative val="0"/>
          <c:dPt>
            <c:idx val="4"/>
            <c:invertIfNegative val="0"/>
            <c:bubble3D val="0"/>
            <c:spPr>
              <a:solidFill>
                <a:srgbClr val="FF0000"/>
              </a:solidFill>
              <a:ln>
                <a:solidFill>
                  <a:srgbClr val="FF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AB1E-4E29-B8E9-4E950C72FE91}"/>
              </c:ext>
            </c:extLst>
          </c:dPt>
          <c:dLbls>
            <c:dLbl>
              <c:idx val="4"/>
              <c:spPr>
                <a:solidFill>
                  <a:srgbClr val="FF0000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800" b="0" i="0" u="none" strike="noStrike" kern="1200" baseline="0">
                      <a:solidFill>
                        <a:schemeClr val="bg1"/>
                      </a:solidFill>
                      <a:latin typeface="Bahnschrift Light" panose="020B0502040204020203" pitchFamily="34" charset="0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AB1E-4E29-B8E9-4E950C72FE91}"/>
                </c:ext>
              </c:extLst>
            </c:dLbl>
            <c:spPr>
              <a:solidFill>
                <a:schemeClr val="bg1"/>
              </a:solidFill>
              <a:ln>
                <a:solidFill>
                  <a:schemeClr val="bg1"/>
                </a:solidFill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800" b="0" i="0" u="none" strike="noStrike" kern="1200" baseline="0">
                    <a:solidFill>
                      <a:schemeClr val="tx1"/>
                    </a:solidFill>
                    <a:latin typeface="Bahnschrift Light" panose="020B0502040204020203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Fiche!$M$83:$M$87</c:f>
              <c:strCache>
                <c:ptCount val="5"/>
                <c:pt idx="0">
                  <c:v>TTC</c:v>
                </c:pt>
                <c:pt idx="1">
                  <c:v>TAX</c:v>
                </c:pt>
                <c:pt idx="2">
                  <c:v>MEP</c:v>
                </c:pt>
                <c:pt idx="3">
                  <c:v>CCO</c:v>
                </c:pt>
                <c:pt idx="4">
                  <c:v>POIDS TOTAL</c:v>
                </c:pt>
              </c:strCache>
            </c:strRef>
          </c:cat>
          <c:val>
            <c:numRef>
              <c:f>Fiche!$P$83:$P$87</c:f>
              <c:numCache>
                <c:formatCode>0.0%</c:formatCode>
                <c:ptCount val="5"/>
                <c:pt idx="0">
                  <c:v>1.0018703513070711E-2</c:v>
                </c:pt>
                <c:pt idx="1">
                  <c:v>7.7016373559733176E-2</c:v>
                </c:pt>
                <c:pt idx="2">
                  <c:v>9.9185788304959291E-2</c:v>
                </c:pt>
                <c:pt idx="3">
                  <c:v>1.8150611456768932E-2</c:v>
                </c:pt>
                <c:pt idx="4">
                  <c:v>1.5496517926231622E-2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B1E-4E29-B8E9-4E950C72FE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640998415"/>
        <c:axId val="641005071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Fiche!$N$82</c15:sqref>
                        </c15:formulaRef>
                      </c:ext>
                    </c:extLst>
                    <c:strCache>
                      <c:ptCount val="1"/>
                      <c:pt idx="0">
                        <c:v>Nombre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Bahnschrift Light" panose="020B0502040204020203" pitchFamily="34" charset="0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Fiche!$M$83:$M$87</c15:sqref>
                        </c15:formulaRef>
                      </c:ext>
                    </c:extLst>
                    <c:strCache>
                      <c:ptCount val="5"/>
                      <c:pt idx="0">
                        <c:v>TTC</c:v>
                      </c:pt>
                      <c:pt idx="1">
                        <c:v>TAX</c:v>
                      </c:pt>
                      <c:pt idx="2">
                        <c:v>MEP</c:v>
                      </c:pt>
                      <c:pt idx="3">
                        <c:v>CCO</c:v>
                      </c:pt>
                      <c:pt idx="4">
                        <c:v>POIDS TOTAL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Fiche!$N$83:$N$87</c15:sqref>
                        </c15:formulaRef>
                      </c:ext>
                    </c:extLst>
                    <c:numCache>
                      <c:formatCode>#,##0</c:formatCode>
                      <c:ptCount val="5"/>
                      <c:pt idx="0">
                        <c:v>716</c:v>
                      </c:pt>
                      <c:pt idx="1">
                        <c:v>254</c:v>
                      </c:pt>
                      <c:pt idx="2">
                        <c:v>134</c:v>
                      </c:pt>
                      <c:pt idx="3">
                        <c:v>450</c:v>
                      </c:pt>
                      <c:pt idx="4">
                        <c:v>1554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AB1E-4E29-B8E9-4E950C72FE91}"/>
                  </c:ext>
                </c:extLst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Fiche!$O$82</c15:sqref>
                        </c15:formulaRef>
                      </c:ext>
                    </c:extLst>
                    <c:strCache>
                      <c:ptCount val="1"/>
                      <c:pt idx="0">
                        <c:v>Proportion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Bahnschrift Light" panose="020B0502040204020203" pitchFamily="34" charset="0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Fiche!$M$83:$M$87</c15:sqref>
                        </c15:formulaRef>
                      </c:ext>
                    </c:extLst>
                    <c:strCache>
                      <c:ptCount val="5"/>
                      <c:pt idx="0">
                        <c:v>TTC</c:v>
                      </c:pt>
                      <c:pt idx="1">
                        <c:v>TAX</c:v>
                      </c:pt>
                      <c:pt idx="2">
                        <c:v>MEP</c:v>
                      </c:pt>
                      <c:pt idx="3">
                        <c:v>CCO</c:v>
                      </c:pt>
                      <c:pt idx="4">
                        <c:v>POIDS TOTAL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Fiche!$O$83:$O$87</c15:sqref>
                        </c15:formulaRef>
                      </c:ext>
                    </c:extLst>
                    <c:numCache>
                      <c:formatCode>0%</c:formatCode>
                      <c:ptCount val="5"/>
                      <c:pt idx="0">
                        <c:v>0.46074646074646075</c:v>
                      </c:pt>
                      <c:pt idx="1">
                        <c:v>0.16344916344916344</c:v>
                      </c:pt>
                      <c:pt idx="2">
                        <c:v>8.6229086229086233E-2</c:v>
                      </c:pt>
                      <c:pt idx="3">
                        <c:v>0.28957528957528955</c:v>
                      </c:pt>
                      <c:pt idx="4">
                        <c:v>0.99999999999999989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AB1E-4E29-B8E9-4E950C72FE91}"/>
                  </c:ext>
                </c:extLst>
              </c15:ser>
            </c15:filteredBarSeries>
          </c:ext>
        </c:extLst>
      </c:barChart>
      <c:scatterChart>
        <c:scatterStyle val="lineMarker"/>
        <c:varyColors val="0"/>
        <c:ser>
          <c:idx val="3"/>
          <c:order val="3"/>
          <c:tx>
            <c:strRef>
              <c:f>Fiche!$Q$82</c:f>
              <c:strCache>
                <c:ptCount val="1"/>
                <c:pt idx="0">
                  <c:v>Rang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dLbl>
              <c:idx val="4"/>
              <c:layout>
                <c:manualLayout>
                  <c:x val="-6.1023321741531765E-3"/>
                  <c:y val="1.915770305469759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7.0591542189949355E-2"/>
                      <c:h val="0.14118450609980154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6-AB1E-4E29-B8E9-4E950C72FE91}"/>
                </c:ext>
              </c:extLst>
            </c:dLbl>
            <c:spPr>
              <a:solidFill>
                <a:schemeClr val="lt1"/>
              </a:solidFill>
              <a:ln>
                <a:solidFill>
                  <a:schemeClr val="dk1">
                    <a:lumMod val="25000"/>
                    <a:lumOff val="75000"/>
                  </a:scheme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Bahnschrift Light" panose="020B0502040204020203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ellipse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strRef>
              <c:f>Fiche!$M$83:$M$87</c:f>
              <c:strCache>
                <c:ptCount val="5"/>
                <c:pt idx="0">
                  <c:v>TTC</c:v>
                </c:pt>
                <c:pt idx="1">
                  <c:v>TAX</c:v>
                </c:pt>
                <c:pt idx="2">
                  <c:v>MEP</c:v>
                </c:pt>
                <c:pt idx="3">
                  <c:v>CCO</c:v>
                </c:pt>
                <c:pt idx="4">
                  <c:v>POIDS TOTAL</c:v>
                </c:pt>
              </c:strCache>
            </c:strRef>
          </c:xVal>
          <c:yVal>
            <c:numRef>
              <c:f>Fiche!$Q$83:$Q$87</c:f>
              <c:numCache>
                <c:formatCode>#,##0</c:formatCode>
                <c:ptCount val="5"/>
                <c:pt idx="4">
                  <c:v>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AB1E-4E29-B8E9-4E950C72FE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73854111"/>
        <c:axId val="1373856191"/>
      </c:scatterChart>
      <c:catAx>
        <c:axId val="64099841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Bahnschrift Ligh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641005071"/>
        <c:crosses val="autoZero"/>
        <c:auto val="1"/>
        <c:lblAlgn val="ctr"/>
        <c:lblOffset val="100"/>
        <c:noMultiLvlLbl val="0"/>
      </c:catAx>
      <c:valAx>
        <c:axId val="641005071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" b="0" i="0" u="none" strike="noStrike" kern="1200" baseline="0">
                <a:solidFill>
                  <a:schemeClr val="tx1"/>
                </a:solidFill>
                <a:latin typeface="Bahnschrift Ligh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640998415"/>
        <c:crosses val="autoZero"/>
        <c:crossBetween val="between"/>
      </c:valAx>
      <c:valAx>
        <c:axId val="1373856191"/>
        <c:scaling>
          <c:orientation val="minMax"/>
        </c:scaling>
        <c:delete val="0"/>
        <c:axPos val="r"/>
        <c:numFmt formatCode="#,##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" b="0" i="0" u="none" strike="noStrike" kern="1200" baseline="0">
                <a:solidFill>
                  <a:sysClr val="windowText" lastClr="000000"/>
                </a:solidFill>
                <a:latin typeface="Bahnschrift Ligh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1373854111"/>
        <c:crosses val="max"/>
        <c:crossBetween val="midCat"/>
      </c:valAx>
      <c:valAx>
        <c:axId val="1373854111"/>
        <c:scaling>
          <c:orientation val="minMax"/>
          <c:min val="0.30000000000000004"/>
        </c:scaling>
        <c:delete val="1"/>
        <c:axPos val="t"/>
        <c:majorTickMark val="out"/>
        <c:minorTickMark val="none"/>
        <c:tickLblPos val="nextTo"/>
        <c:crossAx val="1373856191"/>
        <c:crosses val="max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latin typeface="Bahnschrift Light" panose="020B0502040204020203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050" b="0" i="0" u="none" strike="noStrike" kern="1200" spc="0" baseline="0">
                <a:solidFill>
                  <a:schemeClr val="bg1"/>
                </a:solidFill>
                <a:latin typeface="Bahnschrift Light" panose="020B0502040204020203" pitchFamily="34" charset="0"/>
                <a:ea typeface="+mn-ea"/>
                <a:cs typeface="+mn-cs"/>
              </a:defRPr>
            </a:pPr>
            <a:r>
              <a:rPr lang="fr-FR" sz="1050">
                <a:solidFill>
                  <a:schemeClr val="bg1"/>
                </a:solidFill>
                <a:latin typeface="Bahnschrift Light" panose="020B0502040204020203" pitchFamily="34" charset="0"/>
              </a:rPr>
              <a:t>Controle </a:t>
            </a:r>
          </a:p>
        </c:rich>
      </c:tx>
      <c:overlay val="0"/>
      <c:spPr>
        <a:solidFill>
          <a:schemeClr val="tx1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spc="0" baseline="0">
              <a:solidFill>
                <a:schemeClr val="bg1"/>
              </a:solidFill>
              <a:latin typeface="Bahnschrift Light" panose="020B0502040204020203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numFmt formatCode="General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Bahnschrift Light" panose="020B0502040204020203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Fiche!$M$89:$U$89</c:f>
              <c:strCache>
                <c:ptCount val="9"/>
                <c:pt idx="0">
                  <c:v>Code de saisie</c:v>
                </c:pt>
                <c:pt idx="1">
                  <c:v>Autres erreurs exécution</c:v>
                </c:pt>
                <c:pt idx="2">
                  <c:v>Erreur d'exécution</c:v>
                </c:pt>
                <c:pt idx="3">
                  <c:v>Compact</c:v>
                </c:pt>
                <c:pt idx="4">
                  <c:v>Autres erreurs exécution</c:v>
                </c:pt>
                <c:pt idx="5">
                  <c:v>Erreur d'exécution</c:v>
                </c:pt>
                <c:pt idx="6">
                  <c:v>Compact</c:v>
                </c:pt>
                <c:pt idx="7">
                  <c:v>KO</c:v>
                </c:pt>
                <c:pt idx="8">
                  <c:v>Total général</c:v>
                </c:pt>
              </c:strCache>
            </c:strRef>
          </c:cat>
          <c:val>
            <c:numRef>
              <c:f>Fiche!$M$90:$U$90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5</c:v>
                </c:pt>
                <c:pt idx="6">
                  <c:v>0</c:v>
                </c:pt>
                <c:pt idx="7">
                  <c:v>4</c:v>
                </c:pt>
                <c:pt idx="8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CCB-46DF-901B-91C599D781F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488228815"/>
        <c:axId val="488222159"/>
      </c:barChart>
      <c:catAx>
        <c:axId val="488228815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 Ligh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488222159"/>
        <c:crosses val="autoZero"/>
        <c:auto val="1"/>
        <c:lblAlgn val="ctr"/>
        <c:lblOffset val="100"/>
        <c:noMultiLvlLbl val="0"/>
      </c:catAx>
      <c:valAx>
        <c:axId val="48822215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8822881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1238586419512187E-2"/>
          <c:y val="0.11049167025312494"/>
          <c:w val="0.87752264340678177"/>
          <c:h val="0.62420394845358873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Fiche!$I$96</c:f>
              <c:strCache>
                <c:ptCount val="1"/>
                <c:pt idx="0">
                  <c:v>Dans les SLA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00B050"/>
              </a:solidFill>
              <a:ln>
                <a:solidFill>
                  <a:schemeClr val="bg1"/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oundRec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Fiche!$I$97</c:f>
              <c:numCache>
                <c:formatCode>0%</c:formatCode>
                <c:ptCount val="1"/>
                <c:pt idx="0">
                  <c:v>0.99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08F-4DC4-BCB6-7933D159A070}"/>
            </c:ext>
          </c:extLst>
        </c:ser>
        <c:ser>
          <c:idx val="1"/>
          <c:order val="1"/>
          <c:tx>
            <c:strRef>
              <c:f>Fiche!$J$96</c:f>
              <c:strCache>
                <c:ptCount val="1"/>
                <c:pt idx="0">
                  <c:v>Hors SLA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ED0110"/>
              </a:solidFill>
              <a:ln>
                <a:solidFill>
                  <a:schemeClr val="bg1"/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oundRec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Fiche!$J$97</c:f>
              <c:numCache>
                <c:formatCode>0%</c:formatCode>
                <c:ptCount val="1"/>
                <c:pt idx="0">
                  <c:v>1.0000000000000009E-2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08F-4DC4-BCB6-7933D159A07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084651232"/>
        <c:axId val="1084651648"/>
      </c:barChart>
      <c:catAx>
        <c:axId val="108465123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084651648"/>
        <c:crosses val="autoZero"/>
        <c:auto val="1"/>
        <c:lblAlgn val="ctr"/>
        <c:lblOffset val="100"/>
        <c:noMultiLvlLbl val="0"/>
      </c:catAx>
      <c:valAx>
        <c:axId val="1084651648"/>
        <c:scaling>
          <c:orientation val="minMax"/>
          <c:min val="0"/>
        </c:scaling>
        <c:delete val="1"/>
        <c:axPos val="b"/>
        <c:numFmt formatCode="0%" sourceLinked="1"/>
        <c:majorTickMark val="none"/>
        <c:minorTickMark val="none"/>
        <c:tickLblPos val="nextTo"/>
        <c:crossAx val="10846512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32226752477858078"/>
          <c:y val="0.71305648516544651"/>
          <c:w val="0.39445156993070862"/>
          <c:h val="0.2177024421411061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050" b="0" i="0" u="none" strike="noStrike" kern="1200" spc="0" baseline="0">
                <a:solidFill>
                  <a:schemeClr val="bg1"/>
                </a:solidFill>
                <a:latin typeface="Bahnschrift Light" panose="020B0502040204020203" pitchFamily="34" charset="0"/>
                <a:ea typeface="+mn-ea"/>
                <a:cs typeface="+mn-cs"/>
              </a:defRPr>
            </a:pPr>
            <a:r>
              <a:rPr lang="en-US" sz="1050">
                <a:solidFill>
                  <a:schemeClr val="bg1"/>
                </a:solidFill>
              </a:rPr>
              <a:t>Evolution conformité </a:t>
            </a:r>
          </a:p>
        </c:rich>
      </c:tx>
      <c:overlay val="0"/>
      <c:spPr>
        <a:solidFill>
          <a:schemeClr val="tx1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spc="0" baseline="0">
              <a:solidFill>
                <a:schemeClr val="bg1"/>
              </a:solidFill>
              <a:latin typeface="Bahnschrift Light" panose="020B0502040204020203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Fiche!$M$135</c:f>
              <c:strCache>
                <c:ptCount val="1"/>
                <c:pt idx="0">
                  <c:v>100%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FF0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Bahnschrift Light" panose="020B0502040204020203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Fiche!$N$134:$R$134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Synthèse</c:v>
                </c:pt>
              </c:strCache>
            </c:strRef>
          </c:cat>
          <c:val>
            <c:numRef>
              <c:f>Fiche!$N$135:$R$135</c:f>
              <c:numCache>
                <c:formatCode>0%</c:formatCode>
                <c:ptCount val="5"/>
                <c:pt idx="0">
                  <c:v>1</c:v>
                </c:pt>
                <c:pt idx="1">
                  <c:v>0.96250000000000002</c:v>
                </c:pt>
                <c:pt idx="2">
                  <c:v>0.96551724137931039</c:v>
                </c:pt>
                <c:pt idx="3">
                  <c:v>1</c:v>
                </c:pt>
                <c:pt idx="4">
                  <c:v>0.96111111111111114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563-4D3A-BFB2-DFE3EA883D29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220765920"/>
        <c:axId val="220768000"/>
      </c:barChart>
      <c:catAx>
        <c:axId val="220765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 Ligh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220768000"/>
        <c:crosses val="autoZero"/>
        <c:auto val="1"/>
        <c:lblAlgn val="ctr"/>
        <c:lblOffset val="100"/>
        <c:noMultiLvlLbl val="0"/>
      </c:catAx>
      <c:valAx>
        <c:axId val="220768000"/>
        <c:scaling>
          <c:orientation val="minMax"/>
          <c:min val="0"/>
        </c:scaling>
        <c:delete val="1"/>
        <c:axPos val="l"/>
        <c:numFmt formatCode="0%" sourceLinked="1"/>
        <c:majorTickMark val="none"/>
        <c:minorTickMark val="none"/>
        <c:tickLblPos val="nextTo"/>
        <c:crossAx val="2207659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latin typeface="Bahnschrift Light" panose="020B0502040204020203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6">
  <a:schemeClr val="accent3"/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85724</xdr:colOff>
      <xdr:row>8</xdr:row>
      <xdr:rowOff>66912</xdr:rowOff>
    </xdr:from>
    <xdr:to>
      <xdr:col>4</xdr:col>
      <xdr:colOff>1504949</xdr:colOff>
      <xdr:row>8</xdr:row>
      <xdr:rowOff>411717</xdr:rowOff>
    </xdr:to>
    <xdr:sp macro="[0]!GoSettings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04924" y="2124312"/>
          <a:ext cx="2638425" cy="34480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Paramètrage</a:t>
          </a:r>
          <a:r>
            <a:rPr lang="en-US" sz="1400" b="1" baseline="0"/>
            <a:t> Email</a:t>
          </a:r>
          <a:endParaRPr lang="en-US" sz="1400" b="1"/>
        </a:p>
      </xdr:txBody>
    </xdr:sp>
    <xdr:clientData/>
  </xdr:twoCellAnchor>
  <xdr:twoCellAnchor editAs="oneCell">
    <xdr:from>
      <xdr:col>2</xdr:col>
      <xdr:colOff>85724</xdr:colOff>
      <xdr:row>9</xdr:row>
      <xdr:rowOff>71793</xdr:rowOff>
    </xdr:from>
    <xdr:to>
      <xdr:col>4</xdr:col>
      <xdr:colOff>1504949</xdr:colOff>
      <xdr:row>9</xdr:row>
      <xdr:rowOff>418029</xdr:rowOff>
    </xdr:to>
    <xdr:sp macro="[0]!SendEmailTest" textlink="">
      <xdr:nvSpPr>
        <xdr:cNvPr id="7" name="Rounded Rectangl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304924" y="2605443"/>
          <a:ext cx="2638425" cy="346236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Envoyer Test Emails</a:t>
          </a:r>
        </a:p>
      </xdr:txBody>
    </xdr:sp>
    <xdr:clientData/>
  </xdr:twoCellAnchor>
  <xdr:twoCellAnchor editAs="oneCell">
    <xdr:from>
      <xdr:col>2</xdr:col>
      <xdr:colOff>85724</xdr:colOff>
      <xdr:row>10</xdr:row>
      <xdr:rowOff>78105</xdr:rowOff>
    </xdr:from>
    <xdr:to>
      <xdr:col>4</xdr:col>
      <xdr:colOff>1504949</xdr:colOff>
      <xdr:row>10</xdr:row>
      <xdr:rowOff>422910</xdr:rowOff>
    </xdr:to>
    <xdr:sp macro="[0]!SendEmailStores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304924" y="3088005"/>
          <a:ext cx="2638425" cy="34480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Envoyer Emails</a:t>
          </a:r>
        </a:p>
      </xdr:txBody>
    </xdr:sp>
    <xdr:clientData/>
  </xdr:twoCellAnchor>
  <xdr:twoCellAnchor editAs="oneCell">
    <xdr:from>
      <xdr:col>2</xdr:col>
      <xdr:colOff>85724</xdr:colOff>
      <xdr:row>6</xdr:row>
      <xdr:rowOff>57150</xdr:rowOff>
    </xdr:from>
    <xdr:to>
      <xdr:col>4</xdr:col>
      <xdr:colOff>1504949</xdr:colOff>
      <xdr:row>6</xdr:row>
      <xdr:rowOff>401955</xdr:rowOff>
    </xdr:to>
    <xdr:sp macro="[0]!GoList" textlink="">
      <xdr:nvSpPr>
        <xdr:cNvPr id="8" name="Rounded Rectangle 1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304924" y="1162050"/>
          <a:ext cx="2638425" cy="34480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Mis</a:t>
          </a:r>
          <a:r>
            <a:rPr lang="en-US" sz="1400" b="1" baseline="0"/>
            <a:t>e à jour Email</a:t>
          </a:r>
          <a:endParaRPr lang="en-US" sz="1400" b="1"/>
        </a:p>
      </xdr:txBody>
    </xdr:sp>
    <xdr:clientData/>
  </xdr:twoCellAnchor>
  <xdr:twoCellAnchor editAs="oneCell">
    <xdr:from>
      <xdr:col>2</xdr:col>
      <xdr:colOff>85724</xdr:colOff>
      <xdr:row>7</xdr:row>
      <xdr:rowOff>62031</xdr:rowOff>
    </xdr:from>
    <xdr:to>
      <xdr:col>4</xdr:col>
      <xdr:colOff>1504949</xdr:colOff>
      <xdr:row>7</xdr:row>
      <xdr:rowOff>406836</xdr:rowOff>
    </xdr:to>
    <xdr:sp macro="[0]!GoReport" textlink="">
      <xdr:nvSpPr>
        <xdr:cNvPr id="10" name="Rounded Rectangle 1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304924" y="1643181"/>
          <a:ext cx="2638425" cy="34480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Numéro de début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83820</xdr:colOff>
      <xdr:row>15</xdr:row>
      <xdr:rowOff>53340</xdr:rowOff>
    </xdr:from>
    <xdr:to>
      <xdr:col>3</xdr:col>
      <xdr:colOff>2689860</xdr:colOff>
      <xdr:row>16</xdr:row>
      <xdr:rowOff>167640</xdr:rowOff>
    </xdr:to>
    <xdr:sp macro="[0]!GetFolderFilesPDF" textlink="">
      <xdr:nvSpPr>
        <xdr:cNvPr id="3" name="Rounded 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644140" y="3406140"/>
          <a:ext cx="2606040" cy="29718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/>
            <a:t>Séléctionnez</a:t>
          </a:r>
          <a:r>
            <a:rPr lang="en-US" sz="1100" b="1" baseline="0"/>
            <a:t> le dossier de sauvegarde</a:t>
          </a:r>
          <a:endParaRPr lang="en-US" sz="1100" b="1"/>
        </a:p>
      </xdr:txBody>
    </xdr:sp>
    <xdr:clientData/>
  </xdr:twoCellAnchor>
  <xdr:twoCellAnchor>
    <xdr:from>
      <xdr:col>4</xdr:col>
      <xdr:colOff>23812</xdr:colOff>
      <xdr:row>0</xdr:row>
      <xdr:rowOff>59531</xdr:rowOff>
    </xdr:from>
    <xdr:to>
      <xdr:col>6</xdr:col>
      <xdr:colOff>178594</xdr:colOff>
      <xdr:row>0</xdr:row>
      <xdr:rowOff>416718</xdr:rowOff>
    </xdr:to>
    <xdr:sp macro="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584031" y="59531"/>
          <a:ext cx="1357313" cy="357187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latin typeface="Berlin Sans FB Demi" panose="020E0802020502020306" pitchFamily="34" charset="0"/>
            </a:rPr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2932</xdr:colOff>
      <xdr:row>11</xdr:row>
      <xdr:rowOff>9720</xdr:rowOff>
    </xdr:from>
    <xdr:to>
      <xdr:col>2</xdr:col>
      <xdr:colOff>1040932</xdr:colOff>
      <xdr:row>11</xdr:row>
      <xdr:rowOff>45720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0500-00001F000000}"/>
            </a:ext>
          </a:extLst>
        </xdr:cNvPr>
        <xdr:cNvSpPr/>
      </xdr:nvSpPr>
      <xdr:spPr>
        <a:xfrm rot="16200000" flipH="1">
          <a:off x="1046857" y="1394670"/>
          <a:ext cx="36000" cy="1800000"/>
        </a:xfrm>
        <a:prstGeom prst="rect">
          <a:avLst/>
        </a:prstGeom>
        <a:solidFill>
          <a:srgbClr val="ED011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28511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57022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85533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14044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142555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171066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199576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228087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1</xdr:col>
      <xdr:colOff>36636</xdr:colOff>
      <xdr:row>35</xdr:row>
      <xdr:rowOff>226597</xdr:rowOff>
    </xdr:from>
    <xdr:to>
      <xdr:col>2</xdr:col>
      <xdr:colOff>323850</xdr:colOff>
      <xdr:row>35</xdr:row>
      <xdr:rowOff>272316</xdr:rowOff>
    </xdr:to>
    <xdr:sp macro="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SpPr/>
      </xdr:nvSpPr>
      <xdr:spPr>
        <a:xfrm rot="16200000" flipH="1">
          <a:off x="700308" y="6830500"/>
          <a:ext cx="45719" cy="1049214"/>
        </a:xfrm>
        <a:prstGeom prst="rect">
          <a:avLst/>
        </a:prstGeom>
        <a:solidFill>
          <a:srgbClr val="ED011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28511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57022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85533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14044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142555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171066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199576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228087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0</xdr:col>
      <xdr:colOff>114300</xdr:colOff>
      <xdr:row>22</xdr:row>
      <xdr:rowOff>171449</xdr:rowOff>
    </xdr:from>
    <xdr:to>
      <xdr:col>5</xdr:col>
      <xdr:colOff>19050</xdr:colOff>
      <xdr:row>32</xdr:row>
      <xdr:rowOff>47624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FA16C2A5-7FE9-4336-92FA-0E7F248A089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6</xdr:col>
      <xdr:colOff>42300</xdr:colOff>
      <xdr:row>9</xdr:row>
      <xdr:rowOff>180975</xdr:rowOff>
    </xdr:to>
    <xdr:sp macro="" textlink="">
      <xdr:nvSpPr>
        <xdr:cNvPr id="100" name="Rectangle 99">
          <a:extLst>
            <a:ext uri="{FF2B5EF4-FFF2-40B4-BE49-F238E27FC236}">
              <a16:creationId xmlns:a16="http://schemas.microsoft.com/office/drawing/2014/main" id="{46AC546C-D389-4236-A02C-E0363F8007D2}"/>
            </a:ext>
          </a:extLst>
        </xdr:cNvPr>
        <xdr:cNvSpPr/>
      </xdr:nvSpPr>
      <xdr:spPr>
        <a:xfrm>
          <a:off x="0" y="0"/>
          <a:ext cx="4500000" cy="1981200"/>
        </a:xfrm>
        <a:prstGeom prst="rect">
          <a:avLst/>
        </a:prstGeom>
        <a:solidFill>
          <a:srgbClr val="00003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28511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57022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85533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14044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142555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171066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199576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228087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0</xdr:col>
      <xdr:colOff>47625</xdr:colOff>
      <xdr:row>0</xdr:row>
      <xdr:rowOff>0</xdr:rowOff>
    </xdr:from>
    <xdr:to>
      <xdr:col>4</xdr:col>
      <xdr:colOff>752475</xdr:colOff>
      <xdr:row>6</xdr:row>
      <xdr:rowOff>104124</xdr:rowOff>
    </xdr:to>
    <xdr:sp macro="" textlink="">
      <xdr:nvSpPr>
        <xdr:cNvPr id="101" name="Rectangle 100">
          <a:extLst>
            <a:ext uri="{FF2B5EF4-FFF2-40B4-BE49-F238E27FC236}">
              <a16:creationId xmlns:a16="http://schemas.microsoft.com/office/drawing/2014/main" id="{AB15EEDC-CDF6-4F18-92D7-5AB8FC529F5C}"/>
            </a:ext>
          </a:extLst>
        </xdr:cNvPr>
        <xdr:cNvSpPr/>
      </xdr:nvSpPr>
      <xdr:spPr>
        <a:xfrm>
          <a:off x="47625" y="0"/>
          <a:ext cx="4000500" cy="1285224"/>
        </a:xfrm>
        <a:prstGeom prst="rect">
          <a:avLst/>
        </a:prstGeom>
      </xdr:spPr>
      <xdr:txBody>
        <a:bodyPr wrap="square">
          <a:spAutoFit/>
        </a:bodyPr>
        <a:lstStyle>
          <a:defPPr>
            <a:defRPr lang="fr-FR"/>
          </a:defPPr>
          <a:lvl1pPr marL="0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285110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70220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855330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140440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425550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710660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995769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2280879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>
            <a:lnSpc>
              <a:spcPts val="3240"/>
            </a:lnSpc>
          </a:pPr>
          <a:r>
            <a:rPr lang="fr-FR" sz="2000" b="1">
              <a:solidFill>
                <a:schemeClr val="bg1"/>
              </a:solidFill>
              <a:latin typeface="Montserrat ExtraBold" charset="0"/>
              <a:ea typeface="Montserrat ExtraBold" charset="0"/>
              <a:cs typeface="Montserrat ExtraBold" charset="0"/>
            </a:rPr>
            <a:t>FICHE DE</a:t>
          </a:r>
          <a:r>
            <a:rPr lang="fr-FR" sz="2000" b="1" baseline="0">
              <a:solidFill>
                <a:schemeClr val="bg1"/>
              </a:solidFill>
              <a:latin typeface="Montserrat ExtraBold" charset="0"/>
              <a:ea typeface="Montserrat ExtraBold" charset="0"/>
              <a:cs typeface="Montserrat ExtraBold" charset="0"/>
            </a:rPr>
            <a:t> PRODUCTION</a:t>
          </a:r>
          <a:r>
            <a:rPr lang="fr-FR" sz="2000" b="1">
              <a:solidFill>
                <a:schemeClr val="bg1"/>
              </a:solidFill>
              <a:latin typeface="Montserrat ExtraBold" charset="0"/>
              <a:ea typeface="Montserrat ExtraBold" charset="0"/>
              <a:cs typeface="Montserrat ExtraBold" charset="0"/>
            </a:rPr>
            <a:t> INDIVIDUELLE</a:t>
          </a:r>
        </a:p>
        <a:p>
          <a:pPr>
            <a:lnSpc>
              <a:spcPts val="3240"/>
            </a:lnSpc>
          </a:pPr>
          <a:r>
            <a:rPr lang="fr-FR" sz="2000" b="1">
              <a:solidFill>
                <a:schemeClr val="bg1"/>
              </a:solidFill>
              <a:latin typeface="Montserrat ExtraBold" charset="0"/>
              <a:ea typeface="Montserrat ExtraBold" charset="0"/>
              <a:cs typeface="Montserrat ExtraBold" charset="0"/>
            </a:rPr>
            <a:t>T1 2023</a:t>
          </a:r>
        </a:p>
      </xdr:txBody>
    </xdr:sp>
    <xdr:clientData/>
  </xdr:twoCellAnchor>
  <xdr:twoCellAnchor>
    <xdr:from>
      <xdr:col>0</xdr:col>
      <xdr:colOff>152400</xdr:colOff>
      <xdr:row>4</xdr:row>
      <xdr:rowOff>19050</xdr:rowOff>
    </xdr:from>
    <xdr:to>
      <xdr:col>2</xdr:col>
      <xdr:colOff>590550</xdr:colOff>
      <xdr:row>4</xdr:row>
      <xdr:rowOff>64769</xdr:rowOff>
    </xdr:to>
    <xdr:sp macro="" textlink="">
      <xdr:nvSpPr>
        <xdr:cNvPr id="102" name="Rectangle 101">
          <a:extLst>
            <a:ext uri="{FF2B5EF4-FFF2-40B4-BE49-F238E27FC236}">
              <a16:creationId xmlns:a16="http://schemas.microsoft.com/office/drawing/2014/main" id="{BCC6D6A7-39E8-4B6C-8526-D9735CAC2DF4}"/>
            </a:ext>
          </a:extLst>
        </xdr:cNvPr>
        <xdr:cNvSpPr/>
      </xdr:nvSpPr>
      <xdr:spPr>
        <a:xfrm rot="16200000" flipH="1">
          <a:off x="810578" y="208597"/>
          <a:ext cx="45719" cy="1362075"/>
        </a:xfrm>
        <a:prstGeom prst="rect">
          <a:avLst/>
        </a:prstGeom>
        <a:solidFill>
          <a:srgbClr val="ED011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28511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57022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85533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14044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142555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171066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199576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228087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0</xdr:col>
      <xdr:colOff>133350</xdr:colOff>
      <xdr:row>45</xdr:row>
      <xdr:rowOff>71438</xdr:rowOff>
    </xdr:from>
    <xdr:to>
      <xdr:col>5</xdr:col>
      <xdr:colOff>0</xdr:colOff>
      <xdr:row>56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EEFE9A5-7651-4B6C-B026-9D0BD86302B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38100</xdr:colOff>
      <xdr:row>59</xdr:row>
      <xdr:rowOff>9526</xdr:rowOff>
    </xdr:from>
    <xdr:to>
      <xdr:col>4</xdr:col>
      <xdr:colOff>904875</xdr:colOff>
      <xdr:row>71</xdr:row>
      <xdr:rowOff>76200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7B188C59-9083-4973-A70E-F05BC5970EA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142876</xdr:colOff>
      <xdr:row>10</xdr:row>
      <xdr:rowOff>28574</xdr:rowOff>
    </xdr:from>
    <xdr:to>
      <xdr:col>11</xdr:col>
      <xdr:colOff>23813</xdr:colOff>
      <xdr:row>10</xdr:row>
      <xdr:rowOff>166687</xdr:rowOff>
    </xdr:to>
    <xdr:sp macro="" textlink="">
      <xdr:nvSpPr>
        <xdr:cNvPr id="12" name="Bulle narrative : rectangle à coins arrondis 11">
          <a:extLst>
            <a:ext uri="{FF2B5EF4-FFF2-40B4-BE49-F238E27FC236}">
              <a16:creationId xmlns:a16="http://schemas.microsoft.com/office/drawing/2014/main" id="{EC01EC1B-D2E9-460A-BE7E-A54D529A0BD4}"/>
            </a:ext>
          </a:extLst>
        </xdr:cNvPr>
        <xdr:cNvSpPr/>
      </xdr:nvSpPr>
      <xdr:spPr>
        <a:xfrm>
          <a:off x="7143751" y="1969293"/>
          <a:ext cx="1726406" cy="138113"/>
        </a:xfrm>
        <a:prstGeom prst="wedgeRoundRectCallout">
          <a:avLst>
            <a:gd name="adj1" fmla="val -118186"/>
            <a:gd name="adj2" fmla="val 89111"/>
            <a:gd name="adj3" fmla="val 16667"/>
          </a:avLst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changer le n°</a:t>
          </a:r>
          <a:r>
            <a:rPr lang="fr-FR" sz="1100" baseline="0"/>
            <a:t> pour défiler </a:t>
          </a:r>
          <a:endParaRPr lang="fr-FR" sz="1100"/>
        </a:p>
      </xdr:txBody>
    </xdr:sp>
    <xdr:clientData/>
  </xdr:twoCellAnchor>
  <xdr:twoCellAnchor>
    <xdr:from>
      <xdr:col>0</xdr:col>
      <xdr:colOff>95251</xdr:colOff>
      <xdr:row>87</xdr:row>
      <xdr:rowOff>171450</xdr:rowOff>
    </xdr:from>
    <xdr:to>
      <xdr:col>5</xdr:col>
      <xdr:colOff>66676</xdr:colOff>
      <xdr:row>98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26EB091-5620-AC3C-AA85-68BF3C38D8D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133350</xdr:colOff>
      <xdr:row>36</xdr:row>
      <xdr:rowOff>71437</xdr:rowOff>
    </xdr:from>
    <xdr:to>
      <xdr:col>5</xdr:col>
      <xdr:colOff>0</xdr:colOff>
      <xdr:row>42</xdr:row>
      <xdr:rowOff>161925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2AAC62D1-3135-418F-9B8E-3CE0A905660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83344</xdr:colOff>
      <xdr:row>75</xdr:row>
      <xdr:rowOff>47626</xdr:rowOff>
    </xdr:from>
    <xdr:to>
      <xdr:col>5</xdr:col>
      <xdr:colOff>59531</xdr:colOff>
      <xdr:row>87</xdr:row>
      <xdr:rowOff>95250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87B319A1-2BC3-42C9-9865-2A92B166A40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4</xdr:col>
      <xdr:colOff>797715</xdr:colOff>
      <xdr:row>33</xdr:row>
      <xdr:rowOff>0</xdr:rowOff>
    </xdr:from>
    <xdr:to>
      <xdr:col>4</xdr:col>
      <xdr:colOff>1012028</xdr:colOff>
      <xdr:row>33</xdr:row>
      <xdr:rowOff>154781</xdr:rowOff>
    </xdr:to>
    <xdr:sp macro="" textlink="">
      <xdr:nvSpPr>
        <xdr:cNvPr id="29" name="Rectangle : coins arrondis 28">
          <a:extLst>
            <a:ext uri="{FF2B5EF4-FFF2-40B4-BE49-F238E27FC236}">
              <a16:creationId xmlns:a16="http://schemas.microsoft.com/office/drawing/2014/main" id="{D4FD0B82-6CAC-7F04-5506-B3CA8572D167}"/>
            </a:ext>
          </a:extLst>
        </xdr:cNvPr>
        <xdr:cNvSpPr/>
      </xdr:nvSpPr>
      <xdr:spPr>
        <a:xfrm>
          <a:off x="4095746" y="6715125"/>
          <a:ext cx="214313" cy="154781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>
              <a:latin typeface="Bahnschrift Light" panose="020B0502040204020203" pitchFamily="34" charset="0"/>
            </a:rPr>
            <a:t>1</a:t>
          </a:r>
        </a:p>
      </xdr:txBody>
    </xdr:sp>
    <xdr:clientData/>
  </xdr:twoCellAnchor>
  <xdr:twoCellAnchor>
    <xdr:from>
      <xdr:col>4</xdr:col>
      <xdr:colOff>857255</xdr:colOff>
      <xdr:row>72</xdr:row>
      <xdr:rowOff>178589</xdr:rowOff>
    </xdr:from>
    <xdr:to>
      <xdr:col>5</xdr:col>
      <xdr:colOff>59536</xdr:colOff>
      <xdr:row>73</xdr:row>
      <xdr:rowOff>142870</xdr:rowOff>
    </xdr:to>
    <xdr:sp macro="" textlink="">
      <xdr:nvSpPr>
        <xdr:cNvPr id="30" name="Rectangle : coins arrondis 29">
          <a:extLst>
            <a:ext uri="{FF2B5EF4-FFF2-40B4-BE49-F238E27FC236}">
              <a16:creationId xmlns:a16="http://schemas.microsoft.com/office/drawing/2014/main" id="{CB055546-E838-49DC-9227-E2B514356E38}"/>
            </a:ext>
          </a:extLst>
        </xdr:cNvPr>
        <xdr:cNvSpPr/>
      </xdr:nvSpPr>
      <xdr:spPr>
        <a:xfrm>
          <a:off x="4155286" y="13858870"/>
          <a:ext cx="214313" cy="154781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>
              <a:latin typeface="Bahnschrift Light" panose="020B0502040204020203" pitchFamily="34" charset="0"/>
            </a:rPr>
            <a:t>2</a:t>
          </a:r>
        </a:p>
      </xdr:txBody>
    </xdr:sp>
    <xdr:clientData/>
  </xdr:twoCellAnchor>
  <xdr:twoCellAnchor>
    <xdr:from>
      <xdr:col>4</xdr:col>
      <xdr:colOff>857252</xdr:colOff>
      <xdr:row>106</xdr:row>
      <xdr:rowOff>166684</xdr:rowOff>
    </xdr:from>
    <xdr:to>
      <xdr:col>5</xdr:col>
      <xdr:colOff>59533</xdr:colOff>
      <xdr:row>107</xdr:row>
      <xdr:rowOff>130965</xdr:rowOff>
    </xdr:to>
    <xdr:sp macro="" textlink="">
      <xdr:nvSpPr>
        <xdr:cNvPr id="32" name="Rectangle : coins arrondis 31">
          <a:extLst>
            <a:ext uri="{FF2B5EF4-FFF2-40B4-BE49-F238E27FC236}">
              <a16:creationId xmlns:a16="http://schemas.microsoft.com/office/drawing/2014/main" id="{7462EE94-90A8-4428-96B2-4AD1350AF0FD}"/>
            </a:ext>
          </a:extLst>
        </xdr:cNvPr>
        <xdr:cNvSpPr/>
      </xdr:nvSpPr>
      <xdr:spPr>
        <a:xfrm>
          <a:off x="4155283" y="20978809"/>
          <a:ext cx="214313" cy="154781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>
              <a:latin typeface="Bahnschrift Light" panose="020B0502040204020203" pitchFamily="34" charset="0"/>
            </a:rPr>
            <a:t>3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ts%20globa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60DED3-75D9-4D6E-AEE2-C70F5B89549A}" name="Tableau1" displayName="Tableau1" ref="A1:AP4" totalsRowShown="0" headerRowDxfId="50" dataDxfId="49" tableBorderDxfId="48">
  <autoFilter ref="A1:AP4" xr:uid="{D260DED3-75D9-4D6E-AEE2-C70F5B89549A}"/>
  <tableColumns count="42">
    <tableColumn id="1" xr3:uid="{29703CCE-9FF7-41CA-854C-BB0C9C3FC3BC}" name="Numéro" dataDxfId="47"/>
    <tableColumn id="2" xr3:uid="{3B36E1E9-8AE2-43E4-AFAA-8AFC72EDF314}" name="Matricule" dataDxfId="46"/>
    <tableColumn id="3" xr3:uid="{653F646B-F439-4AA6-86BB-B495557833BD}" name="Nom" dataDxfId="45"/>
    <tableColumn id="4" xr3:uid="{C7003F5F-4A3D-4865-B5B1-BEF0801A92C0}" name="Adresse Email" dataDxfId="44" dataCellStyle="Lien hypertexte"/>
    <tableColumn id="5" xr3:uid="{D4FF3449-992B-4699-A060-6E9A55159EC2}" name="Sexe" dataDxfId="43"/>
    <tableColumn id="6" xr3:uid="{E07E5153-1CE2-453A-9A31-A1B2D3053F24}" name="Date de naissance" dataDxfId="42"/>
    <tableColumn id="7" xr3:uid="{EA67FD6B-F7C6-4A70-8345-FB09EB399B39}" name="Direction" dataDxfId="41"/>
    <tableColumn id="8" xr3:uid="{B9BCFBB0-03E8-4991-9378-7AE324EA94BE}" name="Service" dataDxfId="40"/>
    <tableColumn id="9" xr3:uid="{A77CBD18-A9CE-40EE-9C9E-9F809D05BF2C}" name="Fonction" dataDxfId="39"/>
    <tableColumn id="10" xr3:uid="{AEC8706B-A853-4FAB-82C2-D281E6185639}" name="Classe" dataDxfId="38"/>
    <tableColumn id="11" xr3:uid="{3EDD5862-798F-496B-8727-B2C81336FCB4}" name="Date d'affectation au poste" dataDxfId="37"/>
    <tableColumn id="12" xr3:uid="{B74B0916-F04D-4E03-86D2-01AA969AE4A4}" name="Date du changement de fonction" dataDxfId="36"/>
    <tableColumn id="13" xr3:uid="{D7337355-A29D-456E-9B1C-359057EE6539}" name="Indicateur X" dataDxfId="35"/>
    <tableColumn id="14" xr3:uid="{7CFF5695-9492-45BA-98D1-A6DA76A74CA1}" name="Indicateur X2" dataDxfId="34"/>
    <tableColumn id="15" xr3:uid="{F87B15B7-F382-4821-8EB2-045A18641091}" name="Nbre OPE traités" dataDxfId="33">
      <calculatedColumnFormula>SUM(Tableau1[[#This Row],[Janvier]:[Mai]])</calculatedColumnFormula>
    </tableColumn>
    <tableColumn id="16" xr3:uid="{3E95749A-380E-4EB4-8B3F-E0AB12B67CB3}" name="TTC" dataDxfId="32">
      <calculatedColumnFormula>VLOOKUP(Tableau1[[#This Row],[Matricule]],[1]Feuil1!$A:$X,24,0)</calculatedColumnFormula>
    </tableColumn>
    <tableColumn id="17" xr3:uid="{A82DE69E-03B5-4BAA-9CA2-2E80970AB17E}" name="TAX" dataDxfId="31">
      <calculatedColumnFormula>VLOOKUP(Tableau1[[#This Row],[Matricule]],[1]Feuil1!$A:$Y,25,0)</calculatedColumnFormula>
    </tableColumn>
    <tableColumn id="18" xr3:uid="{14F7D63D-3933-4F58-A68C-BD78F80A5B5D}" name="MEP" dataDxfId="30">
      <calculatedColumnFormula>VLOOKUP(Tableau1[[#This Row],[Matricule]],[1]Feuil1!$A:$Z,26,0)</calculatedColumnFormula>
    </tableColumn>
    <tableColumn id="19" xr3:uid="{5FC4248C-712F-4FEC-8903-781B93494BF9}" name="CCO" dataDxfId="29">
      <calculatedColumnFormula>VLOOKUP(Tableau1[[#This Row],[Matricule]],[1]Feuil1!$A:$AA,27,0)</calculatedColumnFormula>
    </tableColumn>
    <tableColumn id="20" xr3:uid="{5DE61B5F-D0FC-4185-AC47-66C19D17B5D4}" name="SLA" dataDxfId="28" dataCellStyle="Pourcentage">
      <calculatedColumnFormula>VLOOKUP(Tableau1[[#This Row],[Matricule]],[1]Feuil1!$A:$AB,28,0)</calculatedColumnFormula>
    </tableColumn>
    <tableColumn id="21" xr3:uid="{A5294E5A-6055-4657-BA50-2231CA0A7F58}" name="Janvier" dataDxfId="27">
      <calculatedColumnFormula>VLOOKUP(Tableau1[[#This Row],[Matricule]],[1]Feuil1!$A:$G,3,0)</calculatedColumnFormula>
    </tableColumn>
    <tableColumn id="22" xr3:uid="{BEDEBB4D-90C6-4CE6-9C30-A046CAC9A674}" name="Février" dataDxfId="26">
      <calculatedColumnFormula>VLOOKUP(Tableau1[[#This Row],[Matricule]],[1]Feuil1!$A:$G,4,0)</calculatedColumnFormula>
    </tableColumn>
    <tableColumn id="23" xr3:uid="{E13D49FB-A065-4647-A5C0-3173B8E438D4}" name="Mars" dataDxfId="25">
      <calculatedColumnFormula>VLOOKUP(Tableau1[[#This Row],[Matricule]],[1]Feuil1!$A:$G,5,0)</calculatedColumnFormula>
    </tableColumn>
    <tableColumn id="24" xr3:uid="{91EAC6D1-5BF9-4D07-9862-8AC3B06402B4}" name="Avril" dataDxfId="24">
      <calculatedColumnFormula>VLOOKUP(Tableau1[[#This Row],[Matricule]],[1]Feuil1!$A:$G,6,0)</calculatedColumnFormula>
    </tableColumn>
    <tableColumn id="25" xr3:uid="{737458EB-CDC5-48C5-903A-15075A1556A2}" name="Mai" dataDxfId="23">
      <calculatedColumnFormula>VLOOKUP(Tableau1[[#This Row],[Matricule]],[1]Feuil1!$A:$G,7,0)</calculatedColumnFormula>
    </tableColumn>
    <tableColumn id="26" xr3:uid="{691782D7-6F10-4CE9-8ACB-8623A471F62D}" name="Juin" dataDxfId="22"/>
    <tableColumn id="27" xr3:uid="{7F72FCBD-A0F5-49A3-9254-CE344ABB2912}" name="Juillet" dataDxfId="21"/>
    <tableColumn id="28" xr3:uid="{C6826251-C657-49E7-966E-094775F949B5}" name="Août" dataDxfId="20"/>
    <tableColumn id="29" xr3:uid="{87A3FD44-D392-4309-9389-4CA4D9506071}" name="Septembre" dataDxfId="19"/>
    <tableColumn id="30" xr3:uid="{3142C247-EAB4-4926-B007-197A39521208}" name="Octobre" dataDxfId="18"/>
    <tableColumn id="31" xr3:uid="{7842CE32-FF22-4F26-8F63-43E9BFA2737E}" name="Novembre" dataDxfId="17"/>
    <tableColumn id="32" xr3:uid="{1A4953D5-2706-4895-894E-D28D371D6009}" name="Décembre" dataDxfId="16"/>
    <tableColumn id="33" xr3:uid="{E977BC2F-D995-4FB2-9F46-89BDCFCC3E18}" name="Total traité" dataDxfId="15"/>
    <tableColumn id="34" xr3:uid="{B38BDCEE-C561-426D-B5F3-EA2238B58223}" name="Autres erreurs exécution" dataDxfId="14"/>
    <tableColumn id="35" xr3:uid="{C4DDB4BB-5E9C-4152-809B-FB9D0D568B30}" name="Erreur d'exécution" dataDxfId="13"/>
    <tableColumn id="36" xr3:uid="{A537355C-1CDC-4017-BE05-6A8F0D4DDC41}" name="Compact" dataDxfId="12"/>
    <tableColumn id="37" xr3:uid="{6C0F968F-8B8B-4123-A864-296F13273462}" name="Proportion 1" dataDxfId="11" dataCellStyle="Pourcentage"/>
    <tableColumn id="38" xr3:uid="{3DFD9AD7-FF1B-4E8F-846D-D938B72D252E}" name="Proportion 2" dataDxfId="10" dataCellStyle="Pourcentage"/>
    <tableColumn id="39" xr3:uid="{BD7FAEB5-7A99-4933-9F83-E3162497E439}" name="Proportion 3" dataDxfId="9" dataCellStyle="Pourcentage"/>
    <tableColumn id="40" xr3:uid="{1B5D1FB2-BD7C-421C-8F5E-6627933E147B}" name="Proportion 4" dataDxfId="8" dataCellStyle="Pourcentage"/>
    <tableColumn id="41" xr3:uid="{9D86B6F3-7AA7-468F-85DB-515992BEAA48}" name="POIDS TOTAL" dataDxfId="7" dataCellStyle="Pourcentage"/>
    <tableColumn id="42" xr3:uid="{0A42AFE7-1620-47C4-9AFA-CAE795BEB6AE}" name="Rang" dataDxfId="6">
      <calculatedColumnFormula>RANK(Tableau1[[#This Row],[Nbre OPE traités]],Tableau1[Nbre OPE traités],0)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baba.dicko@hotmail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jean.jacques@thc.com" TargetMode="External"/><Relationship Id="rId1" Type="http://schemas.openxmlformats.org/officeDocument/2006/relationships/hyperlink" Target="mailto:jean.jacques@thc.com" TargetMode="Externa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ksMenu"/>
  <dimension ref="B1:F14"/>
  <sheetViews>
    <sheetView showGridLines="0" tabSelected="1" zoomScaleNormal="100" workbookViewId="0">
      <selection activeCell="F4" sqref="F4"/>
    </sheetView>
  </sheetViews>
  <sheetFormatPr baseColWidth="10" defaultColWidth="9.140625" defaultRowHeight="15" x14ac:dyDescent="0.25"/>
  <cols>
    <col min="5" max="5" width="26.7109375" customWidth="1"/>
    <col min="6" max="6" width="15" customWidth="1"/>
  </cols>
  <sheetData>
    <row r="1" spans="2:6" ht="4.5" customHeight="1" x14ac:dyDescent="0.25"/>
    <row r="2" spans="2:6" ht="7.5" customHeight="1" x14ac:dyDescent="0.25"/>
    <row r="3" spans="2:6" ht="26.25" x14ac:dyDescent="0.4">
      <c r="B3" s="15"/>
    </row>
    <row r="4" spans="2:6" ht="10.5" customHeight="1" x14ac:dyDescent="0.25"/>
    <row r="5" spans="2:6" ht="27" x14ac:dyDescent="0.5">
      <c r="B5" s="6"/>
      <c r="C5" s="108" t="s">
        <v>66</v>
      </c>
      <c r="D5" s="108"/>
      <c r="E5" s="108"/>
      <c r="F5" s="7"/>
    </row>
    <row r="7" spans="2:6" ht="37.5" customHeight="1" x14ac:dyDescent="0.25">
      <c r="B7" s="13">
        <v>1</v>
      </c>
      <c r="F7" s="14"/>
    </row>
    <row r="8" spans="2:6" ht="37.5" customHeight="1" x14ac:dyDescent="0.25">
      <c r="B8" s="13">
        <v>2</v>
      </c>
      <c r="F8" s="14"/>
    </row>
    <row r="9" spans="2:6" ht="37.5" customHeight="1" x14ac:dyDescent="0.25">
      <c r="B9" s="13">
        <v>3</v>
      </c>
      <c r="F9" s="14"/>
    </row>
    <row r="10" spans="2:6" ht="37.5" customHeight="1" x14ac:dyDescent="0.25">
      <c r="B10" s="13">
        <v>4</v>
      </c>
    </row>
    <row r="11" spans="2:6" ht="37.5" customHeight="1" x14ac:dyDescent="0.25">
      <c r="B11" s="13">
        <v>5</v>
      </c>
    </row>
    <row r="12" spans="2:6" ht="18.75" x14ac:dyDescent="0.3">
      <c r="B12" s="1"/>
    </row>
    <row r="13" spans="2:6" ht="15.75" x14ac:dyDescent="0.25">
      <c r="C13" s="3" t="s">
        <v>11</v>
      </c>
    </row>
    <row r="14" spans="2:6" ht="18.75" x14ac:dyDescent="0.3">
      <c r="B14" s="1"/>
    </row>
  </sheetData>
  <sheetProtection selectLockedCells="1"/>
  <mergeCells count="1">
    <mergeCell ref="C5:E5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ksSet"/>
  <dimension ref="B1:H21"/>
  <sheetViews>
    <sheetView showGridLines="0" zoomScale="80" zoomScaleNormal="80" workbookViewId="0">
      <selection activeCell="M15" sqref="M15"/>
    </sheetView>
  </sheetViews>
  <sheetFormatPr baseColWidth="10" defaultColWidth="9.140625" defaultRowHeight="15" x14ac:dyDescent="0.25"/>
  <cols>
    <col min="1" max="1" width="2.140625" customWidth="1"/>
    <col min="2" max="2" width="4.140625" customWidth="1"/>
    <col min="3" max="3" width="24.7109375" customWidth="1"/>
    <col min="4" max="4" width="52.5703125" customWidth="1"/>
    <col min="5" max="5" width="6.140625" customWidth="1"/>
    <col min="6" max="6" width="12" customWidth="1"/>
  </cols>
  <sheetData>
    <row r="1" spans="2:8" ht="33.75" x14ac:dyDescent="0.25">
      <c r="C1" s="34"/>
      <c r="D1" s="35" t="s">
        <v>1</v>
      </c>
      <c r="E1" s="16" t="s">
        <v>0</v>
      </c>
    </row>
    <row r="2" spans="2:8" s="10" customFormat="1" ht="10.5" customHeight="1" x14ac:dyDescent="0.25"/>
    <row r="3" spans="2:8" s="4" customFormat="1" ht="15.75" x14ac:dyDescent="0.25">
      <c r="B3" s="24">
        <v>1</v>
      </c>
      <c r="C3" s="5" t="s">
        <v>25</v>
      </c>
    </row>
    <row r="4" spans="2:8" s="4" customFormat="1" ht="5.45" customHeight="1" thickBot="1" x14ac:dyDescent="0.3">
      <c r="B4" s="3"/>
    </row>
    <row r="5" spans="2:8" s="4" customFormat="1" ht="19.899999999999999" customHeight="1" thickBot="1" x14ac:dyDescent="0.3">
      <c r="B5" s="3"/>
      <c r="C5" s="20" t="s">
        <v>2</v>
      </c>
      <c r="D5" s="29"/>
    </row>
    <row r="6" spans="2:8" s="4" customFormat="1" ht="180.75" customHeight="1" thickBot="1" x14ac:dyDescent="0.3">
      <c r="B6" s="3"/>
      <c r="C6" s="21" t="s">
        <v>10</v>
      </c>
      <c r="D6" s="30"/>
      <c r="E6" s="23">
        <f>LEN(rngBody)</f>
        <v>0</v>
      </c>
      <c r="F6" s="22" t="s">
        <v>6</v>
      </c>
    </row>
    <row r="7" spans="2:8" s="17" customFormat="1" ht="9.9499999999999993" customHeight="1" x14ac:dyDescent="0.2">
      <c r="B7" s="18"/>
      <c r="C7" s="19"/>
    </row>
    <row r="8" spans="2:8" s="4" customFormat="1" ht="16.5" thickBot="1" x14ac:dyDescent="0.3">
      <c r="B8" s="24">
        <v>2</v>
      </c>
      <c r="C8" s="5" t="s">
        <v>8</v>
      </c>
    </row>
    <row r="9" spans="2:8" s="4" customFormat="1" ht="20.45" customHeight="1" thickBot="1" x14ac:dyDescent="0.3">
      <c r="B9" s="3"/>
      <c r="C9" s="20" t="s">
        <v>7</v>
      </c>
      <c r="D9" s="31" t="s">
        <v>67</v>
      </c>
    </row>
    <row r="10" spans="2:8" s="17" customFormat="1" ht="9.9499999999999993" customHeight="1" x14ac:dyDescent="0.25">
      <c r="B10" s="18"/>
      <c r="C10" s="19"/>
      <c r="H10" s="4"/>
    </row>
    <row r="11" spans="2:8" s="4" customFormat="1" ht="16.5" thickBot="1" x14ac:dyDescent="0.3">
      <c r="B11" s="24">
        <v>3</v>
      </c>
      <c r="C11" s="5" t="s">
        <v>3</v>
      </c>
    </row>
    <row r="12" spans="2:8" s="4" customFormat="1" ht="20.45" customHeight="1" thickBot="1" x14ac:dyDescent="0.3">
      <c r="B12" s="3"/>
      <c r="C12" s="11"/>
      <c r="D12" s="32">
        <v>2</v>
      </c>
      <c r="E12" s="12"/>
    </row>
    <row r="13" spans="2:8" s="17" customFormat="1" ht="9.9499999999999993" customHeight="1" x14ac:dyDescent="0.2">
      <c r="B13" s="18"/>
      <c r="C13" s="19"/>
    </row>
    <row r="14" spans="2:8" s="4" customFormat="1" ht="16.5" thickBot="1" x14ac:dyDescent="0.3">
      <c r="B14" s="24">
        <v>4</v>
      </c>
      <c r="C14" s="5" t="s">
        <v>4</v>
      </c>
    </row>
    <row r="15" spans="2:8" s="4" customFormat="1" ht="22.5" customHeight="1" thickBot="1" x14ac:dyDescent="0.3">
      <c r="C15" s="21" t="s">
        <v>5</v>
      </c>
      <c r="D15" s="33" t="s">
        <v>65</v>
      </c>
    </row>
    <row r="16" spans="2:8" x14ac:dyDescent="0.25">
      <c r="C16" s="2"/>
    </row>
    <row r="18" spans="2:4" s="17" customFormat="1" ht="9.9499999999999993" customHeight="1" x14ac:dyDescent="0.2">
      <c r="B18" s="18"/>
      <c r="C18" s="19"/>
    </row>
    <row r="19" spans="2:4" ht="15.75" x14ac:dyDescent="0.25">
      <c r="B19" s="24">
        <v>5</v>
      </c>
      <c r="C19" s="5" t="s">
        <v>26</v>
      </c>
    </row>
    <row r="20" spans="2:4" ht="21.75" customHeight="1" x14ac:dyDescent="0.25">
      <c r="C20" s="8" t="s">
        <v>9</v>
      </c>
    </row>
    <row r="21" spans="2:4" x14ac:dyDescent="0.25">
      <c r="D21" s="9" t="str">
        <f>COUNTA(StoreNums) &amp; " emails ou " &amp; IF( rngTN&gt;0,rngTN, COUNTA(StoreNums)) &amp; " test emails seront envoyés"</f>
        <v>3 emails ou 2 test emails seront envoyés</v>
      </c>
    </row>
  </sheetData>
  <sheetProtection selectLockedCells="1"/>
  <hyperlinks>
    <hyperlink ref="E1" location="Menu!B7" display="Menu" xr:uid="{00000000-0004-0000-0200-000000000000}"/>
    <hyperlink ref="D9" r:id="rId1" xr:uid="{00000000-0004-0000-0200-000001000000}"/>
  </hyperlinks>
  <pageMargins left="0.7" right="0.7" top="0.75" bottom="0.75" header="0.3" footer="0.3"/>
  <pageSetup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wksList"/>
  <dimension ref="A1:AP4"/>
  <sheetViews>
    <sheetView zoomScale="90" zoomScaleNormal="90" workbookViewId="0">
      <pane xSplit="8085" topLeftCell="AF1" activePane="topRight"/>
      <selection activeCell="C2" sqref="C2"/>
      <selection pane="topRight" activeCell="AH1" sqref="AH1:AJ1"/>
    </sheetView>
  </sheetViews>
  <sheetFormatPr baseColWidth="10" defaultRowHeight="12.75" x14ac:dyDescent="0.25"/>
  <cols>
    <col min="1" max="1" width="11" style="41" customWidth="1"/>
    <col min="2" max="2" width="12.42578125" style="41" customWidth="1"/>
    <col min="3" max="3" width="37.42578125" style="41" bestFit="1" customWidth="1"/>
    <col min="4" max="4" width="25.7109375" style="41" bestFit="1" customWidth="1"/>
    <col min="5" max="5" width="10.28515625" style="42" customWidth="1"/>
    <col min="6" max="6" width="21" style="43" customWidth="1"/>
    <col min="7" max="7" width="12.42578125" style="41" customWidth="1"/>
    <col min="8" max="8" width="26.7109375" style="41" bestFit="1" customWidth="1"/>
    <col min="9" max="9" width="22.28515625" style="41" bestFit="1" customWidth="1"/>
    <col min="10" max="10" width="11.42578125" style="41" customWidth="1"/>
    <col min="11" max="11" width="26.85546875" style="43" bestFit="1" customWidth="1"/>
    <col min="12" max="12" width="35.140625" style="43" customWidth="1"/>
    <col min="13" max="13" width="26.28515625" style="43" bestFit="1" customWidth="1"/>
    <col min="14" max="14" width="24.85546875" style="44" bestFit="1" customWidth="1"/>
    <col min="15" max="15" width="19.7109375" style="41" customWidth="1"/>
    <col min="16" max="16" width="14" style="41" customWidth="1"/>
    <col min="17" max="18" width="11.42578125" style="41"/>
    <col min="19" max="19" width="12.140625" style="41" bestFit="1" customWidth="1"/>
    <col min="20" max="20" width="15.7109375" style="41" customWidth="1"/>
    <col min="21" max="21" width="13.140625" style="41" customWidth="1"/>
    <col min="22" max="22" width="12.85546875" style="41" customWidth="1"/>
    <col min="23" max="26" width="11.5703125" style="41" bestFit="1" customWidth="1"/>
    <col min="27" max="27" width="12.42578125" style="41" bestFit="1" customWidth="1"/>
    <col min="28" max="28" width="11.42578125" style="41"/>
    <col min="29" max="29" width="16.85546875" style="41" bestFit="1" customWidth="1"/>
    <col min="30" max="30" width="14.140625" style="41" bestFit="1" customWidth="1"/>
    <col min="31" max="31" width="13.140625" style="41" customWidth="1"/>
    <col min="32" max="32" width="13" style="41" customWidth="1"/>
    <col min="33" max="33" width="14.140625" style="41" customWidth="1"/>
    <col min="34" max="34" width="28.28515625" style="41" customWidth="1"/>
    <col min="35" max="35" width="41.85546875" style="41" customWidth="1"/>
    <col min="36" max="36" width="38" style="41" customWidth="1"/>
    <col min="37" max="37" width="26" style="41" customWidth="1"/>
    <col min="38" max="38" width="27.140625" style="41" customWidth="1"/>
    <col min="39" max="40" width="27.28515625" style="41" customWidth="1"/>
    <col min="41" max="41" width="18.42578125" style="41" customWidth="1"/>
    <col min="42" max="42" width="12.42578125" style="41" customWidth="1"/>
    <col min="43" max="16384" width="11.42578125" style="41"/>
  </cols>
  <sheetData>
    <row r="1" spans="1:42" s="48" customFormat="1" ht="25.5" customHeight="1" x14ac:dyDescent="0.25">
      <c r="A1" s="45" t="s">
        <v>13</v>
      </c>
      <c r="B1" s="45" t="s">
        <v>14</v>
      </c>
      <c r="C1" s="45" t="s">
        <v>24</v>
      </c>
      <c r="D1" s="45" t="s">
        <v>12</v>
      </c>
      <c r="E1" s="45" t="s">
        <v>15</v>
      </c>
      <c r="F1" s="46" t="s">
        <v>16</v>
      </c>
      <c r="G1" s="45" t="s">
        <v>17</v>
      </c>
      <c r="H1" s="45" t="s">
        <v>18</v>
      </c>
      <c r="I1" s="45" t="s">
        <v>19</v>
      </c>
      <c r="J1" s="45" t="s">
        <v>20</v>
      </c>
      <c r="K1" s="46" t="s">
        <v>54</v>
      </c>
      <c r="L1" s="46" t="s">
        <v>21</v>
      </c>
      <c r="M1" s="47" t="s">
        <v>49</v>
      </c>
      <c r="N1" s="47" t="s">
        <v>53</v>
      </c>
      <c r="O1" s="45" t="s">
        <v>28</v>
      </c>
      <c r="P1" s="70" t="s">
        <v>78</v>
      </c>
      <c r="Q1" s="70" t="s">
        <v>79</v>
      </c>
      <c r="R1" s="70" t="s">
        <v>80</v>
      </c>
      <c r="S1" s="70" t="s">
        <v>81</v>
      </c>
      <c r="T1" s="45" t="s">
        <v>82</v>
      </c>
      <c r="U1" s="71" t="s">
        <v>29</v>
      </c>
      <c r="V1" s="71" t="s">
        <v>30</v>
      </c>
      <c r="W1" s="71" t="s">
        <v>31</v>
      </c>
      <c r="X1" s="71" t="s">
        <v>32</v>
      </c>
      <c r="Y1" s="71" t="s">
        <v>33</v>
      </c>
      <c r="Z1" s="71" t="s">
        <v>34</v>
      </c>
      <c r="AA1" s="71" t="s">
        <v>35</v>
      </c>
      <c r="AB1" s="71" t="s">
        <v>36</v>
      </c>
      <c r="AC1" s="71" t="s">
        <v>37</v>
      </c>
      <c r="AD1" s="71" t="s">
        <v>38</v>
      </c>
      <c r="AE1" s="71" t="s">
        <v>39</v>
      </c>
      <c r="AF1" s="71" t="s">
        <v>40</v>
      </c>
      <c r="AG1" s="71" t="s">
        <v>42</v>
      </c>
      <c r="AH1" s="72" t="s">
        <v>48</v>
      </c>
      <c r="AI1" s="72" t="s">
        <v>83</v>
      </c>
      <c r="AJ1" s="72" t="s">
        <v>84</v>
      </c>
      <c r="AK1" s="45" t="s">
        <v>85</v>
      </c>
      <c r="AL1" s="45" t="s">
        <v>86</v>
      </c>
      <c r="AM1" s="45" t="s">
        <v>87</v>
      </c>
      <c r="AN1" s="45" t="s">
        <v>88</v>
      </c>
      <c r="AO1" s="45" t="s">
        <v>52</v>
      </c>
      <c r="AP1" s="45" t="s">
        <v>55</v>
      </c>
    </row>
    <row r="2" spans="1:42" ht="15" customHeight="1" x14ac:dyDescent="0.25">
      <c r="A2" s="73">
        <v>1</v>
      </c>
      <c r="B2" s="74" t="s">
        <v>72</v>
      </c>
      <c r="C2" s="73" t="s">
        <v>68</v>
      </c>
      <c r="D2" s="82" t="s">
        <v>74</v>
      </c>
      <c r="E2" s="74" t="s">
        <v>23</v>
      </c>
      <c r="F2" s="76">
        <v>24008</v>
      </c>
      <c r="G2" s="73" t="s">
        <v>75</v>
      </c>
      <c r="H2" s="73" t="s">
        <v>76</v>
      </c>
      <c r="I2" s="75" t="s">
        <v>77</v>
      </c>
      <c r="J2" s="73"/>
      <c r="K2" s="76">
        <v>44545</v>
      </c>
      <c r="L2" s="76"/>
      <c r="M2" s="76"/>
      <c r="N2" s="77"/>
      <c r="O2" s="78">
        <f>SUM(Tableau1[[#This Row],[Janvier]:[Mai]])</f>
        <v>5408</v>
      </c>
      <c r="P2" s="78">
        <v>3649</v>
      </c>
      <c r="Q2" s="78">
        <v>59</v>
      </c>
      <c r="R2" s="78">
        <v>5</v>
      </c>
      <c r="S2" s="78">
        <v>1303</v>
      </c>
      <c r="T2" s="79">
        <v>0.98</v>
      </c>
      <c r="U2" s="78">
        <v>159</v>
      </c>
      <c r="V2" s="78">
        <v>721</v>
      </c>
      <c r="W2" s="78">
        <v>2668</v>
      </c>
      <c r="X2" s="78">
        <v>1154</v>
      </c>
      <c r="Y2" s="78">
        <v>706</v>
      </c>
      <c r="Z2" s="78"/>
      <c r="AA2" s="80"/>
      <c r="AB2" s="73"/>
      <c r="AC2" s="73"/>
      <c r="AD2" s="73"/>
      <c r="AE2" s="73"/>
      <c r="AF2" s="73"/>
      <c r="AG2" s="78"/>
      <c r="AH2" s="73">
        <v>2</v>
      </c>
      <c r="AI2" s="81"/>
      <c r="AJ2" s="73"/>
      <c r="AK2" s="83">
        <v>5.2485827376723554E-2</v>
      </c>
      <c r="AL2" s="83">
        <v>1.5463917525773196E-2</v>
      </c>
      <c r="AM2" s="83">
        <v>3.7009622501850479E-3</v>
      </c>
      <c r="AN2" s="83">
        <v>4.4024887363226774E-2</v>
      </c>
      <c r="AO2" s="83">
        <v>4.8511735878256385E-2</v>
      </c>
      <c r="AP2" s="88">
        <f>RANK(Tableau1[[#This Row],[Nbre OPE traités]],Tableau1[Nbre OPE traités],0)</f>
        <v>2</v>
      </c>
    </row>
    <row r="3" spans="1:42" ht="15" customHeight="1" x14ac:dyDescent="0.25">
      <c r="A3" s="73">
        <v>2</v>
      </c>
      <c r="B3" s="74" t="s">
        <v>71</v>
      </c>
      <c r="C3" s="73" t="s">
        <v>69</v>
      </c>
      <c r="D3" s="82" t="s">
        <v>74</v>
      </c>
      <c r="E3" s="74" t="s">
        <v>22</v>
      </c>
      <c r="F3" s="76">
        <v>25701</v>
      </c>
      <c r="G3" s="73" t="s">
        <v>75</v>
      </c>
      <c r="H3" s="73" t="s">
        <v>76</v>
      </c>
      <c r="I3" s="75" t="s">
        <v>77</v>
      </c>
      <c r="J3" s="73"/>
      <c r="K3" s="76">
        <v>44545</v>
      </c>
      <c r="L3" s="76"/>
      <c r="M3" s="76"/>
      <c r="N3" s="77"/>
      <c r="O3" s="78">
        <f>SUM(Tableau1[[#This Row],[Janvier]:[Mai]])</f>
        <v>6496</v>
      </c>
      <c r="P3" s="78">
        <v>4150</v>
      </c>
      <c r="Q3" s="78">
        <v>275</v>
      </c>
      <c r="R3" s="78">
        <v>35</v>
      </c>
      <c r="S3" s="78">
        <v>1395</v>
      </c>
      <c r="T3" s="79">
        <v>0.98</v>
      </c>
      <c r="U3" s="78">
        <v>317</v>
      </c>
      <c r="V3" s="78">
        <v>500</v>
      </c>
      <c r="W3" s="78">
        <v>2928</v>
      </c>
      <c r="X3" s="78">
        <v>1168</v>
      </c>
      <c r="Y3" s="78">
        <v>1583</v>
      </c>
      <c r="Z3" s="78"/>
      <c r="AA3" s="80"/>
      <c r="AB3" s="73"/>
      <c r="AC3" s="73"/>
      <c r="AD3" s="73"/>
      <c r="AE3" s="73"/>
      <c r="AF3" s="73"/>
      <c r="AG3" s="78"/>
      <c r="AH3" s="73">
        <v>1</v>
      </c>
      <c r="AI3" s="81">
        <v>1</v>
      </c>
      <c r="AJ3" s="73">
        <v>1</v>
      </c>
      <c r="AK3" s="83">
        <v>4.765771121195865E-2</v>
      </c>
      <c r="AL3" s="83">
        <v>9.975742874469376E-2</v>
      </c>
      <c r="AM3" s="83">
        <v>2.5906735751295335E-2</v>
      </c>
      <c r="AN3" s="83">
        <v>5.4151469641707785E-2</v>
      </c>
      <c r="AO3" s="83">
        <v>5.0688676811968016E-2</v>
      </c>
      <c r="AP3" s="88">
        <f>RANK(Tableau1[[#This Row],[Nbre OPE traités]],Tableau1[Nbre OPE traités],0)</f>
        <v>1</v>
      </c>
    </row>
    <row r="4" spans="1:42" ht="15" customHeight="1" x14ac:dyDescent="0.25">
      <c r="A4" s="73">
        <v>3</v>
      </c>
      <c r="B4" s="74" t="s">
        <v>73</v>
      </c>
      <c r="C4" s="73" t="s">
        <v>70</v>
      </c>
      <c r="D4" s="82" t="s">
        <v>74</v>
      </c>
      <c r="E4" s="74" t="s">
        <v>22</v>
      </c>
      <c r="F4" s="76">
        <v>27823</v>
      </c>
      <c r="G4" s="73" t="s">
        <v>75</v>
      </c>
      <c r="H4" s="73" t="s">
        <v>76</v>
      </c>
      <c r="I4" s="75" t="s">
        <v>77</v>
      </c>
      <c r="J4" s="73"/>
      <c r="K4" s="76">
        <v>44545</v>
      </c>
      <c r="L4" s="76"/>
      <c r="M4" s="76"/>
      <c r="N4" s="77"/>
      <c r="O4" s="78">
        <f>SUM(Tableau1[[#This Row],[Janvier]:[Mai]])</f>
        <v>1568</v>
      </c>
      <c r="P4" s="78">
        <v>716</v>
      </c>
      <c r="Q4" s="78">
        <v>254</v>
      </c>
      <c r="R4" s="78">
        <v>134</v>
      </c>
      <c r="S4" s="78">
        <v>450</v>
      </c>
      <c r="T4" s="79">
        <v>0.99</v>
      </c>
      <c r="U4" s="78">
        <v>520</v>
      </c>
      <c r="V4" s="78"/>
      <c r="W4" s="78">
        <v>665</v>
      </c>
      <c r="X4" s="78">
        <v>317</v>
      </c>
      <c r="Y4" s="78">
        <v>66</v>
      </c>
      <c r="Z4" s="78"/>
      <c r="AA4" s="80"/>
      <c r="AB4" s="73"/>
      <c r="AC4" s="73"/>
      <c r="AD4" s="73"/>
      <c r="AE4" s="73"/>
      <c r="AF4" s="73"/>
      <c r="AG4" s="78"/>
      <c r="AH4" s="73"/>
      <c r="AI4" s="81">
        <v>2</v>
      </c>
      <c r="AJ4" s="73"/>
      <c r="AK4" s="83">
        <v>1.0018703513070711E-2</v>
      </c>
      <c r="AL4" s="83">
        <v>7.7016373559733176E-2</v>
      </c>
      <c r="AM4" s="83">
        <v>9.9185788304959291E-2</v>
      </c>
      <c r="AN4" s="83">
        <v>1.8150611456768932E-2</v>
      </c>
      <c r="AO4" s="83">
        <v>1.5496517926231622E-2</v>
      </c>
      <c r="AP4" s="88">
        <f>RANK(Tableau1[[#This Row],[Nbre OPE traités]],Tableau1[Nbre OPE traités],0)</f>
        <v>3</v>
      </c>
    </row>
  </sheetData>
  <phoneticPr fontId="26" type="noConversion"/>
  <conditionalFormatting sqref="D2:D4">
    <cfRule type="containsText" dxfId="4" priority="2" operator="containsText" text="Oui">
      <formula>NOT(ISERROR(SEARCH("Oui",D2)))</formula>
    </cfRule>
  </conditionalFormatting>
  <hyperlinks>
    <hyperlink ref="D2" r:id="rId1" xr:uid="{F16DD368-4E96-4AAF-8321-03FFEC8453A8}"/>
    <hyperlink ref="D3:D4" r:id="rId2" display="jean.jacques@thc.com" xr:uid="{D90807F4-0C81-43A6-B162-DFBEF71F422A}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WksRpt"/>
  <dimension ref="A1:U155"/>
  <sheetViews>
    <sheetView view="pageBreakPreview" zoomScale="80" zoomScaleNormal="100" zoomScaleSheetLayoutView="80" workbookViewId="0">
      <selection activeCell="J15" sqref="J15"/>
    </sheetView>
  </sheetViews>
  <sheetFormatPr baseColWidth="10" defaultRowHeight="15" x14ac:dyDescent="0.25"/>
  <cols>
    <col min="1" max="1" width="2.42578125" style="25" customWidth="1"/>
    <col min="2" max="2" width="11.42578125" style="25"/>
    <col min="3" max="3" width="19.7109375" style="25" customWidth="1"/>
    <col min="4" max="4" width="15.85546875" style="25" customWidth="1"/>
    <col min="5" max="5" width="15.140625" style="25" customWidth="1"/>
    <col min="6" max="6" width="2.28515625" style="25" customWidth="1"/>
    <col min="7" max="8" width="11.42578125" style="25"/>
    <col min="9" max="9" width="15.140625" style="25" customWidth="1"/>
    <col min="10" max="10" width="16.28515625" style="25" customWidth="1"/>
    <col min="11" max="11" width="11.42578125" style="25"/>
    <col min="12" max="12" width="23.28515625" style="10" bestFit="1" customWidth="1"/>
    <col min="13" max="13" width="35.5703125" style="10" bestFit="1" customWidth="1"/>
    <col min="14" max="14" width="32.140625" style="10" bestFit="1" customWidth="1"/>
    <col min="15" max="18" width="11.42578125" style="10"/>
    <col min="19" max="19" width="14.42578125" style="10" customWidth="1"/>
    <col min="20" max="16384" width="11.42578125" style="10"/>
  </cols>
  <sheetData>
    <row r="1" spans="2:10" ht="18" x14ac:dyDescent="0.25">
      <c r="B1" s="37" t="s">
        <v>27</v>
      </c>
      <c r="C1" s="36"/>
    </row>
    <row r="5" spans="2:10" x14ac:dyDescent="0.25">
      <c r="J5" s="40"/>
    </row>
    <row r="11" spans="2:10" ht="18" x14ac:dyDescent="0.25">
      <c r="B11" s="37" t="str">
        <f>VLOOKUP($D$14,Base!$B:$C,2,0)</f>
        <v>Myriam</v>
      </c>
      <c r="C11" s="36"/>
      <c r="H11" s="61" t="s">
        <v>13</v>
      </c>
    </row>
    <row r="12" spans="2:10" x14ac:dyDescent="0.25">
      <c r="B12" s="36"/>
      <c r="C12" s="36"/>
      <c r="H12" s="60">
        <v>3</v>
      </c>
    </row>
    <row r="13" spans="2:10" x14ac:dyDescent="0.25">
      <c r="B13" s="52" t="s">
        <v>43</v>
      </c>
      <c r="C13" s="49"/>
      <c r="D13" s="49"/>
      <c r="E13" s="50"/>
    </row>
    <row r="14" spans="2:10" x14ac:dyDescent="0.25">
      <c r="B14" s="53" t="s">
        <v>14</v>
      </c>
      <c r="C14" s="54"/>
      <c r="D14" s="113" t="str">
        <f>VLOOKUP($H$12,Base!$A:$B,2,0)</f>
        <v>A110</v>
      </c>
      <c r="E14" s="114"/>
    </row>
    <row r="15" spans="2:10" x14ac:dyDescent="0.25">
      <c r="B15" s="55" t="s">
        <v>54</v>
      </c>
      <c r="C15" s="56"/>
      <c r="D15" s="115">
        <f>VLOOKUP($D$14,Base!$B:$AN,10,0)</f>
        <v>44545</v>
      </c>
      <c r="E15" s="116"/>
    </row>
    <row r="16" spans="2:10" x14ac:dyDescent="0.25">
      <c r="B16" s="118" t="s">
        <v>17</v>
      </c>
      <c r="C16" s="119"/>
      <c r="D16" s="113" t="str">
        <f>VLOOKUP($D$14,Base!$B:$AN,6,0)</f>
        <v>Domaine</v>
      </c>
      <c r="E16" s="114"/>
    </row>
    <row r="17" spans="2:5" x14ac:dyDescent="0.25">
      <c r="B17" s="118" t="s">
        <v>18</v>
      </c>
      <c r="C17" s="119"/>
      <c r="D17" s="113" t="str">
        <f>VLOOKUP($D$14,Base!$B:$AN,7,0)</f>
        <v>Mécano</v>
      </c>
      <c r="E17" s="114"/>
    </row>
    <row r="18" spans="2:5" x14ac:dyDescent="0.25">
      <c r="B18" s="118" t="s">
        <v>19</v>
      </c>
      <c r="C18" s="119"/>
      <c r="D18" s="113" t="str">
        <f>VLOOKUP($D$14,Base!$B:$AN,8,0)</f>
        <v>Ingénieur ( e )</v>
      </c>
      <c r="E18" s="114"/>
    </row>
    <row r="21" spans="2:5" x14ac:dyDescent="0.25">
      <c r="B21" s="52" t="s">
        <v>44</v>
      </c>
      <c r="C21" s="49"/>
      <c r="D21" s="49"/>
      <c r="E21" s="50"/>
    </row>
    <row r="22" spans="2:5" x14ac:dyDescent="0.25">
      <c r="B22" s="117" t="str">
        <f>"Vous avez traité  "&amp;J95&amp;" demandes du T1 2023 répartis comme suit:"</f>
        <v>Vous avez traité  1568 demandes du T1 2023 répartis comme suit:</v>
      </c>
      <c r="C22" s="117"/>
      <c r="D22" s="117"/>
      <c r="E22" s="117"/>
    </row>
    <row r="23" spans="2:5" x14ac:dyDescent="0.25">
      <c r="B23" s="89"/>
    </row>
    <row r="24" spans="2:5" ht="15" customHeight="1" x14ac:dyDescent="0.25"/>
    <row r="25" spans="2:5" ht="30" customHeight="1" x14ac:dyDescent="0.25"/>
    <row r="32" spans="2:5" ht="28.5" customHeight="1" x14ac:dyDescent="0.25">
      <c r="B32" s="39"/>
    </row>
    <row r="33" spans="2:11" x14ac:dyDescent="0.25">
      <c r="B33" s="38"/>
    </row>
    <row r="36" spans="2:11" ht="21.75" customHeight="1" x14ac:dyDescent="0.25">
      <c r="B36" s="120" t="s">
        <v>56</v>
      </c>
      <c r="C36" s="121"/>
      <c r="D36" s="121"/>
      <c r="E36" s="121"/>
      <c r="H36" s="122"/>
      <c r="I36" s="122"/>
      <c r="J36" s="122"/>
      <c r="K36" s="122"/>
    </row>
    <row r="37" spans="2:11" ht="13.5" customHeight="1" x14ac:dyDescent="0.25"/>
    <row r="38" spans="2:11" ht="15.75" customHeight="1" x14ac:dyDescent="0.25">
      <c r="B38" s="51"/>
      <c r="C38" s="51"/>
      <c r="D38" s="51"/>
      <c r="E38" s="51"/>
    </row>
    <row r="39" spans="2:11" ht="11.25" customHeight="1" x14ac:dyDescent="0.25">
      <c r="B39" s="123"/>
      <c r="C39" s="123"/>
      <c r="D39" s="123"/>
      <c r="E39" s="123"/>
    </row>
    <row r="41" spans="2:11" ht="15.75" customHeight="1" x14ac:dyDescent="0.25">
      <c r="B41" s="26"/>
    </row>
    <row r="42" spans="2:11" ht="4.5" customHeight="1" x14ac:dyDescent="0.25">
      <c r="B42" s="26"/>
    </row>
    <row r="43" spans="2:11" x14ac:dyDescent="0.25">
      <c r="B43" s="26"/>
    </row>
    <row r="44" spans="2:11" x14ac:dyDescent="0.25">
      <c r="B44" s="26"/>
    </row>
    <row r="45" spans="2:11" x14ac:dyDescent="0.25">
      <c r="B45" s="26"/>
    </row>
    <row r="46" spans="2:11" x14ac:dyDescent="0.25">
      <c r="B46" s="26"/>
    </row>
    <row r="47" spans="2:11" x14ac:dyDescent="0.25">
      <c r="B47" s="26"/>
      <c r="H47" s="57"/>
    </row>
    <row r="48" spans="2:11" ht="11.25" customHeight="1" x14ac:dyDescent="0.25">
      <c r="B48" s="26"/>
    </row>
    <row r="49" spans="2:12" ht="8.25" customHeight="1" x14ac:dyDescent="0.25">
      <c r="B49" s="26"/>
    </row>
    <row r="50" spans="2:12" ht="12.75" customHeight="1" x14ac:dyDescent="0.25"/>
    <row r="51" spans="2:12" ht="12" customHeight="1" x14ac:dyDescent="0.25">
      <c r="L51" s="27"/>
    </row>
    <row r="52" spans="2:12" ht="15.75" customHeight="1" x14ac:dyDescent="0.25"/>
    <row r="54" spans="2:12" x14ac:dyDescent="0.25">
      <c r="B54" s="26"/>
    </row>
    <row r="56" spans="2:12" ht="13.5" customHeight="1" x14ac:dyDescent="0.25"/>
    <row r="57" spans="2:12" ht="14.25" customHeight="1" x14ac:dyDescent="0.25"/>
    <row r="58" spans="2:12" ht="15" customHeight="1" x14ac:dyDescent="0.25">
      <c r="E58" s="85"/>
      <c r="F58" s="85"/>
    </row>
    <row r="59" spans="2:12" ht="12" customHeight="1" x14ac:dyDescent="0.25">
      <c r="B59" s="86"/>
      <c r="C59" s="86"/>
      <c r="D59" s="86"/>
      <c r="E59" s="87"/>
    </row>
    <row r="61" spans="2:12" ht="14.25" customHeight="1" x14ac:dyDescent="0.25"/>
    <row r="62" spans="2:12" ht="13.5" customHeight="1" x14ac:dyDescent="0.25"/>
    <row r="63" spans="2:12" ht="14.25" customHeight="1" x14ac:dyDescent="0.25"/>
    <row r="64" spans="2:12" ht="14.25" customHeight="1" x14ac:dyDescent="0.25">
      <c r="H64" s="28"/>
    </row>
    <row r="66" spans="8:20" ht="14.25" customHeight="1" x14ac:dyDescent="0.25"/>
    <row r="67" spans="8:20" ht="14.25" customHeight="1" x14ac:dyDescent="0.25"/>
    <row r="68" spans="8:20" ht="14.25" customHeight="1" x14ac:dyDescent="0.25"/>
    <row r="69" spans="8:20" ht="14.25" customHeight="1" x14ac:dyDescent="0.25"/>
    <row r="70" spans="8:20" ht="14.25" customHeight="1" x14ac:dyDescent="0.25"/>
    <row r="77" spans="8:20" x14ac:dyDescent="0.25">
      <c r="H77" s="62"/>
      <c r="I77" s="62"/>
      <c r="J77" s="62"/>
      <c r="K77" s="62"/>
      <c r="L77" s="63"/>
      <c r="M77" s="63"/>
      <c r="N77" s="63"/>
      <c r="O77" s="63"/>
      <c r="P77" s="63"/>
      <c r="Q77" s="63"/>
      <c r="R77" s="63"/>
      <c r="S77" s="63"/>
      <c r="T77" s="63"/>
    </row>
    <row r="78" spans="8:20" x14ac:dyDescent="0.25">
      <c r="H78" s="62"/>
      <c r="I78" s="62"/>
      <c r="J78" s="62"/>
      <c r="K78" s="62"/>
      <c r="L78" s="63"/>
      <c r="M78" s="63"/>
      <c r="N78" s="63"/>
      <c r="O78" s="63"/>
      <c r="P78" s="63"/>
      <c r="Q78" s="63"/>
      <c r="R78" s="63"/>
      <c r="S78" s="63"/>
      <c r="T78" s="63"/>
    </row>
    <row r="79" spans="8:20" x14ac:dyDescent="0.25">
      <c r="H79" s="62"/>
      <c r="I79" s="64" t="s">
        <v>14</v>
      </c>
      <c r="J79" s="65"/>
      <c r="K79" s="66"/>
      <c r="L79" s="66"/>
      <c r="M79" s="63"/>
      <c r="N79" s="63"/>
      <c r="O79" s="63"/>
      <c r="P79" s="63"/>
      <c r="Q79" s="63"/>
      <c r="R79" s="63"/>
      <c r="S79" s="63"/>
      <c r="T79" s="63"/>
    </row>
    <row r="80" spans="8:20" x14ac:dyDescent="0.25">
      <c r="H80" s="62"/>
      <c r="I80" s="67" t="str">
        <f>+$D$14</f>
        <v>A110</v>
      </c>
      <c r="J80" s="62"/>
      <c r="K80" s="62"/>
      <c r="L80" s="63"/>
      <c r="M80" s="63"/>
      <c r="N80" s="63"/>
      <c r="O80" s="63"/>
      <c r="P80" s="63"/>
      <c r="Q80" s="63"/>
      <c r="R80" s="63"/>
      <c r="S80" s="63"/>
      <c r="T80" s="63"/>
    </row>
    <row r="81" spans="8:21" x14ac:dyDescent="0.25">
      <c r="H81" s="62"/>
      <c r="I81" s="62"/>
      <c r="J81" s="62"/>
      <c r="K81" s="62"/>
      <c r="L81" s="63"/>
      <c r="M81" s="63"/>
      <c r="N81" s="63"/>
      <c r="O81" s="63"/>
      <c r="P81" s="63"/>
      <c r="Q81" s="63"/>
      <c r="R81" s="63"/>
      <c r="S81" s="63"/>
      <c r="T81" s="63"/>
    </row>
    <row r="82" spans="8:21" x14ac:dyDescent="0.25">
      <c r="H82" s="62"/>
      <c r="I82" s="64" t="s">
        <v>41</v>
      </c>
      <c r="J82" s="64">
        <v>2022</v>
      </c>
      <c r="K82" s="64" t="s">
        <v>50</v>
      </c>
      <c r="L82" s="63"/>
      <c r="M82" s="64" t="s">
        <v>45</v>
      </c>
      <c r="N82" s="64" t="s">
        <v>46</v>
      </c>
      <c r="O82" s="64" t="s">
        <v>47</v>
      </c>
      <c r="P82" s="64" t="s">
        <v>51</v>
      </c>
      <c r="Q82" s="64" t="s">
        <v>55</v>
      </c>
      <c r="R82" s="63"/>
      <c r="S82" s="63"/>
      <c r="T82" s="63"/>
    </row>
    <row r="83" spans="8:21" x14ac:dyDescent="0.25">
      <c r="H83" s="62"/>
      <c r="I83" s="68" t="s">
        <v>29</v>
      </c>
      <c r="J83" s="67">
        <f>VLOOKUP($D$14,Base!$B:$U,20,0)</f>
        <v>520</v>
      </c>
      <c r="K83" s="67">
        <v>0</v>
      </c>
      <c r="L83" s="63"/>
      <c r="M83" s="124" t="s">
        <v>78</v>
      </c>
      <c r="N83" s="67">
        <f>VLOOKUP($D$14,Base!$B:$P,15,0)</f>
        <v>716</v>
      </c>
      <c r="O83" s="69">
        <f>IFERROR(N83/$N$87,0)</f>
        <v>0.46074646074646075</v>
      </c>
      <c r="P83" s="84">
        <f>VLOOKUP($D$14,Base!$B:$AK,36,0)</f>
        <v>1.0018703513070711E-2</v>
      </c>
      <c r="Q83" s="67"/>
      <c r="R83" s="63"/>
      <c r="S83" s="63"/>
      <c r="T83" s="63"/>
    </row>
    <row r="84" spans="8:21" x14ac:dyDescent="0.25">
      <c r="H84" s="62"/>
      <c r="I84" s="68" t="s">
        <v>30</v>
      </c>
      <c r="J84" s="67">
        <f>VLOOKUP($D$14,Base!$B:$V,21,0)</f>
        <v>0</v>
      </c>
      <c r="K84" s="69">
        <f>IFERROR(((J84/J83)-1)*100%,0)</f>
        <v>-1</v>
      </c>
      <c r="L84" s="63"/>
      <c r="M84" s="124" t="s">
        <v>79</v>
      </c>
      <c r="N84" s="67">
        <f>VLOOKUP($D$14,Base!$B:$Q,16,0)</f>
        <v>254</v>
      </c>
      <c r="O84" s="69">
        <f>IFERROR(N84/$N$87,0)</f>
        <v>0.16344916344916344</v>
      </c>
      <c r="P84" s="84">
        <f>VLOOKUP($D$14,Base!$B:$AL,37,0)</f>
        <v>7.7016373559733176E-2</v>
      </c>
      <c r="Q84" s="67"/>
      <c r="R84" s="63"/>
      <c r="S84" s="63"/>
      <c r="T84" s="63"/>
    </row>
    <row r="85" spans="8:21" x14ac:dyDescent="0.25">
      <c r="H85" s="62"/>
      <c r="I85" s="68" t="s">
        <v>31</v>
      </c>
      <c r="J85" s="67">
        <f>VLOOKUP($D$14,Base!$B:$W,22,0)</f>
        <v>665</v>
      </c>
      <c r="K85" s="69">
        <f t="shared" ref="K85:K94" si="0">IFERROR(((J85/J84)-1)*100%,0)</f>
        <v>0</v>
      </c>
      <c r="L85" s="63"/>
      <c r="M85" s="124" t="s">
        <v>80</v>
      </c>
      <c r="N85" s="67">
        <f>VLOOKUP($D$14,Base!$B:$R,17,0)</f>
        <v>134</v>
      </c>
      <c r="O85" s="69">
        <f>IFERROR(N85/$N$87,0)</f>
        <v>8.6229086229086233E-2</v>
      </c>
      <c r="P85" s="84">
        <f>VLOOKUP($D$14,Base!$B:$AM,38,0)</f>
        <v>9.9185788304959291E-2</v>
      </c>
      <c r="Q85" s="67"/>
      <c r="R85" s="63"/>
      <c r="S85" s="63"/>
      <c r="T85" s="63"/>
    </row>
    <row r="86" spans="8:21" x14ac:dyDescent="0.25">
      <c r="H86" s="62"/>
      <c r="I86" s="68" t="s">
        <v>32</v>
      </c>
      <c r="J86" s="67">
        <f>VLOOKUP($D$14,Base!$B:$X,23,0)</f>
        <v>317</v>
      </c>
      <c r="K86" s="69">
        <f t="shared" si="0"/>
        <v>-0.52330827067669172</v>
      </c>
      <c r="L86" s="63"/>
      <c r="M86" s="124" t="s">
        <v>81</v>
      </c>
      <c r="N86" s="67">
        <f>VLOOKUP($D$14,Base!$B:$S,18,0)</f>
        <v>450</v>
      </c>
      <c r="O86" s="69">
        <f>IFERROR(N86/$N$87,0)</f>
        <v>0.28957528957528955</v>
      </c>
      <c r="P86" s="84">
        <f>VLOOKUP($D$14,Base!$B:$AN,39,0)</f>
        <v>1.8150611456768932E-2</v>
      </c>
      <c r="Q86" s="67"/>
      <c r="R86" s="63"/>
      <c r="S86" s="63"/>
      <c r="T86" s="63"/>
    </row>
    <row r="87" spans="8:21" x14ac:dyDescent="0.25">
      <c r="H87" s="62"/>
      <c r="I87" s="68" t="s">
        <v>33</v>
      </c>
      <c r="J87" s="67">
        <f>VLOOKUP($D$14,Base!$B:$Y,24,0)</f>
        <v>66</v>
      </c>
      <c r="K87" s="69">
        <f t="shared" si="0"/>
        <v>-0.79179810725552047</v>
      </c>
      <c r="L87" s="63"/>
      <c r="M87" s="124" t="s">
        <v>52</v>
      </c>
      <c r="N87" s="67">
        <f>SUM(N83:N86)</f>
        <v>1554</v>
      </c>
      <c r="O87" s="69">
        <f>SUM(O83:O86)</f>
        <v>0.99999999999999989</v>
      </c>
      <c r="P87" s="84">
        <f>VLOOKUP($D$14,Base!$B:$AO,40,0)</f>
        <v>1.5496517926231622E-2</v>
      </c>
      <c r="Q87" s="67">
        <f>VLOOKUP($D$14,Base!$B:$AP,41,0)</f>
        <v>3</v>
      </c>
      <c r="R87" s="63"/>
      <c r="S87" s="63"/>
      <c r="T87" s="63"/>
    </row>
    <row r="88" spans="8:21" x14ac:dyDescent="0.25">
      <c r="H88" s="62"/>
      <c r="I88" s="68" t="s">
        <v>34</v>
      </c>
      <c r="J88" s="67">
        <f>VLOOKUP($D$14,Base!$B:$Z,25,0)</f>
        <v>0</v>
      </c>
      <c r="K88" s="69">
        <f t="shared" si="0"/>
        <v>-1</v>
      </c>
      <c r="L88" s="63"/>
      <c r="M88" s="63"/>
      <c r="N88" s="63"/>
      <c r="O88" s="63"/>
      <c r="P88" s="63"/>
      <c r="Q88" s="63"/>
      <c r="R88" s="63"/>
      <c r="S88" s="63"/>
      <c r="T88" s="63"/>
    </row>
    <row r="89" spans="8:21" ht="21.75" customHeight="1" x14ac:dyDescent="0.25">
      <c r="H89" s="62"/>
      <c r="I89" s="68" t="s">
        <v>35</v>
      </c>
      <c r="J89" s="67">
        <f>VLOOKUP($D$14,Base!$B:$AA,26,0)</f>
        <v>0</v>
      </c>
      <c r="K89" s="69">
        <f t="shared" si="0"/>
        <v>0</v>
      </c>
      <c r="L89" s="90" t="s">
        <v>14</v>
      </c>
      <c r="M89" s="90" t="s">
        <v>57</v>
      </c>
      <c r="N89" s="90" t="s">
        <v>48</v>
      </c>
      <c r="O89" s="90" t="s">
        <v>83</v>
      </c>
      <c r="P89" s="90" t="s">
        <v>84</v>
      </c>
      <c r="Q89" s="90" t="s">
        <v>48</v>
      </c>
      <c r="R89" s="90" t="s">
        <v>83</v>
      </c>
      <c r="S89" s="90" t="s">
        <v>84</v>
      </c>
      <c r="T89" s="90" t="s">
        <v>89</v>
      </c>
      <c r="U89" s="90" t="s">
        <v>58</v>
      </c>
    </row>
    <row r="90" spans="8:21" x14ac:dyDescent="0.25">
      <c r="H90" s="62"/>
      <c r="I90" s="68" t="s">
        <v>36</v>
      </c>
      <c r="J90" s="67">
        <f>VLOOKUP($D$14,Base!$B:$AB,27,0)</f>
        <v>0</v>
      </c>
      <c r="K90" s="69">
        <f t="shared" si="0"/>
        <v>0</v>
      </c>
      <c r="L90" s="96" t="str">
        <f>I80</f>
        <v>A110</v>
      </c>
      <c r="M90" s="91">
        <f>VLOOKUP(L90,$L$96:$M$114,2,0)</f>
        <v>0</v>
      </c>
      <c r="N90" s="91">
        <f>VLOOKUP(L90,$L$96:$N$114,3,0)</f>
        <v>0</v>
      </c>
      <c r="O90" s="91">
        <f>VLOOKUP(L90,$L$96:$O$114,4,0)</f>
        <v>0</v>
      </c>
      <c r="P90" s="91">
        <f>VLOOKUP(L90,$L$96:$P$114,5,0)</f>
        <v>0</v>
      </c>
      <c r="Q90" s="91">
        <f>VLOOKUP(L90,$L$96:$Q$114,6,0)</f>
        <v>0</v>
      </c>
      <c r="R90" s="91">
        <f>VLOOKUP(L90,$L$96:$R$114,7,0)</f>
        <v>5</v>
      </c>
      <c r="S90" s="91">
        <f>VLOOKUP(L90,$L$96:$S$114,8,0)</f>
        <v>0</v>
      </c>
      <c r="T90" s="91">
        <f>VLOOKUP(L90,$L$96:$T$114,9,0)</f>
        <v>4</v>
      </c>
      <c r="U90" s="91">
        <f>SUM(M90:T90)</f>
        <v>9</v>
      </c>
    </row>
    <row r="91" spans="8:21" x14ac:dyDescent="0.25">
      <c r="H91" s="62"/>
      <c r="I91" s="68" t="s">
        <v>37</v>
      </c>
      <c r="J91" s="67">
        <f>VLOOKUP($D$14,Base!$B:$AC,28,0)</f>
        <v>0</v>
      </c>
      <c r="K91" s="69">
        <f t="shared" si="0"/>
        <v>0</v>
      </c>
      <c r="L91" s="63"/>
      <c r="M91" s="63"/>
      <c r="N91" s="63"/>
      <c r="O91" s="63"/>
      <c r="P91" s="63"/>
      <c r="Q91" s="63"/>
      <c r="R91" s="63"/>
      <c r="S91" s="63"/>
      <c r="T91" s="63"/>
    </row>
    <row r="92" spans="8:21" x14ac:dyDescent="0.25">
      <c r="H92" s="62"/>
      <c r="I92" s="68" t="s">
        <v>38</v>
      </c>
      <c r="J92" s="67">
        <f>VLOOKUP($D$14,Base!$B:$AD,29,0)</f>
        <v>0</v>
      </c>
      <c r="K92" s="69">
        <f t="shared" si="0"/>
        <v>0</v>
      </c>
      <c r="L92" s="63"/>
      <c r="M92" s="63"/>
      <c r="N92" s="63"/>
      <c r="O92" s="63"/>
      <c r="P92" s="63"/>
      <c r="Q92" s="63"/>
      <c r="R92" s="63"/>
      <c r="S92" s="63"/>
      <c r="T92" s="63"/>
    </row>
    <row r="93" spans="8:21" x14ac:dyDescent="0.25">
      <c r="H93" s="62"/>
      <c r="I93" s="68" t="s">
        <v>39</v>
      </c>
      <c r="J93" s="67">
        <f>VLOOKUP($D$14,Base!$B:$AE,30,0)</f>
        <v>0</v>
      </c>
      <c r="K93" s="69">
        <f t="shared" si="0"/>
        <v>0</v>
      </c>
      <c r="L93" s="63"/>
      <c r="M93" s="63"/>
      <c r="N93" s="63"/>
      <c r="O93" s="63"/>
      <c r="P93" s="63"/>
      <c r="Q93" s="63"/>
      <c r="R93" s="63"/>
      <c r="S93" s="63"/>
      <c r="T93" s="63"/>
    </row>
    <row r="94" spans="8:21" x14ac:dyDescent="0.25">
      <c r="H94" s="62"/>
      <c r="I94" s="68" t="s">
        <v>40</v>
      </c>
      <c r="J94" s="67">
        <f>VLOOKUP($D$14,Base!$B:$AF,31,0)</f>
        <v>0</v>
      </c>
      <c r="K94" s="69">
        <f t="shared" si="0"/>
        <v>0</v>
      </c>
      <c r="L94" s="63"/>
      <c r="M94" s="109" t="s">
        <v>59</v>
      </c>
      <c r="N94" s="109"/>
      <c r="O94" s="109"/>
      <c r="P94" s="109"/>
      <c r="Q94" s="109"/>
      <c r="R94" s="109"/>
      <c r="S94" s="109"/>
      <c r="T94" s="109"/>
      <c r="U94" s="109"/>
    </row>
    <row r="95" spans="8:21" ht="45" x14ac:dyDescent="0.25">
      <c r="H95" s="62"/>
      <c r="I95" s="62"/>
      <c r="J95" s="97">
        <f>SUM(J83:J94)</f>
        <v>1568</v>
      </c>
      <c r="K95" s="62"/>
      <c r="L95" s="63"/>
      <c r="M95" s="95" t="s">
        <v>57</v>
      </c>
      <c r="N95" s="95" t="s">
        <v>48</v>
      </c>
      <c r="O95" s="95" t="s">
        <v>83</v>
      </c>
      <c r="P95" s="95" t="s">
        <v>84</v>
      </c>
      <c r="Q95" s="95" t="s">
        <v>48</v>
      </c>
      <c r="R95" s="95" t="s">
        <v>83</v>
      </c>
      <c r="S95" s="95" t="s">
        <v>84</v>
      </c>
      <c r="T95" s="95" t="s">
        <v>89</v>
      </c>
      <c r="U95" s="95" t="s">
        <v>58</v>
      </c>
    </row>
    <row r="96" spans="8:21" x14ac:dyDescent="0.25">
      <c r="H96" s="62"/>
      <c r="I96" s="64" t="s">
        <v>60</v>
      </c>
      <c r="J96" s="64" t="s">
        <v>61</v>
      </c>
      <c r="K96" s="62"/>
      <c r="L96" s="93" t="s">
        <v>72</v>
      </c>
      <c r="M96" s="91"/>
      <c r="N96" s="91">
        <v>1</v>
      </c>
      <c r="O96" s="91"/>
      <c r="P96" s="91">
        <v>2</v>
      </c>
      <c r="Q96" s="91"/>
      <c r="R96" s="91">
        <v>2</v>
      </c>
      <c r="S96" s="91"/>
      <c r="T96" s="91"/>
      <c r="U96" s="91">
        <f t="shared" ref="U96:U103" si="1">SUM(M96:T96)</f>
        <v>5</v>
      </c>
    </row>
    <row r="97" spans="2:21" x14ac:dyDescent="0.25">
      <c r="H97" s="97" t="str">
        <f>L90</f>
        <v>A110</v>
      </c>
      <c r="I97" s="69">
        <f>VLOOKUP(Fiche!$H$97,Base!$B:$T,19,0)</f>
        <v>0.99</v>
      </c>
      <c r="J97" s="69">
        <f>100%-I97</f>
        <v>1.0000000000000009E-2</v>
      </c>
      <c r="K97" s="62"/>
      <c r="L97" s="94" t="s">
        <v>71</v>
      </c>
      <c r="M97" s="91"/>
      <c r="N97" s="91"/>
      <c r="O97" s="91"/>
      <c r="P97" s="91"/>
      <c r="Q97" s="91"/>
      <c r="R97" s="91">
        <v>1</v>
      </c>
      <c r="S97" s="91"/>
      <c r="T97" s="91">
        <v>1</v>
      </c>
      <c r="U97" s="91">
        <f t="shared" si="1"/>
        <v>2</v>
      </c>
    </row>
    <row r="98" spans="2:21" x14ac:dyDescent="0.25">
      <c r="H98" s="62"/>
      <c r="I98" s="62"/>
      <c r="J98" s="62"/>
      <c r="K98" s="62"/>
      <c r="L98" s="93" t="s">
        <v>73</v>
      </c>
      <c r="M98" s="91"/>
      <c r="N98" s="91"/>
      <c r="O98" s="91"/>
      <c r="P98" s="91"/>
      <c r="Q98" s="91"/>
      <c r="R98" s="91">
        <v>5</v>
      </c>
      <c r="S98" s="91"/>
      <c r="T98" s="91">
        <v>4</v>
      </c>
      <c r="U98" s="91">
        <f t="shared" si="1"/>
        <v>9</v>
      </c>
    </row>
    <row r="99" spans="2:21" x14ac:dyDescent="0.25">
      <c r="H99" s="62"/>
      <c r="I99" s="62"/>
      <c r="J99" s="62"/>
      <c r="K99" s="62"/>
      <c r="L99" s="94"/>
      <c r="M99" s="91"/>
      <c r="N99" s="91"/>
      <c r="O99" s="91"/>
      <c r="P99" s="91"/>
      <c r="Q99" s="91"/>
      <c r="R99" s="91"/>
      <c r="S99" s="91"/>
      <c r="T99" s="91"/>
      <c r="U99" s="91"/>
    </row>
    <row r="100" spans="2:21" x14ac:dyDescent="0.25">
      <c r="H100" s="62"/>
      <c r="I100" s="62"/>
      <c r="J100" s="62"/>
      <c r="K100" s="62"/>
      <c r="L100" s="93"/>
      <c r="M100" s="91"/>
      <c r="N100" s="91"/>
      <c r="O100" s="91"/>
      <c r="P100" s="91"/>
      <c r="Q100" s="91"/>
      <c r="R100" s="91"/>
      <c r="S100" s="91"/>
      <c r="T100" s="91"/>
      <c r="U100" s="91"/>
    </row>
    <row r="101" spans="2:21" x14ac:dyDescent="0.25">
      <c r="B101" s="110" t="s">
        <v>90</v>
      </c>
      <c r="C101" s="111"/>
      <c r="D101" s="111"/>
      <c r="E101" s="112"/>
      <c r="H101" s="62"/>
      <c r="I101" s="62"/>
      <c r="J101" s="62"/>
      <c r="K101" s="62"/>
      <c r="L101" s="94"/>
      <c r="M101" s="91"/>
      <c r="N101" s="91"/>
      <c r="O101" s="91"/>
      <c r="P101" s="91"/>
      <c r="Q101" s="91"/>
      <c r="R101" s="91"/>
      <c r="S101" s="91"/>
      <c r="T101" s="91"/>
      <c r="U101" s="91"/>
    </row>
    <row r="102" spans="2:21" x14ac:dyDescent="0.25">
      <c r="B102" s="100" t="s">
        <v>48</v>
      </c>
      <c r="C102" s="100"/>
      <c r="D102" s="100"/>
      <c r="E102" s="59">
        <f>M117</f>
        <v>1</v>
      </c>
      <c r="H102" s="62"/>
      <c r="I102" s="62"/>
      <c r="J102" s="62"/>
      <c r="K102" s="62"/>
      <c r="L102" s="93"/>
      <c r="M102" s="91"/>
      <c r="N102" s="91"/>
      <c r="O102" s="91"/>
      <c r="P102" s="91"/>
      <c r="Q102" s="91"/>
      <c r="R102" s="91"/>
      <c r="S102" s="91"/>
      <c r="T102" s="91"/>
      <c r="U102" s="91"/>
    </row>
    <row r="103" spans="2:21" x14ac:dyDescent="0.25">
      <c r="B103" s="100" t="s">
        <v>83</v>
      </c>
      <c r="C103" s="100"/>
      <c r="D103" s="100"/>
      <c r="E103" s="58">
        <f>N117</f>
        <v>0</v>
      </c>
      <c r="H103" s="62"/>
      <c r="I103" s="62"/>
      <c r="J103" s="62"/>
      <c r="K103" s="62"/>
      <c r="L103" s="94"/>
      <c r="M103" s="91"/>
      <c r="N103" s="91"/>
      <c r="O103" s="91"/>
      <c r="P103" s="91"/>
      <c r="Q103" s="91"/>
      <c r="R103" s="91"/>
      <c r="S103" s="91"/>
      <c r="T103" s="91"/>
      <c r="U103" s="91"/>
    </row>
    <row r="104" spans="2:21" x14ac:dyDescent="0.25">
      <c r="B104" s="100" t="s">
        <v>84</v>
      </c>
      <c r="C104" s="100"/>
      <c r="D104" s="100"/>
      <c r="E104" s="58">
        <f>O117</f>
        <v>1</v>
      </c>
      <c r="L104" s="93"/>
      <c r="M104" s="91"/>
      <c r="N104" s="91"/>
      <c r="O104" s="91"/>
      <c r="P104" s="91"/>
      <c r="Q104" s="91"/>
      <c r="R104" s="91"/>
      <c r="S104" s="91"/>
      <c r="T104" s="91"/>
      <c r="U104" s="91"/>
    </row>
    <row r="105" spans="2:21" x14ac:dyDescent="0.25">
      <c r="B105" s="100" t="s">
        <v>83</v>
      </c>
      <c r="C105" s="100"/>
      <c r="D105" s="100"/>
      <c r="E105" s="58">
        <f>P117</f>
        <v>5</v>
      </c>
      <c r="L105" s="94"/>
      <c r="M105" s="91"/>
      <c r="N105" s="91"/>
      <c r="O105" s="91"/>
      <c r="P105" s="91"/>
      <c r="Q105" s="91"/>
      <c r="R105" s="91"/>
      <c r="S105" s="91"/>
      <c r="T105" s="91"/>
      <c r="U105" s="91"/>
    </row>
    <row r="106" spans="2:21" x14ac:dyDescent="0.25">
      <c r="B106" s="100" t="s">
        <v>84</v>
      </c>
      <c r="C106" s="100"/>
      <c r="D106" s="100"/>
      <c r="E106" s="58">
        <f>Q117</f>
        <v>0</v>
      </c>
      <c r="L106" s="93"/>
      <c r="M106" s="91"/>
      <c r="N106" s="91"/>
      <c r="O106" s="91"/>
      <c r="P106" s="91"/>
      <c r="Q106" s="91"/>
      <c r="R106" s="91"/>
      <c r="S106" s="91"/>
      <c r="T106" s="91"/>
      <c r="U106" s="91"/>
    </row>
    <row r="107" spans="2:21" x14ac:dyDescent="0.25">
      <c r="L107" s="94"/>
      <c r="M107" s="91"/>
      <c r="N107" s="91"/>
      <c r="O107" s="91"/>
      <c r="P107" s="91"/>
      <c r="Q107" s="91"/>
      <c r="R107" s="91"/>
      <c r="S107" s="91"/>
      <c r="T107" s="91"/>
      <c r="U107" s="91"/>
    </row>
    <row r="108" spans="2:21" x14ac:dyDescent="0.25">
      <c r="L108" s="93"/>
      <c r="M108" s="91"/>
      <c r="N108" s="91"/>
      <c r="O108" s="91"/>
      <c r="P108" s="91"/>
      <c r="Q108" s="91"/>
      <c r="R108" s="91"/>
      <c r="S108" s="91"/>
      <c r="T108" s="91"/>
      <c r="U108" s="91"/>
    </row>
    <row r="109" spans="2:21" x14ac:dyDescent="0.25">
      <c r="L109" s="94"/>
      <c r="M109" s="91"/>
      <c r="N109" s="91"/>
      <c r="O109" s="91"/>
      <c r="P109" s="91"/>
      <c r="Q109" s="91"/>
      <c r="R109" s="91"/>
      <c r="S109" s="91"/>
      <c r="T109" s="91"/>
      <c r="U109" s="91"/>
    </row>
    <row r="110" spans="2:21" x14ac:dyDescent="0.25">
      <c r="L110" s="93"/>
      <c r="M110" s="91"/>
      <c r="N110" s="91"/>
      <c r="O110" s="91"/>
      <c r="P110" s="91"/>
      <c r="Q110" s="91"/>
      <c r="R110" s="91"/>
      <c r="S110" s="91"/>
      <c r="T110" s="91"/>
      <c r="U110" s="91"/>
    </row>
    <row r="111" spans="2:21" x14ac:dyDescent="0.25">
      <c r="L111" s="94"/>
      <c r="M111" s="91"/>
      <c r="N111" s="91"/>
      <c r="O111" s="91"/>
      <c r="P111" s="91"/>
      <c r="Q111" s="91"/>
      <c r="R111" s="91"/>
      <c r="S111" s="91"/>
      <c r="T111" s="91"/>
      <c r="U111" s="91"/>
    </row>
    <row r="112" spans="2:21" x14ac:dyDescent="0.25">
      <c r="L112" s="93"/>
      <c r="M112" s="91"/>
      <c r="N112" s="91"/>
      <c r="O112" s="91"/>
      <c r="P112" s="91"/>
      <c r="Q112" s="91"/>
      <c r="R112" s="91"/>
      <c r="S112" s="91"/>
      <c r="T112" s="91"/>
      <c r="U112" s="91"/>
    </row>
    <row r="113" spans="12:21" x14ac:dyDescent="0.25">
      <c r="L113" s="94"/>
      <c r="M113" s="91"/>
      <c r="N113" s="91"/>
      <c r="O113" s="91"/>
      <c r="P113" s="91"/>
      <c r="Q113" s="91"/>
      <c r="R113" s="91"/>
      <c r="S113" s="91"/>
      <c r="T113" s="91"/>
      <c r="U113" s="91"/>
    </row>
    <row r="114" spans="12:21" x14ac:dyDescent="0.25">
      <c r="L114" s="93"/>
      <c r="M114" s="91"/>
      <c r="N114" s="91"/>
      <c r="O114" s="91"/>
      <c r="P114" s="91"/>
      <c r="Q114" s="91"/>
      <c r="R114" s="91"/>
      <c r="S114" s="91"/>
      <c r="T114" s="91"/>
      <c r="U114" s="91"/>
    </row>
    <row r="116" spans="12:21" x14ac:dyDescent="0.25">
      <c r="L116" s="106" t="s">
        <v>62</v>
      </c>
      <c r="M116" s="106" t="s">
        <v>48</v>
      </c>
      <c r="N116" s="106" t="s">
        <v>83</v>
      </c>
      <c r="O116" s="106" t="s">
        <v>84</v>
      </c>
      <c r="P116" s="106" t="s">
        <v>83</v>
      </c>
      <c r="Q116" s="106" t="s">
        <v>84</v>
      </c>
      <c r="R116" s="106" t="s">
        <v>58</v>
      </c>
    </row>
    <row r="117" spans="12:21" x14ac:dyDescent="0.25">
      <c r="L117" s="107" t="str">
        <f>L90</f>
        <v>A110</v>
      </c>
      <c r="M117" s="91">
        <f>IFERROR(VLOOKUP($L$117,$L$120:$M$131,2,0),0)</f>
        <v>1</v>
      </c>
      <c r="N117" s="91">
        <f>IFERROR(VLOOKUP($L$117,$L$119:$N$131,3,0),0)</f>
        <v>0</v>
      </c>
      <c r="O117" s="91">
        <f>IFERROR(VLOOKUP($L$117,$L$119:$O$131,4,0),0)</f>
        <v>1</v>
      </c>
      <c r="P117" s="91">
        <f>IFERROR(VLOOKUP($L$117,L119:P131,5,0),0)</f>
        <v>5</v>
      </c>
      <c r="Q117" s="91">
        <f>IFERROR(VLOOKUP($L$117,$L$119:$Q$131,6,0),0)</f>
        <v>0</v>
      </c>
      <c r="R117" s="91">
        <f>SUM(M117:Q117)</f>
        <v>7</v>
      </c>
    </row>
    <row r="119" spans="12:21" x14ac:dyDescent="0.25">
      <c r="L119" s="98" t="s">
        <v>62</v>
      </c>
      <c r="M119" s="106" t="s">
        <v>48</v>
      </c>
      <c r="N119" s="106" t="s">
        <v>83</v>
      </c>
      <c r="O119" s="106" t="s">
        <v>84</v>
      </c>
      <c r="P119" s="106" t="s">
        <v>83</v>
      </c>
      <c r="Q119" s="106" t="s">
        <v>84</v>
      </c>
      <c r="R119" s="98" t="s">
        <v>58</v>
      </c>
    </row>
    <row r="120" spans="12:21" x14ac:dyDescent="0.25">
      <c r="L120" s="92" t="s">
        <v>72</v>
      </c>
      <c r="Q120" s="10">
        <v>1</v>
      </c>
      <c r="R120" s="10">
        <f>SUM(M120:Q120)</f>
        <v>1</v>
      </c>
    </row>
    <row r="121" spans="12:21" x14ac:dyDescent="0.25">
      <c r="L121" s="92" t="s">
        <v>71</v>
      </c>
      <c r="N121" s="10">
        <v>1</v>
      </c>
      <c r="Q121" s="10">
        <v>2</v>
      </c>
      <c r="R121" s="10">
        <f t="shared" ref="R121:R131" si="2">SUM(M121:Q121)</f>
        <v>3</v>
      </c>
    </row>
    <row r="122" spans="12:21" x14ac:dyDescent="0.25">
      <c r="L122" s="74" t="s">
        <v>73</v>
      </c>
      <c r="M122" s="10">
        <v>1</v>
      </c>
      <c r="O122" s="10">
        <v>1</v>
      </c>
      <c r="P122" s="10">
        <v>5</v>
      </c>
      <c r="R122" s="10">
        <f t="shared" si="2"/>
        <v>7</v>
      </c>
    </row>
    <row r="123" spans="12:21" x14ac:dyDescent="0.25">
      <c r="L123" s="92"/>
    </row>
    <row r="124" spans="12:21" x14ac:dyDescent="0.25">
      <c r="L124" s="92"/>
    </row>
    <row r="125" spans="12:21" x14ac:dyDescent="0.25">
      <c r="L125" s="92"/>
    </row>
    <row r="126" spans="12:21" x14ac:dyDescent="0.25">
      <c r="L126" s="92"/>
    </row>
    <row r="127" spans="12:21" x14ac:dyDescent="0.25">
      <c r="L127" s="74"/>
    </row>
    <row r="128" spans="12:21" x14ac:dyDescent="0.25">
      <c r="L128" s="74"/>
    </row>
    <row r="129" spans="12:18" x14ac:dyDescent="0.25">
      <c r="L129" s="92"/>
    </row>
    <row r="130" spans="12:18" x14ac:dyDescent="0.25">
      <c r="L130" s="92"/>
    </row>
    <row r="131" spans="12:18" x14ac:dyDescent="0.25">
      <c r="L131" s="74"/>
    </row>
    <row r="132" spans="12:18" x14ac:dyDescent="0.25">
      <c r="L132" s="99" t="s">
        <v>58</v>
      </c>
      <c r="M132" s="99">
        <f t="shared" ref="M132:R132" si="3">SUM(M120:M131)</f>
        <v>1</v>
      </c>
      <c r="N132" s="99">
        <f t="shared" si="3"/>
        <v>1</v>
      </c>
      <c r="O132" s="99">
        <f t="shared" si="3"/>
        <v>1</v>
      </c>
      <c r="P132" s="99">
        <f t="shared" si="3"/>
        <v>5</v>
      </c>
      <c r="Q132" s="99">
        <f t="shared" si="3"/>
        <v>3</v>
      </c>
      <c r="R132" s="99">
        <f t="shared" si="3"/>
        <v>11</v>
      </c>
    </row>
    <row r="134" spans="12:18" x14ac:dyDescent="0.25">
      <c r="L134" s="101" t="s">
        <v>63</v>
      </c>
      <c r="M134" s="102" t="s">
        <v>40</v>
      </c>
      <c r="N134" s="102" t="s">
        <v>29</v>
      </c>
      <c r="O134" s="102" t="s">
        <v>30</v>
      </c>
      <c r="P134" s="102" t="s">
        <v>31</v>
      </c>
      <c r="Q134" s="102" t="s">
        <v>32</v>
      </c>
      <c r="R134" s="103" t="s">
        <v>64</v>
      </c>
    </row>
    <row r="135" spans="12:18" x14ac:dyDescent="0.25">
      <c r="L135" s="107" t="str">
        <f>L117</f>
        <v>A110</v>
      </c>
      <c r="M135" s="104">
        <f>VLOOKUP($L$135,$L$138:$R$155,2,0)</f>
        <v>1</v>
      </c>
      <c r="N135" s="104">
        <f>VLOOKUP($L$135,$L$138:$R$155,3,0)</f>
        <v>1</v>
      </c>
      <c r="O135" s="104">
        <f>VLOOKUP($L$135,$L$138:$R$155,4,0)</f>
        <v>0.96250000000000002</v>
      </c>
      <c r="P135" s="104">
        <f>VLOOKUP($L$135,$L$138:$R$155,5,0)</f>
        <v>0.96551724137931039</v>
      </c>
      <c r="Q135" s="104">
        <f>VLOOKUP($L$135,$L$138:$R$155,6,0)</f>
        <v>1</v>
      </c>
      <c r="R135" s="104">
        <f>VLOOKUP($L$135,$L$138:$R$155,7,0)</f>
        <v>0.96111111111111114</v>
      </c>
    </row>
    <row r="138" spans="12:18" x14ac:dyDescent="0.25">
      <c r="L138" s="101" t="s">
        <v>63</v>
      </c>
      <c r="M138" s="102" t="s">
        <v>40</v>
      </c>
      <c r="N138" s="102" t="s">
        <v>29</v>
      </c>
      <c r="O138" s="102" t="s">
        <v>30</v>
      </c>
      <c r="P138" s="102" t="s">
        <v>31</v>
      </c>
      <c r="Q138" s="102" t="s">
        <v>32</v>
      </c>
      <c r="R138" s="103" t="s">
        <v>64</v>
      </c>
    </row>
    <row r="139" spans="12:18" x14ac:dyDescent="0.25">
      <c r="L139" s="94" t="s">
        <v>72</v>
      </c>
      <c r="M139" s="104">
        <v>1</v>
      </c>
      <c r="N139" s="104">
        <v>1</v>
      </c>
      <c r="O139" s="104">
        <v>0.96470588235294119</v>
      </c>
      <c r="P139" s="104">
        <v>0.98039215686274506</v>
      </c>
      <c r="Q139" s="104">
        <v>1</v>
      </c>
      <c r="R139" s="104">
        <v>0.98069498069498073</v>
      </c>
    </row>
    <row r="140" spans="12:18" x14ac:dyDescent="0.25">
      <c r="L140" s="93" t="s">
        <v>71</v>
      </c>
      <c r="M140" s="104">
        <v>0.875</v>
      </c>
      <c r="N140" s="104">
        <v>0.9555555555555556</v>
      </c>
      <c r="O140" s="104">
        <v>1</v>
      </c>
      <c r="P140" s="104">
        <v>1</v>
      </c>
      <c r="Q140" s="104">
        <v>1</v>
      </c>
      <c r="R140" s="104">
        <v>0.99029126213592233</v>
      </c>
    </row>
    <row r="141" spans="12:18" x14ac:dyDescent="0.25">
      <c r="L141" s="94" t="s">
        <v>73</v>
      </c>
      <c r="M141" s="104">
        <v>1</v>
      </c>
      <c r="N141" s="104">
        <v>1</v>
      </c>
      <c r="O141" s="104">
        <v>0.96250000000000002</v>
      </c>
      <c r="P141" s="104">
        <v>0.96551724137931039</v>
      </c>
      <c r="Q141" s="104">
        <v>1</v>
      </c>
      <c r="R141" s="104">
        <v>0.96111111111111114</v>
      </c>
    </row>
    <row r="142" spans="12:18" x14ac:dyDescent="0.25">
      <c r="L142" s="93"/>
      <c r="M142" s="104"/>
      <c r="N142" s="104"/>
      <c r="O142" s="104"/>
      <c r="P142" s="104"/>
      <c r="Q142" s="104"/>
      <c r="R142" s="104"/>
    </row>
    <row r="143" spans="12:18" x14ac:dyDescent="0.25">
      <c r="L143" s="93"/>
      <c r="M143" s="104"/>
      <c r="N143" s="104"/>
      <c r="O143" s="104"/>
      <c r="P143" s="104"/>
      <c r="Q143" s="104"/>
      <c r="R143" s="104"/>
    </row>
    <row r="144" spans="12:18" x14ac:dyDescent="0.25">
      <c r="L144" s="94"/>
      <c r="M144" s="104"/>
      <c r="N144" s="104"/>
      <c r="O144" s="104"/>
      <c r="P144" s="104"/>
      <c r="Q144" s="104"/>
      <c r="R144" s="104"/>
    </row>
    <row r="145" spans="12:18" x14ac:dyDescent="0.25">
      <c r="L145" s="94"/>
      <c r="M145" s="104"/>
      <c r="N145" s="104"/>
      <c r="O145" s="104"/>
      <c r="P145" s="104"/>
      <c r="Q145" s="104"/>
      <c r="R145" s="104"/>
    </row>
    <row r="146" spans="12:18" x14ac:dyDescent="0.25">
      <c r="L146" s="93"/>
      <c r="M146" s="105"/>
      <c r="N146" s="104"/>
      <c r="O146" s="104"/>
      <c r="P146" s="104"/>
      <c r="Q146" s="104"/>
      <c r="R146" s="104"/>
    </row>
    <row r="147" spans="12:18" x14ac:dyDescent="0.25">
      <c r="L147" s="93"/>
      <c r="M147" s="105"/>
      <c r="N147" s="105"/>
      <c r="O147" s="104"/>
      <c r="P147" s="104"/>
      <c r="Q147" s="104"/>
      <c r="R147" s="104"/>
    </row>
    <row r="148" spans="12:18" x14ac:dyDescent="0.25">
      <c r="L148" s="93"/>
      <c r="M148" s="104"/>
      <c r="N148" s="104"/>
      <c r="O148" s="104"/>
      <c r="P148" s="104"/>
      <c r="Q148" s="104"/>
      <c r="R148" s="104"/>
    </row>
    <row r="149" spans="12:18" x14ac:dyDescent="0.25">
      <c r="L149" s="94"/>
      <c r="M149" s="105"/>
      <c r="N149" s="104"/>
      <c r="O149" s="104"/>
      <c r="P149" s="104"/>
      <c r="Q149" s="104"/>
      <c r="R149" s="104"/>
    </row>
    <row r="150" spans="12:18" x14ac:dyDescent="0.25">
      <c r="L150" s="93"/>
      <c r="M150" s="104"/>
      <c r="N150" s="105"/>
      <c r="O150" s="104"/>
      <c r="P150" s="104"/>
      <c r="Q150" s="104"/>
      <c r="R150" s="104"/>
    </row>
    <row r="151" spans="12:18" x14ac:dyDescent="0.25">
      <c r="L151" s="94"/>
      <c r="M151" s="104"/>
      <c r="N151" s="104"/>
      <c r="O151" s="104"/>
      <c r="P151" s="104"/>
      <c r="Q151" s="104"/>
      <c r="R151" s="104"/>
    </row>
    <row r="152" spans="12:18" x14ac:dyDescent="0.25">
      <c r="L152" s="94"/>
      <c r="M152" s="105"/>
      <c r="N152" s="104"/>
      <c r="O152" s="104"/>
      <c r="P152" s="104"/>
      <c r="Q152" s="104"/>
      <c r="R152" s="104"/>
    </row>
    <row r="153" spans="12:18" x14ac:dyDescent="0.25">
      <c r="L153" s="94"/>
      <c r="M153" s="104"/>
      <c r="N153" s="104"/>
      <c r="O153" s="104"/>
      <c r="P153" s="104"/>
      <c r="Q153" s="104"/>
      <c r="R153" s="104"/>
    </row>
    <row r="154" spans="12:18" x14ac:dyDescent="0.25">
      <c r="L154" s="94"/>
      <c r="M154" s="105"/>
      <c r="N154" s="104"/>
      <c r="O154" s="104"/>
      <c r="P154" s="104"/>
      <c r="Q154" s="104"/>
      <c r="R154" s="104"/>
    </row>
    <row r="155" spans="12:18" x14ac:dyDescent="0.25">
      <c r="L155" s="94"/>
      <c r="M155" s="105"/>
      <c r="N155" s="105"/>
      <c r="O155" s="104"/>
      <c r="P155" s="104"/>
      <c r="Q155" s="104"/>
      <c r="R155" s="104"/>
    </row>
  </sheetData>
  <mergeCells count="14">
    <mergeCell ref="M94:U94"/>
    <mergeCell ref="B101:E101"/>
    <mergeCell ref="D14:E14"/>
    <mergeCell ref="D15:E15"/>
    <mergeCell ref="B22:E22"/>
    <mergeCell ref="B16:C16"/>
    <mergeCell ref="B17:C17"/>
    <mergeCell ref="B18:C18"/>
    <mergeCell ref="D16:E16"/>
    <mergeCell ref="D17:E17"/>
    <mergeCell ref="D18:E18"/>
    <mergeCell ref="B36:E36"/>
    <mergeCell ref="H36:K36"/>
    <mergeCell ref="B39:E39"/>
  </mergeCells>
  <phoneticPr fontId="26" type="noConversion"/>
  <conditionalFormatting sqref="R139:R155">
    <cfRule type="cellIs" dxfId="3" priority="3" operator="equal">
      <formula>1</formula>
    </cfRule>
    <cfRule type="cellIs" dxfId="2" priority="4" operator="lessThan">
      <formula>0.95</formula>
    </cfRule>
  </conditionalFormatting>
  <conditionalFormatting sqref="R135">
    <cfRule type="cellIs" dxfId="1" priority="1" operator="equal">
      <formula>1</formula>
    </cfRule>
    <cfRule type="cellIs" dxfId="0" priority="2" operator="lessThan">
      <formula>0.95</formula>
    </cfRule>
  </conditionalFormatting>
  <pageMargins left="0.59055118110236227" right="0.35433070866141736" top="0.55118110236220474" bottom="0.55118110236220474" header="0.31496062992125984" footer="0.31496062992125984"/>
  <pageSetup paperSize="9" scale="137" orientation="portrait" r:id="rId1"/>
  <headerFooter>
    <oddFooter>&amp;CFICHE DE PRODUCTION INDIVIDUELLE</oddFooter>
  </headerFooter>
  <rowBreaks count="1" manualBreakCount="1">
    <brk id="35" max="5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Menu</vt:lpstr>
      <vt:lpstr>Paramétrage</vt:lpstr>
      <vt:lpstr>Base</vt:lpstr>
      <vt:lpstr>Fiche</vt:lpstr>
      <vt:lpstr>destinataire</vt:lpstr>
      <vt:lpstr>rngBody</vt:lpstr>
      <vt:lpstr>rngCountMail</vt:lpstr>
      <vt:lpstr>rngMdp</vt:lpstr>
      <vt:lpstr>rngMtr</vt:lpstr>
      <vt:lpstr>rngPath</vt:lpstr>
      <vt:lpstr>rngSendTo</vt:lpstr>
      <vt:lpstr>rngSN</vt:lpstr>
      <vt:lpstr>rngSubj</vt:lpstr>
      <vt:lpstr>rngTN</vt:lpstr>
      <vt:lpstr>StoreNums</vt:lpstr>
      <vt:lpstr>Fiche!Zone_d_impression</vt:lpstr>
      <vt:lpstr>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Debra Dalgleish</dc:creator>
  <cp:lastModifiedBy>MBALLO Saliou</cp:lastModifiedBy>
  <cp:lastPrinted>2023-06-26T11:06:45Z</cp:lastPrinted>
  <dcterms:created xsi:type="dcterms:W3CDTF">2013-10-29T17:34:25Z</dcterms:created>
  <dcterms:modified xsi:type="dcterms:W3CDTF">2023-06-26T11:24:45Z</dcterms:modified>
</cp:coreProperties>
</file>