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chouri\Downloads\"/>
    </mc:Choice>
  </mc:AlternateContent>
  <bookViews>
    <workbookView xWindow="-105" yWindow="-105" windowWidth="23250" windowHeight="12450" tabRatio="686"/>
  </bookViews>
  <sheets>
    <sheet name="Collègue" sheetId="27" r:id="rId1"/>
    <sheet name="Janvier" sheetId="4" r:id="rId2"/>
    <sheet name="Février" sheetId="5" r:id="rId3"/>
    <sheet name="Mars" sheetId="17" r:id="rId4"/>
    <sheet name="Avril" sheetId="18" r:id="rId5"/>
    <sheet name="Mai" sheetId="19" r:id="rId6"/>
    <sheet name="Juin" sheetId="20" r:id="rId7"/>
    <sheet name="Juillet" sheetId="21" r:id="rId8"/>
    <sheet name="Août" sheetId="22" r:id="rId9"/>
    <sheet name="Septembre" sheetId="23" r:id="rId10"/>
    <sheet name="Octobre" sheetId="24" r:id="rId11"/>
    <sheet name="Novembre" sheetId="25" r:id="rId12"/>
    <sheet name="Décembre" sheetId="15" r:id="rId13"/>
  </sheets>
  <definedNames>
    <definedName name="AnnéeCalendrier">Janvier!$AH$4</definedName>
    <definedName name="CléCongé">Janvier!$C$2</definedName>
    <definedName name="CléMaladie">Janvier!$J$2</definedName>
    <definedName name="CléPersonnalisée1">Janvier!$M$2</definedName>
    <definedName name="CléPersonnalisée2">Janvier!$R$2</definedName>
    <definedName name="CléPersonnel">Janvier!$F$2</definedName>
    <definedName name="ÉtiquetteCléCongé">Janvier!$D$2</definedName>
    <definedName name="ÉtiquetteCléMaladie">Janvier!$K$2</definedName>
    <definedName name="ÉtiquetteCléPersonnalisée1">Janvier!$N$2</definedName>
    <definedName name="ÉtiquetteCléPersonnalisée2">Janvier!$S$2</definedName>
    <definedName name="ÉtiquetteCléPersonnel">Janvier!$G$2</definedName>
    <definedName name="_xlnm.Print_Titles" localSheetId="8">Août!$4:$6</definedName>
    <definedName name="_xlnm.Print_Titles" localSheetId="4">Avril!$4:$6</definedName>
    <definedName name="_xlnm.Print_Titles" localSheetId="12">Décembre!$4:$6</definedName>
    <definedName name="_xlnm.Print_Titles" localSheetId="2">Février!$4:$6</definedName>
    <definedName name="_xlnm.Print_Titles" localSheetId="1">Janvier!$4:$6</definedName>
    <definedName name="_xlnm.Print_Titles" localSheetId="7">Juillet!$4:$6</definedName>
    <definedName name="_xlnm.Print_Titles" localSheetId="6">Juin!$4:$6</definedName>
    <definedName name="_xlnm.Print_Titles" localSheetId="5">Mai!$4:$6</definedName>
    <definedName name="_xlnm.Print_Titles" localSheetId="3">Mars!$4:$6</definedName>
    <definedName name="_xlnm.Print_Titles" localSheetId="11">Novembre!$4:$6</definedName>
    <definedName name="_xlnm.Print_Titles" localSheetId="10">Octobre!$4:$6</definedName>
    <definedName name="_xlnm.Print_Titles" localSheetId="9">Septembre!$4:$6</definedName>
    <definedName name="Nom_clé">Janvier!$B$2</definedName>
    <definedName name="NomMois" localSheetId="8">Août!$B$4</definedName>
    <definedName name="NomMois" localSheetId="4">Avril!$B$4</definedName>
    <definedName name="NomMois" localSheetId="12">Décembre!$B$4</definedName>
    <definedName name="NomMois" localSheetId="2">Février!$B$4</definedName>
    <definedName name="NomMois" localSheetId="1">Janvier!$B$4</definedName>
    <definedName name="NomMois" localSheetId="7">Juillet!$B$4</definedName>
    <definedName name="NomMois" localSheetId="6">Juin!$B$4</definedName>
    <definedName name="NomMois" localSheetId="5">Mai!$B$4</definedName>
    <definedName name="NomMois" localSheetId="3">Mars!$B$4</definedName>
    <definedName name="NomMois" localSheetId="11">Novembre!$B$4</definedName>
    <definedName name="NomMois" localSheetId="10">Octobre!$B$4</definedName>
    <definedName name="NomMois" localSheetId="9">Septembre!$B$4</definedName>
    <definedName name="Titre_Absence_Employé">Janvier!$B$1</definedName>
    <definedName name="Titre1">Janvier[[#Headers],[Nom de l’employé]]</definedName>
    <definedName name="Titre10">Octobre[[#Headers],[Nom de l’employé]]</definedName>
    <definedName name="Titre11">Novembre[[#Headers],[Nom de l’employé]]</definedName>
    <definedName name="Titre12">Décembre[[#Headers],[Nom de l’employé]]</definedName>
    <definedName name="Titre2">Février[[#Headers],[Nom de l’employé]]</definedName>
    <definedName name="Titre3">Mars[[#Headers],[Nom de l’employé]]</definedName>
    <definedName name="Titre4">Avril[[#Headers],[Nom de l’employé]]</definedName>
    <definedName name="Titre5">Mai[[#Headers],[Nom de l’employé]]</definedName>
    <definedName name="Titre6">Juin[[#Headers],[Nom de l’employé]]</definedName>
    <definedName name="Titre7">Juillet[[#Headers],[Nom de l’employé]]</definedName>
    <definedName name="Titre8">Août[[#Headers],[Nom de l’employé]]</definedName>
    <definedName name="Titre9">Septembre[[#Headers],[Nom de l’employé]]</definedName>
    <definedName name="TitreColonne13">#REF!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11" i="5" l="1"/>
  <c r="B12" i="15" l="1"/>
  <c r="B12" i="25"/>
  <c r="B12" i="24"/>
  <c r="B12" i="23"/>
  <c r="B12" i="22"/>
  <c r="B12" i="21"/>
  <c r="B12" i="20"/>
  <c r="B12" i="19"/>
  <c r="B12" i="18"/>
  <c r="B12" i="17"/>
  <c r="B12" i="5"/>
  <c r="B12" i="4"/>
  <c r="B1" i="17"/>
  <c r="B1" i="18"/>
  <c r="B1" i="19"/>
  <c r="B1" i="20"/>
  <c r="B1" i="21"/>
  <c r="B1" i="22"/>
  <c r="B1" i="23"/>
  <c r="B1" i="24"/>
  <c r="B1" i="25"/>
  <c r="B1" i="15"/>
  <c r="B1" i="5"/>
  <c r="AG12" i="4"/>
  <c r="AF12" i="4"/>
  <c r="AE12" i="4"/>
  <c r="AD12" i="4"/>
  <c r="AC12" i="4"/>
  <c r="AB12" i="4"/>
  <c r="AA12" i="4"/>
  <c r="Z12" i="4"/>
  <c r="Y12" i="4"/>
  <c r="X12" i="4"/>
  <c r="W12" i="4"/>
  <c r="V12" i="4"/>
  <c r="U12" i="4"/>
  <c r="T12" i="4"/>
  <c r="S12" i="4"/>
  <c r="R12" i="4"/>
  <c r="Q12" i="4"/>
  <c r="P12" i="4"/>
  <c r="O12" i="4"/>
  <c r="N12" i="4"/>
  <c r="M12" i="4"/>
  <c r="L12" i="4"/>
  <c r="K12" i="4"/>
  <c r="J12" i="4"/>
  <c r="I12" i="4"/>
  <c r="H12" i="4"/>
  <c r="G12" i="4"/>
  <c r="F12" i="4"/>
  <c r="E12" i="4"/>
  <c r="D12" i="4"/>
  <c r="C12" i="4"/>
  <c r="AH7" i="4"/>
  <c r="AH8" i="4"/>
  <c r="AH9" i="4"/>
  <c r="AH10" i="4"/>
  <c r="AH11" i="4"/>
  <c r="AH8" i="15"/>
  <c r="AH9" i="15"/>
  <c r="AH10" i="15"/>
  <c r="AH11" i="15"/>
  <c r="AH7" i="15"/>
  <c r="AH8" i="25"/>
  <c r="AH9" i="25"/>
  <c r="AH10" i="25"/>
  <c r="AH11" i="25"/>
  <c r="AH7" i="25"/>
  <c r="AH8" i="24"/>
  <c r="AH9" i="24"/>
  <c r="AH10" i="24"/>
  <c r="AH11" i="24"/>
  <c r="AH7" i="24"/>
  <c r="AH8" i="23"/>
  <c r="AH9" i="23"/>
  <c r="AH10" i="23"/>
  <c r="AH11" i="23"/>
  <c r="AH7" i="23"/>
  <c r="AH8" i="22"/>
  <c r="AH9" i="22"/>
  <c r="AH10" i="22"/>
  <c r="AH11" i="22"/>
  <c r="AH7" i="22"/>
  <c r="AH8" i="21"/>
  <c r="AH9" i="21"/>
  <c r="AH10" i="21"/>
  <c r="AH11" i="21"/>
  <c r="AH7" i="21"/>
  <c r="AH8" i="20"/>
  <c r="AH9" i="20"/>
  <c r="AH10" i="20"/>
  <c r="AH11" i="20"/>
  <c r="AH7" i="20"/>
  <c r="AH8" i="19"/>
  <c r="AH9" i="19"/>
  <c r="AH10" i="19"/>
  <c r="AH11" i="19"/>
  <c r="AH7" i="19"/>
  <c r="AH8" i="18"/>
  <c r="AH9" i="18"/>
  <c r="AH10" i="18"/>
  <c r="AH11" i="18"/>
  <c r="AH7" i="18"/>
  <c r="AH8" i="17"/>
  <c r="AH9" i="17"/>
  <c r="AH10" i="17"/>
  <c r="AH11" i="17"/>
  <c r="AH7" i="17"/>
  <c r="AH8" i="5"/>
  <c r="AH9" i="5"/>
  <c r="AH10" i="5"/>
  <c r="AH7" i="5"/>
  <c r="AG5" i="17"/>
  <c r="AF5" i="17"/>
  <c r="AE5" i="17"/>
  <c r="AD5" i="17"/>
  <c r="AC5" i="17"/>
  <c r="AB5" i="17"/>
  <c r="AA5" i="17"/>
  <c r="Z5" i="17"/>
  <c r="Y5" i="17"/>
  <c r="X5" i="17"/>
  <c r="W5" i="17"/>
  <c r="V5" i="17"/>
  <c r="U5" i="17"/>
  <c r="T5" i="17"/>
  <c r="S5" i="17"/>
  <c r="R5" i="17"/>
  <c r="Q5" i="17"/>
  <c r="P5" i="17"/>
  <c r="O5" i="17"/>
  <c r="N5" i="17"/>
  <c r="M5" i="17"/>
  <c r="L5" i="17"/>
  <c r="K5" i="17"/>
  <c r="J5" i="17"/>
  <c r="I5" i="17"/>
  <c r="H5" i="17"/>
  <c r="G5" i="17"/>
  <c r="F5" i="17"/>
  <c r="E5" i="17"/>
  <c r="D5" i="17"/>
  <c r="C5" i="17"/>
  <c r="AH4" i="17"/>
  <c r="AF5" i="18"/>
  <c r="AE5" i="18"/>
  <c r="AD5" i="18"/>
  <c r="AC5" i="18"/>
  <c r="AB5" i="18"/>
  <c r="AA5" i="18"/>
  <c r="Z5" i="18"/>
  <c r="Y5" i="18"/>
  <c r="X5" i="18"/>
  <c r="W5" i="18"/>
  <c r="V5" i="18"/>
  <c r="U5" i="18"/>
  <c r="T5" i="18"/>
  <c r="S5" i="18"/>
  <c r="R5" i="18"/>
  <c r="Q5" i="18"/>
  <c r="P5" i="18"/>
  <c r="O5" i="18"/>
  <c r="N5" i="18"/>
  <c r="M5" i="18"/>
  <c r="L5" i="18"/>
  <c r="K5" i="18"/>
  <c r="J5" i="18"/>
  <c r="I5" i="18"/>
  <c r="H5" i="18"/>
  <c r="G5" i="18"/>
  <c r="F5" i="18"/>
  <c r="E5" i="18"/>
  <c r="D5" i="18"/>
  <c r="C5" i="18"/>
  <c r="AH4" i="18"/>
  <c r="AG5" i="19"/>
  <c r="AF5" i="19"/>
  <c r="AE5" i="19"/>
  <c r="AD5" i="19"/>
  <c r="AC5" i="19"/>
  <c r="AB5" i="19"/>
  <c r="AA5" i="19"/>
  <c r="Z5" i="19"/>
  <c r="Y5" i="19"/>
  <c r="X5" i="19"/>
  <c r="W5" i="19"/>
  <c r="V5" i="19"/>
  <c r="U5" i="19"/>
  <c r="T5" i="19"/>
  <c r="S5" i="19"/>
  <c r="R5" i="19"/>
  <c r="Q5" i="19"/>
  <c r="P5" i="19"/>
  <c r="O5" i="19"/>
  <c r="N5" i="19"/>
  <c r="M5" i="19"/>
  <c r="L5" i="19"/>
  <c r="K5" i="19"/>
  <c r="J5" i="19"/>
  <c r="I5" i="19"/>
  <c r="H5" i="19"/>
  <c r="G5" i="19"/>
  <c r="F5" i="19"/>
  <c r="E5" i="19"/>
  <c r="D5" i="19"/>
  <c r="C5" i="19"/>
  <c r="AH4" i="19"/>
  <c r="AF5" i="20"/>
  <c r="AE5" i="20"/>
  <c r="AD5" i="20"/>
  <c r="AC5" i="20"/>
  <c r="AB5" i="20"/>
  <c r="AA5" i="20"/>
  <c r="Z5" i="20"/>
  <c r="Y5" i="20"/>
  <c r="X5" i="20"/>
  <c r="W5" i="20"/>
  <c r="V5" i="20"/>
  <c r="U5" i="20"/>
  <c r="T5" i="20"/>
  <c r="S5" i="20"/>
  <c r="R5" i="20"/>
  <c r="Q5" i="20"/>
  <c r="P5" i="20"/>
  <c r="O5" i="20"/>
  <c r="N5" i="20"/>
  <c r="M5" i="20"/>
  <c r="L5" i="20"/>
  <c r="K5" i="20"/>
  <c r="J5" i="20"/>
  <c r="I5" i="20"/>
  <c r="H5" i="20"/>
  <c r="G5" i="20"/>
  <c r="F5" i="20"/>
  <c r="E5" i="20"/>
  <c r="D5" i="20"/>
  <c r="C5" i="20"/>
  <c r="AH4" i="20"/>
  <c r="AG5" i="21"/>
  <c r="AF5" i="21"/>
  <c r="AE5" i="21"/>
  <c r="AD5" i="21"/>
  <c r="AC5" i="21"/>
  <c r="AB5" i="21"/>
  <c r="AA5" i="21"/>
  <c r="Z5" i="21"/>
  <c r="Y5" i="21"/>
  <c r="X5" i="21"/>
  <c r="W5" i="21"/>
  <c r="V5" i="21"/>
  <c r="U5" i="21"/>
  <c r="T5" i="21"/>
  <c r="S5" i="21"/>
  <c r="R5" i="21"/>
  <c r="Q5" i="21"/>
  <c r="P5" i="21"/>
  <c r="O5" i="21"/>
  <c r="N5" i="21"/>
  <c r="M5" i="21"/>
  <c r="L5" i="21"/>
  <c r="K5" i="21"/>
  <c r="J5" i="21"/>
  <c r="I5" i="21"/>
  <c r="H5" i="21"/>
  <c r="G5" i="21"/>
  <c r="F5" i="21"/>
  <c r="E5" i="21"/>
  <c r="D5" i="21"/>
  <c r="C5" i="21"/>
  <c r="AH4" i="21"/>
  <c r="AG5" i="22"/>
  <c r="AF5" i="22"/>
  <c r="AE5" i="22"/>
  <c r="AD5" i="22"/>
  <c r="AC5" i="22"/>
  <c r="AB5" i="22"/>
  <c r="AA5" i="22"/>
  <c r="Z5" i="22"/>
  <c r="Y5" i="22"/>
  <c r="X5" i="22"/>
  <c r="W5" i="22"/>
  <c r="V5" i="22"/>
  <c r="U5" i="22"/>
  <c r="T5" i="22"/>
  <c r="S5" i="22"/>
  <c r="R5" i="22"/>
  <c r="Q5" i="22"/>
  <c r="P5" i="22"/>
  <c r="O5" i="22"/>
  <c r="N5" i="22"/>
  <c r="M5" i="22"/>
  <c r="L5" i="22"/>
  <c r="K5" i="22"/>
  <c r="J5" i="22"/>
  <c r="I5" i="22"/>
  <c r="H5" i="22"/>
  <c r="G5" i="22"/>
  <c r="F5" i="22"/>
  <c r="E5" i="22"/>
  <c r="D5" i="22"/>
  <c r="C5" i="22"/>
  <c r="AH4" i="22"/>
  <c r="AF5" i="23"/>
  <c r="AE5" i="23"/>
  <c r="AD5" i="23"/>
  <c r="AC5" i="23"/>
  <c r="AB5" i="23"/>
  <c r="AA5" i="23"/>
  <c r="Z5" i="23"/>
  <c r="Y5" i="23"/>
  <c r="X5" i="23"/>
  <c r="W5" i="23"/>
  <c r="V5" i="23"/>
  <c r="U5" i="23"/>
  <c r="T5" i="23"/>
  <c r="S5" i="23"/>
  <c r="R5" i="23"/>
  <c r="Q5" i="23"/>
  <c r="P5" i="23"/>
  <c r="O5" i="23"/>
  <c r="N5" i="23"/>
  <c r="M5" i="23"/>
  <c r="L5" i="23"/>
  <c r="K5" i="23"/>
  <c r="J5" i="23"/>
  <c r="I5" i="23"/>
  <c r="H5" i="23"/>
  <c r="G5" i="23"/>
  <c r="F5" i="23"/>
  <c r="E5" i="23"/>
  <c r="D5" i="23"/>
  <c r="C5" i="23"/>
  <c r="AH4" i="23"/>
  <c r="AG5" i="24"/>
  <c r="AF5" i="24"/>
  <c r="AE5" i="24"/>
  <c r="AD5" i="24"/>
  <c r="AC5" i="24"/>
  <c r="AB5" i="24"/>
  <c r="AA5" i="24"/>
  <c r="Z5" i="24"/>
  <c r="Y5" i="24"/>
  <c r="X5" i="24"/>
  <c r="W5" i="24"/>
  <c r="V5" i="24"/>
  <c r="U5" i="24"/>
  <c r="T5" i="24"/>
  <c r="S5" i="24"/>
  <c r="R5" i="24"/>
  <c r="Q5" i="24"/>
  <c r="P5" i="24"/>
  <c r="O5" i="24"/>
  <c r="N5" i="24"/>
  <c r="M5" i="24"/>
  <c r="L5" i="24"/>
  <c r="K5" i="24"/>
  <c r="J5" i="24"/>
  <c r="I5" i="24"/>
  <c r="H5" i="24"/>
  <c r="G5" i="24"/>
  <c r="F5" i="24"/>
  <c r="E5" i="24"/>
  <c r="D5" i="24"/>
  <c r="C5" i="24"/>
  <c r="AH4" i="24"/>
  <c r="AF5" i="25"/>
  <c r="AE5" i="25"/>
  <c r="AD5" i="25"/>
  <c r="AC5" i="25"/>
  <c r="AB5" i="25"/>
  <c r="AA5" i="25"/>
  <c r="Z5" i="25"/>
  <c r="Y5" i="25"/>
  <c r="X5" i="25"/>
  <c r="W5" i="25"/>
  <c r="V5" i="25"/>
  <c r="U5" i="25"/>
  <c r="T5" i="25"/>
  <c r="S5" i="25"/>
  <c r="R5" i="25"/>
  <c r="Q5" i="25"/>
  <c r="P5" i="25"/>
  <c r="O5" i="25"/>
  <c r="N5" i="25"/>
  <c r="M5" i="25"/>
  <c r="L5" i="25"/>
  <c r="K5" i="25"/>
  <c r="J5" i="25"/>
  <c r="I5" i="25"/>
  <c r="H5" i="25"/>
  <c r="G5" i="25"/>
  <c r="F5" i="25"/>
  <c r="E5" i="25"/>
  <c r="D5" i="25"/>
  <c r="C5" i="25"/>
  <c r="AH4" i="25"/>
  <c r="AG5" i="15"/>
  <c r="AF5" i="15"/>
  <c r="AE5" i="15"/>
  <c r="AD5" i="15"/>
  <c r="AC5" i="15"/>
  <c r="AB5" i="15"/>
  <c r="AA5" i="15"/>
  <c r="Z5" i="15"/>
  <c r="Y5" i="15"/>
  <c r="X5" i="15"/>
  <c r="W5" i="15"/>
  <c r="V5" i="15"/>
  <c r="U5" i="15"/>
  <c r="T5" i="15"/>
  <c r="S5" i="15"/>
  <c r="R5" i="15"/>
  <c r="Q5" i="15"/>
  <c r="P5" i="15"/>
  <c r="O5" i="15"/>
  <c r="N5" i="15"/>
  <c r="M5" i="15"/>
  <c r="L5" i="15"/>
  <c r="K5" i="15"/>
  <c r="J5" i="15"/>
  <c r="I5" i="15"/>
  <c r="H5" i="15"/>
  <c r="G5" i="15"/>
  <c r="F5" i="15"/>
  <c r="E5" i="15"/>
  <c r="D5" i="15"/>
  <c r="C5" i="15"/>
  <c r="AH4" i="15"/>
  <c r="AE5" i="5"/>
  <c r="AD5" i="5"/>
  <c r="AC5" i="5"/>
  <c r="AB5" i="5"/>
  <c r="AA5" i="5"/>
  <c r="Z5" i="5"/>
  <c r="Y5" i="5"/>
  <c r="X5" i="5"/>
  <c r="W5" i="5"/>
  <c r="V5" i="5"/>
  <c r="U5" i="5"/>
  <c r="T5" i="5"/>
  <c r="S5" i="5"/>
  <c r="R5" i="5"/>
  <c r="Q5" i="5"/>
  <c r="P5" i="5"/>
  <c r="O5" i="5"/>
  <c r="N5" i="5"/>
  <c r="M5" i="5"/>
  <c r="L5" i="5"/>
  <c r="K5" i="5"/>
  <c r="J5" i="5"/>
  <c r="I5" i="5"/>
  <c r="H5" i="5"/>
  <c r="G5" i="5"/>
  <c r="F5" i="5"/>
  <c r="E5" i="5"/>
  <c r="D5" i="5"/>
  <c r="C5" i="5"/>
  <c r="AH4" i="5"/>
  <c r="AG5" i="4"/>
  <c r="AF5" i="4"/>
  <c r="AE5" i="4"/>
  <c r="AD5" i="4"/>
  <c r="AC5" i="4"/>
  <c r="AB5" i="4"/>
  <c r="AA5" i="4"/>
  <c r="Z5" i="4"/>
  <c r="Y5" i="4"/>
  <c r="X5" i="4"/>
  <c r="W5" i="4"/>
  <c r="V5" i="4"/>
  <c r="U5" i="4"/>
  <c r="T5" i="4"/>
  <c r="S5" i="4"/>
  <c r="R5" i="4"/>
  <c r="Q5" i="4"/>
  <c r="P5" i="4"/>
  <c r="O5" i="4"/>
  <c r="N5" i="4"/>
  <c r="M5" i="4"/>
  <c r="L5" i="4"/>
  <c r="K5" i="4"/>
  <c r="J5" i="4"/>
  <c r="I5" i="4"/>
  <c r="H5" i="4"/>
  <c r="G5" i="4"/>
  <c r="F5" i="4"/>
  <c r="E5" i="4"/>
  <c r="D5" i="4"/>
  <c r="C5" i="4"/>
  <c r="AG12" i="25" l="1"/>
  <c r="AF12" i="25"/>
  <c r="AE12" i="25"/>
  <c r="AD12" i="25"/>
  <c r="AC12" i="25"/>
  <c r="AB12" i="25"/>
  <c r="AA12" i="25"/>
  <c r="Z12" i="25"/>
  <c r="Y12" i="25"/>
  <c r="X12" i="25"/>
  <c r="W12" i="25"/>
  <c r="V12" i="25"/>
  <c r="U12" i="25"/>
  <c r="T12" i="25"/>
  <c r="S12" i="25"/>
  <c r="R12" i="25"/>
  <c r="Q12" i="25"/>
  <c r="P12" i="25"/>
  <c r="O12" i="25"/>
  <c r="N12" i="25"/>
  <c r="M12" i="25"/>
  <c r="L12" i="25"/>
  <c r="K12" i="25"/>
  <c r="J12" i="25"/>
  <c r="I12" i="25"/>
  <c r="H12" i="25"/>
  <c r="G12" i="25"/>
  <c r="F12" i="25"/>
  <c r="E12" i="25"/>
  <c r="D12" i="25"/>
  <c r="C12" i="25"/>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F12" i="24"/>
  <c r="E12" i="24"/>
  <c r="D12" i="24"/>
  <c r="C12" i="24"/>
  <c r="AG12" i="23"/>
  <c r="AF12" i="23"/>
  <c r="AE12" i="23"/>
  <c r="AD12" i="23"/>
  <c r="AC12" i="23"/>
  <c r="AB12" i="23"/>
  <c r="AA12" i="23"/>
  <c r="Z12" i="23"/>
  <c r="Y12" i="23"/>
  <c r="X12" i="23"/>
  <c r="W12" i="23"/>
  <c r="V12" i="23"/>
  <c r="U12" i="23"/>
  <c r="T12" i="23"/>
  <c r="S12" i="23"/>
  <c r="R12" i="23"/>
  <c r="Q12" i="23"/>
  <c r="P12" i="23"/>
  <c r="O12" i="23"/>
  <c r="N12" i="23"/>
  <c r="M12" i="23"/>
  <c r="L12" i="23"/>
  <c r="K12" i="23"/>
  <c r="J12" i="23"/>
  <c r="I12" i="23"/>
  <c r="H12" i="23"/>
  <c r="G12" i="23"/>
  <c r="F12" i="23"/>
  <c r="E12" i="23"/>
  <c r="D12" i="23"/>
  <c r="C12" i="23"/>
  <c r="AH12" i="23"/>
  <c r="AG12" i="22"/>
  <c r="AF12" i="22"/>
  <c r="AE12" i="22"/>
  <c r="AD12" i="22"/>
  <c r="AC12" i="22"/>
  <c r="AB12" i="22"/>
  <c r="AA12" i="22"/>
  <c r="Z12" i="22"/>
  <c r="Y12" i="22"/>
  <c r="X12" i="22"/>
  <c r="W12" i="22"/>
  <c r="V12" i="22"/>
  <c r="U12" i="22"/>
  <c r="T12" i="22"/>
  <c r="S12" i="22"/>
  <c r="R12" i="22"/>
  <c r="Q12" i="22"/>
  <c r="P12" i="22"/>
  <c r="O12" i="22"/>
  <c r="N12" i="22"/>
  <c r="M12" i="22"/>
  <c r="L12" i="22"/>
  <c r="K12" i="22"/>
  <c r="J12" i="22"/>
  <c r="I12" i="22"/>
  <c r="H12" i="22"/>
  <c r="G12" i="22"/>
  <c r="F12" i="22"/>
  <c r="E12" i="22"/>
  <c r="D12" i="22"/>
  <c r="C12" i="22"/>
  <c r="AG12" i="21"/>
  <c r="AF12" i="21"/>
  <c r="AE12" i="21"/>
  <c r="AD12" i="21"/>
  <c r="AC12" i="21"/>
  <c r="AB12" i="21"/>
  <c r="AA12" i="21"/>
  <c r="Z12" i="21"/>
  <c r="Y12" i="21"/>
  <c r="X12" i="21"/>
  <c r="W12" i="21"/>
  <c r="V12" i="21"/>
  <c r="U12" i="21"/>
  <c r="T12" i="21"/>
  <c r="S12" i="21"/>
  <c r="R12" i="21"/>
  <c r="Q12" i="21"/>
  <c r="P12" i="21"/>
  <c r="O12" i="21"/>
  <c r="N12" i="21"/>
  <c r="M12" i="21"/>
  <c r="L12" i="21"/>
  <c r="K12" i="21"/>
  <c r="J12" i="21"/>
  <c r="I12" i="21"/>
  <c r="H12" i="21"/>
  <c r="G12" i="21"/>
  <c r="F12" i="21"/>
  <c r="E12" i="21"/>
  <c r="D12" i="21"/>
  <c r="C12" i="21"/>
  <c r="AH12" i="21"/>
  <c r="AG12" i="20"/>
  <c r="AF12" i="20"/>
  <c r="AE12" i="20"/>
  <c r="AD12" i="20"/>
  <c r="AC12" i="20"/>
  <c r="AB12" i="20"/>
  <c r="AA12" i="20"/>
  <c r="Z12" i="20"/>
  <c r="Y12" i="20"/>
  <c r="X12" i="20"/>
  <c r="W12" i="20"/>
  <c r="V12" i="20"/>
  <c r="U12" i="20"/>
  <c r="T12" i="20"/>
  <c r="S12" i="20"/>
  <c r="R12" i="20"/>
  <c r="Q12" i="20"/>
  <c r="P12" i="20"/>
  <c r="O12" i="20"/>
  <c r="N12" i="20"/>
  <c r="M12" i="20"/>
  <c r="L12" i="20"/>
  <c r="K12" i="20"/>
  <c r="J12" i="20"/>
  <c r="I12" i="20"/>
  <c r="H12" i="20"/>
  <c r="G12" i="20"/>
  <c r="F12" i="20"/>
  <c r="E12" i="20"/>
  <c r="D12" i="20"/>
  <c r="C12" i="20"/>
  <c r="AG12" i="19"/>
  <c r="AF12" i="19"/>
  <c r="AE12" i="19"/>
  <c r="AD12" i="19"/>
  <c r="AC12" i="19"/>
  <c r="AB12" i="19"/>
  <c r="AA12" i="19"/>
  <c r="Z12" i="19"/>
  <c r="Y12" i="19"/>
  <c r="X12" i="19"/>
  <c r="W12" i="19"/>
  <c r="V12" i="19"/>
  <c r="U12" i="19"/>
  <c r="T12" i="19"/>
  <c r="S12" i="19"/>
  <c r="R12" i="19"/>
  <c r="Q12" i="19"/>
  <c r="P12" i="19"/>
  <c r="O12" i="19"/>
  <c r="N12" i="19"/>
  <c r="M12" i="19"/>
  <c r="L12" i="19"/>
  <c r="K12" i="19"/>
  <c r="J12" i="19"/>
  <c r="I12" i="19"/>
  <c r="H12" i="19"/>
  <c r="G12" i="19"/>
  <c r="F12" i="19"/>
  <c r="E12" i="19"/>
  <c r="D12" i="19"/>
  <c r="C12" i="19"/>
  <c r="AG12" i="18"/>
  <c r="AF12" i="18"/>
  <c r="AE12" i="18"/>
  <c r="AD12" i="18"/>
  <c r="AC12" i="18"/>
  <c r="AB12" i="18"/>
  <c r="AA12" i="18"/>
  <c r="Z12" i="18"/>
  <c r="Y12" i="18"/>
  <c r="X12" i="18"/>
  <c r="W12" i="18"/>
  <c r="V12" i="18"/>
  <c r="U12" i="18"/>
  <c r="T12" i="18"/>
  <c r="S12" i="18"/>
  <c r="R12" i="18"/>
  <c r="Q12" i="18"/>
  <c r="P12" i="18"/>
  <c r="O12" i="18"/>
  <c r="N12" i="18"/>
  <c r="M12" i="18"/>
  <c r="L12" i="18"/>
  <c r="K12" i="18"/>
  <c r="J12" i="18"/>
  <c r="I12" i="18"/>
  <c r="H12" i="18"/>
  <c r="G12" i="18"/>
  <c r="F12" i="18"/>
  <c r="E12" i="18"/>
  <c r="D12" i="18"/>
  <c r="C12" i="18"/>
  <c r="AH12" i="18"/>
  <c r="AG12" i="17"/>
  <c r="AF12" i="17"/>
  <c r="AE12" i="17"/>
  <c r="AD12" i="17"/>
  <c r="AC12" i="17"/>
  <c r="AB12" i="17"/>
  <c r="AA12" i="17"/>
  <c r="Z12" i="17"/>
  <c r="Y12" i="17"/>
  <c r="X12" i="17"/>
  <c r="W12" i="17"/>
  <c r="V12" i="17"/>
  <c r="U12" i="17"/>
  <c r="T12" i="17"/>
  <c r="S12" i="17"/>
  <c r="R12" i="17"/>
  <c r="Q12" i="17"/>
  <c r="P12" i="17"/>
  <c r="O12" i="17"/>
  <c r="N12" i="17"/>
  <c r="M12" i="17"/>
  <c r="L12" i="17"/>
  <c r="K12" i="17"/>
  <c r="J12" i="17"/>
  <c r="I12" i="17"/>
  <c r="H12" i="17"/>
  <c r="G12" i="17"/>
  <c r="F12" i="17"/>
  <c r="E12" i="17"/>
  <c r="D12" i="17"/>
  <c r="C12" i="17"/>
  <c r="AH12" i="17"/>
  <c r="AH12" i="22" l="1"/>
  <c r="AH12" i="25"/>
  <c r="AH12" i="20"/>
  <c r="AH12" i="19"/>
  <c r="AH12" i="24"/>
  <c r="AG12" i="15" l="1"/>
  <c r="AF12" i="15"/>
  <c r="AH12" i="15" l="1"/>
  <c r="C12" i="15"/>
  <c r="D12" i="15"/>
  <c r="E12" i="15"/>
  <c r="F12" i="15"/>
  <c r="G12" i="15"/>
  <c r="H12" i="15"/>
  <c r="I12" i="15"/>
  <c r="J12" i="15"/>
  <c r="K12" i="15"/>
  <c r="L12" i="15"/>
  <c r="M12" i="15"/>
  <c r="N12" i="15"/>
  <c r="O12" i="15"/>
  <c r="P12" i="15"/>
  <c r="Q12" i="15"/>
  <c r="R12" i="15"/>
  <c r="S12" i="15"/>
  <c r="T12" i="15"/>
  <c r="U12" i="15"/>
  <c r="V12" i="15"/>
  <c r="W12" i="15"/>
  <c r="X12" i="15"/>
  <c r="Y12" i="15"/>
  <c r="Z12" i="15"/>
  <c r="AA12" i="15"/>
  <c r="AB12" i="15"/>
  <c r="AC12" i="15"/>
  <c r="AD12" i="15"/>
  <c r="AE12" i="15"/>
  <c r="AE12" i="5" l="1"/>
  <c r="AD12" i="5"/>
  <c r="AC12" i="5"/>
  <c r="AB12" i="5"/>
  <c r="AA12" i="5"/>
  <c r="Z12" i="5"/>
  <c r="Y12" i="5"/>
  <c r="X12" i="5"/>
  <c r="W12" i="5"/>
  <c r="V12" i="5"/>
  <c r="U12" i="5"/>
  <c r="T12" i="5"/>
  <c r="S12" i="5"/>
  <c r="R12" i="5"/>
  <c r="Q12" i="5"/>
  <c r="P12" i="5"/>
  <c r="O12" i="5"/>
  <c r="N12" i="5"/>
  <c r="M12" i="5"/>
  <c r="L12" i="5"/>
  <c r="K12" i="5"/>
  <c r="J12" i="5"/>
  <c r="I12" i="5"/>
  <c r="H12" i="5"/>
  <c r="G12" i="5"/>
  <c r="F12" i="5"/>
  <c r="E12" i="5"/>
  <c r="D12" i="5"/>
  <c r="C12" i="5"/>
  <c r="AH12" i="5" l="1"/>
  <c r="AH12" i="4" l="1"/>
</calcChain>
</file>

<file path=xl/sharedStrings.xml><?xml version="1.0" encoding="utf-8"?>
<sst xmlns="http://schemas.openxmlformats.org/spreadsheetml/2006/main" count="675" uniqueCount="83">
  <si>
    <t>Calendrier des absences des employés</t>
  </si>
  <si>
    <t>Clé de motif d’absence</t>
  </si>
  <si>
    <t>Nom de l’employé</t>
  </si>
  <si>
    <t>Employé 1</t>
  </si>
  <si>
    <t>Employé 2</t>
  </si>
  <si>
    <t>Employé 3</t>
  </si>
  <si>
    <t>Employé 4</t>
  </si>
  <si>
    <t>Employé 5</t>
  </si>
  <si>
    <t>C</t>
  </si>
  <si>
    <t>Dates d’absence</t>
  </si>
  <si>
    <t>1</t>
  </si>
  <si>
    <t>Congé</t>
  </si>
  <si>
    <t>2</t>
  </si>
  <si>
    <t>3</t>
  </si>
  <si>
    <t>P</t>
  </si>
  <si>
    <t>4</t>
  </si>
  <si>
    <t>M</t>
  </si>
  <si>
    <t>5</t>
  </si>
  <si>
    <t>Personnel</t>
  </si>
  <si>
    <t>6</t>
  </si>
  <si>
    <t>7</t>
  </si>
  <si>
    <t>8</t>
  </si>
  <si>
    <t>9</t>
  </si>
  <si>
    <t>Maladie</t>
  </si>
  <si>
    <t>10</t>
  </si>
  <si>
    <t>11</t>
  </si>
  <si>
    <t>12</t>
  </si>
  <si>
    <t>Personnalisé 1</t>
  </si>
  <si>
    <t>13</t>
  </si>
  <si>
    <t>14</t>
  </si>
  <si>
    <t>15</t>
  </si>
  <si>
    <t>16</t>
  </si>
  <si>
    <t>Personnalisé 2</t>
  </si>
  <si>
    <t>17</t>
  </si>
  <si>
    <t>18</t>
  </si>
  <si>
    <t>19</t>
  </si>
  <si>
    <t>20</t>
  </si>
  <si>
    <t>21</t>
  </si>
  <si>
    <t>22</t>
  </si>
  <si>
    <t>23</t>
  </si>
  <si>
    <t>24</t>
  </si>
  <si>
    <t>25</t>
  </si>
  <si>
    <t>26</t>
  </si>
  <si>
    <t>27</t>
  </si>
  <si>
    <t>28</t>
  </si>
  <si>
    <t>29</t>
  </si>
  <si>
    <t>30</t>
  </si>
  <si>
    <t>31</t>
  </si>
  <si>
    <t>Entrez l’année :</t>
  </si>
  <si>
    <t>Total des jours</t>
  </si>
  <si>
    <t>Février</t>
  </si>
  <si>
    <t xml:space="preserve"> </t>
  </si>
  <si>
    <t xml:space="preserve">  </t>
  </si>
  <si>
    <t>Mars</t>
  </si>
  <si>
    <t>Avril</t>
  </si>
  <si>
    <t>Mai</t>
  </si>
  <si>
    <t>Juin</t>
  </si>
  <si>
    <t>Juillet</t>
  </si>
  <si>
    <t>Août</t>
  </si>
  <si>
    <t>Septembre</t>
  </si>
  <si>
    <t>Octobre</t>
  </si>
  <si>
    <t>Novembre</t>
  </si>
  <si>
    <t>Décembre</t>
  </si>
  <si>
    <t>Adélaïde Arnaud</t>
  </si>
  <si>
    <t>Simone Bertrand</t>
  </si>
  <si>
    <t>Sabine Benard-Renard</t>
  </si>
  <si>
    <t>Lucas de Bourgeois</t>
  </si>
  <si>
    <t>André de la Becker</t>
  </si>
  <si>
    <t>Michèle-Marthe Martin</t>
  </si>
  <si>
    <t>Margaret-Constance Boulanger</t>
  </si>
  <si>
    <t>Emmanuelle Gimenez</t>
  </si>
  <si>
    <t>Margot du Delattre</t>
  </si>
  <si>
    <t>Alex Chauvet</t>
  </si>
  <si>
    <t>Marine Pons</t>
  </si>
  <si>
    <t>Frédéric Turpin</t>
  </si>
  <si>
    <t>Anne Poulain</t>
  </si>
  <si>
    <t>Constance Meunier</t>
  </si>
  <si>
    <t>Raymond-Daniel Lagarde</t>
  </si>
  <si>
    <t>Xavier Laroche-Martel</t>
  </si>
  <si>
    <t>Matthieu-Théophile Parent</t>
  </si>
  <si>
    <t>Émilie Garcia</t>
  </si>
  <si>
    <t>Luce de Boucher</t>
  </si>
  <si>
    <t>Frédéric Gautier-Antoine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</si>
</sst>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26"/>
      <color theme="3" tint="-0.24994659260841701"/>
      <name val="Calibri"/>
      <family val="2"/>
      <scheme val="major"/>
    </font>
    <font>
      <b/>
      <sz val="18"/>
      <color theme="4" tint="-0.24994659260841701"/>
      <name val="Calibri"/>
      <family val="2"/>
      <scheme val="minor"/>
    </font>
    <font>
      <b/>
      <sz val="26"/>
      <color theme="3"/>
      <name val="Calibri"/>
      <family val="2"/>
      <scheme val="minor"/>
    </font>
    <font>
      <sz val="11"/>
      <color theme="4" tint="-0.499984740745262"/>
      <name val="Calibri"/>
      <family val="2"/>
      <scheme val="minor"/>
    </font>
  </fonts>
  <fills count="23">
    <fill>
      <patternFill patternType="none"/>
    </fill>
    <fill>
      <patternFill patternType="gray125"/>
    </fill>
    <fill>
      <patternFill patternType="solid">
        <fgColor theme="2"/>
        <bgColor indexed="64"/>
      </patternFill>
    </fill>
    <fill>
      <patternFill patternType="solid">
        <fgColor theme="7"/>
        <bgColor indexed="64"/>
      </patternFill>
    </fill>
    <fill>
      <patternFill patternType="solid">
        <fgColor theme="7" tint="0.79998168889431442"/>
        <bgColor indexed="65"/>
      </patternFill>
    </fill>
    <fill>
      <patternFill patternType="solid">
        <fgColor theme="7" tint="0.39997558519241921"/>
        <bgColor indexed="65"/>
      </patternFill>
    </fill>
    <fill>
      <patternFill patternType="solid">
        <fgColor theme="3" tint="0.79998168889431442"/>
        <bgColor indexed="64"/>
      </patternFill>
    </fill>
    <fill>
      <patternFill patternType="solid">
        <fgColor theme="3" tint="-0.24994659260841701"/>
        <bgColor indexed="64"/>
      </patternFill>
    </fill>
    <fill>
      <patternFill patternType="solid">
        <fgColor theme="3" tint="0.39994506668294322"/>
        <bgColor indexed="64"/>
      </patternFill>
    </fill>
    <fill>
      <patternFill patternType="solid">
        <fgColor theme="7" tint="0.59996337778862885"/>
        <bgColor indexed="64"/>
      </patternFill>
    </fill>
    <fill>
      <patternFill patternType="solid">
        <fgColor theme="5" tint="0.59999389629810485"/>
        <bgColor indexed="65"/>
      </patternFill>
    </fill>
    <fill>
      <patternFill patternType="solid">
        <fgColor theme="6"/>
      </patternFill>
    </fill>
    <fill>
      <patternFill patternType="solid">
        <fgColor theme="6" tint="0.59999389629810485"/>
        <bgColor indexed="65"/>
      </patternFill>
    </fill>
    <fill>
      <patternFill patternType="solid">
        <fgColor theme="6" tint="0.39997558519241921"/>
        <bgColor indexed="65"/>
      </patternFill>
    </fill>
    <fill>
      <patternFill patternType="solid">
        <fgColor theme="8" tint="0.59999389629810485"/>
        <bgColor indexed="65"/>
      </patternFill>
    </fill>
    <fill>
      <patternFill patternType="solid">
        <fgColor theme="4" tint="0.39994506668294322"/>
        <bgColor indexed="64"/>
      </patternFill>
    </fill>
    <fill>
      <patternFill patternType="solid">
        <fgColor theme="4" tint="0.59996337778862885"/>
        <bgColor indexed="64"/>
      </patternFill>
    </fill>
    <fill>
      <patternFill patternType="solid">
        <fgColor theme="4" tint="0.79998168889431442"/>
        <bgColor indexed="64"/>
      </patternFill>
    </fill>
    <fill>
      <patternFill patternType="solid">
        <fgColor rgb="FFF8E3E0"/>
        <bgColor indexed="64"/>
      </patternFill>
    </fill>
    <fill>
      <patternFill patternType="solid">
        <fgColor theme="5" tint="0.39994506668294322"/>
        <bgColor indexed="64"/>
      </patternFill>
    </fill>
    <fill>
      <patternFill patternType="solid">
        <fgColor theme="6" tint="0.59996337778862885"/>
        <bgColor indexed="64"/>
      </patternFill>
    </fill>
    <fill>
      <patternFill patternType="solid">
        <fgColor theme="3"/>
        <bgColor indexed="64"/>
      </patternFill>
    </fill>
    <fill>
      <patternFill patternType="solid">
        <fgColor theme="3" tint="0.39997558519241921"/>
        <bgColor indexed="64"/>
      </patternFill>
    </fill>
  </fills>
  <borders count="1">
    <border>
      <left/>
      <right/>
      <top/>
      <bottom/>
      <diagonal/>
    </border>
  </borders>
  <cellStyleXfs count="29">
    <xf numFmtId="0" fontId="0" fillId="0" borderId="0">
      <alignment horizontal="left" vertical="center"/>
    </xf>
    <xf numFmtId="0" fontId="7" fillId="0" borderId="0" applyNumberFormat="0" applyFill="0" applyBorder="0" applyProtection="0">
      <alignment vertical="top"/>
    </xf>
    <xf numFmtId="0" fontId="5" fillId="0" borderId="0" applyNumberFormat="0" applyFill="0" applyBorder="0" applyProtection="0">
      <alignment vertical="top"/>
    </xf>
    <xf numFmtId="0" fontId="6" fillId="2" borderId="0" applyNumberFormat="0" applyBorder="0" applyProtection="0">
      <alignment horizontal="center" vertical="center"/>
    </xf>
    <xf numFmtId="0" fontId="2" fillId="20" borderId="0" applyNumberFormat="0" applyProtection="0">
      <alignment horizontal="right" vertical="center" indent="1"/>
    </xf>
    <xf numFmtId="0" fontId="3" fillId="0" borderId="0" applyNumberFormat="0" applyFill="0" applyBorder="0" applyProtection="0">
      <alignment horizontal="left" vertical="center" indent="2"/>
    </xf>
    <xf numFmtId="0" fontId="4" fillId="3" borderId="0" applyNumberFormat="0" applyBorder="0" applyAlignment="0" applyProtection="0"/>
    <xf numFmtId="0" fontId="1" fillId="4" borderId="0" applyNumberFormat="0" applyBorder="0" applyProtection="0">
      <alignment horizontal="center" vertical="center"/>
    </xf>
    <xf numFmtId="0" fontId="2" fillId="9" borderId="0" applyNumberFormat="0" applyBorder="0" applyAlignment="0" applyProtection="0"/>
    <xf numFmtId="0" fontId="1" fillId="5" borderId="0" applyNumberFormat="0" applyBorder="0" applyAlignment="0" applyProtection="0"/>
    <xf numFmtId="0" fontId="4" fillId="7" borderId="0" applyNumberFormat="0" applyBorder="0" applyAlignment="0" applyProtection="0"/>
    <xf numFmtId="0" fontId="1" fillId="6" borderId="0" applyNumberFormat="0" applyBorder="0" applyAlignment="0" applyProtection="0"/>
    <xf numFmtId="0" fontId="2" fillId="15" borderId="0" applyNumberFormat="0" applyBorder="0" applyAlignment="0" applyProtection="0"/>
    <xf numFmtId="0" fontId="1" fillId="8" borderId="0" applyNumberFormat="0" applyBorder="0" applyAlignment="0" applyProtection="0"/>
    <xf numFmtId="0" fontId="4" fillId="15" borderId="0" applyNumberFormat="0" applyBorder="0" applyAlignment="0" applyProtection="0"/>
    <xf numFmtId="0" fontId="1" fillId="18" borderId="0" applyNumberFormat="0" applyBorder="0" applyAlignment="0" applyProtection="0"/>
    <xf numFmtId="0" fontId="2" fillId="17" borderId="0" applyNumberFormat="0" applyBorder="0" applyAlignment="0" applyProtection="0"/>
    <xf numFmtId="0" fontId="4" fillId="16" borderId="0" applyNumberFormat="0" applyBorder="0" applyAlignment="0" applyProtection="0"/>
    <xf numFmtId="0" fontId="4" fillId="19" borderId="0" applyNumberFormat="0" applyBorder="0" applyAlignment="0" applyProtection="0"/>
    <xf numFmtId="0" fontId="2" fillId="10" borderId="0" applyNumberFormat="0" applyBorder="0" applyAlignment="0" applyProtection="0"/>
    <xf numFmtId="0" fontId="4" fillId="11" borderId="0" applyNumberFormat="0" applyBorder="0" applyAlignment="0" applyProtection="0"/>
    <xf numFmtId="0" fontId="1" fillId="2" borderId="0" applyNumberFormat="0" applyBorder="0" applyAlignment="0" applyProtection="0"/>
    <xf numFmtId="0" fontId="2" fillId="12" borderId="0" applyNumberFormat="0" applyBorder="0" applyProtection="0">
      <alignment horizontal="left" vertical="center" indent="1"/>
    </xf>
    <xf numFmtId="0" fontId="2" fillId="13" borderId="0" applyNumberFormat="0" applyBorder="0" applyAlignment="0" applyProtection="0"/>
    <xf numFmtId="0" fontId="2" fillId="14" borderId="0" applyNumberFormat="0" applyBorder="0" applyAlignment="0" applyProtection="0"/>
    <xf numFmtId="1" fontId="1" fillId="0" borderId="0" applyFill="0" applyBorder="0" applyProtection="0">
      <alignment horizontal="center" vertical="center"/>
    </xf>
    <xf numFmtId="0" fontId="1" fillId="0" borderId="0" applyNumberFormat="0" applyFill="0" applyBorder="0">
      <alignment horizontal="left" vertical="center" wrapText="1" indent="2"/>
    </xf>
    <xf numFmtId="0" fontId="8" fillId="0" borderId="0">
      <alignment horizontal="center"/>
    </xf>
    <xf numFmtId="0" fontId="1" fillId="0" borderId="0"/>
  </cellStyleXfs>
  <cellXfs count="28">
    <xf numFmtId="0" fontId="0" fillId="0" borderId="0" xfId="0">
      <alignment horizontal="left" vertical="center"/>
    </xf>
    <xf numFmtId="0" fontId="0" fillId="0" borderId="0" xfId="0" applyAlignment="1">
      <alignment horizontal="center" vertical="center"/>
    </xf>
    <xf numFmtId="0" fontId="2" fillId="15" borderId="0" xfId="12" applyAlignment="1" applyProtection="1">
      <alignment horizontal="center" vertical="center"/>
    </xf>
    <xf numFmtId="0" fontId="2" fillId="10" borderId="0" xfId="19" applyAlignment="1" applyProtection="1">
      <alignment horizontal="center" vertical="center"/>
    </xf>
    <xf numFmtId="0" fontId="2" fillId="13" borderId="0" xfId="23" applyAlignment="1" applyProtection="1">
      <alignment horizontal="center" vertical="center"/>
    </xf>
    <xf numFmtId="164" fontId="2" fillId="9" borderId="0" xfId="8" applyNumberFormat="1" applyAlignment="1" applyProtection="1">
      <alignment horizontal="center" vertical="center"/>
    </xf>
    <xf numFmtId="164" fontId="2" fillId="14" borderId="0" xfId="24" applyNumberFormat="1" applyAlignment="1" applyProtection="1">
      <alignment horizontal="center" vertical="center"/>
    </xf>
    <xf numFmtId="0" fontId="1" fillId="0" borderId="0" xfId="26" applyFill="1" applyBorder="1">
      <alignment horizontal="left" vertical="center" wrapText="1" indent="2"/>
    </xf>
    <xf numFmtId="1" fontId="1" fillId="0" borderId="0" xfId="25" applyFill="1" applyBorder="1" applyProtection="1">
      <alignment horizontal="center" vertical="center"/>
    </xf>
    <xf numFmtId="0" fontId="6" fillId="2" borderId="0" xfId="3" applyProtection="1">
      <alignment horizontal="center" vertical="center"/>
    </xf>
    <xf numFmtId="164" fontId="0" fillId="0" borderId="0" xfId="0" applyNumberFormat="1" applyAlignment="1">
      <alignment horizontal="center" vertical="center"/>
    </xf>
    <xf numFmtId="0" fontId="7" fillId="0" borderId="0" xfId="1" applyProtection="1">
      <alignment vertical="top"/>
    </xf>
    <xf numFmtId="0" fontId="1" fillId="2" borderId="0" xfId="21" applyBorder="1" applyAlignment="1" applyProtection="1">
      <alignment horizontal="left" vertical="center" indent="1"/>
    </xf>
    <xf numFmtId="0" fontId="0" fillId="0" borderId="0" xfId="21" applyFont="1" applyFill="1" applyBorder="1" applyAlignment="1" applyProtection="1">
      <alignment horizontal="center" vertical="center"/>
    </xf>
    <xf numFmtId="0" fontId="0" fillId="0" borderId="0" xfId="0" applyAlignment="1">
      <alignment horizontal="left" vertical="center" wrapText="1"/>
    </xf>
    <xf numFmtId="0" fontId="2" fillId="20" borderId="0" xfId="4" applyProtection="1">
      <alignment horizontal="right" vertical="center" indent="1"/>
    </xf>
    <xf numFmtId="0" fontId="8" fillId="0" borderId="0" xfId="27">
      <alignment horizontal="center"/>
    </xf>
    <xf numFmtId="0" fontId="0" fillId="0" borderId="0" xfId="0" applyAlignment="1">
      <alignment horizontal="left" vertical="center" indent="1"/>
    </xf>
    <xf numFmtId="0" fontId="0" fillId="0" borderId="0" xfId="26" applyFont="1" applyFill="1" applyBorder="1">
      <alignment horizontal="left" vertical="center" wrapText="1" indent="2"/>
    </xf>
    <xf numFmtId="0" fontId="4" fillId="21" borderId="0" xfId="28" applyFont="1" applyFill="1" applyAlignment="1">
      <alignment horizontal="center" vertical="center"/>
    </xf>
    <xf numFmtId="0" fontId="4" fillId="21" borderId="0" xfId="28" applyFont="1" applyFill="1"/>
    <xf numFmtId="0" fontId="1" fillId="0" borderId="0" xfId="28"/>
    <xf numFmtId="0" fontId="1" fillId="2" borderId="0" xfId="28" applyFill="1"/>
    <xf numFmtId="0" fontId="1" fillId="22" borderId="0" xfId="28" applyFill="1"/>
    <xf numFmtId="0" fontId="6" fillId="2" borderId="0" xfId="3" applyProtection="1">
      <alignment horizontal="center" vertical="center"/>
    </xf>
    <xf numFmtId="0" fontId="1" fillId="2" borderId="0" xfId="21" applyAlignment="1" applyProtection="1">
      <alignment horizontal="left" vertical="center"/>
    </xf>
    <xf numFmtId="0" fontId="1" fillId="0" borderId="0" xfId="28" applyFill="1" applyAlignment="1">
      <alignment vertical="center"/>
    </xf>
    <xf numFmtId="14" fontId="1" fillId="0" borderId="0" xfId="28" applyNumberFormat="1" applyAlignment="1">
      <alignment horizontal="center" vertical="center"/>
    </xf>
  </cellXfs>
  <cellStyles count="29">
    <cellStyle name="20 % - Accent1" xfId="15" builtinId="30" customBuiltin="1"/>
    <cellStyle name="20 % - Accent3" xfId="21" builtinId="38" customBuiltin="1"/>
    <cellStyle name="20 % - Accent4" xfId="7" builtinId="42" customBuiltin="1"/>
    <cellStyle name="20 % - Accent6" xfId="11" builtinId="50" customBuiltin="1"/>
    <cellStyle name="40 % - Accent1" xfId="16" builtinId="31" customBuiltin="1"/>
    <cellStyle name="40 % - Accent2" xfId="19" builtinId="35" customBuiltin="1"/>
    <cellStyle name="40 % - Accent3" xfId="22" builtinId="39" customBuiltin="1"/>
    <cellStyle name="40 % - Accent4" xfId="8" builtinId="43" customBuiltin="1"/>
    <cellStyle name="40 % - Accent5" xfId="24" builtinId="47" customBuiltin="1"/>
    <cellStyle name="40 % - Accent6" xfId="12" builtinId="51" customBuiltin="1"/>
    <cellStyle name="60 % - Accent1" xfId="17" builtinId="32" customBuiltin="1"/>
    <cellStyle name="60 % - Accent3" xfId="23" builtinId="40" customBuiltin="1"/>
    <cellStyle name="60 % - Accent4" xfId="9" builtinId="44" customBuiltin="1"/>
    <cellStyle name="60 % - Accent6" xfId="13" builtinId="52" customBuiltin="1"/>
    <cellStyle name="Accent1" xfId="14" builtinId="29" customBuiltin="1"/>
    <cellStyle name="Accent2" xfId="18" builtinId="33" customBuiltin="1"/>
    <cellStyle name="Accent3" xfId="20" builtinId="37" customBuiltin="1"/>
    <cellStyle name="Accent4" xfId="6" builtinId="41" customBuiltin="1"/>
    <cellStyle name="Accent6" xfId="10" builtinId="49" customBuiltin="1"/>
    <cellStyle name="Employé" xfId="26"/>
    <cellStyle name="Étiquette" xfId="27"/>
    <cellStyle name="Normal" xfId="0" builtinId="0" customBuiltin="1"/>
    <cellStyle name="Normal 2" xfId="28"/>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5" builtinId="25" customBuiltin="1"/>
  </cellStyles>
  <dxfs count="900">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ont>
        <color theme="0"/>
      </font>
      <border>
        <vertical/>
        <horizontal/>
      </border>
    </dxf>
    <dxf>
      <font>
        <b val="0"/>
        <i val="0"/>
        <color theme="3"/>
      </font>
      <border>
        <vertical/>
        <horizontal/>
      </border>
    </dxf>
    <dxf>
      <font>
        <color theme="1"/>
      </font>
      <fill>
        <patternFill>
          <bgColor theme="4" tint="0.39994506668294322"/>
        </patternFill>
      </fill>
    </dxf>
    <dxf>
      <font>
        <color theme="1"/>
      </font>
      <fill>
        <patternFill>
          <bgColor theme="5" tint="0.59996337778862885"/>
        </patternFill>
      </fill>
    </dxf>
    <dxf>
      <font>
        <color theme="1"/>
      </font>
      <fill>
        <patternFill>
          <bgColor theme="6" tint="0.39994506668294322"/>
        </patternFill>
      </fill>
    </dxf>
    <dxf>
      <font>
        <color theme="1"/>
      </font>
      <fill>
        <patternFill>
          <bgColor theme="7" tint="0.59996337778862885"/>
        </patternFill>
      </fill>
    </dxf>
    <dxf>
      <font>
        <color theme="1"/>
      </font>
      <fill>
        <patternFill>
          <bgColor theme="8" tint="0.59996337778862885"/>
        </patternFill>
      </fill>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ill>
        <patternFill patternType="none">
          <fgColor indexed="64"/>
          <bgColor indexed="65"/>
        </patternFill>
      </fill>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numFmt numFmtId="0" formatCode="General"/>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protection locked="1" hidden="0"/>
    </dxf>
    <dxf>
      <protection locked="1" hidden="0"/>
    </dxf>
    <dxf>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1" formatCode="0"/>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numFmt numFmtId="164" formatCode="0;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left" vertical="center" textRotation="0" wrapText="0" indent="1" justifyLastLine="0" shrinkToFit="0" readingOrder="0"/>
      <border diagonalUp="0" diagonalDown="0" outline="0">
        <left/>
        <right/>
        <top/>
        <bottom/>
      </border>
      <protection locked="1" hidden="0"/>
    </dxf>
    <dxf>
      <fill>
        <patternFill patternType="none">
          <fgColor indexed="64"/>
          <bgColor indexed="65"/>
        </patternFill>
      </fill>
    </dxf>
    <dxf>
      <protection locked="1" hidden="0"/>
    </dxf>
    <dxf>
      <protection locked="1" hidden="0"/>
    </dxf>
    <dxf>
      <protection locked="1" hidden="0"/>
    </dxf>
    <dxf>
      <fill>
        <patternFill patternType="solid">
          <bgColor theme="6" tint="0.79998168889431442"/>
        </patternFill>
      </fill>
      <border diagonalUp="0" diagonalDown="0">
        <left/>
        <right/>
        <top style="thin">
          <color theme="0" tint="-0.14996795556505021"/>
        </top>
        <bottom style="medium">
          <color theme="2" tint="-0.499984740745262"/>
        </bottom>
        <vertical/>
        <horizontal/>
      </border>
    </dxf>
    <dxf>
      <font>
        <color theme="1"/>
      </font>
      <fill>
        <patternFill patternType="solid">
          <bgColor theme="6" tint="0.79998168889431442"/>
        </patternFill>
      </fill>
      <border diagonalUp="0" diagonalDown="0">
        <left/>
        <right/>
        <top style="thin">
          <color theme="0" tint="-0.14993743705557422"/>
        </top>
        <bottom style="medium">
          <color theme="2" tint="-0.499984740745262"/>
        </bottom>
        <vertical/>
        <horizontal style="thin">
          <color theme="0" tint="-0.14993743705557422"/>
        </horizontal>
      </border>
    </dxf>
    <dxf>
      <font>
        <color theme="1"/>
      </font>
      <fill>
        <patternFill patternType="solid">
          <bgColor theme="2"/>
        </patternFill>
      </fill>
      <border diagonalUp="0" diagonalDown="0">
        <left/>
        <right/>
        <top/>
        <bottom style="thin">
          <color theme="0" tint="-0.14996795556505021"/>
        </bottom>
        <vertical/>
        <horizontal/>
      </border>
    </dxf>
    <dxf>
      <font>
        <color theme="1"/>
      </font>
      <fill>
        <patternFill patternType="none">
          <bgColor auto="1"/>
        </patternFill>
      </fill>
      <border diagonalUp="0" diagonalDown="0">
        <left/>
        <right/>
        <top style="thin">
          <color theme="0" tint="-0.14996795556505021"/>
        </top>
        <bottom style="thin">
          <color theme="0" tint="-0.14993743705557422"/>
        </bottom>
        <vertical/>
        <horizontal/>
      </border>
    </dxf>
    <dxf>
      <fill>
        <patternFill>
          <bgColor theme="0" tint="-0.14996795556505021"/>
        </patternFill>
      </fill>
      <border>
        <left style="thin">
          <color theme="0"/>
        </left>
        <right style="thin">
          <color theme="0"/>
        </right>
        <vertical style="thin">
          <color theme="0"/>
        </vertical>
      </border>
    </dxf>
    <dxf>
      <fill>
        <patternFill>
          <bgColor theme="0" tint="-4.9989318521683403E-2"/>
        </patternFill>
      </fill>
      <border>
        <left style="thin">
          <color theme="0"/>
        </left>
        <right style="thin">
          <color theme="0"/>
        </right>
        <vertical style="thin">
          <color theme="0"/>
        </vertical>
      </border>
    </dxf>
    <dxf>
      <fill>
        <patternFill>
          <bgColor theme="0" tint="-0.14996795556505021"/>
        </patternFill>
      </fill>
    </dxf>
    <dxf>
      <fill>
        <patternFill patternType="solid">
          <fgColor theme="4" tint="0.79992065187536243"/>
          <bgColor theme="0" tint="-4.9989318521683403E-2"/>
        </patternFill>
      </fill>
    </dxf>
    <dxf>
      <font>
        <color theme="1"/>
      </font>
      <fill>
        <patternFill patternType="none">
          <bgColor auto="1"/>
        </patternFill>
      </fill>
      <border diagonalUp="0" diagonalDown="0">
        <left/>
        <right/>
        <top/>
        <bottom style="thin">
          <color theme="0" tint="-0.14996795556505021"/>
        </bottom>
        <vertical/>
        <horizontal style="thin">
          <color theme="0" tint="-0.14996795556505021"/>
        </horizontal>
      </border>
    </dxf>
    <dxf>
      <font>
        <color theme="1"/>
      </font>
      <fill>
        <patternFill patternType="none">
          <bgColor auto="1"/>
        </patternFill>
      </fill>
      <border>
        <left/>
        <right/>
        <top style="thin">
          <color theme="2" tint="-9.9917600024414813E-2"/>
        </top>
        <bottom style="thin">
          <color theme="2" tint="-9.9948118533890809E-2"/>
        </bottom>
        <vertical/>
        <horizontal style="thin">
          <color theme="2" tint="-9.9917600024414813E-2"/>
        </horizontal>
      </border>
    </dxf>
    <dxf>
      <font>
        <color theme="1"/>
      </font>
      <fill>
        <patternFill>
          <bgColor theme="6" tint="0.79998168889431442"/>
        </patternFill>
      </fill>
      <border diagonalUp="0" diagonalDown="0">
        <left style="thin">
          <color theme="0"/>
        </left>
        <right style="thin">
          <color theme="0"/>
        </right>
        <top/>
        <bottom style="medium">
          <color theme="2" tint="-0.499984740745262"/>
        </bottom>
        <vertical style="thin">
          <color theme="0"/>
        </vertical>
        <horizontal/>
      </border>
    </dxf>
    <dxf>
      <font>
        <color theme="0"/>
      </font>
      <fill>
        <patternFill>
          <bgColor theme="3"/>
        </patternFill>
      </fill>
    </dxf>
    <dxf>
      <font>
        <color theme="1"/>
      </font>
      <border diagonalUp="0" diagonalDown="0">
        <left/>
        <right/>
        <top/>
        <bottom/>
        <vertical style="thin">
          <color theme="0"/>
        </vertical>
        <horizontal/>
      </border>
    </dxf>
  </dxfs>
  <tableStyles count="1" defaultTableStyle="Tableau des absences des employés" defaultPivotStyle="PivotStyleLight16">
    <tableStyle name="Tableau des absences des employés" pivot="0" count="13">
      <tableStyleElement type="wholeTable" dxfId="899"/>
      <tableStyleElement type="headerRow" dxfId="898"/>
      <tableStyleElement type="totalRow" dxfId="897"/>
      <tableStyleElement type="firstColumn" dxfId="896"/>
      <tableStyleElement type="lastColumn" dxfId="895"/>
      <tableStyleElement type="firstRowStripe" dxfId="894"/>
      <tableStyleElement type="secondRowStripe" dxfId="893"/>
      <tableStyleElement type="firstColumnStripe" dxfId="892"/>
      <tableStyleElement type="secondColumnStripe" dxfId="891"/>
      <tableStyleElement type="firstHeaderCell" dxfId="890"/>
      <tableStyleElement type="lastHeaderCell" dxfId="889"/>
      <tableStyleElement type="firstTotalCell" dxfId="888"/>
      <tableStyleElement type="lastTotalCell" dxfId="88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ables/table1.xml><?xml version="1.0" encoding="utf-8"?>
<table xmlns="http://schemas.openxmlformats.org/spreadsheetml/2006/main" id="3" name="Janvier" displayName="Janvier" ref="B6:AH12" totalsRowCount="1" headerRowDxfId="886" dataDxfId="885" totalsRowDxfId="884">
  <autoFilter ref="B6:AH1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autoFilter>
  <tableColumns count="33">
    <tableColumn id="1" name="Nom de l’employé" totalsRowFunction="custom" dataDxfId="883" totalsRowDxfId="882">
      <totalsRowFormula>NomMois&amp;" Total"</totalsRowFormula>
    </tableColumn>
    <tableColumn id="2" name="1" totalsRowFunction="custom" dataDxfId="881" totalsRowDxfId="880" dataCellStyle="Total">
      <totalsRowFormula>SUBTOTAL(103,Janvier!$C$7:$C$11)</totalsRowFormula>
    </tableColumn>
    <tableColumn id="3" name="2" totalsRowFunction="custom" dataDxfId="879" totalsRowDxfId="878" dataCellStyle="Total">
      <totalsRowFormula>SUBTOTAL(103,Janvier!$D$7:$D$11)</totalsRowFormula>
    </tableColumn>
    <tableColumn id="4" name="3" totalsRowFunction="custom" dataDxfId="877" totalsRowDxfId="876" dataCellStyle="Total">
      <totalsRowFormula>SUBTOTAL(103,Janvier!$E$7:$E$11)</totalsRowFormula>
    </tableColumn>
    <tableColumn id="5" name="4" totalsRowFunction="custom" dataDxfId="875" totalsRowDxfId="874" dataCellStyle="Total">
      <totalsRowFormula>SUBTOTAL(103,Janvier!$F$7:$F$11)</totalsRowFormula>
    </tableColumn>
    <tableColumn id="6" name="5" totalsRowFunction="custom" totalsRowDxfId="873" dataCellStyle="Total">
      <totalsRowFormula>SUBTOTAL(103,Janvier!$G$7:$G$11)</totalsRowFormula>
    </tableColumn>
    <tableColumn id="7" name="6" totalsRowFunction="custom" dataDxfId="872" totalsRowDxfId="871" dataCellStyle="Total">
      <totalsRowFormula>SUBTOTAL(103,Janvier!$H$7:$H$11)</totalsRowFormula>
    </tableColumn>
    <tableColumn id="8" name="7" totalsRowFunction="custom" dataDxfId="870" totalsRowDxfId="869" dataCellStyle="Total">
      <totalsRowFormula>SUBTOTAL(103,Janvier!$I$7:$I$11)</totalsRowFormula>
    </tableColumn>
    <tableColumn id="9" name="8" totalsRowFunction="custom" dataDxfId="868" totalsRowDxfId="867" dataCellStyle="Total">
      <totalsRowFormula>SUBTOTAL(103,Janvier!$J$7:$J$11)</totalsRowFormula>
    </tableColumn>
    <tableColumn id="10" name="9" totalsRowFunction="custom" dataDxfId="866" totalsRowDxfId="865" dataCellStyle="Total">
      <totalsRowFormula>SUBTOTAL(103,Janvier!$K$7:$K$11)</totalsRowFormula>
    </tableColumn>
    <tableColumn id="11" name="10" totalsRowFunction="custom" dataDxfId="864" totalsRowDxfId="863" dataCellStyle="Total">
      <totalsRowFormula>SUBTOTAL(103,Janvier!$L$7:$L$11)</totalsRowFormula>
    </tableColumn>
    <tableColumn id="12" name="11" totalsRowFunction="custom" dataDxfId="862" totalsRowDxfId="861" dataCellStyle="Total">
      <totalsRowFormula>SUBTOTAL(103,Janvier!$M$7:$M$11)</totalsRowFormula>
    </tableColumn>
    <tableColumn id="13" name="12" totalsRowFunction="custom" dataDxfId="860" totalsRowDxfId="859" dataCellStyle="Total">
      <totalsRowFormula>SUBTOTAL(103,Janvier!$N$7:$N$11)</totalsRowFormula>
    </tableColumn>
    <tableColumn id="14" name="13" totalsRowFunction="custom" dataDxfId="858" totalsRowDxfId="857" dataCellStyle="Total">
      <totalsRowFormula>SUBTOTAL(103,Janvier!$O$7:$O$11)</totalsRowFormula>
    </tableColumn>
    <tableColumn id="15" name="14" totalsRowFunction="custom" dataDxfId="856" totalsRowDxfId="855" dataCellStyle="Total">
      <totalsRowFormula>SUBTOTAL(103,Janvier!$P$7:$P$11)</totalsRowFormula>
    </tableColumn>
    <tableColumn id="16" name="15" totalsRowFunction="custom" dataDxfId="854" totalsRowDxfId="853" dataCellStyle="Total">
      <totalsRowFormula>SUBTOTAL(103,Janvier!$Q$7:$Q$11)</totalsRowFormula>
    </tableColumn>
    <tableColumn id="17" name="16" totalsRowFunction="custom" dataDxfId="852" totalsRowDxfId="851" dataCellStyle="Total">
      <totalsRowFormula>SUBTOTAL(103,Janvier!$R$7:$R$11)</totalsRowFormula>
    </tableColumn>
    <tableColumn id="18" name="17" totalsRowFunction="custom" dataDxfId="850" totalsRowDxfId="849" dataCellStyle="Total">
      <totalsRowFormula>SUBTOTAL(103,Janvier!$S$7:$S$11)</totalsRowFormula>
    </tableColumn>
    <tableColumn id="19" name="18" totalsRowFunction="custom" dataDxfId="848" totalsRowDxfId="847" dataCellStyle="Total">
      <totalsRowFormula>SUBTOTAL(103,Janvier!$T$7:$T$11)</totalsRowFormula>
    </tableColumn>
    <tableColumn id="20" name="19" totalsRowFunction="custom" dataDxfId="846" totalsRowDxfId="845" dataCellStyle="Total">
      <totalsRowFormula>SUBTOTAL(103,Janvier!$U$7:$U$11)</totalsRowFormula>
    </tableColumn>
    <tableColumn id="21" name="20" totalsRowFunction="custom" dataDxfId="844" totalsRowDxfId="843" dataCellStyle="Total">
      <totalsRowFormula>SUBTOTAL(103,Janvier!$V$7:$V$11)</totalsRowFormula>
    </tableColumn>
    <tableColumn id="22" name="21" totalsRowFunction="custom" dataDxfId="842" totalsRowDxfId="841" dataCellStyle="Total">
      <totalsRowFormula>SUBTOTAL(103,Janvier!$W$7:$W$11)</totalsRowFormula>
    </tableColumn>
    <tableColumn id="23" name="22" totalsRowFunction="custom" dataDxfId="840" totalsRowDxfId="839" dataCellStyle="Total">
      <totalsRowFormula>SUBTOTAL(103,Janvier!$X$7:$X$11)</totalsRowFormula>
    </tableColumn>
    <tableColumn id="24" name="23" totalsRowFunction="custom" dataDxfId="838" totalsRowDxfId="837" dataCellStyle="Total">
      <totalsRowFormula>SUBTOTAL(103,Janvier!$Y$7:$Y$11)</totalsRowFormula>
    </tableColumn>
    <tableColumn id="25" name="24" totalsRowFunction="custom" dataDxfId="836" totalsRowDxfId="835" dataCellStyle="Total">
      <totalsRowFormula>SUBTOTAL(103,Janvier!$Z$7:$Z$11)</totalsRowFormula>
    </tableColumn>
    <tableColumn id="26" name="25" totalsRowFunction="custom" dataDxfId="834" totalsRowDxfId="833" dataCellStyle="Total">
      <totalsRowFormula>SUBTOTAL(103,Janvier!$AA$7:$AA$11)</totalsRowFormula>
    </tableColumn>
    <tableColumn id="27" name="26" totalsRowFunction="custom" dataDxfId="832" totalsRowDxfId="831" dataCellStyle="Total">
      <totalsRowFormula>SUBTOTAL(103,Janvier!$AB$7:$AB$11)</totalsRowFormula>
    </tableColumn>
    <tableColumn id="28" name="27" totalsRowFunction="custom" dataDxfId="830" totalsRowDxfId="829" dataCellStyle="Total">
      <totalsRowFormula>SUBTOTAL(103,Janvier!$AC$7:$AC$11)</totalsRowFormula>
    </tableColumn>
    <tableColumn id="29" name="28" totalsRowFunction="custom" dataDxfId="828" totalsRowDxfId="827" dataCellStyle="Total">
      <totalsRowFormula>SUBTOTAL(103,Janvier!$AD$7:$AD$11)</totalsRowFormula>
    </tableColumn>
    <tableColumn id="30" name="29" totalsRowFunction="custom" dataDxfId="826" totalsRowDxfId="825" dataCellStyle="Total">
      <totalsRowFormula>SUBTOTAL(103,Janvier!$AE$7:$AE$11)</totalsRowFormula>
    </tableColumn>
    <tableColumn id="31" name="30" totalsRowFunction="custom" dataDxfId="824" totalsRowDxfId="823" dataCellStyle="Total">
      <totalsRowFormula>SUBTOTAL(103,Janvier!$AF$7:$AF$11)</totalsRowFormula>
    </tableColumn>
    <tableColumn id="32" name="31" totalsRowFunction="custom" dataDxfId="822" totalsRowDxfId="821" dataCellStyle="Total">
      <totalsRowFormula>SUBTOTAL(103,Janvier!$AG$7:$AG$11)</totalsRowFormula>
    </tableColumn>
    <tableColumn id="33" name="Total des jours" totalsRowFunction="sum" dataDxfId="820" totalsRowDxfId="819" dataCellStyle="Total">
      <calculatedColumnFormula>COUNTA(Janvier!$C7:$AG7)</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2.xml><?xml version="1.0" encoding="utf-8"?>
<table xmlns="http://schemas.openxmlformats.org/spreadsheetml/2006/main" id="2" name="Février" displayName="Février" ref="B6:AH12" totalsRowCount="1" headerRowDxfId="818" dataDxfId="817" totalsRowDxfId="816">
  <tableColumns count="33">
    <tableColumn id="1" name="Nom de l’employé" totalsRowFunction="custom" dataDxfId="815" totalsRowDxfId="814">
      <totalsRowFormula>NomMois&amp;" Total"</totalsRowFormula>
    </tableColumn>
    <tableColumn id="2" name="1" totalsRowFunction="count" dataDxfId="813" totalsRowDxfId="812" dataCellStyle="Total"/>
    <tableColumn id="3" name="2" totalsRowFunction="count" dataDxfId="811" totalsRowDxfId="810" dataCellStyle="Total"/>
    <tableColumn id="4" name="3" totalsRowFunction="count" dataDxfId="809" totalsRowDxfId="808" dataCellStyle="Total"/>
    <tableColumn id="5" name="4" totalsRowFunction="count" dataDxfId="807" totalsRowDxfId="806" dataCellStyle="Total"/>
    <tableColumn id="6" name="5" totalsRowFunction="count" dataDxfId="805" totalsRowDxfId="804" dataCellStyle="Total"/>
    <tableColumn id="7" name="6" totalsRowFunction="count" dataDxfId="803" totalsRowDxfId="802" dataCellStyle="Total"/>
    <tableColumn id="8" name="7" totalsRowFunction="count" dataDxfId="801" totalsRowDxfId="800" dataCellStyle="Total"/>
    <tableColumn id="9" name="8" totalsRowFunction="count" dataDxfId="799" totalsRowDxfId="798" dataCellStyle="Total"/>
    <tableColumn id="10" name="9" totalsRowFunction="count" dataDxfId="797" totalsRowDxfId="796" dataCellStyle="Total"/>
    <tableColumn id="11" name="10" totalsRowFunction="count" dataDxfId="795" totalsRowDxfId="794" dataCellStyle="Total"/>
    <tableColumn id="12" name="11" totalsRowFunction="count" dataDxfId="793" totalsRowDxfId="792" dataCellStyle="Total"/>
    <tableColumn id="13" name="12" totalsRowFunction="count" dataDxfId="791" totalsRowDxfId="790" dataCellStyle="Total"/>
    <tableColumn id="14" name="13" totalsRowFunction="count" dataDxfId="789" totalsRowDxfId="788" dataCellStyle="Total"/>
    <tableColumn id="15" name="14" totalsRowFunction="count" dataDxfId="787" totalsRowDxfId="786" dataCellStyle="Total"/>
    <tableColumn id="16" name="15" totalsRowFunction="count" dataDxfId="785" totalsRowDxfId="784" dataCellStyle="Total"/>
    <tableColumn id="17" name="16" totalsRowFunction="count" dataDxfId="783" totalsRowDxfId="782" dataCellStyle="Total"/>
    <tableColumn id="18" name="17" totalsRowFunction="count" dataDxfId="781" totalsRowDxfId="780" dataCellStyle="Total"/>
    <tableColumn id="19" name="18" totalsRowFunction="count" dataDxfId="779" totalsRowDxfId="778" dataCellStyle="Total"/>
    <tableColumn id="20" name="19" totalsRowFunction="count" dataDxfId="777" totalsRowDxfId="776" dataCellStyle="Total"/>
    <tableColumn id="21" name="20" totalsRowFunction="count" dataDxfId="775" totalsRowDxfId="774" dataCellStyle="Total"/>
    <tableColumn id="22" name="21" totalsRowFunction="count" dataDxfId="773" totalsRowDxfId="772" dataCellStyle="Total"/>
    <tableColumn id="23" name="22" totalsRowFunction="count" dataDxfId="771" totalsRowDxfId="770" dataCellStyle="Total"/>
    <tableColumn id="24" name="23" totalsRowFunction="count" dataDxfId="769" totalsRowDxfId="768" dataCellStyle="Total"/>
    <tableColumn id="25" name="24" totalsRowFunction="count" dataDxfId="767" totalsRowDxfId="766" dataCellStyle="Total"/>
    <tableColumn id="26" name="25" totalsRowFunction="count" dataDxfId="765" totalsRowDxfId="764" dataCellStyle="Total"/>
    <tableColumn id="27" name="26" totalsRowFunction="count" dataDxfId="763" totalsRowDxfId="762" dataCellStyle="Total"/>
    <tableColumn id="28" name="27" totalsRowFunction="count" dataDxfId="761" totalsRowDxfId="760" dataCellStyle="Total"/>
    <tableColumn id="29" name="28" totalsRowFunction="count" dataDxfId="759" totalsRowDxfId="758" dataCellStyle="Total"/>
    <tableColumn id="30" name="29" totalsRowFunction="count" dataDxfId="757" totalsRowDxfId="756" dataCellStyle="Total"/>
    <tableColumn id="31" name=" " dataDxfId="755" totalsRowDxfId="754" dataCellStyle="Total"/>
    <tableColumn id="32" name="  " dataDxfId="753" totalsRowDxfId="752" dataCellStyle="Total"/>
    <tableColumn id="33" name="Total des jours" totalsRowFunction="sum" dataDxfId="751" totalsRowDxfId="750" dataCellStyle="Total">
      <calculatedColumnFormula>COUNTA(Février[[#This Row],[1]:[29]])</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3.xml><?xml version="1.0" encoding="utf-8"?>
<table xmlns="http://schemas.openxmlformats.org/spreadsheetml/2006/main" id="14" name="Mars" displayName="Mars" ref="B6:AH12" totalsRowCount="1" headerRowDxfId="749" dataDxfId="748" totalsRowDxfId="747">
  <tableColumns count="33">
    <tableColumn id="1" name="Nom de l’employé" totalsRowFunction="custom" dataDxfId="746" totalsRowDxfId="745">
      <totalsRowFormula>NomMois&amp;" Total"</totalsRowFormula>
    </tableColumn>
    <tableColumn id="2" name="1" totalsRowFunction="count" dataDxfId="744" totalsRowDxfId="743"/>
    <tableColumn id="3" name="2" totalsRowFunction="count" dataDxfId="742" totalsRowDxfId="741"/>
    <tableColumn id="4" name="3" totalsRowFunction="count" dataDxfId="740" totalsRowDxfId="739"/>
    <tableColumn id="5" name="4" totalsRowFunction="count" dataDxfId="738" totalsRowDxfId="737"/>
    <tableColumn id="6" name="5" totalsRowFunction="count" dataDxfId="736" totalsRowDxfId="735"/>
    <tableColumn id="7" name="6" totalsRowFunction="count" dataDxfId="734" totalsRowDxfId="733"/>
    <tableColumn id="8" name="7" totalsRowFunction="count" dataDxfId="732" totalsRowDxfId="731"/>
    <tableColumn id="9" name="8" totalsRowFunction="count" dataDxfId="730" totalsRowDxfId="729"/>
    <tableColumn id="10" name="9" totalsRowFunction="count" dataDxfId="728" totalsRowDxfId="727"/>
    <tableColumn id="11" name="10" totalsRowFunction="count" dataDxfId="726" totalsRowDxfId="725"/>
    <tableColumn id="12" name="11" totalsRowFunction="count" dataDxfId="724" totalsRowDxfId="723"/>
    <tableColumn id="13" name="12" totalsRowFunction="count" dataDxfId="722" totalsRowDxfId="721"/>
    <tableColumn id="14" name="13" totalsRowFunction="count" dataDxfId="720" totalsRowDxfId="719"/>
    <tableColumn id="15" name="14" totalsRowFunction="count" dataDxfId="718" totalsRowDxfId="717"/>
    <tableColumn id="16" name="15" totalsRowFunction="count" dataDxfId="716" totalsRowDxfId="715"/>
    <tableColumn id="17" name="16" totalsRowFunction="count" dataDxfId="714" totalsRowDxfId="713"/>
    <tableColumn id="18" name="17" totalsRowFunction="count" dataDxfId="712" totalsRowDxfId="711"/>
    <tableColumn id="19" name="18" totalsRowFunction="count" dataDxfId="710" totalsRowDxfId="709"/>
    <tableColumn id="20" name="19" totalsRowFunction="count" dataDxfId="708" totalsRowDxfId="707"/>
    <tableColumn id="21" name="20" totalsRowFunction="count" dataDxfId="706" totalsRowDxfId="705"/>
    <tableColumn id="22" name="21" totalsRowFunction="count" dataDxfId="704" totalsRowDxfId="703"/>
    <tableColumn id="23" name="22" totalsRowFunction="count" dataDxfId="702" totalsRowDxfId="701"/>
    <tableColumn id="24" name="23" totalsRowFunction="count" dataDxfId="700" totalsRowDxfId="699"/>
    <tableColumn id="25" name="24" totalsRowFunction="count" dataDxfId="698" totalsRowDxfId="697"/>
    <tableColumn id="26" name="25" totalsRowFunction="count" dataDxfId="696" totalsRowDxfId="695"/>
    <tableColumn id="27" name="26" totalsRowFunction="count" dataDxfId="694" totalsRowDxfId="693"/>
    <tableColumn id="28" name="27" totalsRowFunction="count" dataDxfId="692" totalsRowDxfId="691"/>
    <tableColumn id="29" name="28" totalsRowFunction="count" dataDxfId="690" totalsRowDxfId="689"/>
    <tableColumn id="30" name="29" totalsRowFunction="count" dataDxfId="688" totalsRowDxfId="687"/>
    <tableColumn id="31" name="30" totalsRowFunction="sum" dataDxfId="686" totalsRowDxfId="685"/>
    <tableColumn id="32" name="31" totalsRowFunction="sum" dataDxfId="684" totalsRowDxfId="683" dataCellStyle="Total"/>
    <tableColumn id="33" name="Total des jours" totalsRowFunction="sum" dataDxfId="682" dataCellStyle="Total">
      <calculatedColumnFormula>COUNTA(Mars[[#This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4.xml><?xml version="1.0" encoding="utf-8"?>
<table xmlns="http://schemas.openxmlformats.org/spreadsheetml/2006/main" id="15" name="Avril" displayName="Avril" ref="B6:AH12" totalsRowCount="1" headerRowDxfId="681" dataDxfId="680" totalsRowDxfId="679">
  <tableColumns count="33">
    <tableColumn id="1" name="Nom de l’employé" totalsRowFunction="custom" dataDxfId="678" totalsRowDxfId="677">
      <totalsRowFormula>NomMois&amp;" Total"</totalsRowFormula>
    </tableColumn>
    <tableColumn id="2" name="1" totalsRowFunction="count" dataDxfId="676" totalsRowDxfId="675"/>
    <tableColumn id="3" name="2" totalsRowFunction="count" dataDxfId="674" totalsRowDxfId="673"/>
    <tableColumn id="4" name="3" totalsRowFunction="count" dataDxfId="672" totalsRowDxfId="671"/>
    <tableColumn id="5" name="4" totalsRowFunction="count" dataDxfId="670" totalsRowDxfId="669"/>
    <tableColumn id="6" name="5" totalsRowFunction="count" dataDxfId="668" totalsRowDxfId="667"/>
    <tableColumn id="7" name="6" totalsRowFunction="count" dataDxfId="666" totalsRowDxfId="665"/>
    <tableColumn id="8" name="7" totalsRowFunction="count" dataDxfId="664" totalsRowDxfId="663"/>
    <tableColumn id="9" name="8" totalsRowFunction="count" dataDxfId="662" totalsRowDxfId="661"/>
    <tableColumn id="10" name="9" totalsRowFunction="count" dataDxfId="660" totalsRowDxfId="659"/>
    <tableColumn id="11" name="10" totalsRowFunction="count" dataDxfId="658" totalsRowDxfId="657"/>
    <tableColumn id="12" name="11" totalsRowFunction="count" dataDxfId="656" totalsRowDxfId="655"/>
    <tableColumn id="13" name="12" totalsRowFunction="count" dataDxfId="654" totalsRowDxfId="653"/>
    <tableColumn id="14" name="13" totalsRowFunction="count" dataDxfId="652" totalsRowDxfId="651"/>
    <tableColumn id="15" name="14" totalsRowFunction="count" dataDxfId="650" totalsRowDxfId="649"/>
    <tableColumn id="16" name="15" totalsRowFunction="count" dataDxfId="648" totalsRowDxfId="647"/>
    <tableColumn id="17" name="16" totalsRowFunction="count" dataDxfId="646" totalsRowDxfId="645"/>
    <tableColumn id="18" name="17" totalsRowFunction="count" dataDxfId="644" totalsRowDxfId="643"/>
    <tableColumn id="19" name="18" totalsRowFunction="count" dataDxfId="642" totalsRowDxfId="641"/>
    <tableColumn id="20" name="19" totalsRowFunction="count" dataDxfId="640" totalsRowDxfId="639"/>
    <tableColumn id="21" name="20" totalsRowFunction="count" dataDxfId="638" totalsRowDxfId="637"/>
    <tableColumn id="22" name="21" totalsRowFunction="count" dataDxfId="636" totalsRowDxfId="635"/>
    <tableColumn id="23" name="22" totalsRowFunction="count" dataDxfId="634" totalsRowDxfId="633"/>
    <tableColumn id="24" name="23" totalsRowFunction="count" dataDxfId="632" totalsRowDxfId="631"/>
    <tableColumn id="25" name="24" totalsRowFunction="count" dataDxfId="630" totalsRowDxfId="629"/>
    <tableColumn id="26" name="25" totalsRowFunction="count" dataDxfId="628" totalsRowDxfId="627"/>
    <tableColumn id="27" name="26" totalsRowFunction="count" dataDxfId="626" totalsRowDxfId="625"/>
    <tableColumn id="28" name="27" totalsRowFunction="count" dataDxfId="624" totalsRowDxfId="623"/>
    <tableColumn id="29" name="28" totalsRowFunction="count" dataDxfId="622" totalsRowDxfId="621"/>
    <tableColumn id="30" name="29" totalsRowFunction="count" dataDxfId="620" totalsRowDxfId="619"/>
    <tableColumn id="31" name="30" totalsRowFunction="sum" dataDxfId="618" totalsRowDxfId="617"/>
    <tableColumn id="32" name="31" totalsRowFunction="sum" dataDxfId="616" totalsRowDxfId="615" dataCellStyle="Total"/>
    <tableColumn id="33" name="Total des jours" totalsRowFunction="sum" dataDxfId="614" totalsRowDxfId="613" dataCellStyle="Total">
      <calculatedColumnFormula>COUNTA(Avril[[#This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5.xml><?xml version="1.0" encoding="utf-8"?>
<table xmlns="http://schemas.openxmlformats.org/spreadsheetml/2006/main" id="16" name="Mai" displayName="Mai" ref="B6:AH12" totalsRowCount="1" headerRowDxfId="612" dataDxfId="611" totalsRowDxfId="610">
  <tableColumns count="33">
    <tableColumn id="1" name="Nom de l’employé" totalsRowFunction="custom" dataDxfId="609" totalsRowDxfId="608">
      <totalsRowFormula>NomMois&amp;" Total"</totalsRowFormula>
    </tableColumn>
    <tableColumn id="2" name="1" totalsRowFunction="count" dataDxfId="607" totalsRowDxfId="606"/>
    <tableColumn id="3" name="2" totalsRowFunction="count" dataDxfId="605" totalsRowDxfId="604"/>
    <tableColumn id="4" name="3" totalsRowFunction="count" dataDxfId="603" totalsRowDxfId="602"/>
    <tableColumn id="5" name="4" totalsRowFunction="count" dataDxfId="601" totalsRowDxfId="600"/>
    <tableColumn id="6" name="5" totalsRowFunction="count" dataDxfId="599" totalsRowDxfId="598"/>
    <tableColumn id="7" name="6" totalsRowFunction="count" dataDxfId="597" totalsRowDxfId="596"/>
    <tableColumn id="8" name="7" totalsRowFunction="count" dataDxfId="595" totalsRowDxfId="594"/>
    <tableColumn id="9" name="8" totalsRowFunction="count" dataDxfId="593" totalsRowDxfId="592"/>
    <tableColumn id="10" name="9" totalsRowFunction="count" dataDxfId="591" totalsRowDxfId="590"/>
    <tableColumn id="11" name="10" totalsRowFunction="count" dataDxfId="589" totalsRowDxfId="588"/>
    <tableColumn id="12" name="11" totalsRowFunction="count" dataDxfId="587" totalsRowDxfId="586"/>
    <tableColumn id="13" name="12" totalsRowFunction="count" dataDxfId="585" totalsRowDxfId="584"/>
    <tableColumn id="14" name="13" totalsRowFunction="count" dataDxfId="583" totalsRowDxfId="582"/>
    <tableColumn id="15" name="14" totalsRowFunction="count" dataDxfId="581" totalsRowDxfId="580"/>
    <tableColumn id="16" name="15" totalsRowFunction="count" dataDxfId="579" totalsRowDxfId="578"/>
    <tableColumn id="17" name="16" totalsRowFunction="count" dataDxfId="577" totalsRowDxfId="576"/>
    <tableColumn id="18" name="17" totalsRowFunction="count" dataDxfId="575" totalsRowDxfId="574"/>
    <tableColumn id="19" name="18" totalsRowFunction="count" dataDxfId="573" totalsRowDxfId="572"/>
    <tableColumn id="20" name="19" totalsRowFunction="count" dataDxfId="571" totalsRowDxfId="570"/>
    <tableColumn id="21" name="20" totalsRowFunction="count" dataDxfId="569" totalsRowDxfId="568"/>
    <tableColumn id="22" name="21" totalsRowFunction="count" dataDxfId="567" totalsRowDxfId="566"/>
    <tableColumn id="23" name="22" totalsRowFunction="count" dataDxfId="565" totalsRowDxfId="564"/>
    <tableColumn id="24" name="23" totalsRowFunction="count" dataDxfId="563" totalsRowDxfId="562"/>
    <tableColumn id="25" name="24" totalsRowFunction="count" dataDxfId="561" totalsRowDxfId="560"/>
    <tableColumn id="26" name="25" totalsRowFunction="count" dataDxfId="559" totalsRowDxfId="558"/>
    <tableColumn id="27" name="26" totalsRowFunction="count" dataDxfId="557" totalsRowDxfId="556"/>
    <tableColumn id="28" name="27" totalsRowFunction="count" dataDxfId="555" totalsRowDxfId="554"/>
    <tableColumn id="29" name="28" totalsRowFunction="count" dataDxfId="553" totalsRowDxfId="552"/>
    <tableColumn id="30" name="29" totalsRowFunction="count" dataDxfId="551" totalsRowDxfId="550"/>
    <tableColumn id="31" name="30" totalsRowFunction="sum" dataDxfId="549" totalsRowDxfId="548"/>
    <tableColumn id="32" name="31" totalsRowFunction="sum" dataDxfId="547" totalsRowDxfId="546" dataCellStyle="Total"/>
    <tableColumn id="33" name="Total des jours" totalsRowFunction="sum" dataDxfId="545" totalsRowDxfId="544" dataCellStyle="Total">
      <calculatedColumnFormula>COUNTA(Mai[[#This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6.xml><?xml version="1.0" encoding="utf-8"?>
<table xmlns="http://schemas.openxmlformats.org/spreadsheetml/2006/main" id="17" name="Juin" displayName="Juin" ref="B6:AH12" totalsRowCount="1" headerRowDxfId="543" dataDxfId="542" totalsRowDxfId="541">
  <tableColumns count="33">
    <tableColumn id="1" name="Nom de l’employé" totalsRowFunction="custom" dataDxfId="540" totalsRowDxfId="539">
      <totalsRowFormula>NomMois&amp;" Total"</totalsRowFormula>
    </tableColumn>
    <tableColumn id="2" name="1" totalsRowFunction="count" dataDxfId="538" totalsRowDxfId="537"/>
    <tableColumn id="3" name="2" totalsRowFunction="count" dataDxfId="536" totalsRowDxfId="535"/>
    <tableColumn id="4" name="3" totalsRowFunction="count" dataDxfId="534" totalsRowDxfId="533"/>
    <tableColumn id="5" name="4" totalsRowFunction="count" dataDxfId="532" totalsRowDxfId="531"/>
    <tableColumn id="6" name="5" totalsRowFunction="count" dataDxfId="530" totalsRowDxfId="529"/>
    <tableColumn id="7" name="6" totalsRowFunction="count" dataDxfId="528" totalsRowDxfId="527"/>
    <tableColumn id="8" name="7" totalsRowFunction="count" dataDxfId="526" totalsRowDxfId="525"/>
    <tableColumn id="9" name="8" totalsRowFunction="count" dataDxfId="524" totalsRowDxfId="523"/>
    <tableColumn id="10" name="9" totalsRowFunction="count" dataDxfId="522" totalsRowDxfId="521"/>
    <tableColumn id="11" name="10" totalsRowFunction="count" dataDxfId="520" totalsRowDxfId="519"/>
    <tableColumn id="12" name="11" totalsRowFunction="count" dataDxfId="518" totalsRowDxfId="517"/>
    <tableColumn id="13" name="12" totalsRowFunction="count" dataDxfId="516" totalsRowDxfId="515"/>
    <tableColumn id="14" name="13" totalsRowFunction="count" dataDxfId="514" totalsRowDxfId="513"/>
    <tableColumn id="15" name="14" totalsRowFunction="count" dataDxfId="512" totalsRowDxfId="511"/>
    <tableColumn id="16" name="15" totalsRowFunction="count" dataDxfId="510" totalsRowDxfId="509"/>
    <tableColumn id="17" name="16" totalsRowFunction="count" dataDxfId="508" totalsRowDxfId="507"/>
    <tableColumn id="18" name="17" totalsRowFunction="count" dataDxfId="506" totalsRowDxfId="505"/>
    <tableColumn id="19" name="18" totalsRowFunction="count" dataDxfId="504" totalsRowDxfId="503"/>
    <tableColumn id="20" name="19" totalsRowFunction="count" dataDxfId="502" totalsRowDxfId="501"/>
    <tableColumn id="21" name="20" totalsRowFunction="count" dataDxfId="500" totalsRowDxfId="499"/>
    <tableColumn id="22" name="21" totalsRowFunction="count" dataDxfId="498" totalsRowDxfId="497"/>
    <tableColumn id="23" name="22" totalsRowFunction="count" dataDxfId="496" totalsRowDxfId="495"/>
    <tableColumn id="24" name="23" totalsRowFunction="count" dataDxfId="494" totalsRowDxfId="493"/>
    <tableColumn id="25" name="24" totalsRowFunction="count" dataDxfId="492" totalsRowDxfId="491"/>
    <tableColumn id="26" name="25" totalsRowFunction="count" dataDxfId="490" totalsRowDxfId="489"/>
    <tableColumn id="27" name="26" totalsRowFunction="count" dataDxfId="488" totalsRowDxfId="487"/>
    <tableColumn id="28" name="27" totalsRowFunction="count" dataDxfId="486" totalsRowDxfId="485"/>
    <tableColumn id="29" name="28" totalsRowFunction="count" dataDxfId="484" totalsRowDxfId="483"/>
    <tableColumn id="30" name="29" totalsRowFunction="count" dataDxfId="482" totalsRowDxfId="481"/>
    <tableColumn id="31" name="30" totalsRowFunction="sum" dataDxfId="480" totalsRowDxfId="479"/>
    <tableColumn id="32" name="31" totalsRowFunction="sum" dataDxfId="478" totalsRowDxfId="477" dataCellStyle="Total"/>
    <tableColumn id="33" name="Total des jours" totalsRowFunction="sum" dataDxfId="476" totalsRowDxfId="475" dataCellStyle="Total">
      <calculatedColumnFormula>COUNTA(Juin[[#This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7.xml><?xml version="1.0" encoding="utf-8"?>
<table xmlns="http://schemas.openxmlformats.org/spreadsheetml/2006/main" id="18" name="Juillet" displayName="Juillet" ref="B6:AH12" totalsRowCount="1" headerRowDxfId="474" dataDxfId="473" totalsRowDxfId="472">
  <tableColumns count="33">
    <tableColumn id="1" name="Nom de l’employé" totalsRowFunction="custom" dataDxfId="471" totalsRowDxfId="470">
      <totalsRowFormula>NomMois&amp;" Total"</totalsRowFormula>
    </tableColumn>
    <tableColumn id="2" name="1" totalsRowFunction="count" dataDxfId="469" totalsRowDxfId="468"/>
    <tableColumn id="3" name="2" totalsRowFunction="count" dataDxfId="467" totalsRowDxfId="466"/>
    <tableColumn id="4" name="3" totalsRowFunction="count" dataDxfId="465" totalsRowDxfId="464"/>
    <tableColumn id="5" name="4" totalsRowFunction="count" dataDxfId="463" totalsRowDxfId="462"/>
    <tableColumn id="6" name="5" totalsRowFunction="count" dataDxfId="461" totalsRowDxfId="460"/>
    <tableColumn id="7" name="6" totalsRowFunction="count" dataDxfId="459" totalsRowDxfId="458"/>
    <tableColumn id="8" name="7" totalsRowFunction="count" dataDxfId="457" totalsRowDxfId="456"/>
    <tableColumn id="9" name="8" totalsRowFunction="count" dataDxfId="455" totalsRowDxfId="454"/>
    <tableColumn id="10" name="9" totalsRowFunction="count" dataDxfId="453" totalsRowDxfId="452"/>
    <tableColumn id="11" name="10" totalsRowFunction="count" dataDxfId="451" totalsRowDxfId="450"/>
    <tableColumn id="12" name="11" totalsRowFunction="count" dataDxfId="449" totalsRowDxfId="448"/>
    <tableColumn id="13" name="12" totalsRowFunction="count" dataDxfId="447" totalsRowDxfId="446"/>
    <tableColumn id="14" name="13" totalsRowFunction="count" dataDxfId="445" totalsRowDxfId="444"/>
    <tableColumn id="15" name="14" totalsRowFunction="count" dataDxfId="443" totalsRowDxfId="442"/>
    <tableColumn id="16" name="15" totalsRowFunction="count" dataDxfId="441" totalsRowDxfId="440"/>
    <tableColumn id="17" name="16" totalsRowFunction="count" dataDxfId="439" totalsRowDxfId="438"/>
    <tableColumn id="18" name="17" totalsRowFunction="count" dataDxfId="437" totalsRowDxfId="436"/>
    <tableColumn id="19" name="18" totalsRowFunction="count" dataDxfId="435" totalsRowDxfId="434"/>
    <tableColumn id="20" name="19" totalsRowFunction="count" dataDxfId="433" totalsRowDxfId="432"/>
    <tableColumn id="21" name="20" totalsRowFunction="count" dataDxfId="431" totalsRowDxfId="430"/>
    <tableColumn id="22" name="21" totalsRowFunction="count" dataDxfId="429" totalsRowDxfId="428"/>
    <tableColumn id="23" name="22" totalsRowFunction="count" dataDxfId="427" totalsRowDxfId="426"/>
    <tableColumn id="24" name="23" totalsRowFunction="count" dataDxfId="425" totalsRowDxfId="424"/>
    <tableColumn id="25" name="24" totalsRowFunction="count" dataDxfId="423" totalsRowDxfId="422"/>
    <tableColumn id="26" name="25" totalsRowFunction="count" dataDxfId="421" totalsRowDxfId="420"/>
    <tableColumn id="27" name="26" totalsRowFunction="count" dataDxfId="419" totalsRowDxfId="418"/>
    <tableColumn id="28" name="27" totalsRowFunction="count" dataDxfId="417" totalsRowDxfId="416"/>
    <tableColumn id="29" name="28" totalsRowFunction="count" dataDxfId="415" totalsRowDxfId="414"/>
    <tableColumn id="30" name="29" totalsRowFunction="count" dataDxfId="413" totalsRowDxfId="412"/>
    <tableColumn id="31" name="30" totalsRowFunction="sum" dataDxfId="411" totalsRowDxfId="410"/>
    <tableColumn id="32" name="31" totalsRowFunction="sum" dataDxfId="409" totalsRowDxfId="408" dataCellStyle="Total"/>
    <tableColumn id="33" name="Total des jours" totalsRowFunction="sum" dataDxfId="407" totalsRowDxfId="406" dataCellStyle="Total">
      <calculatedColumnFormula>COUNTA(Juillet[[#This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8.xml><?xml version="1.0" encoding="utf-8"?>
<table xmlns="http://schemas.openxmlformats.org/spreadsheetml/2006/main" id="19" name="Août" displayName="Août" ref="B6:AH12" totalsRowCount="1" headerRowDxfId="405" dataDxfId="404" totalsRowDxfId="403">
  <tableColumns count="33">
    <tableColumn id="1" name="Nom de l’employé" totalsRowFunction="custom" dataDxfId="402" totalsRowDxfId="401">
      <totalsRowFormula>NomMois&amp;" Total"</totalsRowFormula>
    </tableColumn>
    <tableColumn id="2" name="1" totalsRowFunction="count" dataDxfId="400" totalsRowDxfId="399"/>
    <tableColumn id="3" name="2" totalsRowFunction="count" dataDxfId="398" totalsRowDxfId="397"/>
    <tableColumn id="4" name="3" totalsRowFunction="count" dataDxfId="396" totalsRowDxfId="395"/>
    <tableColumn id="5" name="4" totalsRowFunction="count" dataDxfId="394" totalsRowDxfId="393"/>
    <tableColumn id="6" name="5" totalsRowFunction="count" dataDxfId="392" totalsRowDxfId="391"/>
    <tableColumn id="7" name="6" totalsRowFunction="count" dataDxfId="390" totalsRowDxfId="389"/>
    <tableColumn id="8" name="7" totalsRowFunction="count" dataDxfId="388" totalsRowDxfId="387"/>
    <tableColumn id="9" name="8" totalsRowFunction="count" dataDxfId="386" totalsRowDxfId="385"/>
    <tableColumn id="10" name="9" totalsRowFunction="count" dataDxfId="384" totalsRowDxfId="383"/>
    <tableColumn id="11" name="10" totalsRowFunction="count" dataDxfId="382" totalsRowDxfId="381"/>
    <tableColumn id="12" name="11" totalsRowFunction="count" dataDxfId="380" totalsRowDxfId="379"/>
    <tableColumn id="13" name="12" totalsRowFunction="count" dataDxfId="378" totalsRowDxfId="377"/>
    <tableColumn id="14" name="13" totalsRowFunction="count" dataDxfId="376" totalsRowDxfId="375"/>
    <tableColumn id="15" name="14" totalsRowFunction="count" dataDxfId="374" totalsRowDxfId="373"/>
    <tableColumn id="16" name="15" totalsRowFunction="count" dataDxfId="372" totalsRowDxfId="371"/>
    <tableColumn id="17" name="16" totalsRowFunction="count" dataDxfId="370" totalsRowDxfId="369"/>
    <tableColumn id="18" name="17" totalsRowFunction="count" dataDxfId="368" totalsRowDxfId="367"/>
    <tableColumn id="19" name="18" totalsRowFunction="count" dataDxfId="366" totalsRowDxfId="365"/>
    <tableColumn id="20" name="19" totalsRowFunction="count" dataDxfId="364" totalsRowDxfId="363"/>
    <tableColumn id="21" name="20" totalsRowFunction="count" dataDxfId="362" totalsRowDxfId="361"/>
    <tableColumn id="22" name="21" totalsRowFunction="count" dataDxfId="360" totalsRowDxfId="359"/>
    <tableColumn id="23" name="22" totalsRowFunction="count" dataDxfId="358" totalsRowDxfId="357"/>
    <tableColumn id="24" name="23" totalsRowFunction="count" dataDxfId="356" totalsRowDxfId="355"/>
    <tableColumn id="25" name="24" totalsRowFunction="count" dataDxfId="354" totalsRowDxfId="353"/>
    <tableColumn id="26" name="25" totalsRowFunction="count" dataDxfId="352" totalsRowDxfId="351"/>
    <tableColumn id="27" name="26" totalsRowFunction="count" dataDxfId="350" totalsRowDxfId="349"/>
    <tableColumn id="28" name="27" totalsRowFunction="count" dataDxfId="348" totalsRowDxfId="347"/>
    <tableColumn id="29" name="28" totalsRowFunction="count" dataDxfId="346" totalsRowDxfId="345"/>
    <tableColumn id="30" name="29" totalsRowFunction="count" dataDxfId="344" totalsRowDxfId="343"/>
    <tableColumn id="31" name="30" totalsRowFunction="sum" dataDxfId="342" totalsRowDxfId="341"/>
    <tableColumn id="32" name="31" totalsRowFunction="sum" dataDxfId="340" totalsRowDxfId="339" dataCellStyle="Total"/>
    <tableColumn id="33" name="Total des jours" totalsRowFunction="sum" dataDxfId="338" totalsRowDxfId="337" dataCellStyle="Total">
      <calculatedColumnFormula>COUNTA(Août[[#This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9.xml><?xml version="1.0" encoding="utf-8"?>
<table xmlns="http://schemas.openxmlformats.org/spreadsheetml/2006/main" id="20" name="Septembre" displayName="Septembre" ref="B6:AH12" totalsRowCount="1" headerRowDxfId="336" dataDxfId="335" totalsRowDxfId="334">
  <tableColumns count="33">
    <tableColumn id="1" name="Nom de l’employé" totalsRowFunction="custom" dataDxfId="333" totalsRowDxfId="332">
      <totalsRowFormula>NomMois&amp;" Total"</totalsRowFormula>
    </tableColumn>
    <tableColumn id="2" name="1" totalsRowFunction="count" dataDxfId="331" totalsRowDxfId="330"/>
    <tableColumn id="3" name="2" totalsRowFunction="count" dataDxfId="329" totalsRowDxfId="328"/>
    <tableColumn id="4" name="3" totalsRowFunction="count" dataDxfId="327" totalsRowDxfId="326"/>
    <tableColumn id="5" name="4" totalsRowFunction="count" dataDxfId="325" totalsRowDxfId="324"/>
    <tableColumn id="6" name="5" totalsRowFunction="count" dataDxfId="323" totalsRowDxfId="322"/>
    <tableColumn id="7" name="6" totalsRowFunction="count" dataDxfId="321" totalsRowDxfId="320"/>
    <tableColumn id="8" name="7" totalsRowFunction="count" dataDxfId="319" totalsRowDxfId="318"/>
    <tableColumn id="9" name="8" totalsRowFunction="count" dataDxfId="317" totalsRowDxfId="316"/>
    <tableColumn id="10" name="9" totalsRowFunction="count" dataDxfId="315" totalsRowDxfId="314"/>
    <tableColumn id="11" name="10" totalsRowFunction="count" dataDxfId="313" totalsRowDxfId="312"/>
    <tableColumn id="12" name="11" totalsRowFunction="count" dataDxfId="311" totalsRowDxfId="310"/>
    <tableColumn id="13" name="12" totalsRowFunction="count" dataDxfId="309" totalsRowDxfId="308"/>
    <tableColumn id="14" name="13" totalsRowFunction="count" dataDxfId="307" totalsRowDxfId="306"/>
    <tableColumn id="15" name="14" totalsRowFunction="count" dataDxfId="305" totalsRowDxfId="304"/>
    <tableColumn id="16" name="15" totalsRowFunction="count" dataDxfId="303" totalsRowDxfId="302"/>
    <tableColumn id="17" name="16" totalsRowFunction="count" dataDxfId="301" totalsRowDxfId="300"/>
    <tableColumn id="18" name="17" totalsRowFunction="count" dataDxfId="299" totalsRowDxfId="298"/>
    <tableColumn id="19" name="18" totalsRowFunction="count" dataDxfId="297" totalsRowDxfId="296"/>
    <tableColumn id="20" name="19" totalsRowFunction="count" dataDxfId="295" totalsRowDxfId="294"/>
    <tableColumn id="21" name="20" totalsRowFunction="count" dataDxfId="293" totalsRowDxfId="292"/>
    <tableColumn id="22" name="21" totalsRowFunction="count" dataDxfId="291" totalsRowDxfId="290"/>
    <tableColumn id="23" name="22" totalsRowFunction="count" dataDxfId="289" totalsRowDxfId="288"/>
    <tableColumn id="24" name="23" totalsRowFunction="count" dataDxfId="287" totalsRowDxfId="286"/>
    <tableColumn id="25" name="24" totalsRowFunction="count" dataDxfId="285" totalsRowDxfId="284"/>
    <tableColumn id="26" name="25" totalsRowFunction="count" dataDxfId="283" totalsRowDxfId="282"/>
    <tableColumn id="27" name="26" totalsRowFunction="count" dataDxfId="281" totalsRowDxfId="280"/>
    <tableColumn id="28" name="27" totalsRowFunction="count" dataDxfId="279" totalsRowDxfId="278"/>
    <tableColumn id="29" name="28" totalsRowFunction="count" dataDxfId="277" totalsRowDxfId="276"/>
    <tableColumn id="30" name="29" totalsRowFunction="count" dataDxfId="275" totalsRowDxfId="274"/>
    <tableColumn id="31" name="30" totalsRowFunction="sum" dataDxfId="273" totalsRowDxfId="272"/>
    <tableColumn id="32" name="31" totalsRowFunction="sum" dataDxfId="271" totalsRowDxfId="270" dataCellStyle="Total"/>
    <tableColumn id="33" name="Total des jours" totalsRowFunction="sum" dataDxfId="269" totalsRowDxfId="268" dataCellStyle="Total">
      <calculatedColumnFormula>COUNTA(Septembre[[#This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0.xml><?xml version="1.0" encoding="utf-8"?>
<table xmlns="http://schemas.openxmlformats.org/spreadsheetml/2006/main" id="21" name="Octobre" displayName="Octobre" ref="B6:AH12" totalsRowCount="1" headerRowDxfId="267" dataDxfId="266" totalsRowDxfId="265">
  <tableColumns count="33">
    <tableColumn id="1" name="Nom de l’employé" totalsRowFunction="custom" dataDxfId="264" totalsRowDxfId="263">
      <totalsRowFormula>NomMois&amp;" Total"</totalsRowFormula>
    </tableColumn>
    <tableColumn id="2" name="1" totalsRowFunction="count" dataDxfId="262" totalsRowDxfId="261"/>
    <tableColumn id="3" name="2" totalsRowFunction="count" dataDxfId="260" totalsRowDxfId="259"/>
    <tableColumn id="4" name="3" totalsRowFunction="count" dataDxfId="258" totalsRowDxfId="257"/>
    <tableColumn id="5" name="4" totalsRowFunction="count" dataDxfId="256" totalsRowDxfId="255"/>
    <tableColumn id="6" name="5" totalsRowFunction="count" dataDxfId="254" totalsRowDxfId="253"/>
    <tableColumn id="7" name="6" totalsRowFunction="count" dataDxfId="252" totalsRowDxfId="251"/>
    <tableColumn id="8" name="7" totalsRowFunction="count" dataDxfId="250" totalsRowDxfId="249"/>
    <tableColumn id="9" name="8" totalsRowFunction="count" dataDxfId="248" totalsRowDxfId="247"/>
    <tableColumn id="10" name="9" totalsRowFunction="count" dataDxfId="246" totalsRowDxfId="245"/>
    <tableColumn id="11" name="10" totalsRowFunction="count" dataDxfId="244" totalsRowDxfId="243"/>
    <tableColumn id="12" name="11" totalsRowFunction="count" dataDxfId="242" totalsRowDxfId="241"/>
    <tableColumn id="13" name="12" totalsRowFunction="count" dataDxfId="240" totalsRowDxfId="239"/>
    <tableColumn id="14" name="13" totalsRowFunction="count" dataDxfId="238" totalsRowDxfId="237"/>
    <tableColumn id="15" name="14" totalsRowFunction="count" dataDxfId="236" totalsRowDxfId="235"/>
    <tableColumn id="16" name="15" totalsRowFunction="count" dataDxfId="234" totalsRowDxfId="233"/>
    <tableColumn id="17" name="16" totalsRowFunction="count" dataDxfId="232" totalsRowDxfId="231"/>
    <tableColumn id="18" name="17" totalsRowFunction="count" dataDxfId="230" totalsRowDxfId="229"/>
    <tableColumn id="19" name="18" totalsRowFunction="count" dataDxfId="228" totalsRowDxfId="227"/>
    <tableColumn id="20" name="19" totalsRowFunction="count" dataDxfId="226" totalsRowDxfId="225"/>
    <tableColumn id="21" name="20" totalsRowFunction="count" dataDxfId="224" totalsRowDxfId="223"/>
    <tableColumn id="22" name="21" totalsRowFunction="count" dataDxfId="222" totalsRowDxfId="221"/>
    <tableColumn id="23" name="22" totalsRowFunction="count" dataDxfId="220" totalsRowDxfId="219"/>
    <tableColumn id="24" name="23" totalsRowFunction="count" dataDxfId="218" totalsRowDxfId="217"/>
    <tableColumn id="25" name="24" totalsRowFunction="count" dataDxfId="216" totalsRowDxfId="215"/>
    <tableColumn id="26" name="25" totalsRowFunction="count" dataDxfId="214" totalsRowDxfId="213"/>
    <tableColumn id="27" name="26" totalsRowFunction="count" dataDxfId="212" totalsRowDxfId="211"/>
    <tableColumn id="28" name="27" totalsRowFunction="count" dataDxfId="210" totalsRowDxfId="209"/>
    <tableColumn id="29" name="28" totalsRowFunction="count" dataDxfId="208" totalsRowDxfId="207"/>
    <tableColumn id="30" name="29" totalsRowFunction="count" dataDxfId="206" totalsRowDxfId="205"/>
    <tableColumn id="31" name="30" totalsRowFunction="sum" dataDxfId="204" totalsRowDxfId="203"/>
    <tableColumn id="32" name="31" totalsRowFunction="sum" dataDxfId="202" totalsRowDxfId="201" dataCellStyle="Total"/>
    <tableColumn id="33" name="Total des jours" totalsRowFunction="sum" dataDxfId="200" totalsRowDxfId="199" dataCellStyle="Total">
      <calculatedColumnFormula>COUNTA(Octobre[[#This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1.xml><?xml version="1.0" encoding="utf-8"?>
<table xmlns="http://schemas.openxmlformats.org/spreadsheetml/2006/main" id="22" name="Novembre" displayName="Novembre" ref="B6:AH12" totalsRowCount="1" headerRowDxfId="198" dataDxfId="197" totalsRowDxfId="196">
  <tableColumns count="33">
    <tableColumn id="1" name="Nom de l’employé" totalsRowFunction="custom" dataDxfId="195" totalsRowDxfId="194">
      <totalsRowFormula>NomMois&amp;" Total"</totalsRowFormula>
    </tableColumn>
    <tableColumn id="2" name="1" totalsRowFunction="count" dataDxfId="193" totalsRowDxfId="192"/>
    <tableColumn id="3" name="2" totalsRowFunction="count" dataDxfId="191" totalsRowDxfId="190"/>
    <tableColumn id="4" name="3" totalsRowFunction="count" dataDxfId="189" totalsRowDxfId="188"/>
    <tableColumn id="5" name="4" totalsRowFunction="count" dataDxfId="187" totalsRowDxfId="186"/>
    <tableColumn id="6" name="5" totalsRowFunction="count" dataDxfId="185" totalsRowDxfId="184"/>
    <tableColumn id="7" name="6" totalsRowFunction="count" dataDxfId="183" totalsRowDxfId="182"/>
    <tableColumn id="8" name="7" totalsRowFunction="count" dataDxfId="181" totalsRowDxfId="180"/>
    <tableColumn id="9" name="8" totalsRowFunction="count" dataDxfId="179" totalsRowDxfId="178"/>
    <tableColumn id="10" name="9" totalsRowFunction="count" dataDxfId="177" totalsRowDxfId="176"/>
    <tableColumn id="11" name="10" totalsRowFunction="count" dataDxfId="175" totalsRowDxfId="174"/>
    <tableColumn id="12" name="11" totalsRowFunction="count" dataDxfId="173" totalsRowDxfId="172"/>
    <tableColumn id="13" name="12" totalsRowFunction="count" dataDxfId="171" totalsRowDxfId="170"/>
    <tableColumn id="14" name="13" totalsRowFunction="count" dataDxfId="169" totalsRowDxfId="168"/>
    <tableColumn id="15" name="14" totalsRowFunction="count" dataDxfId="167" totalsRowDxfId="166"/>
    <tableColumn id="16" name="15" totalsRowFunction="count" dataDxfId="165" totalsRowDxfId="164"/>
    <tableColumn id="17" name="16" totalsRowFunction="count" dataDxfId="163" totalsRowDxfId="162"/>
    <tableColumn id="18" name="17" totalsRowFunction="count" dataDxfId="161" totalsRowDxfId="160"/>
    <tableColumn id="19" name="18" totalsRowFunction="count" dataDxfId="159" totalsRowDxfId="158"/>
    <tableColumn id="20" name="19" totalsRowFunction="count" dataDxfId="157" totalsRowDxfId="156"/>
    <tableColumn id="21" name="20" totalsRowFunction="count" dataDxfId="155" totalsRowDxfId="154"/>
    <tableColumn id="22" name="21" totalsRowFunction="count" dataDxfId="153" totalsRowDxfId="152"/>
    <tableColumn id="23" name="22" totalsRowFunction="count" dataDxfId="151" totalsRowDxfId="150"/>
    <tableColumn id="24" name="23" totalsRowFunction="count" dataDxfId="149" totalsRowDxfId="148"/>
    <tableColumn id="25" name="24" totalsRowFunction="count" dataDxfId="147" totalsRowDxfId="146"/>
    <tableColumn id="26" name="25" totalsRowFunction="count" dataDxfId="145" totalsRowDxfId="144"/>
    <tableColumn id="27" name="26" totalsRowFunction="count" dataDxfId="143" totalsRowDxfId="142"/>
    <tableColumn id="28" name="27" totalsRowFunction="count" dataDxfId="141" totalsRowDxfId="140"/>
    <tableColumn id="29" name="28" totalsRowFunction="count" dataDxfId="139" totalsRowDxfId="138"/>
    <tableColumn id="30" name="29" totalsRowFunction="count" dataDxfId="137" totalsRowDxfId="136"/>
    <tableColumn id="31" name="30" totalsRowFunction="sum" dataDxfId="135" totalsRowDxfId="134"/>
    <tableColumn id="32" name="31" totalsRowFunction="sum" dataDxfId="133" totalsRowDxfId="132" dataCellStyle="Total"/>
    <tableColumn id="33" name="Total des jours" totalsRowFunction="sum" dataDxfId="131" totalsRowDxfId="130" dataCellStyle="Total">
      <calculatedColumnFormula>COUNTA(Novembre[[#This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Entrez les noms des employés et les dates d’absence. Enregistrez le motif d’absence à l’aide des clés figurant dans la ligne 12 : C=Congé, M=Maladie, P=Personnel, et deux espaces réservés pour des entrées personnalisées"/>
    </ext>
  </extLst>
</table>
</file>

<file path=xl/tables/table12.xml><?xml version="1.0" encoding="utf-8"?>
<table xmlns="http://schemas.openxmlformats.org/spreadsheetml/2006/main" id="12" name="Décembre" displayName="Décembre" ref="B6:AH12" totalsRowCount="1" headerRowDxfId="129" dataDxfId="128" totalsRowDxfId="127">
  <tableColumns count="33">
    <tableColumn id="1" name="Nom de l’employé" totalsRowFunction="custom" dataDxfId="126" totalsRowDxfId="125">
      <totalsRowFormula>NomMois&amp;" Total"</totalsRowFormula>
    </tableColumn>
    <tableColumn id="2" name="1" totalsRowFunction="count" dataDxfId="124" totalsRowDxfId="123"/>
    <tableColumn id="3" name="2" totalsRowFunction="count" dataDxfId="122" totalsRowDxfId="121"/>
    <tableColumn id="4" name="3" totalsRowFunction="count" dataDxfId="120" totalsRowDxfId="119"/>
    <tableColumn id="5" name="4" totalsRowFunction="count" dataDxfId="118" totalsRowDxfId="117"/>
    <tableColumn id="6" name="5" totalsRowFunction="count" dataDxfId="116" totalsRowDxfId="115"/>
    <tableColumn id="7" name="6" totalsRowFunction="count" dataDxfId="114" totalsRowDxfId="113"/>
    <tableColumn id="8" name="7" totalsRowFunction="count" dataDxfId="112" totalsRowDxfId="111"/>
    <tableColumn id="9" name="8" totalsRowFunction="count" dataDxfId="110" totalsRowDxfId="109"/>
    <tableColumn id="10" name="9" totalsRowFunction="count" dataDxfId="108" totalsRowDxfId="107"/>
    <tableColumn id="11" name="10" totalsRowFunction="count" dataDxfId="106" totalsRowDxfId="105"/>
    <tableColumn id="12" name="11" totalsRowFunction="count" dataDxfId="104" totalsRowDxfId="103"/>
    <tableColumn id="13" name="12" totalsRowFunction="count" dataDxfId="102" totalsRowDxfId="101"/>
    <tableColumn id="14" name="13" totalsRowFunction="count" dataDxfId="100" totalsRowDxfId="99"/>
    <tableColumn id="15" name="14" totalsRowFunction="count" dataDxfId="98" totalsRowDxfId="97"/>
    <tableColumn id="16" name="15" totalsRowFunction="count" dataDxfId="96" totalsRowDxfId="95"/>
    <tableColumn id="17" name="16" totalsRowFunction="count" dataDxfId="94" totalsRowDxfId="93"/>
    <tableColumn id="18" name="17" totalsRowFunction="count" dataDxfId="92" totalsRowDxfId="91"/>
    <tableColumn id="19" name="18" totalsRowFunction="count" dataDxfId="90" totalsRowDxfId="89"/>
    <tableColumn id="20" name="19" totalsRowFunction="count" dataDxfId="88" totalsRowDxfId="87"/>
    <tableColumn id="21" name="20" totalsRowFunction="count" dataDxfId="86" totalsRowDxfId="85"/>
    <tableColumn id="22" name="21" totalsRowFunction="count" dataDxfId="84" totalsRowDxfId="83"/>
    <tableColumn id="23" name="22" totalsRowFunction="count" dataDxfId="82" totalsRowDxfId="81"/>
    <tableColumn id="24" name="23" totalsRowFunction="count" dataDxfId="80" totalsRowDxfId="79"/>
    <tableColumn id="25" name="24" totalsRowFunction="count" dataDxfId="78" totalsRowDxfId="77"/>
    <tableColumn id="26" name="25" totalsRowFunction="count" dataDxfId="76" totalsRowDxfId="75"/>
    <tableColumn id="27" name="26" totalsRowFunction="count" dataDxfId="74" totalsRowDxfId="73"/>
    <tableColumn id="28" name="27" totalsRowFunction="count" dataDxfId="72" totalsRowDxfId="71"/>
    <tableColumn id="29" name="28" totalsRowFunction="count" dataDxfId="70" totalsRowDxfId="69"/>
    <tableColumn id="30" name="29" totalsRowFunction="count" dataDxfId="68" totalsRowDxfId="67"/>
    <tableColumn id="31" name="30" totalsRowFunction="sum" dataDxfId="66" totalsRowDxfId="65"/>
    <tableColumn id="32" name="31" totalsRowFunction="sum" dataDxfId="64" totalsRowDxfId="63" dataCellStyle="Total"/>
    <tableColumn id="33" name="Total des jours" totalsRowFunction="sum" dataDxfId="62" dataCellStyle="Total">
      <calculatedColumnFormula>COUNTA(Décembre[[#This Row],[1]:[31]])</calculatedColumnFormula>
    </tableColumn>
  </tableColumns>
  <tableStyleInfo name="Tableau des absences des employés" showFirstColumn="1" showLastColumn="1" showRowStripes="1" showColumnStripes="0"/>
  <extLst>
    <ext xmlns:x14="http://schemas.microsoft.com/office/spreadsheetml/2009/9/main" uri="{504A1905-F514-4f6f-8877-14C23A59335A}">
      <x14:table altTextSummary="Fournit une liste de noms et des dates de calendrier pour enregistrer les absences et motifs d’absence des employés (C= Congé, M=Maladie, P=Personnel, et deux espaces réservés pour des entrées personnalisées)"/>
    </ext>
  </extLst>
</table>
</file>

<file path=xl/theme/theme1.xml><?xml version="1.0" encoding="utf-8"?>
<a:theme xmlns:a="http://schemas.openxmlformats.org/drawingml/2006/main" name="Office Theme">
  <a:themeElements>
    <a:clrScheme name="Employee Absense Schedule">
      <a:dk1>
        <a:sysClr val="windowText" lastClr="000000"/>
      </a:dk1>
      <a:lt1>
        <a:sysClr val="window" lastClr="FFFFFF"/>
      </a:lt1>
      <a:dk2>
        <a:srgbClr val="4B180E"/>
      </a:dk2>
      <a:lt2>
        <a:srgbClr val="F1F2E8"/>
      </a:lt2>
      <a:accent1>
        <a:srgbClr val="A53423"/>
      </a:accent1>
      <a:accent2>
        <a:srgbClr val="E68130"/>
      </a:accent2>
      <a:accent3>
        <a:srgbClr val="9BB05D"/>
      </a:accent3>
      <a:accent4>
        <a:srgbClr val="CC9900"/>
      </a:accent4>
      <a:accent5>
        <a:srgbClr val="4F66AF"/>
      </a:accent5>
      <a:accent6>
        <a:srgbClr val="D0D2D3"/>
      </a:accent6>
      <a:hlink>
        <a:srgbClr val="4F66AF"/>
      </a:hlink>
      <a:folHlink>
        <a:srgbClr val="6B9AC6"/>
      </a:folHlink>
    </a:clrScheme>
    <a:fontScheme name="Employee Absence Schedule">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V32"/>
  <sheetViews>
    <sheetView tabSelected="1" zoomScaleNormal="100" workbookViewId="0">
      <selection activeCell="C5" sqref="C5"/>
    </sheetView>
  </sheetViews>
  <sheetFormatPr baseColWidth="10" defaultColWidth="10.42578125" defaultRowHeight="15" x14ac:dyDescent="0.25"/>
  <cols>
    <col min="1" max="2" width="10.42578125" style="21"/>
    <col min="3" max="3" width="26.7109375" style="21" customWidth="1"/>
    <col min="4" max="16384" width="10.42578125" style="21"/>
  </cols>
  <sheetData>
    <row r="3" spans="3:22" ht="21" customHeight="1" x14ac:dyDescent="0.25">
      <c r="E3" s="19"/>
      <c r="F3" s="20"/>
      <c r="G3" s="20"/>
      <c r="H3" s="20"/>
      <c r="I3" s="20"/>
      <c r="J3" s="20"/>
      <c r="K3" s="20"/>
      <c r="L3" s="20"/>
      <c r="M3" s="20"/>
      <c r="N3" s="20"/>
      <c r="O3" s="20"/>
      <c r="P3" s="20"/>
      <c r="Q3" s="20"/>
      <c r="R3" s="20"/>
      <c r="S3" s="20"/>
      <c r="T3" s="20"/>
      <c r="U3" s="20"/>
      <c r="V3" s="20"/>
    </row>
    <row r="4" spans="3:22" x14ac:dyDescent="0.25">
      <c r="E4" s="27">
        <v>44927</v>
      </c>
      <c r="F4" s="27">
        <v>44928</v>
      </c>
      <c r="G4" s="27">
        <v>44929</v>
      </c>
      <c r="H4" s="27">
        <v>44930</v>
      </c>
      <c r="I4" s="27">
        <v>44931</v>
      </c>
      <c r="J4" s="27">
        <v>44932</v>
      </c>
      <c r="K4" s="27">
        <v>44933</v>
      </c>
      <c r="L4" s="27">
        <v>44934</v>
      </c>
      <c r="M4" s="27">
        <v>44935</v>
      </c>
      <c r="N4" s="27">
        <v>44936</v>
      </c>
      <c r="O4" s="27">
        <v>44937</v>
      </c>
      <c r="P4" s="27">
        <v>44938</v>
      </c>
      <c r="Q4" s="27">
        <v>44939</v>
      </c>
      <c r="R4" s="27">
        <v>44940</v>
      </c>
      <c r="S4" s="27">
        <v>44941</v>
      </c>
      <c r="T4" s="27">
        <v>44942</v>
      </c>
      <c r="U4" s="27">
        <v>44943</v>
      </c>
      <c r="V4" s="27">
        <v>44944</v>
      </c>
    </row>
    <row r="5" spans="3:22" x14ac:dyDescent="0.25">
      <c r="C5" s="21" t="s">
        <v>63</v>
      </c>
      <c r="F5" s="22"/>
      <c r="G5" s="22"/>
      <c r="H5" s="22"/>
      <c r="I5" s="22"/>
      <c r="J5" s="22"/>
      <c r="K5" s="22"/>
      <c r="L5" s="22"/>
      <c r="M5" s="22"/>
      <c r="N5" s="22"/>
      <c r="O5" s="22"/>
      <c r="P5" s="22"/>
      <c r="Q5" s="22"/>
      <c r="R5" s="22"/>
      <c r="S5" s="22"/>
      <c r="T5" s="22"/>
      <c r="U5" s="22"/>
      <c r="V5" s="22"/>
    </row>
    <row r="6" spans="3:22" x14ac:dyDescent="0.25">
      <c r="C6" s="21" t="s">
        <v>64</v>
      </c>
      <c r="E6" s="23"/>
      <c r="F6" s="23"/>
      <c r="G6" s="23" t="s">
        <v>8</v>
      </c>
      <c r="H6" s="23"/>
      <c r="I6" s="23"/>
      <c r="J6" s="23"/>
      <c r="K6" s="23" t="s">
        <v>8</v>
      </c>
      <c r="L6" s="23" t="s">
        <v>8</v>
      </c>
      <c r="M6" s="23" t="s">
        <v>8</v>
      </c>
      <c r="N6" s="23"/>
      <c r="O6" s="23"/>
      <c r="P6" s="23"/>
      <c r="Q6" s="23" t="s">
        <v>8</v>
      </c>
      <c r="R6" s="23" t="s">
        <v>8</v>
      </c>
      <c r="S6" s="23"/>
      <c r="T6" s="23" t="s">
        <v>8</v>
      </c>
      <c r="U6" s="23"/>
      <c r="V6" s="23"/>
    </row>
    <row r="7" spans="3:22" x14ac:dyDescent="0.25">
      <c r="C7" s="21" t="s">
        <v>65</v>
      </c>
      <c r="E7" s="22"/>
      <c r="F7" s="22"/>
      <c r="G7" s="22"/>
      <c r="H7" s="22"/>
      <c r="I7" s="22"/>
      <c r="J7" s="22"/>
      <c r="K7" s="22"/>
      <c r="L7" s="22"/>
      <c r="M7" s="22"/>
      <c r="N7" s="22"/>
      <c r="O7" s="22"/>
      <c r="P7" s="22"/>
      <c r="Q7" s="22"/>
      <c r="R7" s="22"/>
      <c r="S7" s="22"/>
      <c r="T7" s="22"/>
      <c r="U7" s="22"/>
      <c r="V7" s="22"/>
    </row>
    <row r="8" spans="3:22" x14ac:dyDescent="0.25">
      <c r="C8" s="21" t="s">
        <v>66</v>
      </c>
      <c r="E8" s="23"/>
      <c r="F8" s="23"/>
      <c r="G8" s="23"/>
      <c r="H8" s="23"/>
      <c r="I8" s="23"/>
      <c r="J8" s="23"/>
      <c r="K8" s="23"/>
      <c r="L8" s="23"/>
      <c r="M8" s="23"/>
      <c r="N8" s="23"/>
      <c r="O8" s="23"/>
      <c r="P8" s="23"/>
      <c r="Q8" s="23"/>
      <c r="R8" s="23"/>
      <c r="S8" s="23"/>
      <c r="T8" s="23"/>
      <c r="U8" s="23"/>
      <c r="V8" s="23"/>
    </row>
    <row r="9" spans="3:22" x14ac:dyDescent="0.25">
      <c r="C9" s="21" t="s">
        <v>67</v>
      </c>
      <c r="E9" s="22"/>
      <c r="F9" s="22"/>
      <c r="G9" s="22"/>
      <c r="H9" s="22"/>
      <c r="I9" s="22"/>
      <c r="J9" s="22"/>
      <c r="K9" s="22"/>
      <c r="L9" s="22"/>
      <c r="M9" s="22"/>
      <c r="N9" s="22"/>
      <c r="O9" s="22"/>
      <c r="P9" s="22"/>
      <c r="Q9" s="22"/>
      <c r="R9" s="22"/>
      <c r="S9" s="22"/>
      <c r="T9" s="22"/>
      <c r="U9" s="22"/>
      <c r="V9" s="22"/>
    </row>
    <row r="10" spans="3:22" x14ac:dyDescent="0.25">
      <c r="C10" s="21" t="s">
        <v>68</v>
      </c>
      <c r="E10" s="23"/>
      <c r="F10" s="23"/>
      <c r="G10" s="23"/>
      <c r="H10" s="23"/>
      <c r="I10" s="23"/>
      <c r="J10" s="23"/>
      <c r="K10" s="23"/>
      <c r="L10" s="23"/>
      <c r="M10" s="23"/>
      <c r="N10" s="23"/>
      <c r="O10" s="23"/>
      <c r="P10" s="23"/>
      <c r="Q10" s="23"/>
      <c r="R10" s="23"/>
      <c r="S10" s="23"/>
      <c r="T10" s="23"/>
      <c r="U10" s="23"/>
      <c r="V10" s="23"/>
    </row>
    <row r="11" spans="3:22" x14ac:dyDescent="0.25">
      <c r="C11" s="21" t="s">
        <v>69</v>
      </c>
      <c r="E11" s="22"/>
      <c r="F11" s="22"/>
      <c r="G11" s="22"/>
      <c r="H11" s="22"/>
      <c r="I11" s="22"/>
      <c r="J11" s="22"/>
      <c r="K11" s="22"/>
      <c r="L11" s="22"/>
      <c r="M11" s="22"/>
      <c r="N11" s="22"/>
      <c r="O11" s="22"/>
      <c r="P11" s="22"/>
      <c r="Q11" s="22"/>
      <c r="R11" s="22"/>
      <c r="S11" s="22"/>
      <c r="T11" s="22"/>
      <c r="U11" s="22"/>
      <c r="V11" s="22"/>
    </row>
    <row r="12" spans="3:22" x14ac:dyDescent="0.25">
      <c r="C12" s="21" t="s">
        <v>70</v>
      </c>
      <c r="E12" s="23"/>
      <c r="F12" s="23"/>
      <c r="G12" s="23"/>
      <c r="H12" s="23"/>
      <c r="I12" s="23"/>
      <c r="J12" s="23"/>
      <c r="K12" s="23"/>
      <c r="L12" s="23"/>
      <c r="M12" s="23"/>
      <c r="N12" s="23"/>
      <c r="O12" s="23"/>
      <c r="P12" s="23"/>
      <c r="Q12" s="23"/>
      <c r="R12" s="23"/>
      <c r="S12" s="23" t="s">
        <v>8</v>
      </c>
      <c r="T12" s="23"/>
      <c r="U12" s="23"/>
      <c r="V12" s="23"/>
    </row>
    <row r="13" spans="3:22" x14ac:dyDescent="0.25">
      <c r="C13" s="21" t="s">
        <v>71</v>
      </c>
      <c r="E13" s="22"/>
      <c r="F13" s="22"/>
      <c r="G13" s="22"/>
      <c r="H13" s="22"/>
      <c r="I13" s="22"/>
      <c r="J13" s="22"/>
      <c r="K13" s="22"/>
      <c r="L13" s="22"/>
      <c r="M13" s="22"/>
      <c r="N13" s="22"/>
      <c r="O13" s="22"/>
      <c r="P13" s="22"/>
      <c r="Q13" s="22"/>
      <c r="R13" s="22"/>
      <c r="S13" s="22"/>
      <c r="T13" s="22"/>
      <c r="U13" s="22"/>
      <c r="V13" s="22"/>
    </row>
    <row r="14" spans="3:22" x14ac:dyDescent="0.25">
      <c r="C14" s="21" t="s">
        <v>72</v>
      </c>
      <c r="E14" s="23"/>
      <c r="F14" s="23"/>
      <c r="G14" s="23"/>
      <c r="H14" s="23"/>
      <c r="I14" s="23"/>
      <c r="J14" s="23"/>
      <c r="K14" s="23"/>
      <c r="L14" s="23"/>
      <c r="M14" s="23"/>
      <c r="N14" s="23"/>
      <c r="O14" s="23" t="s">
        <v>8</v>
      </c>
      <c r="P14" s="23"/>
      <c r="Q14" s="23"/>
      <c r="R14" s="23"/>
      <c r="S14" s="23"/>
      <c r="T14" s="23"/>
      <c r="U14" s="23"/>
      <c r="V14" s="23"/>
    </row>
    <row r="15" spans="3:22" x14ac:dyDescent="0.25">
      <c r="C15" s="21" t="s">
        <v>73</v>
      </c>
      <c r="E15" s="22"/>
      <c r="F15" s="22"/>
      <c r="G15" s="22"/>
      <c r="H15" s="22"/>
      <c r="I15" s="22"/>
      <c r="J15" s="22"/>
      <c r="K15" s="22"/>
      <c r="L15" s="22"/>
      <c r="M15" s="22"/>
      <c r="N15" s="22"/>
      <c r="O15" s="22"/>
      <c r="P15" s="22"/>
      <c r="Q15" s="22"/>
      <c r="R15" s="22"/>
      <c r="S15" s="22"/>
      <c r="T15" s="22"/>
      <c r="U15" s="22"/>
      <c r="V15" s="22"/>
    </row>
    <row r="16" spans="3:22" x14ac:dyDescent="0.25">
      <c r="C16" s="21" t="s">
        <v>74</v>
      </c>
      <c r="E16" s="23"/>
      <c r="F16" s="23"/>
      <c r="G16" s="23"/>
      <c r="H16" s="23"/>
      <c r="I16" s="23"/>
      <c r="J16" s="23"/>
      <c r="K16" s="23"/>
      <c r="L16" s="23"/>
      <c r="M16" s="23"/>
      <c r="N16" s="23"/>
      <c r="O16" s="23"/>
      <c r="P16" s="23"/>
      <c r="Q16" s="23"/>
      <c r="R16" s="23"/>
      <c r="S16" s="23"/>
      <c r="T16" s="23"/>
      <c r="U16" s="23"/>
      <c r="V16" s="23"/>
    </row>
    <row r="17" spans="3:22" x14ac:dyDescent="0.25">
      <c r="C17" s="21" t="s">
        <v>75</v>
      </c>
      <c r="E17" s="22"/>
      <c r="F17" s="22"/>
      <c r="G17" s="22"/>
      <c r="H17" s="22"/>
      <c r="I17" s="22"/>
      <c r="J17" s="22"/>
      <c r="K17" s="22"/>
      <c r="L17" s="22"/>
      <c r="M17" s="22"/>
      <c r="N17" s="22"/>
      <c r="O17" s="22"/>
      <c r="P17" s="22"/>
      <c r="Q17" s="22"/>
      <c r="R17" s="22"/>
      <c r="S17" s="22"/>
      <c r="T17" s="22"/>
      <c r="U17" s="22"/>
      <c r="V17" s="22"/>
    </row>
    <row r="18" spans="3:22" x14ac:dyDescent="0.25">
      <c r="C18" s="21" t="s">
        <v>76</v>
      </c>
      <c r="E18" s="23"/>
      <c r="F18" s="23"/>
      <c r="G18" s="23"/>
      <c r="H18" s="23"/>
      <c r="I18" s="23"/>
      <c r="J18" s="23"/>
      <c r="K18" s="23"/>
      <c r="L18" s="23"/>
      <c r="M18" s="23"/>
      <c r="N18" s="23"/>
      <c r="O18" s="23"/>
      <c r="P18" s="23"/>
      <c r="Q18" s="23"/>
      <c r="R18" s="23"/>
      <c r="S18" s="23"/>
      <c r="T18" s="23"/>
      <c r="U18" s="23"/>
      <c r="V18" s="23"/>
    </row>
    <row r="19" spans="3:22" x14ac:dyDescent="0.25">
      <c r="C19" s="21" t="s">
        <v>77</v>
      </c>
      <c r="E19" s="22"/>
      <c r="F19" s="22"/>
      <c r="G19" s="22"/>
      <c r="H19" s="22"/>
      <c r="I19" s="22"/>
      <c r="J19" s="22"/>
      <c r="K19" s="22"/>
      <c r="L19" s="22"/>
      <c r="M19" s="22"/>
      <c r="N19" s="22"/>
      <c r="O19" s="22"/>
      <c r="P19" s="22"/>
      <c r="Q19" s="22"/>
      <c r="R19" s="22"/>
      <c r="S19" s="22"/>
      <c r="T19" s="22"/>
      <c r="U19" s="22"/>
      <c r="V19" s="22"/>
    </row>
    <row r="20" spans="3:22" x14ac:dyDescent="0.25">
      <c r="C20" s="21" t="s">
        <v>78</v>
      </c>
      <c r="E20" s="23"/>
      <c r="F20" s="23"/>
      <c r="G20" s="23"/>
      <c r="H20" s="23"/>
      <c r="I20" s="23"/>
      <c r="J20" s="23"/>
      <c r="K20" s="23"/>
      <c r="L20" s="23"/>
      <c r="M20" s="23"/>
      <c r="N20" s="23"/>
      <c r="O20" s="23"/>
      <c r="P20" s="23"/>
      <c r="Q20" s="23"/>
      <c r="R20" s="23"/>
      <c r="S20" s="23"/>
      <c r="T20" s="23"/>
      <c r="U20" s="23"/>
      <c r="V20" s="23"/>
    </row>
    <row r="21" spans="3:22" x14ac:dyDescent="0.25">
      <c r="C21" s="21" t="s">
        <v>79</v>
      </c>
      <c r="E21" s="22"/>
      <c r="F21" s="22"/>
      <c r="G21" s="22"/>
      <c r="H21" s="22"/>
      <c r="I21" s="22"/>
      <c r="J21" s="22"/>
      <c r="K21" s="22"/>
      <c r="L21" s="22"/>
      <c r="M21" s="22"/>
      <c r="N21" s="22"/>
      <c r="O21" s="22"/>
      <c r="P21" s="22"/>
      <c r="Q21" s="22"/>
      <c r="R21" s="22"/>
      <c r="S21" s="22"/>
      <c r="T21" s="22"/>
      <c r="U21" s="22"/>
      <c r="V21" s="22"/>
    </row>
    <row r="22" spans="3:22" x14ac:dyDescent="0.25">
      <c r="C22" s="21" t="s">
        <v>80</v>
      </c>
      <c r="E22" s="23" t="s">
        <v>8</v>
      </c>
      <c r="F22" s="23" t="s">
        <v>8</v>
      </c>
      <c r="G22" s="23"/>
      <c r="H22" s="23"/>
      <c r="I22" s="23"/>
      <c r="J22" s="23"/>
      <c r="K22" s="23" t="s">
        <v>8</v>
      </c>
      <c r="L22" s="23" t="s">
        <v>8</v>
      </c>
      <c r="M22" s="23" t="s">
        <v>8</v>
      </c>
      <c r="N22" s="23"/>
      <c r="O22" s="23" t="s">
        <v>8</v>
      </c>
      <c r="P22" s="23"/>
      <c r="Q22" s="23"/>
      <c r="R22" s="23" t="s">
        <v>8</v>
      </c>
      <c r="S22" s="23" t="s">
        <v>8</v>
      </c>
      <c r="T22" s="23" t="s">
        <v>8</v>
      </c>
      <c r="U22" s="23" t="s">
        <v>8</v>
      </c>
      <c r="V22" s="23"/>
    </row>
    <row r="23" spans="3:22" x14ac:dyDescent="0.25">
      <c r="C23" s="21" t="s">
        <v>81</v>
      </c>
      <c r="E23" s="22"/>
      <c r="F23" s="22"/>
      <c r="G23" s="22"/>
      <c r="H23" s="22"/>
      <c r="I23" s="22"/>
      <c r="J23" s="22"/>
      <c r="K23" s="22"/>
      <c r="L23" s="22"/>
      <c r="M23" s="22"/>
      <c r="N23" s="22"/>
      <c r="O23" s="22"/>
      <c r="P23" s="22"/>
      <c r="Q23" s="22"/>
      <c r="R23" s="22"/>
      <c r="S23" s="22"/>
      <c r="T23" s="22"/>
      <c r="U23" s="22"/>
      <c r="V23" s="22"/>
    </row>
    <row r="24" spans="3:22" x14ac:dyDescent="0.25">
      <c r="C24" s="21" t="s">
        <v>82</v>
      </c>
      <c r="E24" s="23"/>
      <c r="F24" s="23"/>
      <c r="G24" s="23"/>
      <c r="H24" s="23"/>
      <c r="I24" s="23"/>
      <c r="J24" s="23"/>
      <c r="K24" s="23"/>
      <c r="L24" s="23"/>
      <c r="M24" s="23"/>
      <c r="N24" s="23"/>
      <c r="O24" s="23"/>
      <c r="P24" s="23"/>
      <c r="Q24" s="23"/>
      <c r="R24" s="23"/>
      <c r="S24" s="23"/>
      <c r="T24" s="23"/>
      <c r="U24" s="23"/>
      <c r="V24" s="23"/>
    </row>
    <row r="28" spans="3:22" x14ac:dyDescent="0.25">
      <c r="E28" s="26"/>
      <c r="F28" s="26"/>
      <c r="G28" s="26"/>
      <c r="H28" s="26"/>
      <c r="I28" s="26"/>
      <c r="J28" s="26"/>
      <c r="K28" s="26"/>
      <c r="L28" s="26"/>
      <c r="M28" s="26"/>
      <c r="N28" s="26"/>
      <c r="O28" s="26"/>
      <c r="P28" s="26"/>
      <c r="Q28" s="26"/>
      <c r="R28" s="26"/>
    </row>
    <row r="29" spans="3:22" x14ac:dyDescent="0.25">
      <c r="E29" s="26"/>
      <c r="F29" s="26"/>
      <c r="G29" s="26"/>
      <c r="H29" s="26"/>
      <c r="I29" s="26"/>
      <c r="J29" s="26"/>
      <c r="K29" s="26"/>
      <c r="L29" s="26"/>
      <c r="M29" s="26"/>
      <c r="N29" s="26"/>
      <c r="O29" s="26"/>
      <c r="P29" s="26"/>
      <c r="Q29" s="26"/>
      <c r="R29" s="26"/>
    </row>
    <row r="30" spans="3:22" x14ac:dyDescent="0.25">
      <c r="E30" s="26"/>
      <c r="F30" s="26"/>
      <c r="G30" s="26"/>
      <c r="H30" s="26"/>
      <c r="I30" s="26"/>
      <c r="J30" s="26"/>
      <c r="K30" s="26"/>
      <c r="L30" s="26"/>
      <c r="M30" s="26"/>
      <c r="N30" s="26"/>
      <c r="O30" s="26"/>
      <c r="P30" s="26"/>
      <c r="Q30" s="26"/>
      <c r="R30" s="26"/>
    </row>
    <row r="31" spans="3:22" x14ac:dyDescent="0.25">
      <c r="E31" s="26"/>
      <c r="F31" s="26"/>
      <c r="G31" s="26"/>
      <c r="H31" s="26"/>
      <c r="I31" s="26"/>
      <c r="J31" s="26"/>
      <c r="K31" s="26"/>
      <c r="L31" s="26"/>
      <c r="M31" s="26"/>
      <c r="N31" s="26"/>
      <c r="O31" s="26"/>
      <c r="P31" s="26"/>
      <c r="Q31" s="26"/>
      <c r="R31" s="26"/>
    </row>
    <row r="32" spans="3:22" x14ac:dyDescent="0.25">
      <c r="E32" s="26"/>
      <c r="F32" s="26"/>
      <c r="G32" s="26"/>
      <c r="H32" s="26"/>
      <c r="I32" s="26"/>
      <c r="J32" s="26"/>
      <c r="K32" s="26"/>
      <c r="L32" s="26"/>
      <c r="M32" s="26"/>
      <c r="N32" s="26"/>
      <c r="O32" s="26"/>
      <c r="P32" s="26"/>
      <c r="Q32" s="26"/>
      <c r="R32" s="26"/>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89999084444715716"/>
    <pageSetUpPr fitToPage="1"/>
  </sheetPr>
  <dimension ref="A1:AH12"/>
  <sheetViews>
    <sheetView showGridLines="0" zoomScaleNormal="100" workbookViewId="0">
      <selection activeCell="AC1" sqref="AC1"/>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1:34" ht="50.1" customHeight="1" x14ac:dyDescent="0.25">
      <c r="A1" s="14"/>
      <c r="B1" s="11" t="s">
        <v>0</v>
      </c>
    </row>
    <row r="2" spans="1: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1:34" ht="15" customHeight="1" x14ac:dyDescent="0.25">
      <c r="AH3" s="16" t="s">
        <v>48</v>
      </c>
    </row>
    <row r="4" spans="1:34" ht="30" customHeight="1" x14ac:dyDescent="0.25">
      <c r="B4" s="9" t="s">
        <v>53</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v>2016</v>
      </c>
    </row>
    <row r="5" spans="1:34" ht="15" customHeight="1" x14ac:dyDescent="0.25">
      <c r="B5" s="9"/>
      <c r="C5" s="1" t="str">
        <f>TEXT(WEEKDAY(DATE(AnnéeCalendrier,1,1),1),"jjj")</f>
        <v>ven</v>
      </c>
      <c r="D5" s="1" t="str">
        <f>TEXT(WEEKDAY(DATE(AnnéeCalendrier,1,2),1),"jjj")</f>
        <v>sam</v>
      </c>
      <c r="E5" s="1" t="str">
        <f>TEXT(WEEKDAY(DATE(AnnéeCalendrier,1,3),1),"jjj")</f>
        <v>dim</v>
      </c>
      <c r="F5" s="1" t="str">
        <f>TEXT(WEEKDAY(DATE(AnnéeCalendrier,1,4),1),"jjj")</f>
        <v>lun</v>
      </c>
      <c r="G5" s="1" t="str">
        <f>TEXT(WEEKDAY(DATE(AnnéeCalendrier,1,5),1),"jjj")</f>
        <v>mar</v>
      </c>
      <c r="H5" s="1" t="str">
        <f>TEXT(WEEKDAY(DATE(AnnéeCalendrier,1,6),1),"jjj")</f>
        <v>mer</v>
      </c>
      <c r="I5" s="1" t="str">
        <f>TEXT(WEEKDAY(DATE(AnnéeCalendrier,1,7),1),"jjj")</f>
        <v>jeu</v>
      </c>
      <c r="J5" s="1" t="str">
        <f>TEXT(WEEKDAY(DATE(AnnéeCalendrier,1,8),1),"jjj")</f>
        <v>ven</v>
      </c>
      <c r="K5" s="1" t="str">
        <f>TEXT(WEEKDAY(DATE(AnnéeCalendrier,1,9),1),"jjj")</f>
        <v>sam</v>
      </c>
      <c r="L5" s="1" t="str">
        <f>TEXT(WEEKDAY(DATE(AnnéeCalendrier,1,10),1),"jjj")</f>
        <v>dim</v>
      </c>
      <c r="M5" s="1" t="str">
        <f>TEXT(WEEKDAY(DATE(AnnéeCalendrier,1,11),1),"jjj")</f>
        <v>lun</v>
      </c>
      <c r="N5" s="1" t="str">
        <f>TEXT(WEEKDAY(DATE(AnnéeCalendrier,1,12),1),"jjj")</f>
        <v>mar</v>
      </c>
      <c r="O5" s="1" t="str">
        <f>TEXT(WEEKDAY(DATE(AnnéeCalendrier,1,13),1),"jjj")</f>
        <v>mer</v>
      </c>
      <c r="P5" s="1" t="str">
        <f>TEXT(WEEKDAY(DATE(AnnéeCalendrier,1,14),1),"jjj")</f>
        <v>jeu</v>
      </c>
      <c r="Q5" s="1" t="str">
        <f>TEXT(WEEKDAY(DATE(AnnéeCalendrier,1,15),1),"jjj")</f>
        <v>ven</v>
      </c>
      <c r="R5" s="1" t="str">
        <f>TEXT(WEEKDAY(DATE(AnnéeCalendrier,1,16),1),"jjj")</f>
        <v>sam</v>
      </c>
      <c r="S5" s="1" t="str">
        <f>TEXT(WEEKDAY(DATE(AnnéeCalendrier,1,17),1),"jjj")</f>
        <v>dim</v>
      </c>
      <c r="T5" s="1" t="str">
        <f>TEXT(WEEKDAY(DATE(AnnéeCalendrier,1,18),1),"jjj")</f>
        <v>lun</v>
      </c>
      <c r="U5" s="1" t="str">
        <f>TEXT(WEEKDAY(DATE(AnnéeCalendrier,1,19),1),"jjj")</f>
        <v>mar</v>
      </c>
      <c r="V5" s="1" t="str">
        <f>TEXT(WEEKDAY(DATE(AnnéeCalendrier,1,20),1),"jjj")</f>
        <v>mer</v>
      </c>
      <c r="W5" s="1" t="str">
        <f>TEXT(WEEKDAY(DATE(AnnéeCalendrier,1,21),1),"jjj")</f>
        <v>jeu</v>
      </c>
      <c r="X5" s="1" t="str">
        <f>TEXT(WEEKDAY(DATE(AnnéeCalendrier,1,22),1),"jjj")</f>
        <v>ven</v>
      </c>
      <c r="Y5" s="1" t="str">
        <f>TEXT(WEEKDAY(DATE(AnnéeCalendrier,1,23),1),"jjj")</f>
        <v>sam</v>
      </c>
      <c r="Z5" s="1" t="str">
        <f>TEXT(WEEKDAY(DATE(AnnéeCalendrier,1,24),1),"jjj")</f>
        <v>dim</v>
      </c>
      <c r="AA5" s="1" t="str">
        <f>TEXT(WEEKDAY(DATE(AnnéeCalendrier,1,25),1),"jjj")</f>
        <v>lun</v>
      </c>
      <c r="AB5" s="1" t="str">
        <f>TEXT(WEEKDAY(DATE(AnnéeCalendrier,1,26),1),"jjj")</f>
        <v>mar</v>
      </c>
      <c r="AC5" s="1" t="str">
        <f>TEXT(WEEKDAY(DATE(AnnéeCalendrier,1,27),1),"jjj")</f>
        <v>mer</v>
      </c>
      <c r="AD5" s="1" t="str">
        <f>TEXT(WEEKDAY(DATE(AnnéeCalendrier,1,28),1),"jjj")</f>
        <v>jeu</v>
      </c>
      <c r="AE5" s="1" t="str">
        <f>TEXT(WEEKDAY(DATE(AnnéeCalendrier,1,29),1),"jjj")</f>
        <v>ven</v>
      </c>
      <c r="AF5" s="1" t="str">
        <f>TEXT(WEEKDAY(DATE(AnnéeCalendrier,1,30),1),"jjj")</f>
        <v>sam</v>
      </c>
      <c r="AG5" s="1" t="str">
        <f>TEXT(WEEKDAY(DATE(AnnéeCalendrier,1,31),1),"jjj")</f>
        <v>dim</v>
      </c>
      <c r="AH5" s="9"/>
    </row>
    <row r="6" spans="1: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1:34" ht="30" customHeight="1" x14ac:dyDescent="0.25">
      <c r="B7" s="18" t="s">
        <v>3</v>
      </c>
      <c r="C7" s="1"/>
      <c r="D7" s="1"/>
      <c r="E7" s="1" t="s">
        <v>8</v>
      </c>
      <c r="F7" s="1" t="s">
        <v>8</v>
      </c>
      <c r="G7" s="1" t="s">
        <v>8</v>
      </c>
      <c r="H7" s="1" t="s">
        <v>8</v>
      </c>
      <c r="I7" s="1"/>
      <c r="J7" s="1"/>
      <c r="K7" s="1"/>
      <c r="L7" s="1"/>
      <c r="M7" s="1"/>
      <c r="N7" s="1"/>
      <c r="O7" s="1" t="s">
        <v>8</v>
      </c>
      <c r="P7" s="1"/>
      <c r="Q7" s="1"/>
      <c r="R7" s="1"/>
      <c r="S7" s="1"/>
      <c r="T7" s="1"/>
      <c r="U7" s="1"/>
      <c r="V7" s="1"/>
      <c r="W7" s="1"/>
      <c r="X7" s="1"/>
      <c r="Y7" s="1"/>
      <c r="Z7" s="1"/>
      <c r="AA7" s="1"/>
      <c r="AB7" s="1"/>
      <c r="AC7" s="1"/>
      <c r="AD7" s="1"/>
      <c r="AE7" s="1"/>
      <c r="AF7" s="1"/>
      <c r="AG7" s="1"/>
      <c r="AH7" s="8">
        <f>COUNTA(Janvier!$C7:$AG7)</f>
        <v>5</v>
      </c>
    </row>
    <row r="8" spans="1:34" ht="30" customHeight="1" x14ac:dyDescent="0.25">
      <c r="B8" s="7" t="s">
        <v>4</v>
      </c>
      <c r="C8" s="1"/>
      <c r="D8" s="1"/>
      <c r="E8" s="1"/>
      <c r="F8" s="1"/>
      <c r="G8" s="1" t="s">
        <v>16</v>
      </c>
      <c r="H8" s="1" t="s">
        <v>16</v>
      </c>
      <c r="I8" s="1"/>
      <c r="J8" s="1"/>
      <c r="K8" s="1"/>
      <c r="L8" s="1"/>
      <c r="M8" s="1" t="s">
        <v>14</v>
      </c>
      <c r="N8" s="1"/>
      <c r="O8" s="1"/>
      <c r="P8" s="1"/>
      <c r="Q8" s="1"/>
      <c r="R8" s="1"/>
      <c r="S8" s="1"/>
      <c r="T8" s="1"/>
      <c r="U8" s="1"/>
      <c r="V8" s="1" t="s">
        <v>16</v>
      </c>
      <c r="W8" s="1"/>
      <c r="X8" s="1"/>
      <c r="Y8" s="1"/>
      <c r="Z8" s="1"/>
      <c r="AA8" s="1" t="s">
        <v>8</v>
      </c>
      <c r="AB8" s="1" t="s">
        <v>8</v>
      </c>
      <c r="AC8" s="1" t="s">
        <v>8</v>
      </c>
      <c r="AD8" s="1"/>
      <c r="AE8" s="1"/>
      <c r="AF8" s="1"/>
      <c r="AG8" s="1"/>
      <c r="AH8" s="8">
        <f>COUNTA(Janvier!$C8:$AG8)</f>
        <v>7</v>
      </c>
    </row>
    <row r="9" spans="1:34" ht="30" customHeight="1" x14ac:dyDescent="0.25">
      <c r="B9" s="7" t="s">
        <v>5</v>
      </c>
      <c r="C9" s="1"/>
      <c r="D9" s="1"/>
      <c r="E9" s="1" t="s">
        <v>14</v>
      </c>
      <c r="F9" s="1"/>
      <c r="G9" s="1"/>
      <c r="H9" s="1"/>
      <c r="I9" s="1"/>
      <c r="J9" s="1"/>
      <c r="K9" s="1"/>
      <c r="L9" s="1"/>
      <c r="M9" s="1"/>
      <c r="N9" s="1"/>
      <c r="O9" s="1"/>
      <c r="P9" s="1" t="s">
        <v>16</v>
      </c>
      <c r="Q9" s="1"/>
      <c r="R9" s="1"/>
      <c r="S9" s="1"/>
      <c r="T9" s="1"/>
      <c r="U9" s="1"/>
      <c r="V9" s="1"/>
      <c r="W9" s="1"/>
      <c r="X9" s="1"/>
      <c r="Y9" s="1"/>
      <c r="Z9" s="1"/>
      <c r="AA9" s="1"/>
      <c r="AB9" s="1"/>
      <c r="AC9" s="1"/>
      <c r="AD9" s="1"/>
      <c r="AE9" s="1" t="s">
        <v>16</v>
      </c>
      <c r="AF9" s="1"/>
      <c r="AG9" s="1"/>
      <c r="AH9" s="8">
        <f>COUNTA(Janvier!$C9:$AG9)</f>
        <v>3</v>
      </c>
    </row>
    <row r="10" spans="1:34" ht="30" customHeight="1" x14ac:dyDescent="0.25">
      <c r="B10" s="7" t="s">
        <v>6</v>
      </c>
      <c r="C10" s="1"/>
      <c r="D10" s="1"/>
      <c r="E10" s="1"/>
      <c r="F10" s="1"/>
      <c r="G10" s="1"/>
      <c r="H10" s="1"/>
      <c r="I10" s="1" t="s">
        <v>14</v>
      </c>
      <c r="J10" s="1"/>
      <c r="K10" s="1"/>
      <c r="L10" s="1"/>
      <c r="M10" s="1"/>
      <c r="N10" s="1"/>
      <c r="O10" s="1"/>
      <c r="P10" s="1"/>
      <c r="Q10" s="1"/>
      <c r="R10" s="1"/>
      <c r="S10" s="1"/>
      <c r="T10" s="1"/>
      <c r="U10" s="1" t="s">
        <v>8</v>
      </c>
      <c r="V10" s="1" t="s">
        <v>8</v>
      </c>
      <c r="W10" s="1" t="s">
        <v>8</v>
      </c>
      <c r="X10" s="1"/>
      <c r="Y10" s="1"/>
      <c r="Z10" s="1"/>
      <c r="AA10" s="1"/>
      <c r="AB10" s="1"/>
      <c r="AC10" s="1"/>
      <c r="AD10" s="1"/>
      <c r="AE10" s="1"/>
      <c r="AF10" s="1"/>
      <c r="AG10" s="1"/>
      <c r="AH10" s="8">
        <f>COUNTA(Janvier!$C10:$AG10)</f>
        <v>4</v>
      </c>
    </row>
    <row r="11" spans="1:34" ht="30" customHeight="1" x14ac:dyDescent="0.25">
      <c r="B11" s="7" t="s">
        <v>7</v>
      </c>
      <c r="C11" s="1"/>
      <c r="D11" s="1"/>
      <c r="E11" s="1"/>
      <c r="F11" s="1" t="s">
        <v>16</v>
      </c>
      <c r="G11" s="1" t="s">
        <v>8</v>
      </c>
      <c r="H11" s="1" t="s">
        <v>8</v>
      </c>
      <c r="I11" s="1"/>
      <c r="J11" s="1"/>
      <c r="K11" s="1"/>
      <c r="L11" s="1"/>
      <c r="M11" s="1"/>
      <c r="N11" s="1"/>
      <c r="O11" s="1"/>
      <c r="P11" s="1"/>
      <c r="Q11" s="1"/>
      <c r="R11" s="1"/>
      <c r="S11" s="1" t="s">
        <v>16</v>
      </c>
      <c r="T11" s="1"/>
      <c r="U11" s="1"/>
      <c r="V11" s="1"/>
      <c r="W11" s="1"/>
      <c r="X11" s="1"/>
      <c r="Y11" s="1"/>
      <c r="Z11" s="1" t="s">
        <v>16</v>
      </c>
      <c r="AA11" s="1"/>
      <c r="AB11" s="1"/>
      <c r="AC11" s="1"/>
      <c r="AD11" s="1"/>
      <c r="AE11" s="1"/>
      <c r="AF11" s="1"/>
      <c r="AG11" s="1" t="s">
        <v>8</v>
      </c>
      <c r="AH11" s="8">
        <f>COUNTA(Janvier!$C11:$AG11)</f>
        <v>6</v>
      </c>
    </row>
    <row r="12" spans="1:34" ht="30" customHeight="1" x14ac:dyDescent="0.25">
      <c r="B12" s="17" t="str">
        <f>NomMois&amp;" Total"</f>
        <v>Mars Total</v>
      </c>
      <c r="C12" s="10">
        <f>SUBTOTAL(103,Janvier!$C$7:$C$11)</f>
        <v>0</v>
      </c>
      <c r="D12" s="10">
        <f>SUBTOTAL(103,Janvier!$D$7:$D$11)</f>
        <v>0</v>
      </c>
      <c r="E12" s="10">
        <f>SUBTOTAL(103,Janvier!$E$7:$E$11)</f>
        <v>2</v>
      </c>
      <c r="F12" s="10">
        <f>SUBTOTAL(103,Janvier!$F$7:$F$11)</f>
        <v>2</v>
      </c>
      <c r="G12" s="10">
        <f>SUBTOTAL(103,Janvier!$G$7:$G$11)</f>
        <v>3</v>
      </c>
      <c r="H12" s="10">
        <f>SUBTOTAL(103,Janvier!$H$7:$H$11)</f>
        <v>3</v>
      </c>
      <c r="I12" s="10">
        <f>SUBTOTAL(103,Janvier!$I$7:$I$11)</f>
        <v>1</v>
      </c>
      <c r="J12" s="10">
        <f>SUBTOTAL(103,Janvier!$J$7:$J$11)</f>
        <v>0</v>
      </c>
      <c r="K12" s="10">
        <f>SUBTOTAL(103,Janvier!$K$7:$K$11)</f>
        <v>0</v>
      </c>
      <c r="L12" s="10">
        <f>SUBTOTAL(103,Janvier!$L$7:$L$11)</f>
        <v>0</v>
      </c>
      <c r="M12" s="10">
        <f>SUBTOTAL(103,Janvier!$M$7:$M$11)</f>
        <v>1</v>
      </c>
      <c r="N12" s="10">
        <f>SUBTOTAL(103,Janvier!$N$7:$N$11)</f>
        <v>0</v>
      </c>
      <c r="O12" s="10">
        <f>SUBTOTAL(103,Janvier!$O$7:$O$11)</f>
        <v>1</v>
      </c>
      <c r="P12" s="10">
        <f>SUBTOTAL(103,Janvier!$P$7:$P$11)</f>
        <v>1</v>
      </c>
      <c r="Q12" s="10">
        <f>SUBTOTAL(103,Janvier!$Q$7:$Q$11)</f>
        <v>0</v>
      </c>
      <c r="R12" s="10">
        <f>SUBTOTAL(103,Janvier!$R$7:$R$11)</f>
        <v>0</v>
      </c>
      <c r="S12" s="10">
        <f>SUBTOTAL(103,Janvier!$S$7:$S$11)</f>
        <v>1</v>
      </c>
      <c r="T12" s="10">
        <f>SUBTOTAL(103,Janvier!$T$7:$T$11)</f>
        <v>0</v>
      </c>
      <c r="U12" s="10">
        <f>SUBTOTAL(103,Janvier!$U$7:$U$11)</f>
        <v>1</v>
      </c>
      <c r="V12" s="10">
        <f>SUBTOTAL(103,Janvier!$V$7:$V$11)</f>
        <v>2</v>
      </c>
      <c r="W12" s="10">
        <f>SUBTOTAL(103,Janvier!$W$7:$W$11)</f>
        <v>1</v>
      </c>
      <c r="X12" s="10">
        <f>SUBTOTAL(103,Janvier!$X$7:$X$11)</f>
        <v>0</v>
      </c>
      <c r="Y12" s="10">
        <f>SUBTOTAL(103,Janvier!$Y$7:$Y$11)</f>
        <v>0</v>
      </c>
      <c r="Z12" s="10">
        <f>SUBTOTAL(103,Janvier!$Z$7:$Z$11)</f>
        <v>1</v>
      </c>
      <c r="AA12" s="10">
        <f>SUBTOTAL(103,Janvier!$AA$7:$AA$11)</f>
        <v>1</v>
      </c>
      <c r="AB12" s="10">
        <f>SUBTOTAL(103,Janvier!$AB$7:$AB$11)</f>
        <v>1</v>
      </c>
      <c r="AC12" s="10">
        <f>SUBTOTAL(103,Janvier!$AC$7:$AC$11)</f>
        <v>1</v>
      </c>
      <c r="AD12" s="10">
        <f>SUBTOTAL(103,Janvier!$AD$7:$AD$11)</f>
        <v>0</v>
      </c>
      <c r="AE12" s="10">
        <f>SUBTOTAL(103,Janvier!$AE$7:$AE$11)</f>
        <v>1</v>
      </c>
      <c r="AF12" s="10">
        <f>SUBTOTAL(103,Janvier!$AF$7:$AF$11)</f>
        <v>0</v>
      </c>
      <c r="AG12" s="10">
        <f>SUBTOTAL(103,Janvier!$AG$7:$AG$11)</f>
        <v>1</v>
      </c>
      <c r="AH12" s="10">
        <f>SUBTOTAL(109,Janvier[Total des jours])</f>
        <v>25</v>
      </c>
    </row>
  </sheetData>
  <mergeCells count="6">
    <mergeCell ref="C4:AG4"/>
    <mergeCell ref="D2:E2"/>
    <mergeCell ref="G2:I2"/>
    <mergeCell ref="K2:L2"/>
    <mergeCell ref="N2:Q2"/>
    <mergeCell ref="S2:V2"/>
  </mergeCells>
  <conditionalFormatting sqref="C7:AG11">
    <cfRule type="expression" priority="1" stopIfTrue="1">
      <formula>C7=""</formula>
    </cfRule>
    <cfRule type="expression" dxfId="61" priority="6" stopIfTrue="1">
      <formula>C7=CléPersonnalisée2</formula>
    </cfRule>
    <cfRule type="expression" dxfId="60" priority="7" stopIfTrue="1">
      <formula>C7=CléPersonnalisée1</formula>
    </cfRule>
    <cfRule type="expression" dxfId="59" priority="8" stopIfTrue="1">
      <formula>C7=CléMaladie</formula>
    </cfRule>
    <cfRule type="expression" dxfId="58" priority="9" stopIfTrue="1">
      <formula>C7=CléPersonnel</formula>
    </cfRule>
    <cfRule type="expression" dxfId="57" priority="10" stopIfTrue="1">
      <formula>C7=CléCongé</formula>
    </cfRule>
  </conditionalFormatting>
  <conditionalFormatting sqref="AH7:AH11">
    <cfRule type="dataBar" priority="168">
      <dataBar>
        <cfvo type="num" val="0"/>
        <cfvo type="num" val="31"/>
        <color theme="2" tint="-0.249977111117893"/>
      </dataBar>
      <extLst>
        <ext xmlns:x14="http://schemas.microsoft.com/office/spreadsheetml/2009/9/main" uri="{B025F937-C7B1-47D3-B67F-A62EFF666E3E}">
          <x14:id>{ECCE2C3C-1B01-4700-B60E-DAAAB19A9C1A}</x14:id>
        </ext>
      </extLst>
    </cfRule>
  </conditionalFormatting>
  <dataValidations count="16">
    <dataValidation allowBlank="1" showInputMessage="1" showErrorMessage="1" prompt="Entrez l’année dans cette cellule" sqref="AH4"/>
    <dataValidation errorStyle="warning" allowBlank="1" showInputMessage="1" showErrorMessage="1" error="Sélectionnez un nom dans la liste. Sélectionnez ANNULER, appuyez sur ALT+FLÈCHE BAS, puis sur ENTRÉE pour sélectionner un nom" prompt="Entrez les noms des employés dans la feuille de calcul Noms des employés, puis sélectionnez ces noms dans les listes déroulantes de cette colonne. Appuyez sur ALT+FLÈCHE BAS, puis sur ENTRÉE pour sélectionner un nom" sqref="B6"/>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entrée dans AH4. Chaque jour du mois est une colonne dans laquelle noter l’absence et le motif d’absence d’un employé" sqref="C5"/>
    <dataValidation allowBlank="1" showInputMessage="1" showErrorMessage="1" prompt="Calcule automatiquement le nombre total de jours d’absence d’un employé durant ce mois" sqref="AH6"/>
    <dataValidation allowBlank="1" showInputMessage="1" showErrorMessage="1" prompt="Le titre de la feuille de calcul figure dans cette cellule. Si vous mettez à jour le titre, le changement est automatiquement répercuté sur chaque feuille de calcul" sqref="B1"/>
    <dataValidation allowBlank="1" showInputMessage="1" showErrorMessage="1" prompt="Mois de ce calendrier des absences. Mettez à jour l’année dans la cellule AH4. Suivez les totaux mensuels dans la dernière cellule du tableau. Entr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Utilisez le calendrier des absences des employés pour noter et suivre les absences des employés chaque mois. Il contient 13 feuilles de calcul, 12 par mois et 1 pour les noms des employés. Suivez les absences de janvier dans cette feuille de calcul" sqref="A1"/>
    <dataValidation allowBlank="1" showInputMessage="1" showErrorMessage="1" prompt="Entrez l’année dans la cellule ci-dessous" sqref="AH3"/>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CCE2C3C-1B01-4700-B60E-DAAAB19A9C1A}">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pageSetUpPr fitToPage="1"/>
  </sheetPr>
  <dimension ref="B1:AH12"/>
  <sheetViews>
    <sheetView showGridLines="0" zoomScaleNormal="100" workbookViewId="0">
      <selection activeCell="H13" sqref="H13"/>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row r="4" spans="2:34" ht="30" customHeight="1" x14ac:dyDescent="0.25">
      <c r="B4" s="9" t="s">
        <v>50</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TEXT(WEEKDAY(DATE(AnnéeCalendrier,2,1),1),"jjj")</f>
        <v>lun</v>
      </c>
      <c r="D5" s="1" t="str">
        <f>TEXT(WEEKDAY(DATE(AnnéeCalendrier,2,2),1),"jjj")</f>
        <v>mar</v>
      </c>
      <c r="E5" s="1" t="str">
        <f>TEXT(WEEKDAY(DATE(AnnéeCalendrier,2,3),1),"jjj")</f>
        <v>mer</v>
      </c>
      <c r="F5" s="1" t="str">
        <f>TEXT(WEEKDAY(DATE(AnnéeCalendrier,2,4),1),"jjj")</f>
        <v>jeu</v>
      </c>
      <c r="G5" s="1" t="str">
        <f>TEXT(WEEKDAY(DATE(AnnéeCalendrier,2,5),1),"jjj")</f>
        <v>ven</v>
      </c>
      <c r="H5" s="1" t="str">
        <f>TEXT(WEEKDAY(DATE(AnnéeCalendrier,2,6),1),"jjj")</f>
        <v>sam</v>
      </c>
      <c r="I5" s="1" t="str">
        <f>TEXT(WEEKDAY(DATE(AnnéeCalendrier,2,7),1),"jjj")</f>
        <v>dim</v>
      </c>
      <c r="J5" s="1" t="str">
        <f>TEXT(WEEKDAY(DATE(AnnéeCalendrier,2,8),1),"jjj")</f>
        <v>lun</v>
      </c>
      <c r="K5" s="1" t="str">
        <f>TEXT(WEEKDAY(DATE(AnnéeCalendrier,2,9),1),"jjj")</f>
        <v>mar</v>
      </c>
      <c r="L5" s="1" t="str">
        <f>TEXT(WEEKDAY(DATE(AnnéeCalendrier,2,10),1),"jjj")</f>
        <v>mer</v>
      </c>
      <c r="M5" s="1" t="str">
        <f>TEXT(WEEKDAY(DATE(AnnéeCalendrier,2,11),1),"jjj")</f>
        <v>jeu</v>
      </c>
      <c r="N5" s="1" t="str">
        <f>TEXT(WEEKDAY(DATE(AnnéeCalendrier,2,12),1),"jjj")</f>
        <v>ven</v>
      </c>
      <c r="O5" s="1" t="str">
        <f>TEXT(WEEKDAY(DATE(AnnéeCalendrier,2,13),1),"jjj")</f>
        <v>sam</v>
      </c>
      <c r="P5" s="1" t="str">
        <f>TEXT(WEEKDAY(DATE(AnnéeCalendrier,2,14),1),"jjj")</f>
        <v>dim</v>
      </c>
      <c r="Q5" s="1" t="str">
        <f>TEXT(WEEKDAY(DATE(AnnéeCalendrier,2,15),1),"jjj")</f>
        <v>lun</v>
      </c>
      <c r="R5" s="1" t="str">
        <f>TEXT(WEEKDAY(DATE(AnnéeCalendrier,2,16),1),"jjj")</f>
        <v>mar</v>
      </c>
      <c r="S5" s="1" t="str">
        <f>TEXT(WEEKDAY(DATE(AnnéeCalendrier,2,17),1),"jjj")</f>
        <v>mer</v>
      </c>
      <c r="T5" s="1" t="str">
        <f>TEXT(WEEKDAY(DATE(AnnéeCalendrier,2,18),1),"jjj")</f>
        <v>jeu</v>
      </c>
      <c r="U5" s="1" t="str">
        <f>TEXT(WEEKDAY(DATE(AnnéeCalendrier,2,19),1),"jjj")</f>
        <v>ven</v>
      </c>
      <c r="V5" s="1" t="str">
        <f>TEXT(WEEKDAY(DATE(AnnéeCalendrier,2,20),1),"jjj")</f>
        <v>sam</v>
      </c>
      <c r="W5" s="1" t="str">
        <f>TEXT(WEEKDAY(DATE(AnnéeCalendrier,2,21),1),"jjj")</f>
        <v>dim</v>
      </c>
      <c r="X5" s="1" t="str">
        <f>TEXT(WEEKDAY(DATE(AnnéeCalendrier,2,22),1),"jjj")</f>
        <v>lun</v>
      </c>
      <c r="Y5" s="1" t="str">
        <f>TEXT(WEEKDAY(DATE(AnnéeCalendrier,2,23),1),"jjj")</f>
        <v>mar</v>
      </c>
      <c r="Z5" s="1" t="str">
        <f>TEXT(WEEKDAY(DATE(AnnéeCalendrier,2,24),1),"jjj")</f>
        <v>mer</v>
      </c>
      <c r="AA5" s="1" t="str">
        <f>TEXT(WEEKDAY(DATE(AnnéeCalendrier,2,25),1),"jjj")</f>
        <v>jeu</v>
      </c>
      <c r="AB5" s="1" t="str">
        <f>TEXT(WEEKDAY(DATE(AnnéeCalendrier,2,26),1),"jjj")</f>
        <v>ven</v>
      </c>
      <c r="AC5" s="1" t="str">
        <f>TEXT(WEEKDAY(DATE(AnnéeCalendrier,2,27),1),"jjj")</f>
        <v>sam</v>
      </c>
      <c r="AD5" s="1" t="str">
        <f>TEXT(WEEKDAY(DATE(AnnéeCalendrier,2,28),1),"jjj")</f>
        <v>dim</v>
      </c>
      <c r="AE5" s="1" t="str">
        <f>TEXT(WEEKDAY(DATE(AnnéeCalendrier,2,29),1),"jjj")</f>
        <v>lun</v>
      </c>
      <c r="AF5" s="1"/>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51</v>
      </c>
      <c r="AG6" s="1" t="s">
        <v>52</v>
      </c>
      <c r="AH6" s="13" t="s">
        <v>49</v>
      </c>
    </row>
    <row r="7" spans="2:34" ht="30" customHeight="1" x14ac:dyDescent="0.25">
      <c r="B7" s="7" t="s">
        <v>3</v>
      </c>
      <c r="C7" s="1"/>
      <c r="D7" s="1"/>
      <c r="E7" s="1" t="s">
        <v>8</v>
      </c>
      <c r="F7" s="1" t="s">
        <v>8</v>
      </c>
      <c r="G7" s="1" t="s">
        <v>8</v>
      </c>
      <c r="H7" s="1" t="s">
        <v>8</v>
      </c>
      <c r="I7" s="1"/>
      <c r="J7" s="1"/>
      <c r="K7" s="1"/>
      <c r="L7" s="1"/>
      <c r="M7" s="1"/>
      <c r="N7" s="1"/>
      <c r="O7" s="1" t="s">
        <v>8</v>
      </c>
      <c r="P7" s="1"/>
      <c r="Q7" s="1"/>
      <c r="R7" s="1"/>
      <c r="S7" s="1"/>
      <c r="T7" s="1"/>
      <c r="U7" s="1"/>
      <c r="V7" s="1"/>
      <c r="W7" s="1"/>
      <c r="X7" s="1"/>
      <c r="Y7" s="1"/>
      <c r="Z7" s="1"/>
      <c r="AA7" s="1"/>
      <c r="AB7" s="1"/>
      <c r="AC7" s="1"/>
      <c r="AD7" s="1"/>
      <c r="AE7" s="1"/>
      <c r="AF7" s="1"/>
      <c r="AG7" s="1"/>
      <c r="AH7" s="8">
        <f>COUNTA(Février[[#This Row],[1]:[29]])</f>
        <v>5</v>
      </c>
    </row>
    <row r="8" spans="2:34" ht="30" customHeight="1" x14ac:dyDescent="0.25">
      <c r="B8" s="7" t="s">
        <v>4</v>
      </c>
      <c r="C8" s="1"/>
      <c r="D8" s="1"/>
      <c r="E8" s="1"/>
      <c r="F8" s="1"/>
      <c r="G8" s="1" t="s">
        <v>16</v>
      </c>
      <c r="H8" s="1" t="s">
        <v>16</v>
      </c>
      <c r="I8" s="1"/>
      <c r="J8" s="1"/>
      <c r="K8" s="1"/>
      <c r="L8" s="1"/>
      <c r="M8" s="1" t="s">
        <v>14</v>
      </c>
      <c r="N8" s="1"/>
      <c r="O8" s="1"/>
      <c r="P8" s="1"/>
      <c r="Q8" s="1"/>
      <c r="R8" s="1"/>
      <c r="S8" s="1"/>
      <c r="T8" s="1"/>
      <c r="U8" s="1"/>
      <c r="V8" s="1" t="s">
        <v>16</v>
      </c>
      <c r="W8" s="1"/>
      <c r="X8" s="1"/>
      <c r="Y8" s="1"/>
      <c r="Z8" s="1"/>
      <c r="AA8" s="1" t="s">
        <v>8</v>
      </c>
      <c r="AB8" s="1" t="s">
        <v>8</v>
      </c>
      <c r="AC8" s="1" t="s">
        <v>8</v>
      </c>
      <c r="AD8" s="1"/>
      <c r="AE8" s="1"/>
      <c r="AF8" s="1"/>
      <c r="AG8" s="1"/>
      <c r="AH8" s="8">
        <f>COUNTA(Février[[#This Row],[1]:[29]])</f>
        <v>7</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COUNTA(Février[[#This Row],[1]:[29]])</f>
        <v>0</v>
      </c>
    </row>
    <row r="10" spans="2:34" ht="30" customHeight="1" x14ac:dyDescent="0.25">
      <c r="B10" s="7" t="s">
        <v>6</v>
      </c>
      <c r="C10" s="1"/>
      <c r="D10" s="1"/>
      <c r="E10" s="1" t="s">
        <v>16</v>
      </c>
      <c r="F10" s="1"/>
      <c r="G10" s="1"/>
      <c r="H10" s="1"/>
      <c r="I10" s="1"/>
      <c r="J10" s="1"/>
      <c r="K10" s="1"/>
      <c r="L10" s="1"/>
      <c r="M10" s="1"/>
      <c r="N10" s="1"/>
      <c r="O10" s="1"/>
      <c r="P10" s="1" t="s">
        <v>16</v>
      </c>
      <c r="Q10" s="1"/>
      <c r="R10" s="1"/>
      <c r="S10" s="1"/>
      <c r="T10" s="1" t="s">
        <v>14</v>
      </c>
      <c r="U10" s="1"/>
      <c r="V10" s="1"/>
      <c r="W10" s="1"/>
      <c r="X10" s="1"/>
      <c r="Y10" s="1"/>
      <c r="Z10" s="1"/>
      <c r="AA10" s="1"/>
      <c r="AB10" s="1"/>
      <c r="AC10" s="1"/>
      <c r="AD10" s="1" t="s">
        <v>16</v>
      </c>
      <c r="AE10" s="1"/>
      <c r="AF10" s="1"/>
      <c r="AG10" s="1"/>
      <c r="AH10" s="8">
        <f>COUNTA(Février[[#This Row],[1]:[29]])</f>
        <v>4</v>
      </c>
    </row>
    <row r="11" spans="2:34" ht="30" customHeight="1" x14ac:dyDescent="0.25">
      <c r="B11" s="7" t="s">
        <v>7</v>
      </c>
      <c r="C11" s="1"/>
      <c r="D11" s="1"/>
      <c r="E11" s="1"/>
      <c r="F11" s="1"/>
      <c r="G11" s="1"/>
      <c r="H11" s="1"/>
      <c r="I11" s="1"/>
      <c r="J11" s="1" t="s">
        <v>8</v>
      </c>
      <c r="K11" s="1" t="s">
        <v>8</v>
      </c>
      <c r="L11" s="1" t="s">
        <v>8</v>
      </c>
      <c r="M11" s="1" t="s">
        <v>8</v>
      </c>
      <c r="N11" s="1"/>
      <c r="O11" s="1"/>
      <c r="P11" s="1"/>
      <c r="Q11" s="1"/>
      <c r="R11" s="1"/>
      <c r="S11" s="1"/>
      <c r="T11" s="1"/>
      <c r="U11" s="1"/>
      <c r="V11" s="1"/>
      <c r="W11" s="1"/>
      <c r="X11" s="1"/>
      <c r="Y11" s="1"/>
      <c r="Z11" s="1" t="s">
        <v>16</v>
      </c>
      <c r="AA11" s="1"/>
      <c r="AB11" s="1"/>
      <c r="AC11" s="1"/>
      <c r="AD11" s="1"/>
      <c r="AE11" s="1"/>
      <c r="AF11" s="1"/>
      <c r="AG11" s="1"/>
      <c r="AH11" s="8">
        <f>COUNTA(Février[[#This Row],[1]:[29]])</f>
        <v>5</v>
      </c>
    </row>
    <row r="12" spans="2:34" ht="30" customHeight="1" x14ac:dyDescent="0.25">
      <c r="B12" s="17" t="str">
        <f>NomMois&amp;" Total"</f>
        <v>Février Total</v>
      </c>
      <c r="C12" s="10">
        <f>SUBTOTAL(103,Février[1])</f>
        <v>0</v>
      </c>
      <c r="D12" s="10">
        <f>SUBTOTAL(103,Février[2])</f>
        <v>0</v>
      </c>
      <c r="E12" s="10">
        <f>SUBTOTAL(103,Février[3])</f>
        <v>2</v>
      </c>
      <c r="F12" s="10">
        <f>SUBTOTAL(103,Février[4])</f>
        <v>1</v>
      </c>
      <c r="G12" s="10">
        <f>SUBTOTAL(103,Février[5])</f>
        <v>2</v>
      </c>
      <c r="H12" s="10">
        <f>SUBTOTAL(103,Février[6])</f>
        <v>2</v>
      </c>
      <c r="I12" s="10">
        <f>SUBTOTAL(103,Février[7])</f>
        <v>0</v>
      </c>
      <c r="J12" s="10">
        <f>SUBTOTAL(103,Février[8])</f>
        <v>1</v>
      </c>
      <c r="K12" s="10">
        <f>SUBTOTAL(103,Février[9])</f>
        <v>1</v>
      </c>
      <c r="L12" s="10">
        <f>SUBTOTAL(103,Février[10])</f>
        <v>1</v>
      </c>
      <c r="M12" s="10">
        <f>SUBTOTAL(103,Février[11])</f>
        <v>2</v>
      </c>
      <c r="N12" s="10">
        <f>SUBTOTAL(103,Février[12])</f>
        <v>0</v>
      </c>
      <c r="O12" s="10">
        <f>SUBTOTAL(103,Février[13])</f>
        <v>1</v>
      </c>
      <c r="P12" s="10">
        <f>SUBTOTAL(103,Février[14])</f>
        <v>1</v>
      </c>
      <c r="Q12" s="10">
        <f>SUBTOTAL(103,Février[15])</f>
        <v>0</v>
      </c>
      <c r="R12" s="10">
        <f>SUBTOTAL(103,Février[16])</f>
        <v>0</v>
      </c>
      <c r="S12" s="10">
        <f>SUBTOTAL(103,Février[17])</f>
        <v>0</v>
      </c>
      <c r="T12" s="10">
        <f>SUBTOTAL(103,Février[18])</f>
        <v>1</v>
      </c>
      <c r="U12" s="10">
        <f>SUBTOTAL(103,Février[19])</f>
        <v>0</v>
      </c>
      <c r="V12" s="10">
        <f>SUBTOTAL(103,Février[20])</f>
        <v>1</v>
      </c>
      <c r="W12" s="10">
        <f>SUBTOTAL(103,Février[21])</f>
        <v>0</v>
      </c>
      <c r="X12" s="10">
        <f>SUBTOTAL(103,Février[22])</f>
        <v>0</v>
      </c>
      <c r="Y12" s="10">
        <f>SUBTOTAL(103,Février[23])</f>
        <v>0</v>
      </c>
      <c r="Z12" s="10">
        <f>SUBTOTAL(103,Février[24])</f>
        <v>1</v>
      </c>
      <c r="AA12" s="10">
        <f>SUBTOTAL(103,Février[25])</f>
        <v>1</v>
      </c>
      <c r="AB12" s="10">
        <f>SUBTOTAL(103,Février[26])</f>
        <v>1</v>
      </c>
      <c r="AC12" s="10">
        <f>SUBTOTAL(103,Février[27])</f>
        <v>1</v>
      </c>
      <c r="AD12" s="10">
        <f>SUBTOTAL(103,Février[28])</f>
        <v>1</v>
      </c>
      <c r="AE12" s="10">
        <f>SUBTOTAL(103,Février[29])</f>
        <v>0</v>
      </c>
      <c r="AF12" s="10"/>
      <c r="AG12" s="10"/>
      <c r="AH12" s="10">
        <f>SUBTOTAL(109,Février[Total des jours])</f>
        <v>21</v>
      </c>
    </row>
  </sheetData>
  <mergeCells count="6">
    <mergeCell ref="C4:AG4"/>
    <mergeCell ref="D2:E2"/>
    <mergeCell ref="G2:I2"/>
    <mergeCell ref="K2:L2"/>
    <mergeCell ref="N2:Q2"/>
    <mergeCell ref="S2:V2"/>
  </mergeCells>
  <conditionalFormatting sqref="AE6">
    <cfRule type="expression" dxfId="56" priority="21">
      <formula>MONTH(DATE(AnnéeCalendrier,2,29))&lt;&gt;2</formula>
    </cfRule>
  </conditionalFormatting>
  <conditionalFormatting sqref="AE5">
    <cfRule type="expression" dxfId="55" priority="20">
      <formula>MONTH(DATE(AnnéeCalendrier,2,29))&lt;&gt;2</formula>
    </cfRule>
  </conditionalFormatting>
  <conditionalFormatting sqref="C7:AG11">
    <cfRule type="expression" priority="7" stopIfTrue="1">
      <formula>C7=""</formula>
    </cfRule>
    <cfRule type="expression" dxfId="54" priority="8" stopIfTrue="1">
      <formula>C7=CléPersonnalisée2</formula>
    </cfRule>
  </conditionalFormatting>
  <conditionalFormatting sqref="C7:AG11">
    <cfRule type="expression" dxfId="53" priority="10" stopIfTrue="1">
      <formula>C7=CléPersonnalisée1</formula>
    </cfRule>
    <cfRule type="expression" dxfId="52" priority="11" stopIfTrue="1">
      <formula>C7=CléMaladie</formula>
    </cfRule>
    <cfRule type="expression" dxfId="51" priority="12" stopIfTrue="1">
      <formula>C7=CléPersonnel</formula>
    </cfRule>
    <cfRule type="expression" dxfId="50" priority="13" stopIfTrue="1">
      <formula>C7=CléCongé</formula>
    </cfRule>
  </conditionalFormatting>
  <conditionalFormatting sqref="AH7">
    <cfRule type="dataBar" priority="5">
      <dataBar>
        <cfvo type="num" val="0"/>
        <cfvo type="num" val="31"/>
        <color theme="2" tint="-0.249977111117893"/>
      </dataBar>
      <extLst>
        <ext xmlns:x14="http://schemas.microsoft.com/office/spreadsheetml/2009/9/main" uri="{B025F937-C7B1-47D3-B67F-A62EFF666E3E}">
          <x14:id>{5F6F9B96-BBBD-483E-AEC9-756E269D55FE}</x14:id>
        </ext>
      </extLst>
    </cfRule>
  </conditionalFormatting>
  <conditionalFormatting sqref="AH8">
    <cfRule type="dataBar" priority="4">
      <dataBar>
        <cfvo type="num" val="0"/>
        <cfvo type="num" val="31"/>
        <color theme="2" tint="-0.249977111117893"/>
      </dataBar>
      <extLst>
        <ext xmlns:x14="http://schemas.microsoft.com/office/spreadsheetml/2009/9/main" uri="{B025F937-C7B1-47D3-B67F-A62EFF666E3E}">
          <x14:id>{F891EC25-20B7-4122-B597-B228216BD1CA}</x14:id>
        </ext>
      </extLst>
    </cfRule>
  </conditionalFormatting>
  <conditionalFormatting sqref="AH9">
    <cfRule type="dataBar" priority="3">
      <dataBar>
        <cfvo type="num" val="0"/>
        <cfvo type="num" val="31"/>
        <color theme="2" tint="-0.249977111117893"/>
      </dataBar>
      <extLst>
        <ext xmlns:x14="http://schemas.microsoft.com/office/spreadsheetml/2009/9/main" uri="{B025F937-C7B1-47D3-B67F-A62EFF666E3E}">
          <x14:id>{FE1A5FEC-630E-4201-A97D-5FF75096604A}</x14:id>
        </ext>
      </extLst>
    </cfRule>
  </conditionalFormatting>
  <conditionalFormatting sqref="AH10">
    <cfRule type="dataBar" priority="2">
      <dataBar>
        <cfvo type="num" val="0"/>
        <cfvo type="num" val="31"/>
        <color theme="2" tint="-0.249977111117893"/>
      </dataBar>
      <extLst>
        <ext xmlns:x14="http://schemas.microsoft.com/office/spreadsheetml/2009/9/main" uri="{B025F937-C7B1-47D3-B67F-A62EFF666E3E}">
          <x14:id>{CC18F8A2-65D5-4590-841E-341739A9B676}</x14:id>
        </ext>
      </extLst>
    </cfRule>
  </conditionalFormatting>
  <conditionalFormatting sqref="AH11">
    <cfRule type="dataBar" priority="1">
      <dataBar>
        <cfvo type="num" val="0"/>
        <cfvo type="num" val="31"/>
        <color theme="2" tint="-0.249977111117893"/>
      </dataBar>
      <extLst>
        <ext xmlns:x14="http://schemas.microsoft.com/office/spreadsheetml/2009/9/main" uri="{B025F937-C7B1-47D3-B67F-A62EFF666E3E}">
          <x14:id>{5B30AF04-AAE7-4DE6-A06D-D0A3B9F13ABC}</x14:id>
        </ext>
      </extLst>
    </cfRule>
  </conditionalFormatting>
  <dataValidations xWindow="232" yWindow="365" count="15">
    <dataValidation allowBlank="1" showInputMessage="1" showErrorMessage="1" prompt="Année mise à jour automatiquement en fonction de l’année entrée dans la feuille de calcul Janvier" sqref="AH4"/>
    <dataValidation allowBlank="1" showInputMessage="1" showErrorMessage="1" prompt="Suivez les absences du mois de février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5F6F9B96-BBBD-483E-AEC9-756E269D55FE}">
            <x14:dataBar minLength="0" maxLength="100">
              <x14:cfvo type="num">
                <xm:f>0</xm:f>
              </x14:cfvo>
              <x14:cfvo type="num">
                <xm:f>31</xm:f>
              </x14:cfvo>
              <x14:negativeFillColor rgb="FFFF0000"/>
              <x14:axisColor rgb="FF000000"/>
            </x14:dataBar>
          </x14:cfRule>
          <xm:sqref>AH7</xm:sqref>
        </x14:conditionalFormatting>
        <x14:conditionalFormatting xmlns:xm="http://schemas.microsoft.com/office/excel/2006/main">
          <x14:cfRule type="dataBar" id="{F891EC25-20B7-4122-B597-B228216BD1CA}">
            <x14:dataBar minLength="0" maxLength="100">
              <x14:cfvo type="num">
                <xm:f>0</xm:f>
              </x14:cfvo>
              <x14:cfvo type="num">
                <xm:f>31</xm:f>
              </x14:cfvo>
              <x14:negativeFillColor rgb="FFFF0000"/>
              <x14:axisColor rgb="FF000000"/>
            </x14:dataBar>
          </x14:cfRule>
          <xm:sqref>AH8</xm:sqref>
        </x14:conditionalFormatting>
        <x14:conditionalFormatting xmlns:xm="http://schemas.microsoft.com/office/excel/2006/main">
          <x14:cfRule type="dataBar" id="{FE1A5FEC-630E-4201-A97D-5FF75096604A}">
            <x14:dataBar minLength="0" maxLength="100">
              <x14:cfvo type="num">
                <xm:f>0</xm:f>
              </x14:cfvo>
              <x14:cfvo type="num">
                <xm:f>31</xm:f>
              </x14:cfvo>
              <x14:negativeFillColor rgb="FFFF0000"/>
              <x14:axisColor rgb="FF000000"/>
            </x14:dataBar>
          </x14:cfRule>
          <xm:sqref>AH9</xm:sqref>
        </x14:conditionalFormatting>
        <x14:conditionalFormatting xmlns:xm="http://schemas.microsoft.com/office/excel/2006/main">
          <x14:cfRule type="dataBar" id="{CC18F8A2-65D5-4590-841E-341739A9B676}">
            <x14:dataBar minLength="0" maxLength="100">
              <x14:cfvo type="num">
                <xm:f>0</xm:f>
              </x14:cfvo>
              <x14:cfvo type="num">
                <xm:f>31</xm:f>
              </x14:cfvo>
              <x14:negativeFillColor rgb="FFFF0000"/>
              <x14:axisColor rgb="FF000000"/>
            </x14:dataBar>
          </x14:cfRule>
          <xm:sqref>AH10</xm:sqref>
        </x14:conditionalFormatting>
        <x14:conditionalFormatting xmlns:xm="http://schemas.microsoft.com/office/excel/2006/main">
          <x14:cfRule type="dataBar" id="{5B30AF04-AAE7-4DE6-A06D-D0A3B9F13ABC}">
            <x14:dataBar minLength="0" maxLength="100">
              <x14:cfvo type="num">
                <xm:f>0</xm:f>
              </x14:cfvo>
              <x14:cfvo type="num">
                <xm:f>31</xm:f>
              </x14:cfvo>
              <x14:negativeFillColor rgb="FFFF0000"/>
              <x14:axisColor rgb="FF000000"/>
            </x14:dataBar>
          </x14:cfRule>
          <xm:sqref>AH11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53</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TEXT(WEEKDAY(DATE(AnnéeCalendrier,3,1),1),"jjj")</f>
        <v>mar</v>
      </c>
      <c r="D5" s="1" t="str">
        <f>TEXT(WEEKDAY(DATE(AnnéeCalendrier,3,2),1),"jjj")</f>
        <v>mer</v>
      </c>
      <c r="E5" s="1" t="str">
        <f>TEXT(WEEKDAY(DATE(AnnéeCalendrier,3,3),1),"jjj")</f>
        <v>jeu</v>
      </c>
      <c r="F5" s="1" t="str">
        <f>TEXT(WEEKDAY(DATE(AnnéeCalendrier,3,4),1),"jjj")</f>
        <v>ven</v>
      </c>
      <c r="G5" s="1" t="str">
        <f>TEXT(WEEKDAY(DATE(AnnéeCalendrier,3,5),1),"jjj")</f>
        <v>sam</v>
      </c>
      <c r="H5" s="1" t="str">
        <f>TEXT(WEEKDAY(DATE(AnnéeCalendrier,3,6),1),"jjj")</f>
        <v>dim</v>
      </c>
      <c r="I5" s="1" t="str">
        <f>TEXT(WEEKDAY(DATE(AnnéeCalendrier,3,7),1),"jjj")</f>
        <v>lun</v>
      </c>
      <c r="J5" s="1" t="str">
        <f>TEXT(WEEKDAY(DATE(AnnéeCalendrier,3,8),1),"jjj")</f>
        <v>mar</v>
      </c>
      <c r="K5" s="1" t="str">
        <f>TEXT(WEEKDAY(DATE(AnnéeCalendrier,3,9),1),"jjj")</f>
        <v>mer</v>
      </c>
      <c r="L5" s="1" t="str">
        <f>TEXT(WEEKDAY(DATE(AnnéeCalendrier,3,10),1),"jjj")</f>
        <v>jeu</v>
      </c>
      <c r="M5" s="1" t="str">
        <f>TEXT(WEEKDAY(DATE(AnnéeCalendrier,3,11),1),"jjj")</f>
        <v>ven</v>
      </c>
      <c r="N5" s="1" t="str">
        <f>TEXT(WEEKDAY(DATE(AnnéeCalendrier,3,12),1),"jjj")</f>
        <v>sam</v>
      </c>
      <c r="O5" s="1" t="str">
        <f>TEXT(WEEKDAY(DATE(AnnéeCalendrier,3,13),1),"jjj")</f>
        <v>dim</v>
      </c>
      <c r="P5" s="1" t="str">
        <f>TEXT(WEEKDAY(DATE(AnnéeCalendrier,3,14),1),"jjj")</f>
        <v>lun</v>
      </c>
      <c r="Q5" s="1" t="str">
        <f>TEXT(WEEKDAY(DATE(AnnéeCalendrier,3,15),1),"jjj")</f>
        <v>mar</v>
      </c>
      <c r="R5" s="1" t="str">
        <f>TEXT(WEEKDAY(DATE(AnnéeCalendrier,3,16),1),"jjj")</f>
        <v>mer</v>
      </c>
      <c r="S5" s="1" t="str">
        <f>TEXT(WEEKDAY(DATE(AnnéeCalendrier,3,17),1),"jjj")</f>
        <v>jeu</v>
      </c>
      <c r="T5" s="1" t="str">
        <f>TEXT(WEEKDAY(DATE(AnnéeCalendrier,3,18),1),"jjj")</f>
        <v>ven</v>
      </c>
      <c r="U5" s="1" t="str">
        <f>TEXT(WEEKDAY(DATE(AnnéeCalendrier,3,19),1),"jjj")</f>
        <v>sam</v>
      </c>
      <c r="V5" s="1" t="str">
        <f>TEXT(WEEKDAY(DATE(AnnéeCalendrier,3,20),1),"jjj")</f>
        <v>dim</v>
      </c>
      <c r="W5" s="1" t="str">
        <f>TEXT(WEEKDAY(DATE(AnnéeCalendrier,3,21),1),"jjj")</f>
        <v>lun</v>
      </c>
      <c r="X5" s="1" t="str">
        <f>TEXT(WEEKDAY(DATE(AnnéeCalendrier,3,22),1),"jjj")</f>
        <v>mar</v>
      </c>
      <c r="Y5" s="1" t="str">
        <f>TEXT(WEEKDAY(DATE(AnnéeCalendrier,3,23),1),"jjj")</f>
        <v>mer</v>
      </c>
      <c r="Z5" s="1" t="str">
        <f>TEXT(WEEKDAY(DATE(AnnéeCalendrier,3,24),1),"jjj")</f>
        <v>jeu</v>
      </c>
      <c r="AA5" s="1" t="str">
        <f>TEXT(WEEKDAY(DATE(AnnéeCalendrier,3,25),1),"jjj")</f>
        <v>ven</v>
      </c>
      <c r="AB5" s="1" t="str">
        <f>TEXT(WEEKDAY(DATE(AnnéeCalendrier,3,26),1),"jjj")</f>
        <v>sam</v>
      </c>
      <c r="AC5" s="1" t="str">
        <f>TEXT(WEEKDAY(DATE(AnnéeCalendrier,3,27),1),"jjj")</f>
        <v>dim</v>
      </c>
      <c r="AD5" s="1" t="str">
        <f>TEXT(WEEKDAY(DATE(AnnéeCalendrier,3,28),1),"jjj")</f>
        <v>lun</v>
      </c>
      <c r="AE5" s="1" t="str">
        <f>TEXT(WEEKDAY(DATE(AnnéeCalendrier,3,29),1),"jjj")</f>
        <v>mar</v>
      </c>
      <c r="AF5" s="1" t="str">
        <f>TEXT(WEEKDAY(DATE(AnnéeCalendrier,3,30),1),"jjj")</f>
        <v>mer</v>
      </c>
      <c r="AG5" s="1" t="str">
        <f>TEXT(WEEKDAY(DATE(AnnéeCalendrier,3,31),1),"jjj")</f>
        <v>jeu</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COUNTA(Mars[[#This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COUNTA(Mars[[#This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COUNTA(Mars[[#This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COUNTA(Mars[[#This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COUNTA(Mars[[#This Row],[1]:[31]])</f>
        <v>0</v>
      </c>
    </row>
    <row r="12" spans="2:34" ht="30" customHeight="1" x14ac:dyDescent="0.25">
      <c r="B12" s="17" t="str">
        <f>NomMois&amp;" Total"</f>
        <v>Mars Total</v>
      </c>
      <c r="C12" s="10">
        <f>SUBTOTAL(103,Mars[1])</f>
        <v>0</v>
      </c>
      <c r="D12" s="10">
        <f>SUBTOTAL(103,Mars[2])</f>
        <v>0</v>
      </c>
      <c r="E12" s="10">
        <f>SUBTOTAL(103,Mars[3])</f>
        <v>0</v>
      </c>
      <c r="F12" s="10">
        <f>SUBTOTAL(103,Mars[4])</f>
        <v>0</v>
      </c>
      <c r="G12" s="10">
        <f>SUBTOTAL(103,Mars[5])</f>
        <v>0</v>
      </c>
      <c r="H12" s="10">
        <f>SUBTOTAL(103,Mars[6])</f>
        <v>0</v>
      </c>
      <c r="I12" s="10">
        <f>SUBTOTAL(103,Mars[7])</f>
        <v>0</v>
      </c>
      <c r="J12" s="10">
        <f>SUBTOTAL(103,Mars[8])</f>
        <v>0</v>
      </c>
      <c r="K12" s="10">
        <f>SUBTOTAL(103,Mars[9])</f>
        <v>0</v>
      </c>
      <c r="L12" s="10">
        <f>SUBTOTAL(103,Mars[10])</f>
        <v>0</v>
      </c>
      <c r="M12" s="10">
        <f>SUBTOTAL(103,Mars[11])</f>
        <v>0</v>
      </c>
      <c r="N12" s="10">
        <f>SUBTOTAL(103,Mars[12])</f>
        <v>0</v>
      </c>
      <c r="O12" s="10">
        <f>SUBTOTAL(103,Mars[13])</f>
        <v>0</v>
      </c>
      <c r="P12" s="10">
        <f>SUBTOTAL(103,Mars[14])</f>
        <v>0</v>
      </c>
      <c r="Q12" s="10">
        <f>SUBTOTAL(103,Mars[15])</f>
        <v>0</v>
      </c>
      <c r="R12" s="10">
        <f>SUBTOTAL(103,Mars[16])</f>
        <v>0</v>
      </c>
      <c r="S12" s="10">
        <f>SUBTOTAL(103,Mars[17])</f>
        <v>0</v>
      </c>
      <c r="T12" s="10">
        <f>SUBTOTAL(103,Mars[18])</f>
        <v>0</v>
      </c>
      <c r="U12" s="10">
        <f>SUBTOTAL(103,Mars[19])</f>
        <v>0</v>
      </c>
      <c r="V12" s="10">
        <f>SUBTOTAL(103,Mars[20])</f>
        <v>0</v>
      </c>
      <c r="W12" s="10">
        <f>SUBTOTAL(103,Mars[21])</f>
        <v>0</v>
      </c>
      <c r="X12" s="10">
        <f>SUBTOTAL(103,Mars[22])</f>
        <v>0</v>
      </c>
      <c r="Y12" s="10">
        <f>SUBTOTAL(103,Mars[23])</f>
        <v>0</v>
      </c>
      <c r="Z12" s="10">
        <f>SUBTOTAL(103,Mars[24])</f>
        <v>0</v>
      </c>
      <c r="AA12" s="10">
        <f>SUBTOTAL(103,Mars[25])</f>
        <v>0</v>
      </c>
      <c r="AB12" s="10">
        <f>SUBTOTAL(103,Mars[26])</f>
        <v>0</v>
      </c>
      <c r="AC12" s="10">
        <f>SUBTOTAL(103,Mars[27])</f>
        <v>0</v>
      </c>
      <c r="AD12" s="10">
        <f>SUBTOTAL(103,Mars[28])</f>
        <v>0</v>
      </c>
      <c r="AE12" s="10">
        <f>SUBTOTAL(103,Mars[29])</f>
        <v>0</v>
      </c>
      <c r="AF12" s="10">
        <f>SUBTOTAL(109,Mars[30])</f>
        <v>0</v>
      </c>
      <c r="AG12" s="10">
        <f>SUBTOTAL(109,Mars[31])</f>
        <v>0</v>
      </c>
      <c r="AH12" s="10">
        <f>SUBTOTAL(109,Mars[Total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9" priority="3" stopIfTrue="1">
      <formula>C7=CléPersonnalisée2</formula>
    </cfRule>
    <cfRule type="expression" dxfId="48" priority="4" stopIfTrue="1">
      <formula>C7=CléPersonnalisée1</formula>
    </cfRule>
    <cfRule type="expression" dxfId="47" priority="5" stopIfTrue="1">
      <formula>C7=CléMaladie</formula>
    </cfRule>
    <cfRule type="expression" dxfId="46" priority="6" stopIfTrue="1">
      <formula>C7=CléPersonnel</formula>
    </cfRule>
    <cfRule type="expression" dxfId="4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{B457E6E8-B542-4C37-A34A-83CA10EC59CE}</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rs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B457E6E8-B542-4C37-A34A-83CA10EC59CE}">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pageSetUpPr fitToPage="1"/>
  </sheetPr>
  <dimension ref="B1:AH12"/>
  <sheetViews>
    <sheetView showGridLines="0" zoomScaleNormal="100" workbookViewId="0">
      <selection activeCell="I16" sqref="I16"/>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54</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TEXT(WEEKDAY(DATE(AnnéeCalendrier,4,1),1),"jjj")</f>
        <v>ven</v>
      </c>
      <c r="D5" s="1" t="str">
        <f>TEXT(WEEKDAY(DATE(AnnéeCalendrier,4,2),1),"jjj")</f>
        <v>sam</v>
      </c>
      <c r="E5" s="1" t="str">
        <f>TEXT(WEEKDAY(DATE(AnnéeCalendrier,4,3),1),"jjj")</f>
        <v>dim</v>
      </c>
      <c r="F5" s="1" t="str">
        <f>TEXT(WEEKDAY(DATE(AnnéeCalendrier,4,4),1),"jjj")</f>
        <v>lun</v>
      </c>
      <c r="G5" s="1" t="str">
        <f>TEXT(WEEKDAY(DATE(AnnéeCalendrier,4,5),1),"jjj")</f>
        <v>mar</v>
      </c>
      <c r="H5" s="1" t="str">
        <f>TEXT(WEEKDAY(DATE(AnnéeCalendrier,4,6),1),"jjj")</f>
        <v>mer</v>
      </c>
      <c r="I5" s="1" t="str">
        <f>TEXT(WEEKDAY(DATE(AnnéeCalendrier,4,7),1),"jjj")</f>
        <v>jeu</v>
      </c>
      <c r="J5" s="1" t="str">
        <f>TEXT(WEEKDAY(DATE(AnnéeCalendrier,4,8),1),"jjj")</f>
        <v>ven</v>
      </c>
      <c r="K5" s="1" t="str">
        <f>TEXT(WEEKDAY(DATE(AnnéeCalendrier,4,9),1),"jjj")</f>
        <v>sam</v>
      </c>
      <c r="L5" s="1" t="str">
        <f>TEXT(WEEKDAY(DATE(AnnéeCalendrier,4,10),1),"jjj")</f>
        <v>dim</v>
      </c>
      <c r="M5" s="1" t="str">
        <f>TEXT(WEEKDAY(DATE(AnnéeCalendrier,4,11),1),"jjj")</f>
        <v>lun</v>
      </c>
      <c r="N5" s="1" t="str">
        <f>TEXT(WEEKDAY(DATE(AnnéeCalendrier,4,12),1),"jjj")</f>
        <v>mar</v>
      </c>
      <c r="O5" s="1" t="str">
        <f>TEXT(WEEKDAY(DATE(AnnéeCalendrier,4,13),1),"jjj")</f>
        <v>mer</v>
      </c>
      <c r="P5" s="1" t="str">
        <f>TEXT(WEEKDAY(DATE(AnnéeCalendrier,4,14),1),"jjj")</f>
        <v>jeu</v>
      </c>
      <c r="Q5" s="1" t="str">
        <f>TEXT(WEEKDAY(DATE(AnnéeCalendrier,4,15),1),"jjj")</f>
        <v>ven</v>
      </c>
      <c r="R5" s="1" t="str">
        <f>TEXT(WEEKDAY(DATE(AnnéeCalendrier,4,16),1),"jjj")</f>
        <v>sam</v>
      </c>
      <c r="S5" s="1" t="str">
        <f>TEXT(WEEKDAY(DATE(AnnéeCalendrier,4,17),1),"jjj")</f>
        <v>dim</v>
      </c>
      <c r="T5" s="1" t="str">
        <f>TEXT(WEEKDAY(DATE(AnnéeCalendrier,4,18),1),"jjj")</f>
        <v>lun</v>
      </c>
      <c r="U5" s="1" t="str">
        <f>TEXT(WEEKDAY(DATE(AnnéeCalendrier,4,19),1),"jjj")</f>
        <v>mar</v>
      </c>
      <c r="V5" s="1" t="str">
        <f>TEXT(WEEKDAY(DATE(AnnéeCalendrier,4,20),1),"jjj")</f>
        <v>mer</v>
      </c>
      <c r="W5" s="1" t="str">
        <f>TEXT(WEEKDAY(DATE(AnnéeCalendrier,4,21),1),"jjj")</f>
        <v>jeu</v>
      </c>
      <c r="X5" s="1" t="str">
        <f>TEXT(WEEKDAY(DATE(AnnéeCalendrier,4,22),1),"jjj")</f>
        <v>ven</v>
      </c>
      <c r="Y5" s="1" t="str">
        <f>TEXT(WEEKDAY(DATE(AnnéeCalendrier,4,23),1),"jjj")</f>
        <v>sam</v>
      </c>
      <c r="Z5" s="1" t="str">
        <f>TEXT(WEEKDAY(DATE(AnnéeCalendrier,4,24),1),"jjj")</f>
        <v>dim</v>
      </c>
      <c r="AA5" s="1" t="str">
        <f>TEXT(WEEKDAY(DATE(AnnéeCalendrier,4,25),1),"jjj")</f>
        <v>lun</v>
      </c>
      <c r="AB5" s="1" t="str">
        <f>TEXT(WEEKDAY(DATE(AnnéeCalendrier,4,26),1),"jjj")</f>
        <v>mar</v>
      </c>
      <c r="AC5" s="1" t="str">
        <f>TEXT(WEEKDAY(DATE(AnnéeCalendrier,4,27),1),"jjj")</f>
        <v>mer</v>
      </c>
      <c r="AD5" s="1" t="str">
        <f>TEXT(WEEKDAY(DATE(AnnéeCalendrier,4,28),1),"jjj")</f>
        <v>jeu</v>
      </c>
      <c r="AE5" s="1" t="str">
        <f>TEXT(WEEKDAY(DATE(AnnéeCalendrier,4,29),1),"jjj")</f>
        <v>ven</v>
      </c>
      <c r="AF5" s="1" t="str">
        <f>TEXT(WEEKDAY(DATE(AnnéeCalendrier,4,30),1),"jjj")</f>
        <v>sam</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COUNTA(Avril[[#This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COUNTA(Avril[[#This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COUNTA(Avril[[#This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COUNTA(Avril[[#This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COUNTA(Avril[[#This Row],[1]:[31]])</f>
        <v>0</v>
      </c>
    </row>
    <row r="12" spans="2:34" ht="30" customHeight="1" x14ac:dyDescent="0.25">
      <c r="B12" s="17" t="str">
        <f>NomMois&amp;" Total"</f>
        <v>Avril Total</v>
      </c>
      <c r="C12" s="10">
        <f>SUBTOTAL(103,Avril[1])</f>
        <v>0</v>
      </c>
      <c r="D12" s="10">
        <f>SUBTOTAL(103,Avril[2])</f>
        <v>0</v>
      </c>
      <c r="E12" s="10">
        <f>SUBTOTAL(103,Avril[3])</f>
        <v>0</v>
      </c>
      <c r="F12" s="10">
        <f>SUBTOTAL(103,Avril[4])</f>
        <v>0</v>
      </c>
      <c r="G12" s="10">
        <f>SUBTOTAL(103,Avril[5])</f>
        <v>0</v>
      </c>
      <c r="H12" s="10">
        <f>SUBTOTAL(103,Avril[6])</f>
        <v>0</v>
      </c>
      <c r="I12" s="10">
        <f>SUBTOTAL(103,Avril[7])</f>
        <v>0</v>
      </c>
      <c r="J12" s="10">
        <f>SUBTOTAL(103,Avril[8])</f>
        <v>0</v>
      </c>
      <c r="K12" s="10">
        <f>SUBTOTAL(103,Avril[9])</f>
        <v>0</v>
      </c>
      <c r="L12" s="10">
        <f>SUBTOTAL(103,Avril[10])</f>
        <v>0</v>
      </c>
      <c r="M12" s="10">
        <f>SUBTOTAL(103,Avril[11])</f>
        <v>0</v>
      </c>
      <c r="N12" s="10">
        <f>SUBTOTAL(103,Avril[12])</f>
        <v>0</v>
      </c>
      <c r="O12" s="10">
        <f>SUBTOTAL(103,Avril[13])</f>
        <v>0</v>
      </c>
      <c r="P12" s="10">
        <f>SUBTOTAL(103,Avril[14])</f>
        <v>0</v>
      </c>
      <c r="Q12" s="10">
        <f>SUBTOTAL(103,Avril[15])</f>
        <v>0</v>
      </c>
      <c r="R12" s="10">
        <f>SUBTOTAL(103,Avril[16])</f>
        <v>0</v>
      </c>
      <c r="S12" s="10">
        <f>SUBTOTAL(103,Avril[17])</f>
        <v>0</v>
      </c>
      <c r="T12" s="10">
        <f>SUBTOTAL(103,Avril[18])</f>
        <v>0</v>
      </c>
      <c r="U12" s="10">
        <f>SUBTOTAL(103,Avril[19])</f>
        <v>0</v>
      </c>
      <c r="V12" s="10">
        <f>SUBTOTAL(103,Avril[20])</f>
        <v>0</v>
      </c>
      <c r="W12" s="10">
        <f>SUBTOTAL(103,Avril[21])</f>
        <v>0</v>
      </c>
      <c r="X12" s="10">
        <f>SUBTOTAL(103,Avril[22])</f>
        <v>0</v>
      </c>
      <c r="Y12" s="10">
        <f>SUBTOTAL(103,Avril[23])</f>
        <v>0</v>
      </c>
      <c r="Z12" s="10">
        <f>SUBTOTAL(103,Avril[24])</f>
        <v>0</v>
      </c>
      <c r="AA12" s="10">
        <f>SUBTOTAL(103,Avril[25])</f>
        <v>0</v>
      </c>
      <c r="AB12" s="10">
        <f>SUBTOTAL(103,Avril[26])</f>
        <v>0</v>
      </c>
      <c r="AC12" s="10">
        <f>SUBTOTAL(103,Avril[27])</f>
        <v>0</v>
      </c>
      <c r="AD12" s="10">
        <f>SUBTOTAL(103,Avril[28])</f>
        <v>0</v>
      </c>
      <c r="AE12" s="10">
        <f>SUBTOTAL(103,Avril[29])</f>
        <v>0</v>
      </c>
      <c r="AF12" s="10">
        <f>SUBTOTAL(109,Avril[30])</f>
        <v>0</v>
      </c>
      <c r="AG12" s="10">
        <f>SUBTOTAL(109,Avril[31])</f>
        <v>0</v>
      </c>
      <c r="AH12" s="10">
        <f>SUBTOTAL(109,Avril[Total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4" priority="3" stopIfTrue="1">
      <formula>C7=CléPersonnalisée2</formula>
    </cfRule>
    <cfRule type="expression" dxfId="43" priority="4" stopIfTrue="1">
      <formula>C7=CléPersonnalisée1</formula>
    </cfRule>
    <cfRule type="expression" dxfId="42" priority="5" stopIfTrue="1">
      <formula>C7=CléMaladie</formula>
    </cfRule>
    <cfRule type="expression" dxfId="41" priority="6" stopIfTrue="1">
      <formula>C7=CléPersonnel</formula>
    </cfRule>
    <cfRule type="expression" dxfId="4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{D2D1CBA7-CC8B-4540-90B5-A509447EF651}</x14:id>
        </ext>
      </extLst>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vril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D2D1CBA7-CC8B-4540-90B5-A509447EF651}">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55</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TEXT(WEEKDAY(DATE(AnnéeCalendrier,5,1),1),"jjj")</f>
        <v>dim</v>
      </c>
      <c r="D5" s="1" t="str">
        <f>TEXT(WEEKDAY(DATE(AnnéeCalendrier,5,2),1),"jjj")</f>
        <v>lun</v>
      </c>
      <c r="E5" s="1" t="str">
        <f>TEXT(WEEKDAY(DATE(AnnéeCalendrier,5,3),1),"jjj")</f>
        <v>mar</v>
      </c>
      <c r="F5" s="1" t="str">
        <f>TEXT(WEEKDAY(DATE(AnnéeCalendrier,5,4),1),"jjj")</f>
        <v>mer</v>
      </c>
      <c r="G5" s="1" t="str">
        <f>TEXT(WEEKDAY(DATE(AnnéeCalendrier,5,5),1),"jjj")</f>
        <v>jeu</v>
      </c>
      <c r="H5" s="1" t="str">
        <f>TEXT(WEEKDAY(DATE(AnnéeCalendrier,5,6),1),"jjj")</f>
        <v>ven</v>
      </c>
      <c r="I5" s="1" t="str">
        <f>TEXT(WEEKDAY(DATE(AnnéeCalendrier,5,7),1),"jjj")</f>
        <v>sam</v>
      </c>
      <c r="J5" s="1" t="str">
        <f>TEXT(WEEKDAY(DATE(AnnéeCalendrier,5,8),1),"jjj")</f>
        <v>dim</v>
      </c>
      <c r="K5" s="1" t="str">
        <f>TEXT(WEEKDAY(DATE(AnnéeCalendrier,5,9),1),"jjj")</f>
        <v>lun</v>
      </c>
      <c r="L5" s="1" t="str">
        <f>TEXT(WEEKDAY(DATE(AnnéeCalendrier,5,10),1),"jjj")</f>
        <v>mar</v>
      </c>
      <c r="M5" s="1" t="str">
        <f>TEXT(WEEKDAY(DATE(AnnéeCalendrier,5,11),1),"jjj")</f>
        <v>mer</v>
      </c>
      <c r="N5" s="1" t="str">
        <f>TEXT(WEEKDAY(DATE(AnnéeCalendrier,5,12),1),"jjj")</f>
        <v>jeu</v>
      </c>
      <c r="O5" s="1" t="str">
        <f>TEXT(WEEKDAY(DATE(AnnéeCalendrier,5,13),1),"jjj")</f>
        <v>ven</v>
      </c>
      <c r="P5" s="1" t="str">
        <f>TEXT(WEEKDAY(DATE(AnnéeCalendrier,5,14),1),"jjj")</f>
        <v>sam</v>
      </c>
      <c r="Q5" s="1" t="str">
        <f>TEXT(WEEKDAY(DATE(AnnéeCalendrier,5,15),1),"jjj")</f>
        <v>dim</v>
      </c>
      <c r="R5" s="1" t="str">
        <f>TEXT(WEEKDAY(DATE(AnnéeCalendrier,5,16),1),"jjj")</f>
        <v>lun</v>
      </c>
      <c r="S5" s="1" t="str">
        <f>TEXT(WEEKDAY(DATE(AnnéeCalendrier,5,17),1),"jjj")</f>
        <v>mar</v>
      </c>
      <c r="T5" s="1" t="str">
        <f>TEXT(WEEKDAY(DATE(AnnéeCalendrier,5,18),1),"jjj")</f>
        <v>mer</v>
      </c>
      <c r="U5" s="1" t="str">
        <f>TEXT(WEEKDAY(DATE(AnnéeCalendrier,5,19),1),"jjj")</f>
        <v>jeu</v>
      </c>
      <c r="V5" s="1" t="str">
        <f>TEXT(WEEKDAY(DATE(AnnéeCalendrier,5,20),1),"jjj")</f>
        <v>ven</v>
      </c>
      <c r="W5" s="1" t="str">
        <f>TEXT(WEEKDAY(DATE(AnnéeCalendrier,5,21),1),"jjj")</f>
        <v>sam</v>
      </c>
      <c r="X5" s="1" t="str">
        <f>TEXT(WEEKDAY(DATE(AnnéeCalendrier,5,22),1),"jjj")</f>
        <v>dim</v>
      </c>
      <c r="Y5" s="1" t="str">
        <f>TEXT(WEEKDAY(DATE(AnnéeCalendrier,5,23),1),"jjj")</f>
        <v>lun</v>
      </c>
      <c r="Z5" s="1" t="str">
        <f>TEXT(WEEKDAY(DATE(AnnéeCalendrier,5,24),1),"jjj")</f>
        <v>mar</v>
      </c>
      <c r="AA5" s="1" t="str">
        <f>TEXT(WEEKDAY(DATE(AnnéeCalendrier,5,25),1),"jjj")</f>
        <v>mer</v>
      </c>
      <c r="AB5" s="1" t="str">
        <f>TEXT(WEEKDAY(DATE(AnnéeCalendrier,5,26),1),"jjj")</f>
        <v>jeu</v>
      </c>
      <c r="AC5" s="1" t="str">
        <f>TEXT(WEEKDAY(DATE(AnnéeCalendrier,5,27),1),"jjj")</f>
        <v>ven</v>
      </c>
      <c r="AD5" s="1" t="str">
        <f>TEXT(WEEKDAY(DATE(AnnéeCalendrier,5,28),1),"jjj")</f>
        <v>sam</v>
      </c>
      <c r="AE5" s="1" t="str">
        <f>TEXT(WEEKDAY(DATE(AnnéeCalendrier,5,29),1),"jjj")</f>
        <v>dim</v>
      </c>
      <c r="AF5" s="1" t="str">
        <f>TEXT(WEEKDAY(DATE(AnnéeCalendrier,5,30),1),"jjj")</f>
        <v>lun</v>
      </c>
      <c r="AG5" s="1" t="str">
        <f>TEXT(WEEKDAY(DATE(AnnéeCalendrier,5,31),1),"jjj")</f>
        <v>mar</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COUNTA(Mai[[#This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COUNTA(Mai[[#This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COUNTA(Mai[[#This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COUNTA(Mai[[#This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COUNTA(Mai[[#This Row],[1]:[31]])</f>
        <v>0</v>
      </c>
    </row>
    <row r="12" spans="2:34" ht="30" customHeight="1" x14ac:dyDescent="0.25">
      <c r="B12" s="17" t="str">
        <f>NomMois&amp;" Total"</f>
        <v>Mai Total</v>
      </c>
      <c r="C12" s="10">
        <f>SUBTOTAL(103,Mai[1])</f>
        <v>0</v>
      </c>
      <c r="D12" s="10">
        <f>SUBTOTAL(103,Mai[2])</f>
        <v>0</v>
      </c>
      <c r="E12" s="10">
        <f>SUBTOTAL(103,Mai[3])</f>
        <v>0</v>
      </c>
      <c r="F12" s="10">
        <f>SUBTOTAL(103,Mai[4])</f>
        <v>0</v>
      </c>
      <c r="G12" s="10">
        <f>SUBTOTAL(103,Mai[5])</f>
        <v>0</v>
      </c>
      <c r="H12" s="10">
        <f>SUBTOTAL(103,Mai[6])</f>
        <v>0</v>
      </c>
      <c r="I12" s="10">
        <f>SUBTOTAL(103,Mai[7])</f>
        <v>0</v>
      </c>
      <c r="J12" s="10">
        <f>SUBTOTAL(103,Mai[8])</f>
        <v>0</v>
      </c>
      <c r="K12" s="10">
        <f>SUBTOTAL(103,Mai[9])</f>
        <v>0</v>
      </c>
      <c r="L12" s="10">
        <f>SUBTOTAL(103,Mai[10])</f>
        <v>0</v>
      </c>
      <c r="M12" s="10">
        <f>SUBTOTAL(103,Mai[11])</f>
        <v>0</v>
      </c>
      <c r="N12" s="10">
        <f>SUBTOTAL(103,Mai[12])</f>
        <v>0</v>
      </c>
      <c r="O12" s="10">
        <f>SUBTOTAL(103,Mai[13])</f>
        <v>0</v>
      </c>
      <c r="P12" s="10">
        <f>SUBTOTAL(103,Mai[14])</f>
        <v>0</v>
      </c>
      <c r="Q12" s="10">
        <f>SUBTOTAL(103,Mai[15])</f>
        <v>0</v>
      </c>
      <c r="R12" s="10">
        <f>SUBTOTAL(103,Mai[16])</f>
        <v>0</v>
      </c>
      <c r="S12" s="10">
        <f>SUBTOTAL(103,Mai[17])</f>
        <v>0</v>
      </c>
      <c r="T12" s="10">
        <f>SUBTOTAL(103,Mai[18])</f>
        <v>0</v>
      </c>
      <c r="U12" s="10">
        <f>SUBTOTAL(103,Mai[19])</f>
        <v>0</v>
      </c>
      <c r="V12" s="10">
        <f>SUBTOTAL(103,Mai[20])</f>
        <v>0</v>
      </c>
      <c r="W12" s="10">
        <f>SUBTOTAL(103,Mai[21])</f>
        <v>0</v>
      </c>
      <c r="X12" s="10">
        <f>SUBTOTAL(103,Mai[22])</f>
        <v>0</v>
      </c>
      <c r="Y12" s="10">
        <f>SUBTOTAL(103,Mai[23])</f>
        <v>0</v>
      </c>
      <c r="Z12" s="10">
        <f>SUBTOTAL(103,Mai[24])</f>
        <v>0</v>
      </c>
      <c r="AA12" s="10">
        <f>SUBTOTAL(103,Mai[25])</f>
        <v>0</v>
      </c>
      <c r="AB12" s="10">
        <f>SUBTOTAL(103,Mai[26])</f>
        <v>0</v>
      </c>
      <c r="AC12" s="10">
        <f>SUBTOTAL(103,Mai[27])</f>
        <v>0</v>
      </c>
      <c r="AD12" s="10">
        <f>SUBTOTAL(103,Mai[28])</f>
        <v>0</v>
      </c>
      <c r="AE12" s="10">
        <f>SUBTOTAL(103,Mai[29])</f>
        <v>0</v>
      </c>
      <c r="AF12" s="10">
        <f>SUBTOTAL(109,Mai[30])</f>
        <v>0</v>
      </c>
      <c r="AG12" s="10">
        <f>SUBTOTAL(109,Mai[31])</f>
        <v>0</v>
      </c>
      <c r="AH12" s="10">
        <f>SUBTOTAL(109,Mai[Total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39" priority="3" stopIfTrue="1">
      <formula>C7=CléPersonnalisée2</formula>
    </cfRule>
    <cfRule type="expression" dxfId="38" priority="4" stopIfTrue="1">
      <formula>C7=CléPersonnalisée1</formula>
    </cfRule>
    <cfRule type="expression" dxfId="37" priority="5" stopIfTrue="1">
      <formula>C7=CléMaladie</formula>
    </cfRule>
    <cfRule type="expression" dxfId="36" priority="6" stopIfTrue="1">
      <formula>C7=CléPersonnel</formula>
    </cfRule>
    <cfRule type="expression" dxfId="3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{ED406F68-2024-4284-8D00-B28A49F475F1}</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mai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D406F68-2024-4284-8D00-B28A49F475F1}">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56</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TEXT(WEEKDAY(DATE(AnnéeCalendrier,6,1),1),"jjj")</f>
        <v>mer</v>
      </c>
      <c r="D5" s="1" t="str">
        <f>TEXT(WEEKDAY(DATE(AnnéeCalendrier,6,2),1),"jjj")</f>
        <v>jeu</v>
      </c>
      <c r="E5" s="1" t="str">
        <f>TEXT(WEEKDAY(DATE(AnnéeCalendrier,6,3),1),"jjj")</f>
        <v>ven</v>
      </c>
      <c r="F5" s="1" t="str">
        <f>TEXT(WEEKDAY(DATE(AnnéeCalendrier,6,4),1),"jjj")</f>
        <v>sam</v>
      </c>
      <c r="G5" s="1" t="str">
        <f>TEXT(WEEKDAY(DATE(AnnéeCalendrier,6,5),1),"jjj")</f>
        <v>dim</v>
      </c>
      <c r="H5" s="1" t="str">
        <f>TEXT(WEEKDAY(DATE(AnnéeCalendrier,6,6),1),"jjj")</f>
        <v>lun</v>
      </c>
      <c r="I5" s="1" t="str">
        <f>TEXT(WEEKDAY(DATE(AnnéeCalendrier,6,7),1),"jjj")</f>
        <v>mar</v>
      </c>
      <c r="J5" s="1" t="str">
        <f>TEXT(WEEKDAY(DATE(AnnéeCalendrier,6,8),1),"jjj")</f>
        <v>mer</v>
      </c>
      <c r="K5" s="1" t="str">
        <f>TEXT(WEEKDAY(DATE(AnnéeCalendrier,6,9),1),"jjj")</f>
        <v>jeu</v>
      </c>
      <c r="L5" s="1" t="str">
        <f>TEXT(WEEKDAY(DATE(AnnéeCalendrier,6,10),1),"jjj")</f>
        <v>ven</v>
      </c>
      <c r="M5" s="1" t="str">
        <f>TEXT(WEEKDAY(DATE(AnnéeCalendrier,6,11),1),"jjj")</f>
        <v>sam</v>
      </c>
      <c r="N5" s="1" t="str">
        <f>TEXT(WEEKDAY(DATE(AnnéeCalendrier,6,12),1),"jjj")</f>
        <v>dim</v>
      </c>
      <c r="O5" s="1" t="str">
        <f>TEXT(WEEKDAY(DATE(AnnéeCalendrier,6,13),1),"jjj")</f>
        <v>lun</v>
      </c>
      <c r="P5" s="1" t="str">
        <f>TEXT(WEEKDAY(DATE(AnnéeCalendrier,6,14),1),"jjj")</f>
        <v>mar</v>
      </c>
      <c r="Q5" s="1" t="str">
        <f>TEXT(WEEKDAY(DATE(AnnéeCalendrier,6,15),1),"jjj")</f>
        <v>mer</v>
      </c>
      <c r="R5" s="1" t="str">
        <f>TEXT(WEEKDAY(DATE(AnnéeCalendrier,6,16),1),"jjj")</f>
        <v>jeu</v>
      </c>
      <c r="S5" s="1" t="str">
        <f>TEXT(WEEKDAY(DATE(AnnéeCalendrier,6,17),1),"jjj")</f>
        <v>ven</v>
      </c>
      <c r="T5" s="1" t="str">
        <f>TEXT(WEEKDAY(DATE(AnnéeCalendrier,6,18),1),"jjj")</f>
        <v>sam</v>
      </c>
      <c r="U5" s="1" t="str">
        <f>TEXT(WEEKDAY(DATE(AnnéeCalendrier,6,19),1),"jjj")</f>
        <v>dim</v>
      </c>
      <c r="V5" s="1" t="str">
        <f>TEXT(WEEKDAY(DATE(AnnéeCalendrier,6,20),1),"jjj")</f>
        <v>lun</v>
      </c>
      <c r="W5" s="1" t="str">
        <f>TEXT(WEEKDAY(DATE(AnnéeCalendrier,6,21),1),"jjj")</f>
        <v>mar</v>
      </c>
      <c r="X5" s="1" t="str">
        <f>TEXT(WEEKDAY(DATE(AnnéeCalendrier,6,22),1),"jjj")</f>
        <v>mer</v>
      </c>
      <c r="Y5" s="1" t="str">
        <f>TEXT(WEEKDAY(DATE(AnnéeCalendrier,6,23),1),"jjj")</f>
        <v>jeu</v>
      </c>
      <c r="Z5" s="1" t="str">
        <f>TEXT(WEEKDAY(DATE(AnnéeCalendrier,6,24),1),"jjj")</f>
        <v>ven</v>
      </c>
      <c r="AA5" s="1" t="str">
        <f>TEXT(WEEKDAY(DATE(AnnéeCalendrier,6,25),1),"jjj")</f>
        <v>sam</v>
      </c>
      <c r="AB5" s="1" t="str">
        <f>TEXT(WEEKDAY(DATE(AnnéeCalendrier,6,26),1),"jjj")</f>
        <v>dim</v>
      </c>
      <c r="AC5" s="1" t="str">
        <f>TEXT(WEEKDAY(DATE(AnnéeCalendrier,6,27),1),"jjj")</f>
        <v>lun</v>
      </c>
      <c r="AD5" s="1" t="str">
        <f>TEXT(WEEKDAY(DATE(AnnéeCalendrier,6,28),1),"jjj")</f>
        <v>mar</v>
      </c>
      <c r="AE5" s="1" t="str">
        <f>TEXT(WEEKDAY(DATE(AnnéeCalendrier,6,29),1),"jjj")</f>
        <v>mer</v>
      </c>
      <c r="AF5" s="1" t="str">
        <f>TEXT(WEEKDAY(DATE(AnnéeCalendrier,6,30),1),"jjj")</f>
        <v>jeu</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COUNTA(Juin[[#This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COUNTA(Juin[[#This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COUNTA(Juin[[#This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COUNTA(Juin[[#This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COUNTA(Juin[[#This Row],[1]:[31]])</f>
        <v>0</v>
      </c>
    </row>
    <row r="12" spans="2:34" ht="30" customHeight="1" x14ac:dyDescent="0.25">
      <c r="B12" s="17" t="str">
        <f>NomMois&amp;" Total"</f>
        <v>Juin Total</v>
      </c>
      <c r="C12" s="10">
        <f>SUBTOTAL(103,Juin[1])</f>
        <v>0</v>
      </c>
      <c r="D12" s="10">
        <f>SUBTOTAL(103,Juin[2])</f>
        <v>0</v>
      </c>
      <c r="E12" s="10">
        <f>SUBTOTAL(103,Juin[3])</f>
        <v>0</v>
      </c>
      <c r="F12" s="10">
        <f>SUBTOTAL(103,Juin[4])</f>
        <v>0</v>
      </c>
      <c r="G12" s="10">
        <f>SUBTOTAL(103,Juin[5])</f>
        <v>0</v>
      </c>
      <c r="H12" s="10">
        <f>SUBTOTAL(103,Juin[6])</f>
        <v>0</v>
      </c>
      <c r="I12" s="10">
        <f>SUBTOTAL(103,Juin[7])</f>
        <v>0</v>
      </c>
      <c r="J12" s="10">
        <f>SUBTOTAL(103,Juin[8])</f>
        <v>0</v>
      </c>
      <c r="K12" s="10">
        <f>SUBTOTAL(103,Juin[9])</f>
        <v>0</v>
      </c>
      <c r="L12" s="10">
        <f>SUBTOTAL(103,Juin[10])</f>
        <v>0</v>
      </c>
      <c r="M12" s="10">
        <f>SUBTOTAL(103,Juin[11])</f>
        <v>0</v>
      </c>
      <c r="N12" s="10">
        <f>SUBTOTAL(103,Juin[12])</f>
        <v>0</v>
      </c>
      <c r="O12" s="10">
        <f>SUBTOTAL(103,Juin[13])</f>
        <v>0</v>
      </c>
      <c r="P12" s="10">
        <f>SUBTOTAL(103,Juin[14])</f>
        <v>0</v>
      </c>
      <c r="Q12" s="10">
        <f>SUBTOTAL(103,Juin[15])</f>
        <v>0</v>
      </c>
      <c r="R12" s="10">
        <f>SUBTOTAL(103,Juin[16])</f>
        <v>0</v>
      </c>
      <c r="S12" s="10">
        <f>SUBTOTAL(103,Juin[17])</f>
        <v>0</v>
      </c>
      <c r="T12" s="10">
        <f>SUBTOTAL(103,Juin[18])</f>
        <v>0</v>
      </c>
      <c r="U12" s="10">
        <f>SUBTOTAL(103,Juin[19])</f>
        <v>0</v>
      </c>
      <c r="V12" s="10">
        <f>SUBTOTAL(103,Juin[20])</f>
        <v>0</v>
      </c>
      <c r="W12" s="10">
        <f>SUBTOTAL(103,Juin[21])</f>
        <v>0</v>
      </c>
      <c r="X12" s="10">
        <f>SUBTOTAL(103,Juin[22])</f>
        <v>0</v>
      </c>
      <c r="Y12" s="10">
        <f>SUBTOTAL(103,Juin[23])</f>
        <v>0</v>
      </c>
      <c r="Z12" s="10">
        <f>SUBTOTAL(103,Juin[24])</f>
        <v>0</v>
      </c>
      <c r="AA12" s="10">
        <f>SUBTOTAL(103,Juin[25])</f>
        <v>0</v>
      </c>
      <c r="AB12" s="10">
        <f>SUBTOTAL(103,Juin[26])</f>
        <v>0</v>
      </c>
      <c r="AC12" s="10">
        <f>SUBTOTAL(103,Juin[27])</f>
        <v>0</v>
      </c>
      <c r="AD12" s="10">
        <f>SUBTOTAL(103,Juin[28])</f>
        <v>0</v>
      </c>
      <c r="AE12" s="10">
        <f>SUBTOTAL(103,Juin[29])</f>
        <v>0</v>
      </c>
      <c r="AF12" s="10">
        <f>SUBTOTAL(109,Juin[30])</f>
        <v>0</v>
      </c>
      <c r="AG12" s="10">
        <f>SUBTOTAL(109,Juin[31])</f>
        <v>0</v>
      </c>
      <c r="AH12" s="10">
        <f>SUBTOTAL(109,Juin[Total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34" priority="3" stopIfTrue="1">
      <formula>C7=CléPersonnalisée2</formula>
    </cfRule>
    <cfRule type="expression" dxfId="33" priority="4" stopIfTrue="1">
      <formula>C7=CléPersonnalisée1</formula>
    </cfRule>
    <cfRule type="expression" dxfId="32" priority="5" stopIfTrue="1">
      <formula>C7=CléMaladie</formula>
    </cfRule>
    <cfRule type="expression" dxfId="31" priority="6" stopIfTrue="1">
      <formula>C7=CléPersonnel</formula>
    </cfRule>
    <cfRule type="expression" dxfId="3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{064AC7B8-DB47-44D7-82CD-3AF2EE09B715}</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juin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064AC7B8-DB47-44D7-82CD-3AF2EE09B715}">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57</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TEXT(WEEKDAY(DATE(AnnéeCalendrier,7,1),1),"jjj")</f>
        <v>ven</v>
      </c>
      <c r="D5" s="1" t="str">
        <f>TEXT(WEEKDAY(DATE(AnnéeCalendrier,7,2),1),"jjj")</f>
        <v>sam</v>
      </c>
      <c r="E5" s="1" t="str">
        <f>TEXT(WEEKDAY(DATE(AnnéeCalendrier,7,3),1),"jjj")</f>
        <v>dim</v>
      </c>
      <c r="F5" s="1" t="str">
        <f>TEXT(WEEKDAY(DATE(AnnéeCalendrier,7,4),1),"jjj")</f>
        <v>lun</v>
      </c>
      <c r="G5" s="1" t="str">
        <f>TEXT(WEEKDAY(DATE(AnnéeCalendrier,7,5),1),"jjj")</f>
        <v>mar</v>
      </c>
      <c r="H5" s="1" t="str">
        <f>TEXT(WEEKDAY(DATE(AnnéeCalendrier,7,6),1),"jjj")</f>
        <v>mer</v>
      </c>
      <c r="I5" s="1" t="str">
        <f>TEXT(WEEKDAY(DATE(AnnéeCalendrier,7,7),1),"jjj")</f>
        <v>jeu</v>
      </c>
      <c r="J5" s="1" t="str">
        <f>TEXT(WEEKDAY(DATE(AnnéeCalendrier,7,8),1),"jjj")</f>
        <v>ven</v>
      </c>
      <c r="K5" s="1" t="str">
        <f>TEXT(WEEKDAY(DATE(AnnéeCalendrier,7,9),1),"jjj")</f>
        <v>sam</v>
      </c>
      <c r="L5" s="1" t="str">
        <f>TEXT(WEEKDAY(DATE(AnnéeCalendrier,7,10),1),"jjj")</f>
        <v>dim</v>
      </c>
      <c r="M5" s="1" t="str">
        <f>TEXT(WEEKDAY(DATE(AnnéeCalendrier,7,11),1),"jjj")</f>
        <v>lun</v>
      </c>
      <c r="N5" s="1" t="str">
        <f>TEXT(WEEKDAY(DATE(AnnéeCalendrier,7,12),1),"jjj")</f>
        <v>mar</v>
      </c>
      <c r="O5" s="1" t="str">
        <f>TEXT(WEEKDAY(DATE(AnnéeCalendrier,7,13),1),"jjj")</f>
        <v>mer</v>
      </c>
      <c r="P5" s="1" t="str">
        <f>TEXT(WEEKDAY(DATE(AnnéeCalendrier,7,14),1),"jjj")</f>
        <v>jeu</v>
      </c>
      <c r="Q5" s="1" t="str">
        <f>TEXT(WEEKDAY(DATE(AnnéeCalendrier,7,15),1),"jjj")</f>
        <v>ven</v>
      </c>
      <c r="R5" s="1" t="str">
        <f>TEXT(WEEKDAY(DATE(AnnéeCalendrier,7,16),1),"jjj")</f>
        <v>sam</v>
      </c>
      <c r="S5" s="1" t="str">
        <f>TEXT(WEEKDAY(DATE(AnnéeCalendrier,7,17),1),"jjj")</f>
        <v>dim</v>
      </c>
      <c r="T5" s="1" t="str">
        <f>TEXT(WEEKDAY(DATE(AnnéeCalendrier,7,18),1),"jjj")</f>
        <v>lun</v>
      </c>
      <c r="U5" s="1" t="str">
        <f>TEXT(WEEKDAY(DATE(AnnéeCalendrier,7,19),1),"jjj")</f>
        <v>mar</v>
      </c>
      <c r="V5" s="1" t="str">
        <f>TEXT(WEEKDAY(DATE(AnnéeCalendrier,7,20),1),"jjj")</f>
        <v>mer</v>
      </c>
      <c r="W5" s="1" t="str">
        <f>TEXT(WEEKDAY(DATE(AnnéeCalendrier,7,21),1),"jjj")</f>
        <v>jeu</v>
      </c>
      <c r="X5" s="1" t="str">
        <f>TEXT(WEEKDAY(DATE(AnnéeCalendrier,7,22),1),"jjj")</f>
        <v>ven</v>
      </c>
      <c r="Y5" s="1" t="str">
        <f>TEXT(WEEKDAY(DATE(AnnéeCalendrier,7,23),1),"jjj")</f>
        <v>sam</v>
      </c>
      <c r="Z5" s="1" t="str">
        <f>TEXT(WEEKDAY(DATE(AnnéeCalendrier,7,24),1),"jjj")</f>
        <v>dim</v>
      </c>
      <c r="AA5" s="1" t="str">
        <f>TEXT(WEEKDAY(DATE(AnnéeCalendrier,7,25),1),"jjj")</f>
        <v>lun</v>
      </c>
      <c r="AB5" s="1" t="str">
        <f>TEXT(WEEKDAY(DATE(AnnéeCalendrier,7,26),1),"jjj")</f>
        <v>mar</v>
      </c>
      <c r="AC5" s="1" t="str">
        <f>TEXT(WEEKDAY(DATE(AnnéeCalendrier,7,27),1),"jjj")</f>
        <v>mer</v>
      </c>
      <c r="AD5" s="1" t="str">
        <f>TEXT(WEEKDAY(DATE(AnnéeCalendrier,7,28),1),"jjj")</f>
        <v>jeu</v>
      </c>
      <c r="AE5" s="1" t="str">
        <f>TEXT(WEEKDAY(DATE(AnnéeCalendrier,7,29),1),"jjj")</f>
        <v>ven</v>
      </c>
      <c r="AF5" s="1" t="str">
        <f>TEXT(WEEKDAY(DATE(AnnéeCalendrier,7,30),1),"jjj")</f>
        <v>sam</v>
      </c>
      <c r="AG5" s="1" t="str">
        <f>TEXT(WEEKDAY(DATE(AnnéeCalendrier,7,31),1),"jjj")</f>
        <v>dim</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COUNTA(Juillet[[#This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COUNTA(Juillet[[#This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COUNTA(Juillet[[#This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COUNTA(Juillet[[#This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COUNTA(Juillet[[#This Row],[1]:[31]])</f>
        <v>0</v>
      </c>
    </row>
    <row r="12" spans="2:34" ht="30" customHeight="1" x14ac:dyDescent="0.25">
      <c r="B12" s="17" t="str">
        <f>NomMois&amp;" Total"</f>
        <v>Juillet Total</v>
      </c>
      <c r="C12" s="10">
        <f>SUBTOTAL(103,Juillet[1])</f>
        <v>0</v>
      </c>
      <c r="D12" s="10">
        <f>SUBTOTAL(103,Juillet[2])</f>
        <v>0</v>
      </c>
      <c r="E12" s="10">
        <f>SUBTOTAL(103,Juillet[3])</f>
        <v>0</v>
      </c>
      <c r="F12" s="10">
        <f>SUBTOTAL(103,Juillet[4])</f>
        <v>0</v>
      </c>
      <c r="G12" s="10">
        <f>SUBTOTAL(103,Juillet[5])</f>
        <v>0</v>
      </c>
      <c r="H12" s="10">
        <f>SUBTOTAL(103,Juillet[6])</f>
        <v>0</v>
      </c>
      <c r="I12" s="10">
        <f>SUBTOTAL(103,Juillet[7])</f>
        <v>0</v>
      </c>
      <c r="J12" s="10">
        <f>SUBTOTAL(103,Juillet[8])</f>
        <v>0</v>
      </c>
      <c r="K12" s="10">
        <f>SUBTOTAL(103,Juillet[9])</f>
        <v>0</v>
      </c>
      <c r="L12" s="10">
        <f>SUBTOTAL(103,Juillet[10])</f>
        <v>0</v>
      </c>
      <c r="M12" s="10">
        <f>SUBTOTAL(103,Juillet[11])</f>
        <v>0</v>
      </c>
      <c r="N12" s="10">
        <f>SUBTOTAL(103,Juillet[12])</f>
        <v>0</v>
      </c>
      <c r="O12" s="10">
        <f>SUBTOTAL(103,Juillet[13])</f>
        <v>0</v>
      </c>
      <c r="P12" s="10">
        <f>SUBTOTAL(103,Juillet[14])</f>
        <v>0</v>
      </c>
      <c r="Q12" s="10">
        <f>SUBTOTAL(103,Juillet[15])</f>
        <v>0</v>
      </c>
      <c r="R12" s="10">
        <f>SUBTOTAL(103,Juillet[16])</f>
        <v>0</v>
      </c>
      <c r="S12" s="10">
        <f>SUBTOTAL(103,Juillet[17])</f>
        <v>0</v>
      </c>
      <c r="T12" s="10">
        <f>SUBTOTAL(103,Juillet[18])</f>
        <v>0</v>
      </c>
      <c r="U12" s="10">
        <f>SUBTOTAL(103,Juillet[19])</f>
        <v>0</v>
      </c>
      <c r="V12" s="10">
        <f>SUBTOTAL(103,Juillet[20])</f>
        <v>0</v>
      </c>
      <c r="W12" s="10">
        <f>SUBTOTAL(103,Juillet[21])</f>
        <v>0</v>
      </c>
      <c r="X12" s="10">
        <f>SUBTOTAL(103,Juillet[22])</f>
        <v>0</v>
      </c>
      <c r="Y12" s="10">
        <f>SUBTOTAL(103,Juillet[23])</f>
        <v>0</v>
      </c>
      <c r="Z12" s="10">
        <f>SUBTOTAL(103,Juillet[24])</f>
        <v>0</v>
      </c>
      <c r="AA12" s="10">
        <f>SUBTOTAL(103,Juillet[25])</f>
        <v>0</v>
      </c>
      <c r="AB12" s="10">
        <f>SUBTOTAL(103,Juillet[26])</f>
        <v>0</v>
      </c>
      <c r="AC12" s="10">
        <f>SUBTOTAL(103,Juillet[27])</f>
        <v>0</v>
      </c>
      <c r="AD12" s="10">
        <f>SUBTOTAL(103,Juillet[28])</f>
        <v>0</v>
      </c>
      <c r="AE12" s="10">
        <f>SUBTOTAL(103,Juillet[29])</f>
        <v>0</v>
      </c>
      <c r="AF12" s="10">
        <f>SUBTOTAL(109,Juillet[30])</f>
        <v>0</v>
      </c>
      <c r="AG12" s="10">
        <f>SUBTOTAL(109,Juillet[31])</f>
        <v>0</v>
      </c>
      <c r="AH12" s="10">
        <f>SUBTOTAL(109,Juillet[Total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29" priority="3" stopIfTrue="1">
      <formula>C7=CléPersonnalisée2</formula>
    </cfRule>
    <cfRule type="expression" dxfId="28" priority="4" stopIfTrue="1">
      <formula>C7=CléPersonnalisée1</formula>
    </cfRule>
    <cfRule type="expression" dxfId="27" priority="5" stopIfTrue="1">
      <formula>C7=CléMaladie</formula>
    </cfRule>
    <cfRule type="expression" dxfId="26" priority="6" stopIfTrue="1">
      <formula>C7=CléPersonnel</formula>
    </cfRule>
    <cfRule type="expression" dxfId="2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{776BCF5D-7EB5-4A7D-90A0-1F68B0A1CCB0}</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juillet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776BCF5D-7EB5-4A7D-90A0-1F68B0A1CCB0}">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749992370372631"/>
    <pageSetUpPr fitToPage="1"/>
  </sheetPr>
  <dimension ref="B1:AH12"/>
  <sheetViews>
    <sheetView showGridLines="0" zoomScaleNormal="100" workbookViewId="0">
      <selection activeCell="J9" sqref="J9"/>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58</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TEXT(WEEKDAY(DATE(AnnéeCalendrier,8,1),1),"jjj")</f>
        <v>lun</v>
      </c>
      <c r="D5" s="1" t="str">
        <f>TEXT(WEEKDAY(DATE(AnnéeCalendrier,8,2),1),"jjj")</f>
        <v>mar</v>
      </c>
      <c r="E5" s="1" t="str">
        <f>TEXT(WEEKDAY(DATE(AnnéeCalendrier,8,3),1),"jjj")</f>
        <v>mer</v>
      </c>
      <c r="F5" s="1" t="str">
        <f>TEXT(WEEKDAY(DATE(AnnéeCalendrier,8,4),1),"jjj")</f>
        <v>jeu</v>
      </c>
      <c r="G5" s="1" t="str">
        <f>TEXT(WEEKDAY(DATE(AnnéeCalendrier,8,5),1),"jjj")</f>
        <v>ven</v>
      </c>
      <c r="H5" s="1" t="str">
        <f>TEXT(WEEKDAY(DATE(AnnéeCalendrier,8,6),1),"jjj")</f>
        <v>sam</v>
      </c>
      <c r="I5" s="1" t="str">
        <f>TEXT(WEEKDAY(DATE(AnnéeCalendrier,8,7),1),"jjj")</f>
        <v>dim</v>
      </c>
      <c r="J5" s="1" t="str">
        <f>TEXT(WEEKDAY(DATE(AnnéeCalendrier,8,8),1),"jjj")</f>
        <v>lun</v>
      </c>
      <c r="K5" s="1" t="str">
        <f>TEXT(WEEKDAY(DATE(AnnéeCalendrier,8,9),1),"jjj")</f>
        <v>mar</v>
      </c>
      <c r="L5" s="1" t="str">
        <f>TEXT(WEEKDAY(DATE(AnnéeCalendrier,8,10),1),"jjj")</f>
        <v>mer</v>
      </c>
      <c r="M5" s="1" t="str">
        <f>TEXT(WEEKDAY(DATE(AnnéeCalendrier,8,11),1),"jjj")</f>
        <v>jeu</v>
      </c>
      <c r="N5" s="1" t="str">
        <f>TEXT(WEEKDAY(DATE(AnnéeCalendrier,8,12),1),"jjj")</f>
        <v>ven</v>
      </c>
      <c r="O5" s="1" t="str">
        <f>TEXT(WEEKDAY(DATE(AnnéeCalendrier,8,13),1),"jjj")</f>
        <v>sam</v>
      </c>
      <c r="P5" s="1" t="str">
        <f>TEXT(WEEKDAY(DATE(AnnéeCalendrier,8,14),1),"jjj")</f>
        <v>dim</v>
      </c>
      <c r="Q5" s="1" t="str">
        <f>TEXT(WEEKDAY(DATE(AnnéeCalendrier,8,15),1),"jjj")</f>
        <v>lun</v>
      </c>
      <c r="R5" s="1" t="str">
        <f>TEXT(WEEKDAY(DATE(AnnéeCalendrier,8,16),1),"jjj")</f>
        <v>mar</v>
      </c>
      <c r="S5" s="1" t="str">
        <f>TEXT(WEEKDAY(DATE(AnnéeCalendrier,8,17),1),"jjj")</f>
        <v>mer</v>
      </c>
      <c r="T5" s="1" t="str">
        <f>TEXT(WEEKDAY(DATE(AnnéeCalendrier,8,18),1),"jjj")</f>
        <v>jeu</v>
      </c>
      <c r="U5" s="1" t="str">
        <f>TEXT(WEEKDAY(DATE(AnnéeCalendrier,8,19),1),"jjj")</f>
        <v>ven</v>
      </c>
      <c r="V5" s="1" t="str">
        <f>TEXT(WEEKDAY(DATE(AnnéeCalendrier,8,20),1),"jjj")</f>
        <v>sam</v>
      </c>
      <c r="W5" s="1" t="str">
        <f>TEXT(WEEKDAY(DATE(AnnéeCalendrier,8,21),1),"jjj")</f>
        <v>dim</v>
      </c>
      <c r="X5" s="1" t="str">
        <f>TEXT(WEEKDAY(DATE(AnnéeCalendrier,8,22),1),"jjj")</f>
        <v>lun</v>
      </c>
      <c r="Y5" s="1" t="str">
        <f>TEXT(WEEKDAY(DATE(AnnéeCalendrier,8,23),1),"jjj")</f>
        <v>mar</v>
      </c>
      <c r="Z5" s="1" t="str">
        <f>TEXT(WEEKDAY(DATE(AnnéeCalendrier,8,24),1),"jjj")</f>
        <v>mer</v>
      </c>
      <c r="AA5" s="1" t="str">
        <f>TEXT(WEEKDAY(DATE(AnnéeCalendrier,8,25),1),"jjj")</f>
        <v>jeu</v>
      </c>
      <c r="AB5" s="1" t="str">
        <f>TEXT(WEEKDAY(DATE(AnnéeCalendrier,8,26),1),"jjj")</f>
        <v>ven</v>
      </c>
      <c r="AC5" s="1" t="str">
        <f>TEXT(WEEKDAY(DATE(AnnéeCalendrier,8,27),1),"jjj")</f>
        <v>sam</v>
      </c>
      <c r="AD5" s="1" t="str">
        <f>TEXT(WEEKDAY(DATE(AnnéeCalendrier,8,28),1),"jjj")</f>
        <v>dim</v>
      </c>
      <c r="AE5" s="1" t="str">
        <f>TEXT(WEEKDAY(DATE(AnnéeCalendrier,8,29),1),"jjj")</f>
        <v>lun</v>
      </c>
      <c r="AF5" s="1" t="str">
        <f>TEXT(WEEKDAY(DATE(AnnéeCalendrier,8,30),1),"jjj")</f>
        <v>mar</v>
      </c>
      <c r="AG5" s="1" t="str">
        <f>TEXT(WEEKDAY(DATE(AnnéeCalendrier,8,31),1),"jjj")</f>
        <v>mer</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COUNTA(Août[[#This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COUNTA(Août[[#This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COUNTA(Août[[#This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COUNTA(Août[[#This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COUNTA(Août[[#This Row],[1]:[31]])</f>
        <v>0</v>
      </c>
    </row>
    <row r="12" spans="2:34" ht="30" customHeight="1" x14ac:dyDescent="0.25">
      <c r="B12" s="17" t="str">
        <f>NomMois&amp;" Total"</f>
        <v>Août Total</v>
      </c>
      <c r="C12" s="10">
        <f>SUBTOTAL(103,Août[1])</f>
        <v>0</v>
      </c>
      <c r="D12" s="10">
        <f>SUBTOTAL(103,Août[2])</f>
        <v>0</v>
      </c>
      <c r="E12" s="10">
        <f>SUBTOTAL(103,Août[3])</f>
        <v>0</v>
      </c>
      <c r="F12" s="10">
        <f>SUBTOTAL(103,Août[4])</f>
        <v>0</v>
      </c>
      <c r="G12" s="10">
        <f>SUBTOTAL(103,Août[5])</f>
        <v>0</v>
      </c>
      <c r="H12" s="10">
        <f>SUBTOTAL(103,Août[6])</f>
        <v>0</v>
      </c>
      <c r="I12" s="10">
        <f>SUBTOTAL(103,Août[7])</f>
        <v>0</v>
      </c>
      <c r="J12" s="10">
        <f>SUBTOTAL(103,Août[8])</f>
        <v>0</v>
      </c>
      <c r="K12" s="10">
        <f>SUBTOTAL(103,Août[9])</f>
        <v>0</v>
      </c>
      <c r="L12" s="10">
        <f>SUBTOTAL(103,Août[10])</f>
        <v>0</v>
      </c>
      <c r="M12" s="10">
        <f>SUBTOTAL(103,Août[11])</f>
        <v>0</v>
      </c>
      <c r="N12" s="10">
        <f>SUBTOTAL(103,Août[12])</f>
        <v>0</v>
      </c>
      <c r="O12" s="10">
        <f>SUBTOTAL(103,Août[13])</f>
        <v>0</v>
      </c>
      <c r="P12" s="10">
        <f>SUBTOTAL(103,Août[14])</f>
        <v>0</v>
      </c>
      <c r="Q12" s="10">
        <f>SUBTOTAL(103,Août[15])</f>
        <v>0</v>
      </c>
      <c r="R12" s="10">
        <f>SUBTOTAL(103,Août[16])</f>
        <v>0</v>
      </c>
      <c r="S12" s="10">
        <f>SUBTOTAL(103,Août[17])</f>
        <v>0</v>
      </c>
      <c r="T12" s="10">
        <f>SUBTOTAL(103,Août[18])</f>
        <v>0</v>
      </c>
      <c r="U12" s="10">
        <f>SUBTOTAL(103,Août[19])</f>
        <v>0</v>
      </c>
      <c r="V12" s="10">
        <f>SUBTOTAL(103,Août[20])</f>
        <v>0</v>
      </c>
      <c r="W12" s="10">
        <f>SUBTOTAL(103,Août[21])</f>
        <v>0</v>
      </c>
      <c r="X12" s="10">
        <f>SUBTOTAL(103,Août[22])</f>
        <v>0</v>
      </c>
      <c r="Y12" s="10">
        <f>SUBTOTAL(103,Août[23])</f>
        <v>0</v>
      </c>
      <c r="Z12" s="10">
        <f>SUBTOTAL(103,Août[24])</f>
        <v>0</v>
      </c>
      <c r="AA12" s="10">
        <f>SUBTOTAL(103,Août[25])</f>
        <v>0</v>
      </c>
      <c r="AB12" s="10">
        <f>SUBTOTAL(103,Août[26])</f>
        <v>0</v>
      </c>
      <c r="AC12" s="10">
        <f>SUBTOTAL(103,Août[27])</f>
        <v>0</v>
      </c>
      <c r="AD12" s="10">
        <f>SUBTOTAL(103,Août[28])</f>
        <v>0</v>
      </c>
      <c r="AE12" s="10">
        <f>SUBTOTAL(103,Août[29])</f>
        <v>0</v>
      </c>
      <c r="AF12" s="10">
        <f>SUBTOTAL(109,Août[30])</f>
        <v>0</v>
      </c>
      <c r="AG12" s="10">
        <f>SUBTOTAL(109,Août[31])</f>
        <v>0</v>
      </c>
      <c r="AH12" s="10">
        <f>SUBTOTAL(109,Août[Total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24" priority="3" stopIfTrue="1">
      <formula>C7=CléPersonnalisée2</formula>
    </cfRule>
    <cfRule type="expression" dxfId="23" priority="4" stopIfTrue="1">
      <formula>C7=CléPersonnalisée1</formula>
    </cfRule>
    <cfRule type="expression" dxfId="22" priority="5" stopIfTrue="1">
      <formula>C7=CléMaladie</formula>
    </cfRule>
    <cfRule type="expression" dxfId="21" priority="6" stopIfTrue="1">
      <formula>C7=CléPersonnel</formula>
    </cfRule>
    <cfRule type="expression" dxfId="2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{33E3DFD5-36C1-4F78-8A00-7E33A1DF1DCF}</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août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3E3DFD5-36C1-4F78-8A00-7E33A1DF1DCF}">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59</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TEXT(WEEKDAY(DATE(AnnéeCalendrier,9,1),1),"jjj")</f>
        <v>jeu</v>
      </c>
      <c r="D5" s="1" t="str">
        <f>TEXT(WEEKDAY(DATE(AnnéeCalendrier,9,2),1),"jjj")</f>
        <v>ven</v>
      </c>
      <c r="E5" s="1" t="str">
        <f>TEXT(WEEKDAY(DATE(AnnéeCalendrier,9,3),1),"jjj")</f>
        <v>sam</v>
      </c>
      <c r="F5" s="1" t="str">
        <f>TEXT(WEEKDAY(DATE(AnnéeCalendrier,9,4),1),"jjj")</f>
        <v>dim</v>
      </c>
      <c r="G5" s="1" t="str">
        <f>TEXT(WEEKDAY(DATE(AnnéeCalendrier,9,5),1),"jjj")</f>
        <v>lun</v>
      </c>
      <c r="H5" s="1" t="str">
        <f>TEXT(WEEKDAY(DATE(AnnéeCalendrier,9,6),1),"jjj")</f>
        <v>mar</v>
      </c>
      <c r="I5" s="1" t="str">
        <f>TEXT(WEEKDAY(DATE(AnnéeCalendrier,9,7),1),"jjj")</f>
        <v>mer</v>
      </c>
      <c r="J5" s="1" t="str">
        <f>TEXT(WEEKDAY(DATE(AnnéeCalendrier,9,8),1),"jjj")</f>
        <v>jeu</v>
      </c>
      <c r="K5" s="1" t="str">
        <f>TEXT(WEEKDAY(DATE(AnnéeCalendrier,9,9),1),"jjj")</f>
        <v>ven</v>
      </c>
      <c r="L5" s="1" t="str">
        <f>TEXT(WEEKDAY(DATE(AnnéeCalendrier,9,10),1),"jjj")</f>
        <v>sam</v>
      </c>
      <c r="M5" s="1" t="str">
        <f>TEXT(WEEKDAY(DATE(AnnéeCalendrier,9,11),1),"jjj")</f>
        <v>dim</v>
      </c>
      <c r="N5" s="1" t="str">
        <f>TEXT(WEEKDAY(DATE(AnnéeCalendrier,9,12),1),"jjj")</f>
        <v>lun</v>
      </c>
      <c r="O5" s="1" t="str">
        <f>TEXT(WEEKDAY(DATE(AnnéeCalendrier,9,13),1),"jjj")</f>
        <v>mar</v>
      </c>
      <c r="P5" s="1" t="str">
        <f>TEXT(WEEKDAY(DATE(AnnéeCalendrier,9,14),1),"jjj")</f>
        <v>mer</v>
      </c>
      <c r="Q5" s="1" t="str">
        <f>TEXT(WEEKDAY(DATE(AnnéeCalendrier,9,15),1),"jjj")</f>
        <v>jeu</v>
      </c>
      <c r="R5" s="1" t="str">
        <f>TEXT(WEEKDAY(DATE(AnnéeCalendrier,9,16),1),"jjj")</f>
        <v>ven</v>
      </c>
      <c r="S5" s="1" t="str">
        <f>TEXT(WEEKDAY(DATE(AnnéeCalendrier,9,17),1),"jjj")</f>
        <v>sam</v>
      </c>
      <c r="T5" s="1" t="str">
        <f>TEXT(WEEKDAY(DATE(AnnéeCalendrier,9,18),1),"jjj")</f>
        <v>dim</v>
      </c>
      <c r="U5" s="1" t="str">
        <f>TEXT(WEEKDAY(DATE(AnnéeCalendrier,9,19),1),"jjj")</f>
        <v>lun</v>
      </c>
      <c r="V5" s="1" t="str">
        <f>TEXT(WEEKDAY(DATE(AnnéeCalendrier,9,20),1),"jjj")</f>
        <v>mar</v>
      </c>
      <c r="W5" s="1" t="str">
        <f>TEXT(WEEKDAY(DATE(AnnéeCalendrier,9,21),1),"jjj")</f>
        <v>mer</v>
      </c>
      <c r="X5" s="1" t="str">
        <f>TEXT(WEEKDAY(DATE(AnnéeCalendrier,9,22),1),"jjj")</f>
        <v>jeu</v>
      </c>
      <c r="Y5" s="1" t="str">
        <f>TEXT(WEEKDAY(DATE(AnnéeCalendrier,9,23),1),"jjj")</f>
        <v>ven</v>
      </c>
      <c r="Z5" s="1" t="str">
        <f>TEXT(WEEKDAY(DATE(AnnéeCalendrier,9,24),1),"jjj")</f>
        <v>sam</v>
      </c>
      <c r="AA5" s="1" t="str">
        <f>TEXT(WEEKDAY(DATE(AnnéeCalendrier,9,25),1),"jjj")</f>
        <v>dim</v>
      </c>
      <c r="AB5" s="1" t="str">
        <f>TEXT(WEEKDAY(DATE(AnnéeCalendrier,9,26),1),"jjj")</f>
        <v>lun</v>
      </c>
      <c r="AC5" s="1" t="str">
        <f>TEXT(WEEKDAY(DATE(AnnéeCalendrier,9,27),1),"jjj")</f>
        <v>mar</v>
      </c>
      <c r="AD5" s="1" t="str">
        <f>TEXT(WEEKDAY(DATE(AnnéeCalendrier,9,28),1),"jjj")</f>
        <v>mer</v>
      </c>
      <c r="AE5" s="1" t="str">
        <f>TEXT(WEEKDAY(DATE(AnnéeCalendrier,9,29),1),"jjj")</f>
        <v>jeu</v>
      </c>
      <c r="AF5" s="1" t="str">
        <f>TEXT(WEEKDAY(DATE(AnnéeCalendrier,9,30),1),"jjj")</f>
        <v>ven</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COUNTA(Septembre[[#This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COUNTA(Septembre[[#This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COUNTA(Septembre[[#This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COUNTA(Septembre[[#This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COUNTA(Septembre[[#This Row],[1]:[31]])</f>
        <v>0</v>
      </c>
    </row>
    <row r="12" spans="2:34" ht="30" customHeight="1" x14ac:dyDescent="0.25">
      <c r="B12" s="17" t="str">
        <f>NomMois&amp;" Total"</f>
        <v>Septembre Total</v>
      </c>
      <c r="C12" s="10">
        <f>SUBTOTAL(103,Septembre[1])</f>
        <v>0</v>
      </c>
      <c r="D12" s="10">
        <f>SUBTOTAL(103,Septembre[2])</f>
        <v>0</v>
      </c>
      <c r="E12" s="10">
        <f>SUBTOTAL(103,Septembre[3])</f>
        <v>0</v>
      </c>
      <c r="F12" s="10">
        <f>SUBTOTAL(103,Septembre[4])</f>
        <v>0</v>
      </c>
      <c r="G12" s="10">
        <f>SUBTOTAL(103,Septembre[5])</f>
        <v>0</v>
      </c>
      <c r="H12" s="10">
        <f>SUBTOTAL(103,Septembre[6])</f>
        <v>0</v>
      </c>
      <c r="I12" s="10">
        <f>SUBTOTAL(103,Septembre[7])</f>
        <v>0</v>
      </c>
      <c r="J12" s="10">
        <f>SUBTOTAL(103,Septembre[8])</f>
        <v>0</v>
      </c>
      <c r="K12" s="10">
        <f>SUBTOTAL(103,Septembre[9])</f>
        <v>0</v>
      </c>
      <c r="L12" s="10">
        <f>SUBTOTAL(103,Septembre[10])</f>
        <v>0</v>
      </c>
      <c r="M12" s="10">
        <f>SUBTOTAL(103,Septembre[11])</f>
        <v>0</v>
      </c>
      <c r="N12" s="10">
        <f>SUBTOTAL(103,Septembre[12])</f>
        <v>0</v>
      </c>
      <c r="O12" s="10">
        <f>SUBTOTAL(103,Septembre[13])</f>
        <v>0</v>
      </c>
      <c r="P12" s="10">
        <f>SUBTOTAL(103,Septembre[14])</f>
        <v>0</v>
      </c>
      <c r="Q12" s="10">
        <f>SUBTOTAL(103,Septembre[15])</f>
        <v>0</v>
      </c>
      <c r="R12" s="10">
        <f>SUBTOTAL(103,Septembre[16])</f>
        <v>0</v>
      </c>
      <c r="S12" s="10">
        <f>SUBTOTAL(103,Septembre[17])</f>
        <v>0</v>
      </c>
      <c r="T12" s="10">
        <f>SUBTOTAL(103,Septembre[18])</f>
        <v>0</v>
      </c>
      <c r="U12" s="10">
        <f>SUBTOTAL(103,Septembre[19])</f>
        <v>0</v>
      </c>
      <c r="V12" s="10">
        <f>SUBTOTAL(103,Septembre[20])</f>
        <v>0</v>
      </c>
      <c r="W12" s="10">
        <f>SUBTOTAL(103,Septembre[21])</f>
        <v>0</v>
      </c>
      <c r="X12" s="10">
        <f>SUBTOTAL(103,Septembre[22])</f>
        <v>0</v>
      </c>
      <c r="Y12" s="10">
        <f>SUBTOTAL(103,Septembre[23])</f>
        <v>0</v>
      </c>
      <c r="Z12" s="10">
        <f>SUBTOTAL(103,Septembre[24])</f>
        <v>0</v>
      </c>
      <c r="AA12" s="10">
        <f>SUBTOTAL(103,Septembre[25])</f>
        <v>0</v>
      </c>
      <c r="AB12" s="10">
        <f>SUBTOTAL(103,Septembre[26])</f>
        <v>0</v>
      </c>
      <c r="AC12" s="10">
        <f>SUBTOTAL(103,Septembre[27])</f>
        <v>0</v>
      </c>
      <c r="AD12" s="10">
        <f>SUBTOTAL(103,Septembre[28])</f>
        <v>0</v>
      </c>
      <c r="AE12" s="10">
        <f>SUBTOTAL(103,Septembre[29])</f>
        <v>0</v>
      </c>
      <c r="AF12" s="10">
        <f>SUBTOTAL(109,Septembre[30])</f>
        <v>0</v>
      </c>
      <c r="AG12" s="10">
        <f>SUBTOTAL(109,Septembre[31])</f>
        <v>0</v>
      </c>
      <c r="AH12" s="10">
        <f>SUBTOTAL(109,Septembre[Total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19" priority="3" stopIfTrue="1">
      <formula>C7=CléPersonnalisée2</formula>
    </cfRule>
    <cfRule type="expression" dxfId="18" priority="4" stopIfTrue="1">
      <formula>C7=CléPersonnalisée1</formula>
    </cfRule>
    <cfRule type="expression" dxfId="17" priority="5" stopIfTrue="1">
      <formula>C7=CléMaladie</formula>
    </cfRule>
    <cfRule type="expression" dxfId="16" priority="6" stopIfTrue="1">
      <formula>C7=CléPersonnel</formula>
    </cfRule>
    <cfRule type="expression" dxfId="1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{816C23A8-04A5-40E7-A7CC-B3061D959CCD}</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sept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816C23A8-04A5-40E7-A7CC-B3061D959CCD}">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60</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TEXT(WEEKDAY(DATE(AnnéeCalendrier,10,1),1),"jjj")</f>
        <v>sam</v>
      </c>
      <c r="D5" s="1" t="str">
        <f>TEXT(WEEKDAY(DATE(AnnéeCalendrier,10,2),1),"jjj")</f>
        <v>dim</v>
      </c>
      <c r="E5" s="1" t="str">
        <f>TEXT(WEEKDAY(DATE(AnnéeCalendrier,10,3),1),"jjj")</f>
        <v>lun</v>
      </c>
      <c r="F5" s="1" t="str">
        <f>TEXT(WEEKDAY(DATE(AnnéeCalendrier,10,4),1),"jjj")</f>
        <v>mar</v>
      </c>
      <c r="G5" s="1" t="str">
        <f>TEXT(WEEKDAY(DATE(AnnéeCalendrier,10,5),1),"jjj")</f>
        <v>mer</v>
      </c>
      <c r="H5" s="1" t="str">
        <f>TEXT(WEEKDAY(DATE(AnnéeCalendrier,10,6),1),"jjj")</f>
        <v>jeu</v>
      </c>
      <c r="I5" s="1" t="str">
        <f>TEXT(WEEKDAY(DATE(AnnéeCalendrier,10,7),1),"jjj")</f>
        <v>ven</v>
      </c>
      <c r="J5" s="1" t="str">
        <f>TEXT(WEEKDAY(DATE(AnnéeCalendrier,10,8),1),"jjj")</f>
        <v>sam</v>
      </c>
      <c r="K5" s="1" t="str">
        <f>TEXT(WEEKDAY(DATE(AnnéeCalendrier,10,9),1),"jjj")</f>
        <v>dim</v>
      </c>
      <c r="L5" s="1" t="str">
        <f>TEXT(WEEKDAY(DATE(AnnéeCalendrier,10,10),1),"jjj")</f>
        <v>lun</v>
      </c>
      <c r="M5" s="1" t="str">
        <f>TEXT(WEEKDAY(DATE(AnnéeCalendrier,10,11),1),"jjj")</f>
        <v>mar</v>
      </c>
      <c r="N5" s="1" t="str">
        <f>TEXT(WEEKDAY(DATE(AnnéeCalendrier,10,12),1),"jjj")</f>
        <v>mer</v>
      </c>
      <c r="O5" s="1" t="str">
        <f>TEXT(WEEKDAY(DATE(AnnéeCalendrier,10,13),1),"jjj")</f>
        <v>jeu</v>
      </c>
      <c r="P5" s="1" t="str">
        <f>TEXT(WEEKDAY(DATE(AnnéeCalendrier,10,14),1),"jjj")</f>
        <v>ven</v>
      </c>
      <c r="Q5" s="1" t="str">
        <f>TEXT(WEEKDAY(DATE(AnnéeCalendrier,10,15),1),"jjj")</f>
        <v>sam</v>
      </c>
      <c r="R5" s="1" t="str">
        <f>TEXT(WEEKDAY(DATE(AnnéeCalendrier,10,16),1),"jjj")</f>
        <v>dim</v>
      </c>
      <c r="S5" s="1" t="str">
        <f>TEXT(WEEKDAY(DATE(AnnéeCalendrier,10,17),1),"jjj")</f>
        <v>lun</v>
      </c>
      <c r="T5" s="1" t="str">
        <f>TEXT(WEEKDAY(DATE(AnnéeCalendrier,10,18),1),"jjj")</f>
        <v>mar</v>
      </c>
      <c r="U5" s="1" t="str">
        <f>TEXT(WEEKDAY(DATE(AnnéeCalendrier,10,19),1),"jjj")</f>
        <v>mer</v>
      </c>
      <c r="V5" s="1" t="str">
        <f>TEXT(WEEKDAY(DATE(AnnéeCalendrier,10,20),1),"jjj")</f>
        <v>jeu</v>
      </c>
      <c r="W5" s="1" t="str">
        <f>TEXT(WEEKDAY(DATE(AnnéeCalendrier,10,21),1),"jjj")</f>
        <v>ven</v>
      </c>
      <c r="X5" s="1" t="str">
        <f>TEXT(WEEKDAY(DATE(AnnéeCalendrier,10,22),1),"jjj")</f>
        <v>sam</v>
      </c>
      <c r="Y5" s="1" t="str">
        <f>TEXT(WEEKDAY(DATE(AnnéeCalendrier,10,23),1),"jjj")</f>
        <v>dim</v>
      </c>
      <c r="Z5" s="1" t="str">
        <f>TEXT(WEEKDAY(DATE(AnnéeCalendrier,10,24),1),"jjj")</f>
        <v>lun</v>
      </c>
      <c r="AA5" s="1" t="str">
        <f>TEXT(WEEKDAY(DATE(AnnéeCalendrier,10,25),1),"jjj")</f>
        <v>mar</v>
      </c>
      <c r="AB5" s="1" t="str">
        <f>TEXT(WEEKDAY(DATE(AnnéeCalendrier,10,26),1),"jjj")</f>
        <v>mer</v>
      </c>
      <c r="AC5" s="1" t="str">
        <f>TEXT(WEEKDAY(DATE(AnnéeCalendrier,10,27),1),"jjj")</f>
        <v>jeu</v>
      </c>
      <c r="AD5" s="1" t="str">
        <f>TEXT(WEEKDAY(DATE(AnnéeCalendrier,10,28),1),"jjj")</f>
        <v>ven</v>
      </c>
      <c r="AE5" s="1" t="str">
        <f>TEXT(WEEKDAY(DATE(AnnéeCalendrier,10,29),1),"jjj")</f>
        <v>sam</v>
      </c>
      <c r="AF5" s="1" t="str">
        <f>TEXT(WEEKDAY(DATE(AnnéeCalendrier,10,30),1),"jjj")</f>
        <v>dim</v>
      </c>
      <c r="AG5" s="1" t="str">
        <f>TEXT(WEEKDAY(DATE(AnnéeCalendrier,10,31),1),"jjj")</f>
        <v>lun</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COUNTA(Octobre[[#This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COUNTA(Octobre[[#This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COUNTA(Octobre[[#This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COUNTA(Octobre[[#This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COUNTA(Octobre[[#This Row],[1]:[31]])</f>
        <v>0</v>
      </c>
    </row>
    <row r="12" spans="2:34" ht="30" customHeight="1" x14ac:dyDescent="0.25">
      <c r="B12" s="17" t="str">
        <f>NomMois&amp;" Total"</f>
        <v>Octobre Total</v>
      </c>
      <c r="C12" s="10">
        <f>SUBTOTAL(103,Octobre[1])</f>
        <v>0</v>
      </c>
      <c r="D12" s="10">
        <f>SUBTOTAL(103,Octobre[2])</f>
        <v>0</v>
      </c>
      <c r="E12" s="10">
        <f>SUBTOTAL(103,Octobre[3])</f>
        <v>0</v>
      </c>
      <c r="F12" s="10">
        <f>SUBTOTAL(103,Octobre[4])</f>
        <v>0</v>
      </c>
      <c r="G12" s="10">
        <f>SUBTOTAL(103,Octobre[5])</f>
        <v>0</v>
      </c>
      <c r="H12" s="10">
        <f>SUBTOTAL(103,Octobre[6])</f>
        <v>0</v>
      </c>
      <c r="I12" s="10">
        <f>SUBTOTAL(103,Octobre[7])</f>
        <v>0</v>
      </c>
      <c r="J12" s="10">
        <f>SUBTOTAL(103,Octobre[8])</f>
        <v>0</v>
      </c>
      <c r="K12" s="10">
        <f>SUBTOTAL(103,Octobre[9])</f>
        <v>0</v>
      </c>
      <c r="L12" s="10">
        <f>SUBTOTAL(103,Octobre[10])</f>
        <v>0</v>
      </c>
      <c r="M12" s="10">
        <f>SUBTOTAL(103,Octobre[11])</f>
        <v>0</v>
      </c>
      <c r="N12" s="10">
        <f>SUBTOTAL(103,Octobre[12])</f>
        <v>0</v>
      </c>
      <c r="O12" s="10">
        <f>SUBTOTAL(103,Octobre[13])</f>
        <v>0</v>
      </c>
      <c r="P12" s="10">
        <f>SUBTOTAL(103,Octobre[14])</f>
        <v>0</v>
      </c>
      <c r="Q12" s="10">
        <f>SUBTOTAL(103,Octobre[15])</f>
        <v>0</v>
      </c>
      <c r="R12" s="10">
        <f>SUBTOTAL(103,Octobre[16])</f>
        <v>0</v>
      </c>
      <c r="S12" s="10">
        <f>SUBTOTAL(103,Octobre[17])</f>
        <v>0</v>
      </c>
      <c r="T12" s="10">
        <f>SUBTOTAL(103,Octobre[18])</f>
        <v>0</v>
      </c>
      <c r="U12" s="10">
        <f>SUBTOTAL(103,Octobre[19])</f>
        <v>0</v>
      </c>
      <c r="V12" s="10">
        <f>SUBTOTAL(103,Octobre[20])</f>
        <v>0</v>
      </c>
      <c r="W12" s="10">
        <f>SUBTOTAL(103,Octobre[21])</f>
        <v>0</v>
      </c>
      <c r="X12" s="10">
        <f>SUBTOTAL(103,Octobre[22])</f>
        <v>0</v>
      </c>
      <c r="Y12" s="10">
        <f>SUBTOTAL(103,Octobre[23])</f>
        <v>0</v>
      </c>
      <c r="Z12" s="10">
        <f>SUBTOTAL(103,Octobre[24])</f>
        <v>0</v>
      </c>
      <c r="AA12" s="10">
        <f>SUBTOTAL(103,Octobre[25])</f>
        <v>0</v>
      </c>
      <c r="AB12" s="10">
        <f>SUBTOTAL(103,Octobre[26])</f>
        <v>0</v>
      </c>
      <c r="AC12" s="10">
        <f>SUBTOTAL(103,Octobre[27])</f>
        <v>0</v>
      </c>
      <c r="AD12" s="10">
        <f>SUBTOTAL(103,Octobre[28])</f>
        <v>0</v>
      </c>
      <c r="AE12" s="10">
        <f>SUBTOTAL(103,Octobre[29])</f>
        <v>0</v>
      </c>
      <c r="AF12" s="10">
        <f>SUBTOTAL(109,Octobre[30])</f>
        <v>0</v>
      </c>
      <c r="AG12" s="10">
        <f>SUBTOTAL(109,Octobre[31])</f>
        <v>0</v>
      </c>
      <c r="AH12" s="10">
        <f>SUBTOTAL(109,Octobre[Total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14" priority="3" stopIfTrue="1">
      <formula>C7=CléPersonnalisée2</formula>
    </cfRule>
    <cfRule type="expression" dxfId="13" priority="4" stopIfTrue="1">
      <formula>C7=CléPersonnalisée1</formula>
    </cfRule>
    <cfRule type="expression" dxfId="12" priority="5" stopIfTrue="1">
      <formula>C7=CléMaladie</formula>
    </cfRule>
    <cfRule type="expression" dxfId="11" priority="6" stopIfTrue="1">
      <formula>C7=CléPersonnel</formula>
    </cfRule>
    <cfRule type="expression" dxfId="1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{31803008-8F39-4690-A7DF-9562F0563633}</x14:id>
        </ext>
      </extLst>
    </cfRule>
  </conditionalFormatting>
  <dataValidations count="15">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octo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1803008-8F39-4690-A7DF-9562F0563633}">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pageSetUpPr fitToPage="1"/>
  </sheetPr>
  <dimension ref="B1:AH12"/>
  <sheetViews>
    <sheetView showGridLines="0" zoomScaleNormal="100" workbookViewId="0"/>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61</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TEXT(WEEKDAY(DATE(AnnéeCalendrier,11,1),1),"jjj")</f>
        <v>mar</v>
      </c>
      <c r="D5" s="1" t="str">
        <f>TEXT(WEEKDAY(DATE(AnnéeCalendrier,11,2),1),"jjj")</f>
        <v>mer</v>
      </c>
      <c r="E5" s="1" t="str">
        <f>TEXT(WEEKDAY(DATE(AnnéeCalendrier,11,3),1),"jjj")</f>
        <v>jeu</v>
      </c>
      <c r="F5" s="1" t="str">
        <f>TEXT(WEEKDAY(DATE(AnnéeCalendrier,11,4),1),"jjj")</f>
        <v>ven</v>
      </c>
      <c r="G5" s="1" t="str">
        <f>TEXT(WEEKDAY(DATE(AnnéeCalendrier,11,5),1),"jjj")</f>
        <v>sam</v>
      </c>
      <c r="H5" s="1" t="str">
        <f>TEXT(WEEKDAY(DATE(AnnéeCalendrier,11,6),1),"jjj")</f>
        <v>dim</v>
      </c>
      <c r="I5" s="1" t="str">
        <f>TEXT(WEEKDAY(DATE(AnnéeCalendrier,11,7),1),"jjj")</f>
        <v>lun</v>
      </c>
      <c r="J5" s="1" t="str">
        <f>TEXT(WEEKDAY(DATE(AnnéeCalendrier,11,8),1),"jjj")</f>
        <v>mar</v>
      </c>
      <c r="K5" s="1" t="str">
        <f>TEXT(WEEKDAY(DATE(AnnéeCalendrier,11,9),1),"jjj")</f>
        <v>mer</v>
      </c>
      <c r="L5" s="1" t="str">
        <f>TEXT(WEEKDAY(DATE(AnnéeCalendrier,11,10),1),"jjj")</f>
        <v>jeu</v>
      </c>
      <c r="M5" s="1" t="str">
        <f>TEXT(WEEKDAY(DATE(AnnéeCalendrier,11,11),1),"jjj")</f>
        <v>ven</v>
      </c>
      <c r="N5" s="1" t="str">
        <f>TEXT(WEEKDAY(DATE(AnnéeCalendrier,11,12),1),"jjj")</f>
        <v>sam</v>
      </c>
      <c r="O5" s="1" t="str">
        <f>TEXT(WEEKDAY(DATE(AnnéeCalendrier,11,13),1),"jjj")</f>
        <v>dim</v>
      </c>
      <c r="P5" s="1" t="str">
        <f>TEXT(WEEKDAY(DATE(AnnéeCalendrier,11,14),1),"jjj")</f>
        <v>lun</v>
      </c>
      <c r="Q5" s="1" t="str">
        <f>TEXT(WEEKDAY(DATE(AnnéeCalendrier,11,15),1),"jjj")</f>
        <v>mar</v>
      </c>
      <c r="R5" s="1" t="str">
        <f>TEXT(WEEKDAY(DATE(AnnéeCalendrier,11,16),1),"jjj")</f>
        <v>mer</v>
      </c>
      <c r="S5" s="1" t="str">
        <f>TEXT(WEEKDAY(DATE(AnnéeCalendrier,11,17),1),"jjj")</f>
        <v>jeu</v>
      </c>
      <c r="T5" s="1" t="str">
        <f>TEXT(WEEKDAY(DATE(AnnéeCalendrier,11,18),1),"jjj")</f>
        <v>ven</v>
      </c>
      <c r="U5" s="1" t="str">
        <f>TEXT(WEEKDAY(DATE(AnnéeCalendrier,11,19),1),"jjj")</f>
        <v>sam</v>
      </c>
      <c r="V5" s="1" t="str">
        <f>TEXT(WEEKDAY(DATE(AnnéeCalendrier,11,20),1),"jjj")</f>
        <v>dim</v>
      </c>
      <c r="W5" s="1" t="str">
        <f>TEXT(WEEKDAY(DATE(AnnéeCalendrier,11,21),1),"jjj")</f>
        <v>lun</v>
      </c>
      <c r="X5" s="1" t="str">
        <f>TEXT(WEEKDAY(DATE(AnnéeCalendrier,11,22),1),"jjj")</f>
        <v>mar</v>
      </c>
      <c r="Y5" s="1" t="str">
        <f>TEXT(WEEKDAY(DATE(AnnéeCalendrier,11,23),1),"jjj")</f>
        <v>mer</v>
      </c>
      <c r="Z5" s="1" t="str">
        <f>TEXT(WEEKDAY(DATE(AnnéeCalendrier,11,24),1),"jjj")</f>
        <v>jeu</v>
      </c>
      <c r="AA5" s="1" t="str">
        <f>TEXT(WEEKDAY(DATE(AnnéeCalendrier,11,25),1),"jjj")</f>
        <v>ven</v>
      </c>
      <c r="AB5" s="1" t="str">
        <f>TEXT(WEEKDAY(DATE(AnnéeCalendrier,11,26),1),"jjj")</f>
        <v>sam</v>
      </c>
      <c r="AC5" s="1" t="str">
        <f>TEXT(WEEKDAY(DATE(AnnéeCalendrier,11,27),1),"jjj")</f>
        <v>dim</v>
      </c>
      <c r="AD5" s="1" t="str">
        <f>TEXT(WEEKDAY(DATE(AnnéeCalendrier,11,28),1),"jjj")</f>
        <v>lun</v>
      </c>
      <c r="AE5" s="1" t="str">
        <f>TEXT(WEEKDAY(DATE(AnnéeCalendrier,11,29),1),"jjj")</f>
        <v>mar</v>
      </c>
      <c r="AF5" s="1" t="str">
        <f>TEXT(WEEKDAY(DATE(AnnéeCalendrier,11,30),1),"jjj")</f>
        <v>mer</v>
      </c>
      <c r="AG5" s="1"/>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COUNTA(Novembre[[#This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COUNTA(Novembre[[#This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COUNTA(Novembre[[#This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COUNTA(Novembre[[#This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COUNTA(Novembre[[#This Row],[1]:[31]])</f>
        <v>0</v>
      </c>
    </row>
    <row r="12" spans="2:34" ht="30" customHeight="1" x14ac:dyDescent="0.25">
      <c r="B12" s="17" t="str">
        <f>NomMois&amp;" Total"</f>
        <v>Novembre Total</v>
      </c>
      <c r="C12" s="10">
        <f>SUBTOTAL(103,Novembre[1])</f>
        <v>0</v>
      </c>
      <c r="D12" s="10">
        <f>SUBTOTAL(103,Novembre[2])</f>
        <v>0</v>
      </c>
      <c r="E12" s="10">
        <f>SUBTOTAL(103,Novembre[3])</f>
        <v>0</v>
      </c>
      <c r="F12" s="10">
        <f>SUBTOTAL(103,Novembre[4])</f>
        <v>0</v>
      </c>
      <c r="G12" s="10">
        <f>SUBTOTAL(103,Novembre[5])</f>
        <v>0</v>
      </c>
      <c r="H12" s="10">
        <f>SUBTOTAL(103,Novembre[6])</f>
        <v>0</v>
      </c>
      <c r="I12" s="10">
        <f>SUBTOTAL(103,Novembre[7])</f>
        <v>0</v>
      </c>
      <c r="J12" s="10">
        <f>SUBTOTAL(103,Novembre[8])</f>
        <v>0</v>
      </c>
      <c r="K12" s="10">
        <f>SUBTOTAL(103,Novembre[9])</f>
        <v>0</v>
      </c>
      <c r="L12" s="10">
        <f>SUBTOTAL(103,Novembre[10])</f>
        <v>0</v>
      </c>
      <c r="M12" s="10">
        <f>SUBTOTAL(103,Novembre[11])</f>
        <v>0</v>
      </c>
      <c r="N12" s="10">
        <f>SUBTOTAL(103,Novembre[12])</f>
        <v>0</v>
      </c>
      <c r="O12" s="10">
        <f>SUBTOTAL(103,Novembre[13])</f>
        <v>0</v>
      </c>
      <c r="P12" s="10">
        <f>SUBTOTAL(103,Novembre[14])</f>
        <v>0</v>
      </c>
      <c r="Q12" s="10">
        <f>SUBTOTAL(103,Novembre[15])</f>
        <v>0</v>
      </c>
      <c r="R12" s="10">
        <f>SUBTOTAL(103,Novembre[16])</f>
        <v>0</v>
      </c>
      <c r="S12" s="10">
        <f>SUBTOTAL(103,Novembre[17])</f>
        <v>0</v>
      </c>
      <c r="T12" s="10">
        <f>SUBTOTAL(103,Novembre[18])</f>
        <v>0</v>
      </c>
      <c r="U12" s="10">
        <f>SUBTOTAL(103,Novembre[19])</f>
        <v>0</v>
      </c>
      <c r="V12" s="10">
        <f>SUBTOTAL(103,Novembre[20])</f>
        <v>0</v>
      </c>
      <c r="W12" s="10">
        <f>SUBTOTAL(103,Novembre[21])</f>
        <v>0</v>
      </c>
      <c r="X12" s="10">
        <f>SUBTOTAL(103,Novembre[22])</f>
        <v>0</v>
      </c>
      <c r="Y12" s="10">
        <f>SUBTOTAL(103,Novembre[23])</f>
        <v>0</v>
      </c>
      <c r="Z12" s="10">
        <f>SUBTOTAL(103,Novembre[24])</f>
        <v>0</v>
      </c>
      <c r="AA12" s="10">
        <f>SUBTOTAL(103,Novembre[25])</f>
        <v>0</v>
      </c>
      <c r="AB12" s="10">
        <f>SUBTOTAL(103,Novembre[26])</f>
        <v>0</v>
      </c>
      <c r="AC12" s="10">
        <f>SUBTOTAL(103,Novembre[27])</f>
        <v>0</v>
      </c>
      <c r="AD12" s="10">
        <f>SUBTOTAL(103,Novembre[28])</f>
        <v>0</v>
      </c>
      <c r="AE12" s="10">
        <f>SUBTOTAL(103,Novembre[29])</f>
        <v>0</v>
      </c>
      <c r="AF12" s="10">
        <f>SUBTOTAL(109,Novembre[30])</f>
        <v>0</v>
      </c>
      <c r="AG12" s="10">
        <f>SUBTOTAL(109,Novembre[31])</f>
        <v>0</v>
      </c>
      <c r="AH12" s="10">
        <f>SUBTOTAL(109,Novembre[Total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9" priority="3" stopIfTrue="1">
      <formula>C7=CléPersonnalisée2</formula>
    </cfRule>
    <cfRule type="expression" dxfId="8" priority="4" stopIfTrue="1">
      <formula>C7=CléPersonnalisée1</formula>
    </cfRule>
    <cfRule type="expression" dxfId="7" priority="5" stopIfTrue="1">
      <formula>C7=CléMaladie</formula>
    </cfRule>
    <cfRule type="expression" dxfId="6" priority="6" stopIfTrue="1">
      <formula>C7=CléPersonnel</formula>
    </cfRule>
    <cfRule type="expression" dxfId="5"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{378A5472-3281-40BC-8F01-49A29F3DB383}</x14:id>
        </ext>
      </extLst>
    </cfRule>
  </conditionalFormatting>
  <dataValidations count="1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Entrez une étiquette pour décrire la clé personnalisée à gauche" sqref="N2 S2"/>
    <dataValidation allowBlank="1" showInputMessage="1" showErrorMessage="1" prompt="Entrez une lettre et personnalisez l’étiquette à droite pour ajouter un élément de clé" sqref="M2 R2"/>
    <dataValidation allowBlank="1" showInputMessage="1" showErrorMessage="1" prompt="La lettre « M » indique une absence pour cause de maladie" sqref="J2"/>
    <dataValidation allowBlank="1" showInputMessage="1" showErrorMessage="1" prompt="La lettre « P » indique une absence pour motifs personnels" sqref="F2"/>
    <dataValidation allowBlank="1" showInputMessage="1" showErrorMessage="1" prompt="La lettre « C » indique une absence pour cause de congé" sqref="C2"/>
    <dataValidation allowBlank="1" showInputMessage="1" showErrorMessage="1" prompt="Le titre mis à jour automatiquement figure dans cette cellule. Pour modifier le titre, mettez à jour la cellule B1 de la feuille de calcul Janvier" sqref="B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Suivez les absences du mois de novembre dans cette feuille de calcul" sqref="A1"/>
    <dataValidation allowBlank="1" showInputMessage="1" showErrorMessage="1" prompt="Calcule automatiquement le nombre total de jours d’absence d’un employé durant ce mois dans cette colonne" sqref="AH6"/>
    <dataValidation allowBlank="1" showInputMessage="1" showErrorMessage="1" prompt="Année mise à jour automatiquement en fonction de l’année entrée dans la feuille de calcul Janvier" sqref="AH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378A5472-3281-40BC-8F01-49A29F3DB383}">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B1:AH12"/>
  <sheetViews>
    <sheetView showGridLines="0" zoomScaleNormal="100" workbookViewId="0">
      <selection activeCell="C14" sqref="C14"/>
    </sheetView>
  </sheetViews>
  <sheetFormatPr baseColWidth="10" defaultColWidth="9.140625" defaultRowHeight="30" customHeight="1" x14ac:dyDescent="0.25"/>
  <cols>
    <col min="1" max="1" width="2.7109375" customWidth="1"/>
    <col min="2" max="2" width="25.7109375" customWidth="1"/>
    <col min="3" max="33" width="4.7109375" customWidth="1"/>
    <col min="34" max="34" width="13.5703125" customWidth="1"/>
    <col min="35" max="35" width="2.7109375" customWidth="1"/>
  </cols>
  <sheetData>
    <row r="1" spans="2:34" ht="50.1" customHeight="1" x14ac:dyDescent="0.25">
      <c r="B1" s="11" t="str">
        <f>Titre_Absence_Employé</f>
        <v>Calendrier des absences des employés</v>
      </c>
    </row>
    <row r="2" spans="2:34" ht="15" customHeight="1" x14ac:dyDescent="0.25">
      <c r="B2" s="15" t="s">
        <v>1</v>
      </c>
      <c r="C2" s="2" t="s">
        <v>8</v>
      </c>
      <c r="D2" s="25" t="s">
        <v>11</v>
      </c>
      <c r="E2" s="25"/>
      <c r="F2" s="3" t="s">
        <v>14</v>
      </c>
      <c r="G2" s="25" t="s">
        <v>18</v>
      </c>
      <c r="H2" s="25"/>
      <c r="I2" s="25"/>
      <c r="J2" s="4" t="s">
        <v>16</v>
      </c>
      <c r="K2" s="25" t="s">
        <v>23</v>
      </c>
      <c r="L2" s="25"/>
      <c r="M2" s="5"/>
      <c r="N2" s="25" t="s">
        <v>27</v>
      </c>
      <c r="O2" s="25"/>
      <c r="P2" s="25"/>
      <c r="Q2" s="25"/>
      <c r="R2" s="6"/>
      <c r="S2" s="25" t="s">
        <v>32</v>
      </c>
      <c r="T2" s="25"/>
      <c r="U2" s="25"/>
      <c r="V2" s="25"/>
    </row>
    <row r="3" spans="2:34" ht="15" customHeight="1" x14ac:dyDescent="0.25">
      <c r="B3" s="11"/>
    </row>
    <row r="4" spans="2:34" ht="30" customHeight="1" x14ac:dyDescent="0.25">
      <c r="B4" s="9" t="s">
        <v>62</v>
      </c>
      <c r="C4" s="24" t="s">
        <v>9</v>
      </c>
      <c r="D4" s="24"/>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9">
        <f>AnnéeCalendrier</f>
        <v>2016</v>
      </c>
    </row>
    <row r="5" spans="2:34" ht="15" customHeight="1" x14ac:dyDescent="0.25">
      <c r="B5" s="9"/>
      <c r="C5" s="1" t="str">
        <f>TEXT(WEEKDAY(DATE(AnnéeCalendrier,12,1),1),"jjj")</f>
        <v>jeu</v>
      </c>
      <c r="D5" s="1" t="str">
        <f>TEXT(WEEKDAY(DATE(AnnéeCalendrier,12,2),1),"jjj")</f>
        <v>ven</v>
      </c>
      <c r="E5" s="1" t="str">
        <f>TEXT(WEEKDAY(DATE(AnnéeCalendrier,12,3),1),"jjj")</f>
        <v>sam</v>
      </c>
      <c r="F5" s="1" t="str">
        <f>TEXT(WEEKDAY(DATE(AnnéeCalendrier,12,4),1),"jjj")</f>
        <v>dim</v>
      </c>
      <c r="G5" s="1" t="str">
        <f>TEXT(WEEKDAY(DATE(AnnéeCalendrier,12,5),1),"jjj")</f>
        <v>lun</v>
      </c>
      <c r="H5" s="1" t="str">
        <f>TEXT(WEEKDAY(DATE(AnnéeCalendrier,12,6),1),"jjj")</f>
        <v>mar</v>
      </c>
      <c r="I5" s="1" t="str">
        <f>TEXT(WEEKDAY(DATE(AnnéeCalendrier,12,7),1),"jjj")</f>
        <v>mer</v>
      </c>
      <c r="J5" s="1" t="str">
        <f>TEXT(WEEKDAY(DATE(AnnéeCalendrier,12,8),1),"jjj")</f>
        <v>jeu</v>
      </c>
      <c r="K5" s="1" t="str">
        <f>TEXT(WEEKDAY(DATE(AnnéeCalendrier,12,9),1),"jjj")</f>
        <v>ven</v>
      </c>
      <c r="L5" s="1" t="str">
        <f>TEXT(WEEKDAY(DATE(AnnéeCalendrier,12,10),1),"jjj")</f>
        <v>sam</v>
      </c>
      <c r="M5" s="1" t="str">
        <f>TEXT(WEEKDAY(DATE(AnnéeCalendrier,12,11),1),"jjj")</f>
        <v>dim</v>
      </c>
      <c r="N5" s="1" t="str">
        <f>TEXT(WEEKDAY(DATE(AnnéeCalendrier,12,12),1),"jjj")</f>
        <v>lun</v>
      </c>
      <c r="O5" s="1" t="str">
        <f>TEXT(WEEKDAY(DATE(AnnéeCalendrier,12,13),1),"jjj")</f>
        <v>mar</v>
      </c>
      <c r="P5" s="1" t="str">
        <f>TEXT(WEEKDAY(DATE(AnnéeCalendrier,12,14),1),"jjj")</f>
        <v>mer</v>
      </c>
      <c r="Q5" s="1" t="str">
        <f>TEXT(WEEKDAY(DATE(AnnéeCalendrier,12,15),1),"jjj")</f>
        <v>jeu</v>
      </c>
      <c r="R5" s="1" t="str">
        <f>TEXT(WEEKDAY(DATE(AnnéeCalendrier,12,16),1),"jjj")</f>
        <v>ven</v>
      </c>
      <c r="S5" s="1" t="str">
        <f>TEXT(WEEKDAY(DATE(AnnéeCalendrier,12,17),1),"jjj")</f>
        <v>sam</v>
      </c>
      <c r="T5" s="1" t="str">
        <f>TEXT(WEEKDAY(DATE(AnnéeCalendrier,12,18),1),"jjj")</f>
        <v>dim</v>
      </c>
      <c r="U5" s="1" t="str">
        <f>TEXT(WEEKDAY(DATE(AnnéeCalendrier,12,19),1),"jjj")</f>
        <v>lun</v>
      </c>
      <c r="V5" s="1" t="str">
        <f>TEXT(WEEKDAY(DATE(AnnéeCalendrier,12,20),1),"jjj")</f>
        <v>mar</v>
      </c>
      <c r="W5" s="1" t="str">
        <f>TEXT(WEEKDAY(DATE(AnnéeCalendrier,12,21),1),"jjj")</f>
        <v>mer</v>
      </c>
      <c r="X5" s="1" t="str">
        <f>TEXT(WEEKDAY(DATE(AnnéeCalendrier,12,22),1),"jjj")</f>
        <v>jeu</v>
      </c>
      <c r="Y5" s="1" t="str">
        <f>TEXT(WEEKDAY(DATE(AnnéeCalendrier,12,23),1),"jjj")</f>
        <v>ven</v>
      </c>
      <c r="Z5" s="1" t="str">
        <f>TEXT(WEEKDAY(DATE(AnnéeCalendrier,12,24),1),"jjj")</f>
        <v>sam</v>
      </c>
      <c r="AA5" s="1" t="str">
        <f>TEXT(WEEKDAY(DATE(AnnéeCalendrier,12,25),1),"jjj")</f>
        <v>dim</v>
      </c>
      <c r="AB5" s="1" t="str">
        <f>TEXT(WEEKDAY(DATE(AnnéeCalendrier,12,26),1),"jjj")</f>
        <v>lun</v>
      </c>
      <c r="AC5" s="1" t="str">
        <f>TEXT(WEEKDAY(DATE(AnnéeCalendrier,12,27),1),"jjj")</f>
        <v>mar</v>
      </c>
      <c r="AD5" s="1" t="str">
        <f>TEXT(WEEKDAY(DATE(AnnéeCalendrier,12,28),1),"jjj")</f>
        <v>mer</v>
      </c>
      <c r="AE5" s="1" t="str">
        <f>TEXT(WEEKDAY(DATE(AnnéeCalendrier,12,29),1),"jjj")</f>
        <v>jeu</v>
      </c>
      <c r="AF5" s="1" t="str">
        <f>TEXT(WEEKDAY(DATE(AnnéeCalendrier,12,30),1),"jjj")</f>
        <v>ven</v>
      </c>
      <c r="AG5" s="1" t="str">
        <f>TEXT(WEEKDAY(DATE(AnnéeCalendrier,12,31),1),"jjj")</f>
        <v>sam</v>
      </c>
      <c r="AH5" s="9"/>
    </row>
    <row r="6" spans="2:34" ht="15" customHeight="1" x14ac:dyDescent="0.25">
      <c r="B6" s="12" t="s">
        <v>2</v>
      </c>
      <c r="C6" s="1" t="s">
        <v>10</v>
      </c>
      <c r="D6" s="1" t="s">
        <v>12</v>
      </c>
      <c r="E6" s="1" t="s">
        <v>13</v>
      </c>
      <c r="F6" s="1" t="s">
        <v>15</v>
      </c>
      <c r="G6" s="1" t="s">
        <v>17</v>
      </c>
      <c r="H6" s="1" t="s">
        <v>19</v>
      </c>
      <c r="I6" s="1" t="s">
        <v>20</v>
      </c>
      <c r="J6" s="1" t="s">
        <v>21</v>
      </c>
      <c r="K6" s="1" t="s">
        <v>22</v>
      </c>
      <c r="L6" s="1" t="s">
        <v>24</v>
      </c>
      <c r="M6" s="1" t="s">
        <v>25</v>
      </c>
      <c r="N6" s="1" t="s">
        <v>26</v>
      </c>
      <c r="O6" s="1" t="s">
        <v>28</v>
      </c>
      <c r="P6" s="1" t="s">
        <v>29</v>
      </c>
      <c r="Q6" s="1" t="s">
        <v>30</v>
      </c>
      <c r="R6" s="1" t="s">
        <v>31</v>
      </c>
      <c r="S6" s="1" t="s">
        <v>33</v>
      </c>
      <c r="T6" s="1" t="s">
        <v>34</v>
      </c>
      <c r="U6" s="1" t="s">
        <v>35</v>
      </c>
      <c r="V6" s="1" t="s">
        <v>36</v>
      </c>
      <c r="W6" s="1" t="s">
        <v>37</v>
      </c>
      <c r="X6" s="1" t="s">
        <v>38</v>
      </c>
      <c r="Y6" s="1" t="s">
        <v>39</v>
      </c>
      <c r="Z6" s="1" t="s">
        <v>40</v>
      </c>
      <c r="AA6" s="1" t="s">
        <v>41</v>
      </c>
      <c r="AB6" s="1" t="s">
        <v>42</v>
      </c>
      <c r="AC6" s="1" t="s">
        <v>43</v>
      </c>
      <c r="AD6" s="1" t="s">
        <v>44</v>
      </c>
      <c r="AE6" s="1" t="s">
        <v>45</v>
      </c>
      <c r="AF6" s="1" t="s">
        <v>46</v>
      </c>
      <c r="AG6" s="1" t="s">
        <v>47</v>
      </c>
      <c r="AH6" s="13" t="s">
        <v>49</v>
      </c>
    </row>
    <row r="7" spans="2:34" ht="30" customHeight="1" x14ac:dyDescent="0.25">
      <c r="B7" s="7" t="s">
        <v>3</v>
      </c>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8">
        <f>COUNTA(Décembre[[#This Row],[1]:[31]])</f>
        <v>0</v>
      </c>
    </row>
    <row r="8" spans="2:34" ht="30" customHeight="1" x14ac:dyDescent="0.25">
      <c r="B8" s="7" t="s">
        <v>4</v>
      </c>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8">
        <f>COUNTA(Décembre[[#This Row],[1]:[31]])</f>
        <v>0</v>
      </c>
    </row>
    <row r="9" spans="2:34" ht="30" customHeight="1" x14ac:dyDescent="0.25">
      <c r="B9" s="7" t="s">
        <v>5</v>
      </c>
      <c r="C9" s="1"/>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8">
        <f>COUNTA(Décembre[[#This Row],[1]:[31]])</f>
        <v>0</v>
      </c>
    </row>
    <row r="10" spans="2:34" ht="30" customHeight="1" x14ac:dyDescent="0.25">
      <c r="B10" s="7" t="s">
        <v>6</v>
      </c>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8">
        <f>COUNTA(Décembre[[#This Row],[1]:[31]])</f>
        <v>0</v>
      </c>
    </row>
    <row r="11" spans="2:34" ht="30" customHeight="1" x14ac:dyDescent="0.25">
      <c r="B11" s="7" t="s">
        <v>7</v>
      </c>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8">
        <f>COUNTA(Décembre[[#This Row],[1]:[31]])</f>
        <v>0</v>
      </c>
    </row>
    <row r="12" spans="2:34" ht="30" customHeight="1" x14ac:dyDescent="0.25">
      <c r="B12" s="17" t="str">
        <f>NomMois&amp;" Total"</f>
        <v>Décembre Total</v>
      </c>
      <c r="C12" s="10">
        <f>SUBTOTAL(103,Décembre[1])</f>
        <v>0</v>
      </c>
      <c r="D12" s="10">
        <f>SUBTOTAL(103,Décembre[2])</f>
        <v>0</v>
      </c>
      <c r="E12" s="10">
        <f>SUBTOTAL(103,Décembre[3])</f>
        <v>0</v>
      </c>
      <c r="F12" s="10">
        <f>SUBTOTAL(103,Décembre[4])</f>
        <v>0</v>
      </c>
      <c r="G12" s="10">
        <f>SUBTOTAL(103,Décembre[5])</f>
        <v>0</v>
      </c>
      <c r="H12" s="10">
        <f>SUBTOTAL(103,Décembre[6])</f>
        <v>0</v>
      </c>
      <c r="I12" s="10">
        <f>SUBTOTAL(103,Décembre[7])</f>
        <v>0</v>
      </c>
      <c r="J12" s="10">
        <f>SUBTOTAL(103,Décembre[8])</f>
        <v>0</v>
      </c>
      <c r="K12" s="10">
        <f>SUBTOTAL(103,Décembre[9])</f>
        <v>0</v>
      </c>
      <c r="L12" s="10">
        <f>SUBTOTAL(103,Décembre[10])</f>
        <v>0</v>
      </c>
      <c r="M12" s="10">
        <f>SUBTOTAL(103,Décembre[11])</f>
        <v>0</v>
      </c>
      <c r="N12" s="10">
        <f>SUBTOTAL(103,Décembre[12])</f>
        <v>0</v>
      </c>
      <c r="O12" s="10">
        <f>SUBTOTAL(103,Décembre[13])</f>
        <v>0</v>
      </c>
      <c r="P12" s="10">
        <f>SUBTOTAL(103,Décembre[14])</f>
        <v>0</v>
      </c>
      <c r="Q12" s="10">
        <f>SUBTOTAL(103,Décembre[15])</f>
        <v>0</v>
      </c>
      <c r="R12" s="10">
        <f>SUBTOTAL(103,Décembre[16])</f>
        <v>0</v>
      </c>
      <c r="S12" s="10">
        <f>SUBTOTAL(103,Décembre[17])</f>
        <v>0</v>
      </c>
      <c r="T12" s="10">
        <f>SUBTOTAL(103,Décembre[18])</f>
        <v>0</v>
      </c>
      <c r="U12" s="10">
        <f>SUBTOTAL(103,Décembre[19])</f>
        <v>0</v>
      </c>
      <c r="V12" s="10">
        <f>SUBTOTAL(103,Décembre[20])</f>
        <v>0</v>
      </c>
      <c r="W12" s="10">
        <f>SUBTOTAL(103,Décembre[21])</f>
        <v>0</v>
      </c>
      <c r="X12" s="10">
        <f>SUBTOTAL(103,Décembre[22])</f>
        <v>0</v>
      </c>
      <c r="Y12" s="10">
        <f>SUBTOTAL(103,Décembre[23])</f>
        <v>0</v>
      </c>
      <c r="Z12" s="10">
        <f>SUBTOTAL(103,Décembre[24])</f>
        <v>0</v>
      </c>
      <c r="AA12" s="10">
        <f>SUBTOTAL(103,Décembre[25])</f>
        <v>0</v>
      </c>
      <c r="AB12" s="10">
        <f>SUBTOTAL(103,Décembre[26])</f>
        <v>0</v>
      </c>
      <c r="AC12" s="10">
        <f>SUBTOTAL(103,Décembre[27])</f>
        <v>0</v>
      </c>
      <c r="AD12" s="10">
        <f>SUBTOTAL(103,Décembre[28])</f>
        <v>0</v>
      </c>
      <c r="AE12" s="10">
        <f>SUBTOTAL(103,Décembre[29])</f>
        <v>0</v>
      </c>
      <c r="AF12" s="10">
        <f>SUBTOTAL(109,Décembre[30])</f>
        <v>0</v>
      </c>
      <c r="AG12" s="10">
        <f>SUBTOTAL(109,Décembre[31])</f>
        <v>0</v>
      </c>
      <c r="AH12" s="10">
        <f>SUBTOTAL(109,Décembre[Total des jours])</f>
        <v>0</v>
      </c>
    </row>
  </sheetData>
  <mergeCells count="6">
    <mergeCell ref="C4:AG4"/>
    <mergeCell ref="D2:E2"/>
    <mergeCell ref="G2:I2"/>
    <mergeCell ref="K2:L2"/>
    <mergeCell ref="N2:Q2"/>
    <mergeCell ref="S2:V2"/>
  </mergeCells>
  <conditionalFormatting sqref="C7:AG11">
    <cfRule type="expression" priority="2" stopIfTrue="1">
      <formula>C7=""</formula>
    </cfRule>
  </conditionalFormatting>
  <conditionalFormatting sqref="C7:AG11">
    <cfRule type="expression" dxfId="4" priority="3" stopIfTrue="1">
      <formula>C7=CléPersonnalisée2</formula>
    </cfRule>
    <cfRule type="expression" dxfId="3" priority="4" stopIfTrue="1">
      <formula>C7=CléPersonnalisée1</formula>
    </cfRule>
    <cfRule type="expression" dxfId="2" priority="5" stopIfTrue="1">
      <formula>C7=CléMaladie</formula>
    </cfRule>
    <cfRule type="expression" dxfId="1" priority="6" stopIfTrue="1">
      <formula>C7=CléPersonnel</formula>
    </cfRule>
    <cfRule type="expression" dxfId="0" priority="7" stopIfTrue="1">
      <formula>C7=CléCongé</formula>
    </cfRule>
  </conditionalFormatting>
  <conditionalFormatting sqref="AH7:AH11">
    <cfRule type="dataBar" priority="1">
      <dataBar>
        <cfvo type="num" val="0"/>
        <cfvo type="num" val="31"/>
        <color theme="2" tint="-0.249977111117893"/>
      </dataBar>
      <extLst>
        <ext xmlns:x14="http://schemas.microsoft.com/office/spreadsheetml/2009/9/main" uri="{B025F937-C7B1-47D3-B67F-A62EFF666E3E}">
          <x14:id>{E3DDA731-F95C-4301-8642-6DFF7BE32238}</x14:id>
        </ext>
      </extLst>
    </cfRule>
  </conditionalFormatting>
  <dataValidations count="15">
    <dataValidation allowBlank="1" showInputMessage="1" showErrorMessage="1" prompt="Année mise à jour automatiquement en fonction de l’année entrée dans la feuille de calcul Janvier" sqref="AH4"/>
    <dataValidation allowBlank="1" showInputMessage="1" showErrorMessage="1" prompt="Calcule automatiquement le nombre total de jours d’absence d’un employé durant ce mois dans cette colonne" sqref="AH6"/>
    <dataValidation allowBlank="1" showInputMessage="1" showErrorMessage="1" prompt="Suivez les absences du mois de décembre dans cette feuille de calcul" sqref="A1"/>
    <dataValidation errorStyle="warning" allowBlank="1" showInputMessage="1" showErrorMessage="1" error="Sélectionnez un nom dans la liste. Sélectionnez ANNULER, appuyez sur ALT+FLÈCHE BAS, puis sur ENTRÉE pour sélectionner un nom" prompt="Entrez les noms des employés dans la feuille de calcul du Noms des employés, puis sélectionnez l’un des noms de la liste figurant dans cette colonne. Appuyez sur ALT+FLÈCHE BAS, puis sur ENTRÉE pour sélectionner un nom" sqref="B6"/>
    <dataValidation allowBlank="1" showInputMessage="1" showErrorMessage="1" prompt="Le titre mis à jour automatiquement figure dans cette cellule. Pour modifier le titre, mettez à jour la cellule B1 de la feuille de calcul Janvier" sqref="B1"/>
    <dataValidation allowBlank="1" showInputMessage="1" showErrorMessage="1" prompt="La lettre « C » indique une absence pour cause de congé" sqref="C2"/>
    <dataValidation allowBlank="1" showInputMessage="1" showErrorMessage="1" prompt="La lettre « P » indique une absence pour motifs personnels" sqref="F2"/>
    <dataValidation allowBlank="1" showInputMessage="1" showErrorMessage="1" prompt="La lettre « M » indique une absence pour cause de maladie" sqref="J2"/>
    <dataValidation allowBlank="1" showInputMessage="1" showErrorMessage="1" prompt="Entrez une lettre et personnalisez l’étiquette à droite pour ajouter un élément de clé" sqref="M2 R2"/>
    <dataValidation allowBlank="1" showInputMessage="1" showErrorMessage="1" prompt="Entrez une étiquette pour décrire la clé personnalisée à gauche" sqref="N2 S2"/>
    <dataValidation allowBlank="1" showInputMessage="1" showErrorMessage="1" prompt="Cette ligne définit les clés utilisées dans le tableau : Congé en C2, Personnel en F2 et Congé maladie en J2. Les cellules M2 et R2 sont personnalisables " sqref="B2"/>
    <dataValidation allowBlank="1" showInputMessage="1" showErrorMessage="1" prompt="Nom du mois pour ce calendrier des absences dans cette cellule. Le total des absences pour ce mois figure dans la dernière cellule du tableau. Sélectionnez les noms des employés dans la colonne B du tableau" sqref="B4"/>
    <dataValidation allowBlank="1" showInputMessage="1" showErrorMessage="1" prompt="Les jours de la semaine dans cette ligne sont mis à jour automatiquement pour le mois en fonction de l’année dans AH4. Chaque jour du mois est une colonne dans laquelle noter l’absence et le motif d’absence d’un employé" sqref="C5"/>
    <dataValidation allowBlank="1" showInputMessage="1" showErrorMessage="1" prompt="Les jours du mois dans cette ligne sont générés automatiquement. Entrez l’absence et le motif d’absence d’un employé dans chaque colonne pour chaque jour du mois. Un champ vide indique qu’il n’y a pas eu d’absence" sqref="C6"/>
    <dataValidation type="list" allowBlank="1" showInputMessage="1" showErrorMessage="1" sqref="B7:B11">
      <formula1>#REF!</formula1>
    </dataValidation>
  </dataValidations>
  <printOptions horizontalCentered="1"/>
  <pageMargins left="0.25" right="0.25" top="0.75" bottom="0.75" header="0.3" footer="0.3"/>
  <pageSetup paperSize="9" scale="75" fitToHeight="0" orientation="landscape" r:id="rId1"/>
  <headerFooter differentFirst="1">
    <oddFooter>Page &amp;P of &amp;N</oddFooter>
  </headerFooter>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E3DDA731-F95C-4301-8642-6DFF7BE32238}">
            <x14:dataBar minLength="0" maxLength="100">
              <x14:cfvo type="num">
                <xm:f>0</xm:f>
              </x14:cfvo>
              <x14:cfvo type="num">
                <xm:f>31</xm:f>
              </x14:cfvo>
              <x14:negativeFillColor rgb="FFFF0000"/>
              <x14:axisColor rgb="FF000000"/>
            </x14:dataBar>
          </x14:cfRule>
          <xm:sqref>AH7:AH11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49</vt:i4>
      </vt:variant>
    </vt:vector>
  </HeadingPairs>
  <TitlesOfParts>
    <vt:vector size="62" baseType="lpstr">
      <vt:lpstr>Collègue</vt: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CléCongé</vt:lpstr>
      <vt:lpstr>CléMaladie</vt:lpstr>
      <vt:lpstr>CléPersonnalisée1</vt:lpstr>
      <vt:lpstr>CléPersonnalisée2</vt:lpstr>
      <vt:lpstr>CléPersonnel</vt:lpstr>
      <vt:lpstr>ÉtiquetteCléCongé</vt:lpstr>
      <vt:lpstr>ÉtiquetteCléMaladie</vt:lpstr>
      <vt:lpstr>ÉtiquetteCléPersonnalisée1</vt:lpstr>
      <vt:lpstr>ÉtiquetteCléPersonnalisée2</vt:lpstr>
      <vt:lpstr>ÉtiquetteCléPersonnel</vt:lpstr>
      <vt:lpstr>Août!Impression_des_titres</vt:lpstr>
      <vt:lpstr>Avril!Impression_des_titres</vt:lpstr>
      <vt:lpstr>Décembre!Impression_des_titres</vt:lpstr>
      <vt:lpstr>Février!Impression_des_titres</vt:lpstr>
      <vt:lpstr>Janvier!Impression_des_titres</vt:lpstr>
      <vt:lpstr>Juillet!Impression_des_titres</vt:lpstr>
      <vt:lpstr>Juin!Impression_des_titres</vt:lpstr>
      <vt:lpstr>Mai!Impression_des_titres</vt:lpstr>
      <vt:lpstr>Mars!Impression_des_titres</vt:lpstr>
      <vt:lpstr>Novembre!Impression_des_titres</vt:lpstr>
      <vt:lpstr>Octobre!Impression_des_titres</vt:lpstr>
      <vt:lpstr>Septembre!Impression_des_titres</vt:lpstr>
      <vt:lpstr>Nom_clé</vt:lpstr>
      <vt:lpstr>Août!NomMois</vt:lpstr>
      <vt:lpstr>Avril!NomMois</vt:lpstr>
      <vt:lpstr>Décembre!NomMois</vt:lpstr>
      <vt:lpstr>Février!NomMois</vt:lpstr>
      <vt:lpstr>Janvier!NomMois</vt:lpstr>
      <vt:lpstr>Juillet!NomMois</vt:lpstr>
      <vt:lpstr>Juin!NomMois</vt:lpstr>
      <vt:lpstr>Mai!NomMois</vt:lpstr>
      <vt:lpstr>Mars!NomMois</vt:lpstr>
      <vt:lpstr>Novembre!NomMois</vt:lpstr>
      <vt:lpstr>Octobre!NomMois</vt:lpstr>
      <vt:lpstr>Septembre!NomMois</vt:lpstr>
      <vt:lpstr>Titre_Absence_Employé</vt:lpstr>
      <vt:lpstr>Titre1</vt:lpstr>
      <vt:lpstr>Titre10</vt:lpstr>
      <vt:lpstr>Titre11</vt:lpstr>
      <vt:lpstr>Titre12</vt:lpstr>
      <vt:lpstr>Titre2</vt:lpstr>
      <vt:lpstr>Titre3</vt:lpstr>
      <vt:lpstr>Titre4</vt:lpstr>
      <vt:lpstr>Titre5</vt:lpstr>
      <vt:lpstr>Titre6</vt:lpstr>
      <vt:lpstr>Titre7</vt:lpstr>
      <vt:lpstr>Titre8</vt:lpstr>
      <vt:lpstr>Titre9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Kamal Achouri</dc:creator>
  <cp:lastModifiedBy>kachouri</cp:lastModifiedBy>
  <dcterms:created xsi:type="dcterms:W3CDTF">2016-12-06T04:52:27Z</dcterms:created>
  <dcterms:modified xsi:type="dcterms:W3CDTF">2023-06-01T12:59:51Z</dcterms:modified>
</cp:coreProperties>
</file>