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Ferme\"/>
    </mc:Choice>
  </mc:AlternateContent>
  <bookViews>
    <workbookView xWindow="-120" yWindow="-120" windowWidth="24240" windowHeight="13140" tabRatio="791" activeTab="2"/>
  </bookViews>
  <sheets>
    <sheet name="Assolement" sheetId="10" r:id="rId1"/>
    <sheet name="Marges cultures" sheetId="18" r:id="rId2"/>
    <sheet name="Marges années" sheetId="20" r:id="rId3"/>
    <sheet name="Bilan fonctionnel_sauvegarde" sheetId="6" state="hidden" r:id="rId4"/>
  </sheets>
  <definedNames>
    <definedName name="annees">Assolement!$C$1:$F$1</definedName>
    <definedName name="cultures">Assolement!$A$10:$A$14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20" l="1"/>
  <c r="D5" i="20"/>
  <c r="E5" i="20"/>
  <c r="F5" i="20"/>
  <c r="C6" i="20"/>
  <c r="D6" i="20"/>
  <c r="E6" i="20"/>
  <c r="F6" i="20"/>
  <c r="C7" i="20"/>
  <c r="D7" i="20"/>
  <c r="E7" i="20"/>
  <c r="F7" i="20"/>
  <c r="C8" i="20"/>
  <c r="D8" i="20"/>
  <c r="E8" i="20"/>
  <c r="F8" i="20"/>
  <c r="C9" i="20"/>
  <c r="D9" i="20"/>
  <c r="E9" i="20"/>
  <c r="F9" i="20"/>
  <c r="C10" i="20"/>
  <c r="D10" i="20"/>
  <c r="E10" i="20"/>
  <c r="F10" i="20"/>
  <c r="C11" i="20"/>
  <c r="D11" i="20"/>
  <c r="E11" i="20"/>
  <c r="F11" i="20"/>
  <c r="C12" i="20"/>
  <c r="D12" i="20"/>
  <c r="E12" i="20"/>
  <c r="F12" i="20"/>
  <c r="C13" i="20"/>
  <c r="D13" i="20"/>
  <c r="E13" i="20"/>
  <c r="F13" i="20"/>
  <c r="B13" i="20"/>
  <c r="B12" i="20"/>
  <c r="B11" i="20"/>
  <c r="B10" i="20"/>
  <c r="B9" i="20"/>
  <c r="B8" i="20"/>
  <c r="B7" i="20"/>
  <c r="B6" i="20"/>
  <c r="B5" i="20"/>
  <c r="B4" i="20"/>
  <c r="B3" i="20"/>
  <c r="C4" i="20"/>
  <c r="D4" i="20"/>
  <c r="E4" i="20"/>
  <c r="F4" i="20"/>
  <c r="C3" i="20"/>
  <c r="D3" i="20"/>
  <c r="E3" i="20"/>
  <c r="F3" i="20"/>
  <c r="C10" i="10"/>
  <c r="B2" i="20"/>
  <c r="F2" i="20"/>
  <c r="E2" i="20"/>
  <c r="D2" i="20"/>
  <c r="C2" i="20"/>
  <c r="C11" i="10"/>
  <c r="D5" i="18"/>
  <c r="J5" i="18"/>
  <c r="F13" i="10"/>
  <c r="E13" i="10"/>
  <c r="D13" i="10"/>
  <c r="C13" i="10"/>
  <c r="L5" i="18" l="1"/>
  <c r="D2" i="18"/>
  <c r="D3" i="18"/>
  <c r="D4" i="18"/>
  <c r="D6" i="18"/>
  <c r="J3" i="18" l="1"/>
  <c r="L3" i="18" s="1"/>
  <c r="J4" i="18"/>
  <c r="L4" i="18" s="1"/>
  <c r="J6" i="18"/>
  <c r="L6" i="18" s="1"/>
  <c r="J2" i="18"/>
  <c r="L2" i="18" s="1"/>
  <c r="C12" i="10"/>
  <c r="F14" i="10"/>
  <c r="F12" i="10"/>
  <c r="F11" i="10"/>
  <c r="F10" i="10"/>
  <c r="E14" i="10"/>
  <c r="E12" i="10"/>
  <c r="E11" i="10"/>
  <c r="E10" i="10"/>
  <c r="D14" i="10"/>
  <c r="D12" i="10"/>
  <c r="D11" i="10"/>
  <c r="D10" i="10"/>
  <c r="C14" i="10"/>
  <c r="D2" i="6" l="1"/>
  <c r="C2" i="6"/>
  <c r="B14" i="6"/>
  <c r="B8" i="6"/>
  <c r="C8" i="6"/>
  <c r="D8" i="6"/>
  <c r="B2" i="6" l="1"/>
  <c r="D10" i="6" l="1"/>
  <c r="D20" i="6"/>
  <c r="C24" i="6" l="1"/>
  <c r="D24" i="6"/>
  <c r="E24" i="6"/>
  <c r="B24" i="6"/>
  <c r="E10" i="6"/>
  <c r="E5" i="6"/>
  <c r="E20" i="6"/>
  <c r="E14" i="6"/>
  <c r="C20" i="6"/>
  <c r="B20" i="6"/>
  <c r="C14" i="6"/>
  <c r="D14" i="6"/>
  <c r="C10" i="6"/>
  <c r="B10" i="6"/>
  <c r="C5" i="6"/>
  <c r="D5" i="6"/>
  <c r="B5" i="6"/>
</calcChain>
</file>

<file path=xl/sharedStrings.xml><?xml version="1.0" encoding="utf-8"?>
<sst xmlns="http://schemas.openxmlformats.org/spreadsheetml/2006/main" count="99" uniqueCount="51">
  <si>
    <t>Capitaux propres</t>
  </si>
  <si>
    <t>Dettes CT</t>
  </si>
  <si>
    <t>Récolte 2015</t>
  </si>
  <si>
    <t>Récolte 2016</t>
  </si>
  <si>
    <t>Récolte 2017</t>
  </si>
  <si>
    <t>(+) Emprunts LMT</t>
  </si>
  <si>
    <t>(-) Actif immobilisé</t>
  </si>
  <si>
    <t>Stocks en cours</t>
  </si>
  <si>
    <t>(+) Créances</t>
  </si>
  <si>
    <t>(-) Dettes d'exploitation</t>
  </si>
  <si>
    <t>Liquidités</t>
  </si>
  <si>
    <t>(-) Concours bancaires</t>
  </si>
  <si>
    <t>(=) Trésorerie Nette</t>
  </si>
  <si>
    <t>(-) Dettes financières CT</t>
  </si>
  <si>
    <t>Groupe Codex 8</t>
  </si>
  <si>
    <t>(-) créances</t>
  </si>
  <si>
    <t>(=) FR</t>
  </si>
  <si>
    <t>(=) BFR</t>
  </si>
  <si>
    <t>(=) TNG</t>
  </si>
  <si>
    <t>Clients + TVA + autres créances, sans CCA</t>
  </si>
  <si>
    <t>Récolte 2020</t>
  </si>
  <si>
    <t>Récolte 2021</t>
  </si>
  <si>
    <t>Récolte 2022</t>
  </si>
  <si>
    <t>Récolte 2023</t>
  </si>
  <si>
    <t>Parcelle</t>
  </si>
  <si>
    <t>Culture</t>
  </si>
  <si>
    <t>Betterave</t>
  </si>
  <si>
    <t>Blé</t>
  </si>
  <si>
    <t>Colza</t>
  </si>
  <si>
    <t>Maïs</t>
  </si>
  <si>
    <t>Lin</t>
  </si>
  <si>
    <t>Surface Ha</t>
  </si>
  <si>
    <t>Rendement T/Ha</t>
  </si>
  <si>
    <t>Prix de vente €/T</t>
  </si>
  <si>
    <t>Surface</t>
  </si>
  <si>
    <t>Production €/Ha</t>
  </si>
  <si>
    <t>Semences €/Ha</t>
  </si>
  <si>
    <t>Engrais €/Ha</t>
  </si>
  <si>
    <t>Traitements €/Ha</t>
  </si>
  <si>
    <t>Emballages €/Ha</t>
  </si>
  <si>
    <t>Récolte €/Ha</t>
  </si>
  <si>
    <t>Charges €/Ha</t>
  </si>
  <si>
    <t>Marge brute €/Ha</t>
  </si>
  <si>
    <t>Parcelle 1</t>
  </si>
  <si>
    <t>Parcelle 2</t>
  </si>
  <si>
    <t>Parcelle 3</t>
  </si>
  <si>
    <t>Parcelle 4</t>
  </si>
  <si>
    <t>Parcelle 5</t>
  </si>
  <si>
    <t>Parcelle 6</t>
  </si>
  <si>
    <t>Aides €/ha</t>
  </si>
  <si>
    <t>Aides €/Ha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</si>
</sst>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9C5700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/>
      <bottom/>
      <diagonal style="thin">
        <color auto="1"/>
      </diagonal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  <xf numFmtId="0" fontId="4" fillId="3" borderId="0" applyNumberFormat="0" applyBorder="0" applyAlignment="0" applyProtection="0"/>
  </cellStyleXfs>
  <cellXfs count="15">
    <xf numFmtId="0" fontId="0" fillId="0" borderId="0" xfId="0"/>
    <xf numFmtId="0" fontId="0" fillId="0" borderId="3" xfId="0" applyBorder="1"/>
    <xf numFmtId="0" fontId="0" fillId="2" borderId="5" xfId="0" applyFill="1" applyBorder="1"/>
    <xf numFmtId="0" fontId="0" fillId="2" borderId="1" xfId="0" applyFill="1" applyBorder="1"/>
    <xf numFmtId="0" fontId="0" fillId="0" borderId="7" xfId="0" applyBorder="1"/>
    <xf numFmtId="0" fontId="0" fillId="0" borderId="6" xfId="0" applyBorder="1"/>
    <xf numFmtId="0" fontId="0" fillId="2" borderId="6" xfId="0" applyFill="1" applyBorder="1"/>
    <xf numFmtId="0" fontId="0" fillId="2" borderId="2" xfId="0" applyFill="1" applyBorder="1"/>
    <xf numFmtId="0" fontId="0" fillId="0" borderId="4" xfId="0" applyBorder="1"/>
    <xf numFmtId="0" fontId="0" fillId="0" borderId="8" xfId="0" applyBorder="1"/>
    <xf numFmtId="14" fontId="3" fillId="0" borderId="2" xfId="0" applyNumberFormat="1" applyFont="1" applyBorder="1"/>
    <xf numFmtId="0" fontId="3" fillId="0" borderId="2" xfId="0" applyFont="1" applyBorder="1"/>
    <xf numFmtId="0" fontId="5" fillId="0" borderId="0" xfId="0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</cellXfs>
  <cellStyles count="6">
    <cellStyle name="Heading" xfId="1"/>
    <cellStyle name="Heading1" xfId="2"/>
    <cellStyle name="Neutre 2" xfId="5"/>
    <cellStyle name="Normal" xfId="0" builtinId="0" customBuiltin="1"/>
    <cellStyle name="Result" xfId="3"/>
    <cellStyle name="Result2" xfId="4"/>
  </cellStyles>
  <dxfs count="16">
    <dxf>
      <font>
        <b val="0"/>
        <i val="0"/>
        <strike val="0"/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603500"/>
      </font>
      <fill>
        <patternFill>
          <bgColor rgb="FFFFDB76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603500"/>
      </font>
      <fill>
        <patternFill>
          <bgColor rgb="FFFFDB76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603500"/>
      </font>
      <fill>
        <patternFill>
          <bgColor rgb="FFFFDB76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603500"/>
      </font>
      <fill>
        <patternFill>
          <bgColor rgb="FFFFDB76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Normal="100" workbookViewId="0">
      <selection sqref="A1:XFD1"/>
    </sheetView>
  </sheetViews>
  <sheetFormatPr baseColWidth="10" defaultRowHeight="12.75" x14ac:dyDescent="0.2"/>
  <cols>
    <col min="1" max="1" width="8.625" style="13" bestFit="1" customWidth="1"/>
    <col min="2" max="2" width="9.125" style="13" bestFit="1" customWidth="1"/>
    <col min="3" max="6" width="11.125" style="13" bestFit="1" customWidth="1"/>
    <col min="7" max="16384" width="11" style="13"/>
  </cols>
  <sheetData>
    <row r="1" spans="1:6" s="13" customFormat="1" x14ac:dyDescent="0.2">
      <c r="A1" s="13" t="s">
        <v>24</v>
      </c>
      <c r="B1" s="13" t="s">
        <v>34</v>
      </c>
      <c r="C1" s="13" t="s">
        <v>20</v>
      </c>
      <c r="D1" s="13" t="s">
        <v>21</v>
      </c>
      <c r="E1" s="13" t="s">
        <v>22</v>
      </c>
      <c r="F1" s="13" t="s">
        <v>23</v>
      </c>
    </row>
    <row r="2" spans="1:6" s="13" customFormat="1" x14ac:dyDescent="0.2">
      <c r="A2" s="13" t="s">
        <v>43</v>
      </c>
      <c r="B2" s="13">
        <v>10</v>
      </c>
      <c r="C2" s="13" t="s">
        <v>27</v>
      </c>
      <c r="D2" s="13" t="s">
        <v>28</v>
      </c>
      <c r="E2" s="13" t="s">
        <v>29</v>
      </c>
      <c r="F2" s="13" t="s">
        <v>26</v>
      </c>
    </row>
    <row r="3" spans="1:6" s="13" customFormat="1" x14ac:dyDescent="0.2">
      <c r="A3" s="13" t="s">
        <v>44</v>
      </c>
      <c r="B3" s="13">
        <v>5</v>
      </c>
      <c r="C3" s="13" t="s">
        <v>28</v>
      </c>
      <c r="D3" s="13" t="s">
        <v>29</v>
      </c>
      <c r="E3" s="13" t="s">
        <v>26</v>
      </c>
      <c r="F3" s="13" t="s">
        <v>27</v>
      </c>
    </row>
    <row r="4" spans="1:6" s="13" customFormat="1" x14ac:dyDescent="0.2">
      <c r="A4" s="13" t="s">
        <v>45</v>
      </c>
      <c r="B4" s="13">
        <v>8</v>
      </c>
      <c r="C4" s="13" t="s">
        <v>26</v>
      </c>
      <c r="D4" s="13" t="s">
        <v>27</v>
      </c>
      <c r="E4" s="13" t="s">
        <v>28</v>
      </c>
      <c r="F4" s="13" t="s">
        <v>29</v>
      </c>
    </row>
    <row r="5" spans="1:6" s="13" customFormat="1" x14ac:dyDescent="0.2">
      <c r="A5" s="13" t="s">
        <v>46</v>
      </c>
      <c r="B5" s="13">
        <v>3</v>
      </c>
      <c r="C5" s="13" t="s">
        <v>27</v>
      </c>
      <c r="D5" s="13" t="s">
        <v>30</v>
      </c>
      <c r="E5" s="13" t="s">
        <v>27</v>
      </c>
      <c r="F5" s="13" t="s">
        <v>28</v>
      </c>
    </row>
    <row r="6" spans="1:6" s="13" customFormat="1" x14ac:dyDescent="0.2">
      <c r="A6" s="13" t="s">
        <v>47</v>
      </c>
      <c r="B6" s="13">
        <v>11</v>
      </c>
      <c r="C6" s="13" t="s">
        <v>29</v>
      </c>
      <c r="D6" s="13" t="s">
        <v>29</v>
      </c>
      <c r="E6" s="13" t="s">
        <v>30</v>
      </c>
      <c r="F6" s="13" t="s">
        <v>27</v>
      </c>
    </row>
    <row r="7" spans="1:6" s="13" customFormat="1" x14ac:dyDescent="0.2">
      <c r="A7" s="13" t="s">
        <v>48</v>
      </c>
      <c r="B7" s="13">
        <v>7</v>
      </c>
      <c r="C7" s="13" t="s">
        <v>27</v>
      </c>
      <c r="D7" s="13" t="s">
        <v>27</v>
      </c>
      <c r="E7" s="13" t="s">
        <v>29</v>
      </c>
      <c r="F7" s="13" t="s">
        <v>26</v>
      </c>
    </row>
    <row r="10" spans="1:6" s="13" customFormat="1" x14ac:dyDescent="0.2">
      <c r="A10" s="13" t="s">
        <v>26</v>
      </c>
      <c r="C10" s="13">
        <f>SUMIF(C2:C7,$A$10,$B$2:$B$7)</f>
        <v>8</v>
      </c>
      <c r="D10" s="13">
        <f>SUMIF(D2:D7,$A$10,$B$2:$B$7)</f>
        <v>0</v>
      </c>
      <c r="E10" s="13">
        <f>SUMIF(E2:E7,$A$10,$B$2:$B$7)</f>
        <v>5</v>
      </c>
      <c r="F10" s="13">
        <f>SUMIF(F2:F7,$A$10,$B$2:$B$7)</f>
        <v>17</v>
      </c>
    </row>
    <row r="11" spans="1:6" s="13" customFormat="1" x14ac:dyDescent="0.2">
      <c r="A11" s="13" t="s">
        <v>27</v>
      </c>
      <c r="C11" s="13">
        <f>SUMIF(C2:C7,$A$11,$B$2:$B$7)</f>
        <v>20</v>
      </c>
      <c r="D11" s="13">
        <f>SUMIF(D2:D7,$A$11,$B$2:$B$7)</f>
        <v>15</v>
      </c>
      <c r="E11" s="13">
        <f>SUMIF(E2:E7,$A$11,$B$2:$B$7)</f>
        <v>3</v>
      </c>
      <c r="F11" s="13">
        <f>SUMIF(F2:F7,$A$11,$B$2:$B$7)</f>
        <v>16</v>
      </c>
    </row>
    <row r="12" spans="1:6" s="13" customFormat="1" x14ac:dyDescent="0.2">
      <c r="A12" s="13" t="s">
        <v>28</v>
      </c>
      <c r="C12" s="13">
        <f>SUMIF(C2:C7,$A$12,$B$2:$B$7)</f>
        <v>5</v>
      </c>
      <c r="D12" s="13">
        <f>SUMIF(D2:D7,$A$12,$B$2:$B$7)</f>
        <v>10</v>
      </c>
      <c r="E12" s="13">
        <f>SUMIF(E2:E7,$A$12,$B$2:$B$7)</f>
        <v>8</v>
      </c>
      <c r="F12" s="13">
        <f>SUMIF(F2:F7,$A$12,$B$2:$B$7)</f>
        <v>3</v>
      </c>
    </row>
    <row r="13" spans="1:6" s="13" customFormat="1" x14ac:dyDescent="0.2">
      <c r="A13" s="13" t="s">
        <v>30</v>
      </c>
      <c r="C13" s="13">
        <f>SUMIF(C2:C7,$A$13,$B$2:$B$7)</f>
        <v>0</v>
      </c>
      <c r="D13" s="13">
        <f>SUMIF(D2:D7,$A$13,$B$2:$B$7)</f>
        <v>3</v>
      </c>
      <c r="E13" s="13">
        <f>SUMIF(E2:E7,$A$13,$B$2:$B$7)</f>
        <v>11</v>
      </c>
      <c r="F13" s="13">
        <f>SUMIF(F2:F7,$A$13,$B$2:$B$7)</f>
        <v>0</v>
      </c>
    </row>
    <row r="14" spans="1:6" s="13" customFormat="1" x14ac:dyDescent="0.2">
      <c r="A14" s="13" t="s">
        <v>29</v>
      </c>
      <c r="C14" s="13">
        <f>SUMIF(C2:C7,$A$14,$B$2:$B$7)</f>
        <v>11</v>
      </c>
      <c r="D14" s="13">
        <f>SUMIF(D2:D7,$A$14,$B$2:$B$7)</f>
        <v>16</v>
      </c>
      <c r="E14" s="13">
        <f>SUMIF(E2:E7,$A$14,$B$2:$B$7)</f>
        <v>17</v>
      </c>
      <c r="F14" s="13">
        <f>SUMIF(F2:F7,$A$14,$B$2:$B$7)</f>
        <v>8</v>
      </c>
    </row>
  </sheetData>
  <conditionalFormatting sqref="C2:C7">
    <cfRule type="expression" dxfId="15" priority="341">
      <formula>#REF!=#REF!</formula>
    </cfRule>
    <cfRule type="expression" dxfId="14" priority="342">
      <formula>#REF!=#REF!</formula>
    </cfRule>
    <cfRule type="expression" dxfId="13" priority="343">
      <formula>#REF!=#REF!</formula>
    </cfRule>
    <cfRule type="expression" dxfId="12" priority="344">
      <formula>#REF!=#REF!</formula>
    </cfRule>
  </conditionalFormatting>
  <conditionalFormatting sqref="D2:D7">
    <cfRule type="expression" dxfId="11" priority="345">
      <formula>#REF!=#REF!</formula>
    </cfRule>
    <cfRule type="expression" dxfId="10" priority="346">
      <formula>#REF!=#REF!</formula>
    </cfRule>
    <cfRule type="expression" dxfId="9" priority="347">
      <formula>#REF!=#REF!</formula>
    </cfRule>
    <cfRule type="expression" dxfId="8" priority="348">
      <formula>#REF!=#REF!</formula>
    </cfRule>
  </conditionalFormatting>
  <conditionalFormatting sqref="E2:E7">
    <cfRule type="expression" dxfId="7" priority="349">
      <formula>#REF!=#REF!</formula>
    </cfRule>
    <cfRule type="expression" dxfId="6" priority="350">
      <formula>#REF!=#REF!</formula>
    </cfRule>
    <cfRule type="expression" dxfId="5" priority="351">
      <formula>#REF!=#REF!</formula>
    </cfRule>
    <cfRule type="expression" dxfId="4" priority="352">
      <formula>#REF!=#REF!</formula>
    </cfRule>
  </conditionalFormatting>
  <conditionalFormatting sqref="F2:F7">
    <cfRule type="expression" dxfId="3" priority="353">
      <formula>#REF!=#REF!</formula>
    </cfRule>
    <cfRule type="expression" dxfId="2" priority="354">
      <formula>#REF!=#REF!</formula>
    </cfRule>
    <cfRule type="expression" dxfId="1" priority="355">
      <formula>#REF!=#REF!</formula>
    </cfRule>
    <cfRule type="expression" dxfId="0" priority="356">
      <formula>#REF!=#REF!</formula>
    </cfRule>
  </conditionalFormatting>
  <dataValidations count="1">
    <dataValidation type="list" allowBlank="1" showInputMessage="1" showErrorMessage="1" sqref="C2:F7">
      <formula1>$A$10:$A$14</formula1>
    </dataValidation>
  </dataValidation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19" sqref="G19"/>
    </sheetView>
  </sheetViews>
  <sheetFormatPr baseColWidth="10" defaultRowHeight="12.75" x14ac:dyDescent="0.2"/>
  <cols>
    <col min="1" max="1" width="7.625" style="12" bestFit="1" customWidth="1"/>
    <col min="2" max="3" width="13" style="12" bestFit="1" customWidth="1"/>
    <col min="4" max="5" width="12.5" style="12" bestFit="1" customWidth="1"/>
    <col min="6" max="6" width="10.25" style="12" bestFit="1" customWidth="1"/>
    <col min="7" max="8" width="13.25" style="12" bestFit="1" customWidth="1"/>
    <col min="9" max="9" width="10.25" style="12" bestFit="1" customWidth="1"/>
    <col min="10" max="10" width="10.75" style="12" bestFit="1" customWidth="1"/>
    <col min="11" max="11" width="8.875" style="12" bestFit="1" customWidth="1"/>
    <col min="12" max="12" width="13.375" style="12" bestFit="1" customWidth="1"/>
    <col min="13" max="16384" width="11" style="12"/>
  </cols>
  <sheetData>
    <row r="1" spans="1:12" s="12" customFormat="1" x14ac:dyDescent="0.2">
      <c r="A1" s="12" t="s">
        <v>25</v>
      </c>
      <c r="B1" s="12" t="s">
        <v>32</v>
      </c>
      <c r="C1" s="12" t="s">
        <v>33</v>
      </c>
      <c r="D1" s="12" t="s">
        <v>35</v>
      </c>
      <c r="E1" s="12" t="s">
        <v>36</v>
      </c>
      <c r="F1" s="12" t="s">
        <v>37</v>
      </c>
      <c r="G1" s="12" t="s">
        <v>38</v>
      </c>
      <c r="H1" s="12" t="s">
        <v>39</v>
      </c>
      <c r="I1" s="12" t="s">
        <v>40</v>
      </c>
      <c r="J1" s="12" t="s">
        <v>41</v>
      </c>
      <c r="K1" s="12" t="s">
        <v>50</v>
      </c>
      <c r="L1" s="12" t="s">
        <v>42</v>
      </c>
    </row>
    <row r="2" spans="1:12" s="12" customFormat="1" x14ac:dyDescent="0.2">
      <c r="A2" s="12" t="s">
        <v>26</v>
      </c>
      <c r="B2" s="12">
        <v>110</v>
      </c>
      <c r="C2" s="12">
        <v>20</v>
      </c>
      <c r="D2" s="12">
        <f t="shared" ref="D2" si="0">B2*C2</f>
        <v>2200</v>
      </c>
      <c r="E2" s="12">
        <v>280</v>
      </c>
      <c r="F2" s="12">
        <v>150</v>
      </c>
      <c r="G2" s="12">
        <v>215</v>
      </c>
      <c r="H2" s="12">
        <v>35</v>
      </c>
      <c r="I2" s="12">
        <v>110</v>
      </c>
      <c r="J2" s="12">
        <f t="shared" ref="J2:J6" si="1">SUM(E2:I2)</f>
        <v>790</v>
      </c>
      <c r="L2" s="12">
        <f t="shared" ref="L2:L6" si="2">D2-J2+K2</f>
        <v>1410</v>
      </c>
    </row>
    <row r="3" spans="1:12" s="12" customFormat="1" x14ac:dyDescent="0.2">
      <c r="A3" s="12" t="s">
        <v>27</v>
      </c>
      <c r="B3" s="12">
        <v>4</v>
      </c>
      <c r="C3" s="12">
        <v>360</v>
      </c>
      <c r="D3" s="12">
        <f t="shared" ref="D3:D6" si="3">B3*C3</f>
        <v>1440</v>
      </c>
      <c r="E3" s="12">
        <v>160</v>
      </c>
      <c r="F3" s="12">
        <v>60</v>
      </c>
      <c r="G3" s="12">
        <v>110</v>
      </c>
      <c r="H3" s="12">
        <v>0</v>
      </c>
      <c r="I3" s="12">
        <v>90</v>
      </c>
      <c r="J3" s="12">
        <f t="shared" si="1"/>
        <v>420</v>
      </c>
      <c r="L3" s="12">
        <f t="shared" si="2"/>
        <v>1020</v>
      </c>
    </row>
    <row r="4" spans="1:12" s="12" customFormat="1" x14ac:dyDescent="0.2">
      <c r="A4" s="12" t="s">
        <v>28</v>
      </c>
      <c r="B4" s="12">
        <v>2</v>
      </c>
      <c r="C4" s="12">
        <v>675</v>
      </c>
      <c r="D4" s="12">
        <f t="shared" si="3"/>
        <v>1350</v>
      </c>
      <c r="E4" s="12">
        <v>80</v>
      </c>
      <c r="F4" s="12">
        <v>150</v>
      </c>
      <c r="G4" s="12">
        <v>80</v>
      </c>
      <c r="H4" s="12">
        <v>0</v>
      </c>
      <c r="I4" s="12">
        <v>90</v>
      </c>
      <c r="J4" s="12">
        <f t="shared" si="1"/>
        <v>400</v>
      </c>
      <c r="L4" s="12">
        <f t="shared" si="2"/>
        <v>950</v>
      </c>
    </row>
    <row r="5" spans="1:12" s="12" customFormat="1" x14ac:dyDescent="0.2">
      <c r="A5" s="12" t="s">
        <v>30</v>
      </c>
      <c r="B5" s="12">
        <v>7</v>
      </c>
      <c r="C5" s="12">
        <v>1250</v>
      </c>
      <c r="D5" s="12">
        <f t="shared" ref="D5" si="4">B5*C5</f>
        <v>8750</v>
      </c>
      <c r="E5" s="12">
        <v>460</v>
      </c>
      <c r="F5" s="12">
        <v>70</v>
      </c>
      <c r="G5" s="12">
        <v>140</v>
      </c>
      <c r="H5" s="12">
        <v>5</v>
      </c>
      <c r="I5" s="12">
        <v>90</v>
      </c>
      <c r="J5" s="12">
        <f t="shared" ref="J5" si="5">SUM(E5:I5)</f>
        <v>765</v>
      </c>
      <c r="K5" s="12">
        <v>100</v>
      </c>
      <c r="L5" s="12">
        <f t="shared" ref="L5" si="6">D5-J5+K5</f>
        <v>8085</v>
      </c>
    </row>
    <row r="6" spans="1:12" s="12" customFormat="1" x14ac:dyDescent="0.2">
      <c r="A6" s="12" t="s">
        <v>29</v>
      </c>
      <c r="B6" s="12">
        <v>5</v>
      </c>
      <c r="C6" s="12">
        <v>280</v>
      </c>
      <c r="D6" s="12">
        <f t="shared" si="3"/>
        <v>1400</v>
      </c>
      <c r="E6" s="12">
        <v>300</v>
      </c>
      <c r="F6" s="12">
        <v>150</v>
      </c>
      <c r="G6" s="12">
        <v>170</v>
      </c>
      <c r="H6" s="12">
        <v>0</v>
      </c>
      <c r="I6" s="12">
        <v>110</v>
      </c>
      <c r="J6" s="12">
        <f t="shared" si="1"/>
        <v>730</v>
      </c>
      <c r="L6" s="12">
        <f t="shared" si="2"/>
        <v>670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baseColWidth="10" defaultColWidth="15.5" defaultRowHeight="12.75" x14ac:dyDescent="0.2"/>
  <cols>
    <col min="1" max="1" width="13.375" style="12" bestFit="1" customWidth="1"/>
    <col min="2" max="2" width="7.625" style="12" bestFit="1" customWidth="1"/>
    <col min="3" max="3" width="5.25" style="12" bestFit="1" customWidth="1"/>
    <col min="4" max="4" width="5" style="12" bestFit="1" customWidth="1"/>
    <col min="5" max="5" width="4.375" style="12" bestFit="1" customWidth="1"/>
    <col min="6" max="6" width="5.25" style="12" bestFit="1" customWidth="1"/>
    <col min="7" max="16384" width="15.5" style="12"/>
  </cols>
  <sheetData>
    <row r="1" spans="1:6" x14ac:dyDescent="0.2">
      <c r="A1" s="12" t="s">
        <v>20</v>
      </c>
      <c r="B1" s="13" t="s">
        <v>26</v>
      </c>
      <c r="C1" s="13" t="s">
        <v>27</v>
      </c>
      <c r="D1" s="13" t="s">
        <v>28</v>
      </c>
      <c r="E1" s="14" t="s">
        <v>30</v>
      </c>
      <c r="F1" s="13" t="s">
        <v>29</v>
      </c>
    </row>
    <row r="2" spans="1:6" x14ac:dyDescent="0.2">
      <c r="A2" s="12" t="s">
        <v>31</v>
      </c>
      <c r="B2" s="12">
        <f>SUMIF(Assolement!C2:C7,B1,Assolement!B2:B7)</f>
        <v>8</v>
      </c>
      <c r="C2" s="12">
        <f>SUMIF(Assolement!C2:C7,C1,Assolement!B2:B7)</f>
        <v>20</v>
      </c>
      <c r="D2" s="12">
        <f>SUMIF(Assolement!C2:C7,D1,Assolement!B2:B7)</f>
        <v>5</v>
      </c>
      <c r="E2" s="12">
        <f>SUMIF(Assolement!C2:C7,E1,Assolement!B2:B7)</f>
        <v>0</v>
      </c>
      <c r="F2" s="12">
        <f>SUMIF(Assolement!C2:C7,F1,Assolement!B2:B7)</f>
        <v>11</v>
      </c>
    </row>
    <row r="3" spans="1:6" x14ac:dyDescent="0.2">
      <c r="A3" s="12" t="s">
        <v>32</v>
      </c>
      <c r="B3" s="12">
        <f>VLOOKUP($B$1,'Marges cultures'!$A$2:$L$6,2,FALSE)</f>
        <v>110</v>
      </c>
      <c r="C3" s="12">
        <f>VLOOKUP(C1,'Marges cultures'!$A$2:$L$6,2,FALSE)</f>
        <v>4</v>
      </c>
      <c r="D3" s="12">
        <f>VLOOKUP(D1,'Marges cultures'!$A$2:$L$6,2,FALSE)</f>
        <v>2</v>
      </c>
      <c r="E3" s="12">
        <f>VLOOKUP(E1,'Marges cultures'!$A$2:$L$6,2,FALSE)</f>
        <v>7</v>
      </c>
      <c r="F3" s="12">
        <f>VLOOKUP(F1,'Marges cultures'!$A$2:$L$6,2,FALSE)</f>
        <v>5</v>
      </c>
    </row>
    <row r="4" spans="1:6" x14ac:dyDescent="0.2">
      <c r="A4" s="12" t="s">
        <v>33</v>
      </c>
      <c r="B4" s="12">
        <f>VLOOKUP($B$1,'Marges cultures'!$A$2:$L$6,3,FALSE)</f>
        <v>20</v>
      </c>
      <c r="C4" s="12">
        <f>VLOOKUP(C1,'Marges cultures'!$A$2:$L$6,3,FALSE)</f>
        <v>360</v>
      </c>
      <c r="D4" s="12">
        <f>VLOOKUP(D1,'Marges cultures'!$A$2:$L$6,3,FALSE)</f>
        <v>675</v>
      </c>
      <c r="E4" s="12">
        <f>VLOOKUP(E1,'Marges cultures'!$A$2:$L$6,3,FALSE)</f>
        <v>1250</v>
      </c>
      <c r="F4" s="12">
        <f>VLOOKUP(F1,'Marges cultures'!$A$2:$L$6,3,FALSE)</f>
        <v>280</v>
      </c>
    </row>
    <row r="5" spans="1:6" x14ac:dyDescent="0.2">
      <c r="A5" s="12" t="s">
        <v>35</v>
      </c>
      <c r="B5" s="12">
        <f>VLOOKUP(B1,'Marges cultures'!$A$2:$L$6,4,FALSE)</f>
        <v>2200</v>
      </c>
      <c r="C5" s="12">
        <f>VLOOKUP(C1,'Marges cultures'!$A$2:$L$6,4,FALSE)</f>
        <v>1440</v>
      </c>
      <c r="D5" s="12">
        <f>VLOOKUP(D1,'Marges cultures'!$A$2:$L$6,4,FALSE)</f>
        <v>1350</v>
      </c>
      <c r="E5" s="12">
        <f>VLOOKUP(E1,'Marges cultures'!$A$2:$L$6,4,FALSE)</f>
        <v>8750</v>
      </c>
      <c r="F5" s="12">
        <f>VLOOKUP(F1,'Marges cultures'!$A$2:$L$6,4,FALSE)</f>
        <v>1400</v>
      </c>
    </row>
    <row r="6" spans="1:6" x14ac:dyDescent="0.2">
      <c r="A6" s="12" t="s">
        <v>36</v>
      </c>
      <c r="B6" s="12">
        <f>VLOOKUP(B1,'Marges cultures'!$A$2:$L$6,5,FALSE)</f>
        <v>280</v>
      </c>
      <c r="C6" s="12">
        <f>VLOOKUP(C1,'Marges cultures'!$A$2:$L$6,5,FALSE)</f>
        <v>160</v>
      </c>
      <c r="D6" s="12">
        <f>VLOOKUP(D1,'Marges cultures'!$A$2:$L$6,5,FALSE)</f>
        <v>80</v>
      </c>
      <c r="E6" s="12">
        <f>VLOOKUP(E1,'Marges cultures'!$A$2:$L$6,5,FALSE)</f>
        <v>460</v>
      </c>
      <c r="F6" s="12">
        <f>VLOOKUP(F1,'Marges cultures'!$A$2:$L$6,5,FALSE)</f>
        <v>300</v>
      </c>
    </row>
    <row r="7" spans="1:6" x14ac:dyDescent="0.2">
      <c r="A7" s="12" t="s">
        <v>37</v>
      </c>
      <c r="B7" s="12">
        <f>VLOOKUP(B1,'Marges cultures'!$A$2:$L$6,6,FALSE)</f>
        <v>150</v>
      </c>
      <c r="C7" s="12">
        <f>VLOOKUP(C1,'Marges cultures'!$A$2:$L$6,6,FALSE)</f>
        <v>60</v>
      </c>
      <c r="D7" s="12">
        <f>VLOOKUP(D1,'Marges cultures'!$A$2:$L$6,6,FALSE)</f>
        <v>150</v>
      </c>
      <c r="E7" s="12">
        <f>VLOOKUP(E1,'Marges cultures'!$A$2:$L$6,6,FALSE)</f>
        <v>70</v>
      </c>
      <c r="F7" s="12">
        <f>VLOOKUP(F1,'Marges cultures'!$A$2:$L$6,6,FALSE)</f>
        <v>150</v>
      </c>
    </row>
    <row r="8" spans="1:6" x14ac:dyDescent="0.2">
      <c r="A8" s="12" t="s">
        <v>38</v>
      </c>
      <c r="B8" s="12">
        <f>VLOOKUP(B1,'Marges cultures'!$A$2:$L$6,7,FALSE)</f>
        <v>215</v>
      </c>
      <c r="C8" s="12">
        <f>VLOOKUP(C1,'Marges cultures'!$A$2:$L$6,7,FALSE)</f>
        <v>110</v>
      </c>
      <c r="D8" s="12">
        <f>VLOOKUP(D1,'Marges cultures'!$A$2:$L$6,7,FALSE)</f>
        <v>80</v>
      </c>
      <c r="E8" s="12">
        <f>VLOOKUP(E1,'Marges cultures'!$A$2:$L$6,7,FALSE)</f>
        <v>140</v>
      </c>
      <c r="F8" s="12">
        <f>VLOOKUP(F1,'Marges cultures'!$A$2:$L$6,7,FALSE)</f>
        <v>170</v>
      </c>
    </row>
    <row r="9" spans="1:6" x14ac:dyDescent="0.2">
      <c r="A9" s="12" t="s">
        <v>39</v>
      </c>
      <c r="B9" s="12">
        <f>VLOOKUP(B1,'Marges cultures'!$A$2:$L$6,8,FALSE)</f>
        <v>35</v>
      </c>
      <c r="C9" s="12">
        <f>VLOOKUP(C1,'Marges cultures'!$A$2:$L$6,8,FALSE)</f>
        <v>0</v>
      </c>
      <c r="D9" s="12">
        <f>VLOOKUP(D1,'Marges cultures'!$A$2:$L$6,8,FALSE)</f>
        <v>0</v>
      </c>
      <c r="E9" s="12">
        <f>VLOOKUP(E1,'Marges cultures'!$A$2:$L$6,8,FALSE)</f>
        <v>5</v>
      </c>
      <c r="F9" s="12">
        <f>VLOOKUP(F1,'Marges cultures'!$A$2:$L$6,8,FALSE)</f>
        <v>0</v>
      </c>
    </row>
    <row r="10" spans="1:6" x14ac:dyDescent="0.2">
      <c r="A10" s="12" t="s">
        <v>40</v>
      </c>
      <c r="B10" s="12">
        <f>VLOOKUP(B1,'Marges cultures'!$A$2:$L$6,9,FALSE)</f>
        <v>110</v>
      </c>
      <c r="C10" s="12">
        <f>VLOOKUP(C1,'Marges cultures'!$A$2:$L$6,9,FALSE)</f>
        <v>90</v>
      </c>
      <c r="D10" s="12">
        <f>VLOOKUP(D1,'Marges cultures'!$A$2:$L$6,9,FALSE)</f>
        <v>90</v>
      </c>
      <c r="E10" s="12">
        <f>VLOOKUP(E1,'Marges cultures'!$A$2:$L$6,9,FALSE)</f>
        <v>90</v>
      </c>
      <c r="F10" s="12">
        <f>VLOOKUP(F1,'Marges cultures'!$A$2:$L$6,9,FALSE)</f>
        <v>110</v>
      </c>
    </row>
    <row r="11" spans="1:6" x14ac:dyDescent="0.2">
      <c r="A11" s="12" t="s">
        <v>41</v>
      </c>
      <c r="B11" s="12">
        <f>VLOOKUP(B1,'Marges cultures'!$A$2:$L$6,10,FALSE)</f>
        <v>790</v>
      </c>
      <c r="C11" s="12">
        <f>VLOOKUP(C1,'Marges cultures'!$A$2:$L$6,10,FALSE)</f>
        <v>420</v>
      </c>
      <c r="D11" s="12">
        <f>VLOOKUP(D1,'Marges cultures'!$A$2:$L$6,10,FALSE)</f>
        <v>400</v>
      </c>
      <c r="E11" s="12">
        <f>VLOOKUP(E1,'Marges cultures'!$A$2:$L$6,10,FALSE)</f>
        <v>765</v>
      </c>
      <c r="F11" s="12">
        <f>VLOOKUP(F1,'Marges cultures'!$A$2:$L$6,10,FALSE)</f>
        <v>730</v>
      </c>
    </row>
    <row r="12" spans="1:6" x14ac:dyDescent="0.2">
      <c r="A12" s="12" t="s">
        <v>49</v>
      </c>
      <c r="B12" s="12">
        <f>VLOOKUP(B1,'Marges cultures'!$A$2:$L$6,11,FALSE)</f>
        <v>0</v>
      </c>
      <c r="C12" s="12">
        <f>VLOOKUP(C1,'Marges cultures'!$A$2:$L$6,11,FALSE)</f>
        <v>0</v>
      </c>
      <c r="D12" s="12">
        <f>VLOOKUP(D1,'Marges cultures'!$A$2:$L$6,11,FALSE)</f>
        <v>0</v>
      </c>
      <c r="E12" s="12">
        <f>VLOOKUP(E1,'Marges cultures'!$A$2:$L$6,11,FALSE)</f>
        <v>100</v>
      </c>
      <c r="F12" s="12">
        <f>VLOOKUP(F1,'Marges cultures'!$A$2:$L$6,11,FALSE)</f>
        <v>0</v>
      </c>
    </row>
    <row r="13" spans="1:6" x14ac:dyDescent="0.2">
      <c r="A13" s="12" t="s">
        <v>42</v>
      </c>
      <c r="B13" s="12">
        <f>VLOOKUP(B1,'Marges cultures'!$A$2:$L$6,12,FALSE)</f>
        <v>1410</v>
      </c>
      <c r="C13" s="12">
        <f>VLOOKUP(C1,'Marges cultures'!$A$2:$L$6,12,FALSE)</f>
        <v>1020</v>
      </c>
      <c r="D13" s="12">
        <f>VLOOKUP(D1,'Marges cultures'!$A$2:$L$6,12,FALSE)</f>
        <v>950</v>
      </c>
      <c r="E13" s="12">
        <f>VLOOKUP(E1,'Marges cultures'!$A$2:$L$6,12,FALSE)</f>
        <v>8085</v>
      </c>
      <c r="F13" s="12">
        <f>VLOOKUP(F1,'Marges cultures'!$A$2:$L$6,12,FALSE)</f>
        <v>670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B17" sqref="B17"/>
    </sheetView>
  </sheetViews>
  <sheetFormatPr baseColWidth="10" defaultRowHeight="14.25" x14ac:dyDescent="0.2"/>
  <cols>
    <col min="1" max="1" width="21.25" bestFit="1" customWidth="1"/>
    <col min="2" max="4" width="12.25" bestFit="1" customWidth="1"/>
    <col min="5" max="5" width="15.375" bestFit="1" customWidth="1"/>
  </cols>
  <sheetData>
    <row r="1" spans="1:6" ht="15" x14ac:dyDescent="0.25">
      <c r="B1" s="10" t="s">
        <v>2</v>
      </c>
      <c r="C1" s="10" t="s">
        <v>3</v>
      </c>
      <c r="D1" s="10" t="s">
        <v>4</v>
      </c>
      <c r="E1" s="11" t="s">
        <v>14</v>
      </c>
    </row>
    <row r="2" spans="1:6" x14ac:dyDescent="0.2">
      <c r="A2" t="s">
        <v>0</v>
      </c>
      <c r="B2" s="1" t="e">
        <f>#REF!-#REF!</f>
        <v>#REF!</v>
      </c>
      <c r="C2" s="1" t="e">
        <f>#REF!-#REF!</f>
        <v>#REF!</v>
      </c>
      <c r="D2" s="1" t="e">
        <f>#REF!-#REF!</f>
        <v>#REF!</v>
      </c>
      <c r="E2" s="5">
        <v>228390</v>
      </c>
    </row>
    <row r="3" spans="1:6" x14ac:dyDescent="0.2">
      <c r="A3" t="s">
        <v>5</v>
      </c>
      <c r="B3" s="1">
        <v>176699</v>
      </c>
      <c r="C3" s="1">
        <v>234882</v>
      </c>
      <c r="D3" s="1">
        <v>200696</v>
      </c>
      <c r="E3" s="4">
        <v>128970</v>
      </c>
    </row>
    <row r="4" spans="1:6" x14ac:dyDescent="0.2">
      <c r="A4" t="s">
        <v>6</v>
      </c>
      <c r="B4" s="1">
        <v>215693</v>
      </c>
      <c r="C4" s="1">
        <v>231876</v>
      </c>
      <c r="D4" s="1">
        <v>194685</v>
      </c>
      <c r="E4" s="4">
        <v>238160</v>
      </c>
    </row>
    <row r="5" spans="1:6" x14ac:dyDescent="0.2">
      <c r="A5" s="2" t="s">
        <v>16</v>
      </c>
      <c r="B5" s="2" t="e">
        <f>B2+B3-B4</f>
        <v>#REF!</v>
      </c>
      <c r="C5" s="2" t="e">
        <f>C2+C3-C4</f>
        <v>#REF!</v>
      </c>
      <c r="D5" s="2" t="e">
        <f>D2+D3-D4</f>
        <v>#REF!</v>
      </c>
      <c r="E5" s="3">
        <f>E2+E3-E4</f>
        <v>119200</v>
      </c>
    </row>
    <row r="6" spans="1:6" x14ac:dyDescent="0.2">
      <c r="B6" s="1"/>
      <c r="C6" s="1"/>
      <c r="D6" s="1"/>
      <c r="E6" s="4"/>
    </row>
    <row r="7" spans="1:6" x14ac:dyDescent="0.2">
      <c r="A7" t="s">
        <v>7</v>
      </c>
      <c r="B7" s="1">
        <v>89722</v>
      </c>
      <c r="C7" s="1">
        <v>79945</v>
      </c>
      <c r="D7" s="1">
        <v>76244</v>
      </c>
      <c r="E7" s="4">
        <v>98880</v>
      </c>
    </row>
    <row r="8" spans="1:6" x14ac:dyDescent="0.2">
      <c r="A8" t="s">
        <v>8</v>
      </c>
      <c r="B8" s="1">
        <f>8048+59156</f>
        <v>67204</v>
      </c>
      <c r="C8" s="1">
        <f>9787+51397</f>
        <v>61184</v>
      </c>
      <c r="D8" s="1">
        <f>7921+57442</f>
        <v>65363</v>
      </c>
      <c r="E8" s="4">
        <v>56130</v>
      </c>
      <c r="F8" t="s">
        <v>19</v>
      </c>
    </row>
    <row r="9" spans="1:6" x14ac:dyDescent="0.2">
      <c r="A9" t="s">
        <v>9</v>
      </c>
      <c r="B9" s="1">
        <v>52642</v>
      </c>
      <c r="C9" s="1">
        <v>81190</v>
      </c>
      <c r="D9" s="1">
        <v>48847</v>
      </c>
      <c r="E9" s="4">
        <v>48620</v>
      </c>
    </row>
    <row r="10" spans="1:6" x14ac:dyDescent="0.2">
      <c r="A10" s="2" t="s">
        <v>17</v>
      </c>
      <c r="B10" s="2">
        <f>B7+B8-B9</f>
        <v>104284</v>
      </c>
      <c r="C10" s="2">
        <f>C7+C8-C9</f>
        <v>59939</v>
      </c>
      <c r="D10" s="2">
        <f>D7+D8-D9</f>
        <v>92760</v>
      </c>
      <c r="E10" s="3">
        <f>E7+E8-E9</f>
        <v>106390</v>
      </c>
    </row>
    <row r="11" spans="1:6" x14ac:dyDescent="0.2">
      <c r="B11" s="1"/>
      <c r="C11" s="1"/>
      <c r="D11" s="1"/>
      <c r="E11" s="4"/>
    </row>
    <row r="12" spans="1:6" x14ac:dyDescent="0.2">
      <c r="A12" t="s">
        <v>10</v>
      </c>
      <c r="B12" s="1">
        <v>98</v>
      </c>
      <c r="C12" s="1">
        <v>98</v>
      </c>
      <c r="D12" s="1">
        <v>98</v>
      </c>
      <c r="E12" s="4">
        <v>42830</v>
      </c>
    </row>
    <row r="13" spans="1:6" x14ac:dyDescent="0.2">
      <c r="A13" t="s">
        <v>11</v>
      </c>
      <c r="B13" s="1">
        <v>99054</v>
      </c>
      <c r="C13" s="1">
        <v>67589</v>
      </c>
      <c r="D13" s="1">
        <v>102584</v>
      </c>
      <c r="E13" s="4">
        <v>20360</v>
      </c>
    </row>
    <row r="14" spans="1:6" x14ac:dyDescent="0.2">
      <c r="A14" s="7" t="s">
        <v>12</v>
      </c>
      <c r="B14" s="7">
        <f>B12-B13</f>
        <v>-98956</v>
      </c>
      <c r="C14" s="7">
        <f>C12-C13</f>
        <v>-67491</v>
      </c>
      <c r="D14" s="7">
        <f>D12-D13</f>
        <v>-102486</v>
      </c>
      <c r="E14" s="6">
        <f>E12-E13</f>
        <v>22470</v>
      </c>
    </row>
    <row r="15" spans="1:6" x14ac:dyDescent="0.2">
      <c r="B15" s="1"/>
      <c r="C15" s="1"/>
      <c r="D15" s="1"/>
      <c r="E15" s="4"/>
    </row>
    <row r="16" spans="1:6" x14ac:dyDescent="0.2">
      <c r="A16" t="s">
        <v>10</v>
      </c>
      <c r="B16" s="1">
        <v>98</v>
      </c>
      <c r="C16" s="1">
        <v>98</v>
      </c>
      <c r="D16" s="1">
        <v>98</v>
      </c>
      <c r="E16" s="4">
        <v>42830</v>
      </c>
    </row>
    <row r="17" spans="1:5" x14ac:dyDescent="0.2">
      <c r="A17" t="s">
        <v>8</v>
      </c>
      <c r="B17" s="1">
        <v>173622</v>
      </c>
      <c r="C17" s="1">
        <v>117869</v>
      </c>
      <c r="D17" s="1">
        <v>65363</v>
      </c>
      <c r="E17" s="4">
        <v>56130</v>
      </c>
    </row>
    <row r="18" spans="1:5" x14ac:dyDescent="0.2">
      <c r="A18" t="s">
        <v>9</v>
      </c>
      <c r="B18" s="1">
        <v>52642</v>
      </c>
      <c r="C18" s="1">
        <v>81190</v>
      </c>
      <c r="D18" s="1">
        <v>48847</v>
      </c>
      <c r="E18" s="4">
        <v>48620</v>
      </c>
    </row>
    <row r="19" spans="1:5" x14ac:dyDescent="0.2">
      <c r="A19" t="s">
        <v>13</v>
      </c>
      <c r="B19" s="1">
        <v>102584</v>
      </c>
      <c r="C19" s="1">
        <v>148779</v>
      </c>
      <c r="D19" s="1">
        <v>151431</v>
      </c>
      <c r="E19" s="4">
        <v>20360</v>
      </c>
    </row>
    <row r="20" spans="1:5" x14ac:dyDescent="0.2">
      <c r="A20" s="2" t="s">
        <v>18</v>
      </c>
      <c r="B20" s="2">
        <f>B16+B17-B18-B19</f>
        <v>18494</v>
      </c>
      <c r="C20" s="2">
        <f>C16+C17-C18-C19</f>
        <v>-112002</v>
      </c>
      <c r="D20" s="2">
        <f>D16+D17-D18-D19</f>
        <v>-134817</v>
      </c>
      <c r="E20" s="3">
        <f>E16+E17-E18-E19</f>
        <v>29980</v>
      </c>
    </row>
    <row r="21" spans="1:5" x14ac:dyDescent="0.2">
      <c r="B21" s="1"/>
      <c r="C21" s="1"/>
      <c r="D21" s="1"/>
      <c r="E21" s="4"/>
    </row>
    <row r="22" spans="1:5" x14ac:dyDescent="0.2">
      <c r="A22" t="s">
        <v>1</v>
      </c>
      <c r="B22" s="1">
        <v>151696</v>
      </c>
      <c r="C22" s="1">
        <v>148779</v>
      </c>
      <c r="D22" s="1">
        <v>151431</v>
      </c>
      <c r="E22" s="4">
        <v>80490</v>
      </c>
    </row>
    <row r="23" spans="1:5" x14ac:dyDescent="0.2">
      <c r="A23" t="s">
        <v>15</v>
      </c>
      <c r="B23" s="1">
        <v>173622</v>
      </c>
      <c r="C23" s="1">
        <v>117869</v>
      </c>
      <c r="D23" s="1">
        <v>230989</v>
      </c>
      <c r="E23" s="4">
        <v>56130</v>
      </c>
    </row>
    <row r="24" spans="1:5" x14ac:dyDescent="0.2">
      <c r="B24" s="8">
        <f>B22-B23</f>
        <v>-21926</v>
      </c>
      <c r="C24" s="8">
        <f>C22-C23</f>
        <v>30910</v>
      </c>
      <c r="D24" s="8">
        <f>D22-D23</f>
        <v>-79558</v>
      </c>
      <c r="E24" s="9">
        <f>E22-E23</f>
        <v>24360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Assolement</vt:lpstr>
      <vt:lpstr>Marges cultures</vt:lpstr>
      <vt:lpstr>Marges années</vt:lpstr>
      <vt:lpstr>Bilan fonctionnel_sauvegarde</vt:lpstr>
      <vt:lpstr>annees</vt:lpstr>
      <vt:lpstr>cultures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COULBEAUT</dc:creator>
  <cp:lastModifiedBy>François</cp:lastModifiedBy>
  <cp:revision>4</cp:revision>
  <dcterms:created xsi:type="dcterms:W3CDTF">2018-11-04T11:29:38Z</dcterms:created>
  <dcterms:modified xsi:type="dcterms:W3CDTF">2019-12-19T22:59:59Z</dcterms:modified>
</cp:coreProperties>
</file>