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édé\Desktop\"/>
    </mc:Choice>
  </mc:AlternateContent>
  <xr:revisionPtr revIDLastSave="0" documentId="13_ncr:1_{650321C0-0967-4ABC-85A0-E75DB91D3167}" xr6:coauthVersionLast="45" xr6:coauthVersionMax="45" xr10:uidLastSave="{00000000-0000-0000-0000-000000000000}"/>
  <bookViews>
    <workbookView xWindow="-9720" yWindow="2790" windowWidth="18000" windowHeight="9360" firstSheet="1" activeTab="2" xr2:uid="{4FF1A4A1-A46B-4383-B515-98793F848DAB}"/>
  </bookViews>
  <sheets>
    <sheet name="Données Sociales" sheetId="3" r:id="rId1"/>
    <sheet name="Bulletin de Paie" sheetId="4" r:id="rId2"/>
    <sheet name="Renseignements" sheetId="22" r:id="rId3"/>
    <sheet name="Calculs" sheetId="17" r:id="rId4"/>
    <sheet name="Note de travail" sheetId="21" r:id="rId5"/>
    <sheet name="Tx PAS" sheetId="19" r:id="rId6"/>
  </sheets>
  <externalReferences>
    <externalReference r:id="rId7"/>
  </externalReferences>
  <definedNames>
    <definedName name="dette" localSheetId="5">[1]ATD!$D$6</definedName>
    <definedName name="dette">#REF!</definedName>
    <definedName name="Majoration" localSheetId="5">[1]ATD!$F$5</definedName>
    <definedName name="Majoration">#REF!</definedName>
    <definedName name="nb_personne" localSheetId="5">[1]ATD!$D$3</definedName>
    <definedName name="nb_personne">#REF!</definedName>
    <definedName name="salaire" localSheetId="5">[1]ATD!$D$5</definedName>
    <definedName name="salai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4" l="1"/>
  <c r="E4" i="4"/>
  <c r="E3" i="4"/>
  <c r="E2" i="4"/>
  <c r="E7" i="4"/>
  <c r="C7" i="4"/>
  <c r="C6" i="4"/>
  <c r="C5" i="4"/>
  <c r="C4" i="4"/>
  <c r="A6" i="4"/>
  <c r="A5" i="4"/>
  <c r="A3" i="4"/>
  <c r="X60" i="17" l="1"/>
  <c r="Q38" i="17"/>
  <c r="Q45" i="17"/>
  <c r="Q46" i="17" s="1"/>
  <c r="Q47" i="17"/>
  <c r="Q48" i="17" s="1"/>
  <c r="Q50" i="17"/>
  <c r="R58" i="17"/>
  <c r="R59" i="17"/>
  <c r="R60" i="17"/>
  <c r="T5" i="17"/>
  <c r="U5" i="17" s="1"/>
  <c r="U6" i="17" s="1"/>
  <c r="T6" i="17"/>
  <c r="T7" i="17"/>
  <c r="T8" i="17"/>
  <c r="T9" i="17"/>
  <c r="T10" i="17"/>
  <c r="T11" i="17"/>
  <c r="T12" i="17"/>
  <c r="T13" i="17"/>
  <c r="T14" i="17"/>
  <c r="T15" i="17"/>
  <c r="T16" i="17"/>
  <c r="T22" i="17"/>
  <c r="U22" i="17" s="1"/>
  <c r="U23" i="17" s="1"/>
  <c r="T23" i="17"/>
  <c r="T24" i="17"/>
  <c r="T25" i="17"/>
  <c r="T26" i="17"/>
  <c r="T27" i="17"/>
  <c r="T28" i="17"/>
  <c r="T29" i="17"/>
  <c r="T30" i="17"/>
  <c r="T31" i="17"/>
  <c r="T32" i="17"/>
  <c r="T33" i="17"/>
  <c r="R61" i="17" l="1"/>
  <c r="X54" i="17" s="1"/>
  <c r="X55" i="17" s="1"/>
  <c r="X56" i="17" s="1"/>
  <c r="Q49" i="17"/>
  <c r="X58" i="17"/>
  <c r="U24" i="17"/>
  <c r="U25" i="17" s="1"/>
  <c r="U26" i="17" s="1"/>
  <c r="U27" i="17" s="1"/>
  <c r="U28" i="17" s="1"/>
  <c r="U29" i="17" s="1"/>
  <c r="U30" i="17" s="1"/>
  <c r="U31" i="17" s="1"/>
  <c r="U32" i="17" s="1"/>
  <c r="U33" i="17" s="1"/>
  <c r="U7" i="17"/>
  <c r="U8" i="17" s="1"/>
  <c r="U9" i="17" s="1"/>
  <c r="U10" i="17" s="1"/>
  <c r="U11" i="17" s="1"/>
  <c r="U12" i="17" s="1"/>
  <c r="U13" i="17" s="1"/>
  <c r="U14" i="17" s="1"/>
  <c r="U15" i="17" s="1"/>
  <c r="U16" i="17" s="1"/>
  <c r="K51" i="17"/>
  <c r="K52" i="17"/>
  <c r="E33" i="17"/>
  <c r="D33" i="17"/>
  <c r="J18" i="17"/>
  <c r="K54" i="17" s="1"/>
  <c r="J19" i="17"/>
  <c r="K53" i="17" s="1"/>
  <c r="J20" i="17"/>
  <c r="K55" i="17" s="1"/>
  <c r="J21" i="17"/>
  <c r="K56" i="17" s="1"/>
  <c r="J23" i="17"/>
  <c r="K57" i="17" s="1"/>
  <c r="J24" i="17"/>
  <c r="D29" i="17"/>
  <c r="E29" i="17"/>
  <c r="I18" i="22"/>
  <c r="I17" i="22"/>
  <c r="I15" i="22"/>
  <c r="I14" i="22"/>
  <c r="I13" i="22"/>
  <c r="I12" i="22"/>
  <c r="X59" i="17" l="1"/>
  <c r="E51" i="17"/>
  <c r="E50" i="17"/>
  <c r="C46" i="17"/>
  <c r="K29" i="17" l="1"/>
  <c r="G50" i="4" l="1"/>
  <c r="C39" i="17" l="1"/>
  <c r="C40" i="17" s="1"/>
  <c r="I29" i="4"/>
  <c r="I28" i="4"/>
  <c r="F29" i="4"/>
  <c r="F28" i="4"/>
  <c r="F18" i="4" l="1"/>
  <c r="C10" i="17"/>
  <c r="F41" i="4" l="1"/>
  <c r="G19" i="4"/>
  <c r="I41" i="4"/>
  <c r="I40" i="4"/>
  <c r="I31" i="4"/>
  <c r="I30" i="4"/>
  <c r="F30" i="4"/>
  <c r="C41" i="17"/>
  <c r="I42" i="4" l="1"/>
  <c r="C47" i="17" l="1"/>
  <c r="C48" i="17" s="1"/>
  <c r="G23" i="4" l="1"/>
  <c r="F17" i="4"/>
  <c r="E17" i="4"/>
  <c r="F9" i="17"/>
  <c r="G17" i="4" l="1"/>
  <c r="G51" i="4" s="1"/>
  <c r="D19" i="17"/>
  <c r="E16" i="4" s="1"/>
  <c r="E19" i="17"/>
  <c r="E13" i="4" s="1"/>
  <c r="F19" i="17"/>
  <c r="E14" i="4" s="1"/>
  <c r="C19" i="17"/>
  <c r="I29" i="17" l="1"/>
  <c r="E15" i="4"/>
  <c r="F5" i="17" l="1"/>
  <c r="C5" i="17" s="1"/>
  <c r="J5" i="17" l="1"/>
  <c r="E9" i="4"/>
  <c r="E39" i="17" l="1"/>
  <c r="F23" i="17"/>
  <c r="F14" i="4" s="1"/>
  <c r="G14" i="4" s="1"/>
  <c r="C23" i="17"/>
  <c r="F16" i="4" s="1"/>
  <c r="G16" i="4" s="1"/>
  <c r="F21" i="17"/>
  <c r="F13" i="4" s="1"/>
  <c r="G13" i="4" s="1"/>
  <c r="F9" i="4"/>
  <c r="C21" i="17"/>
  <c r="F15" i="4" s="1"/>
  <c r="G15" i="4" s="1"/>
  <c r="F22" i="17" l="1"/>
  <c r="C24" i="17"/>
  <c r="F24" i="17"/>
  <c r="C22" i="17"/>
  <c r="E44" i="4"/>
  <c r="G44" i="4" s="1"/>
  <c r="E47" i="4"/>
  <c r="F25" i="17" l="1"/>
  <c r="I33" i="17" s="1"/>
  <c r="E18" i="4" l="1"/>
  <c r="G18" i="4" s="1"/>
  <c r="K33" i="17"/>
  <c r="F47" i="4" l="1"/>
  <c r="F46" i="4"/>
  <c r="F45" i="4"/>
  <c r="G47" i="4" l="1"/>
  <c r="I34" i="4"/>
  <c r="I33" i="4"/>
  <c r="F34" i="4"/>
  <c r="F33" i="4"/>
  <c r="G9" i="4" l="1"/>
  <c r="G24" i="4" s="1"/>
  <c r="C30" i="17" l="1"/>
  <c r="E31" i="17" s="1"/>
  <c r="J54" i="17"/>
  <c r="L54" i="17" s="1"/>
  <c r="J51" i="17"/>
  <c r="L51" i="17" s="1"/>
  <c r="J53" i="17"/>
  <c r="L53" i="17" s="1"/>
  <c r="J55" i="17"/>
  <c r="L55" i="17" s="1"/>
  <c r="J52" i="17"/>
  <c r="L52" i="17" s="1"/>
  <c r="J56" i="17"/>
  <c r="L56" i="17" s="1"/>
  <c r="E36" i="17"/>
  <c r="E40" i="4"/>
  <c r="H40" i="4" s="1"/>
  <c r="J11" i="17"/>
  <c r="J12" i="17" s="1"/>
  <c r="I35" i="4"/>
  <c r="E31" i="4"/>
  <c r="H31" i="4" s="1"/>
  <c r="E28" i="4"/>
  <c r="E30" i="4"/>
  <c r="E42" i="4"/>
  <c r="J10" i="17"/>
  <c r="E38" i="4"/>
  <c r="E27" i="4"/>
  <c r="D31" i="17" l="1"/>
  <c r="E38" i="17"/>
  <c r="H30" i="4"/>
  <c r="G30" i="4"/>
  <c r="F36" i="4"/>
  <c r="I36" i="4"/>
  <c r="F35" i="4" l="1"/>
  <c r="E41" i="17"/>
  <c r="E43" i="17" s="1"/>
  <c r="E45" i="17"/>
  <c r="I38" i="4"/>
  <c r="E40" i="17"/>
  <c r="E42" i="17" s="1"/>
  <c r="E41" i="4" s="1"/>
  <c r="G41" i="4" l="1"/>
  <c r="H41" i="4"/>
  <c r="H38" i="4"/>
  <c r="E34" i="4"/>
  <c r="E46" i="17"/>
  <c r="E47" i="17" s="1"/>
  <c r="E48" i="17" s="1"/>
  <c r="E49" i="17" s="1"/>
  <c r="E36" i="4"/>
  <c r="H36" i="4" s="1"/>
  <c r="E29" i="4"/>
  <c r="I27" i="4"/>
  <c r="H27" i="4" s="1"/>
  <c r="E35" i="4"/>
  <c r="E33" i="4"/>
  <c r="K27" i="17" l="1"/>
  <c r="K30" i="17" s="1"/>
  <c r="H48" i="4" s="1"/>
  <c r="G29" i="4"/>
  <c r="H29" i="4"/>
  <c r="H35" i="4"/>
  <c r="G35" i="4"/>
  <c r="H33" i="4"/>
  <c r="G33" i="4"/>
  <c r="G28" i="4"/>
  <c r="H28" i="4"/>
  <c r="H34" i="4"/>
  <c r="G34" i="4"/>
  <c r="J57" i="17" l="1"/>
  <c r="L57" i="17" s="1"/>
  <c r="L58" i="17" s="1"/>
  <c r="E53" i="17"/>
  <c r="D58" i="4"/>
  <c r="E52" i="17"/>
  <c r="H54" i="4" s="1"/>
  <c r="E45" i="4"/>
  <c r="G45" i="4" s="1"/>
  <c r="E46" i="4"/>
  <c r="G46" i="4" s="1"/>
  <c r="H42" i="4" l="1"/>
  <c r="H49" i="4" s="1"/>
  <c r="H58" i="4" s="1"/>
  <c r="G49" i="4"/>
  <c r="G53" i="4" s="1"/>
  <c r="C57" i="4" l="1"/>
  <c r="E56" i="4"/>
  <c r="G56" i="4" s="1"/>
  <c r="G5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 BERGER</author>
    <author>Dédé</author>
  </authors>
  <commentList>
    <comment ref="A9" authorId="0" shapeId="0" xr:uid="{95A95503-28CC-490A-A3A9-3F7528F76345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Cadre, Employé, Ouvrier . . .
Cela influe sur les cotisations.</t>
        </r>
      </text>
    </comment>
    <comment ref="I11" authorId="0" shapeId="0" xr:uid="{A4CA9F62-AA4D-4669-93C0-BE86D539AEA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A récupérer sur le site de l'URSSAF si pas donné.</t>
        </r>
      </text>
    </comment>
    <comment ref="A12" authorId="0" shapeId="0" xr:uid="{6F30856D-A4D8-4B63-BF60-AB83A928C97A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CDD/CDI/CTT/Saisonnier</t>
        </r>
      </text>
    </comment>
    <comment ref="I12" authorId="0" shapeId="0" xr:uid="{C4EBB8C0-6FCD-4F33-AA88-84801CFECC41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0"/>
            <rFont val="Tahoma"/>
            <family val="2"/>
          </rPr>
          <t xml:space="preserve"> 0% Si Eff &lt;11 salarié.</t>
        </r>
      </text>
    </comment>
    <comment ref="I13" authorId="0" shapeId="0" xr:uid="{2577AD2A-FBBA-448F-A7B3-DC0DAAA644D4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0,10 %</t>
        </r>
        <r>
          <rPr>
            <sz val="9"/>
            <color indexed="81"/>
            <rFont val="Tahoma"/>
            <family val="2"/>
          </rPr>
          <t xml:space="preserve"> si moins de 20 salariés.
</t>
        </r>
        <r>
          <rPr>
            <b/>
            <sz val="9"/>
            <color indexed="81"/>
            <rFont val="Tahoma"/>
            <family val="2"/>
          </rPr>
          <t xml:space="preserve">0,50 % </t>
        </r>
        <r>
          <rPr>
            <sz val="9"/>
            <color indexed="81"/>
            <rFont val="Tahoma"/>
            <family val="2"/>
          </rPr>
          <t xml:space="preserve">si 20 salarié ou plus.
</t>
        </r>
      </text>
    </comment>
    <comment ref="I14" authorId="0" shapeId="0" xr:uid="{CEBC1731-BB1B-4FFF-ADB2-1272C4EB0C2B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0,450 % </t>
        </r>
        <r>
          <rPr>
            <sz val="9"/>
            <color indexed="81"/>
            <rFont val="Tahoma"/>
            <family val="2"/>
          </rPr>
          <t>si 20 salariés ou plus.</t>
        </r>
      </text>
    </comment>
    <comment ref="I15" authorId="0" shapeId="0" xr:uid="{FA4EC4C7-0E78-45BA-814E-04827820D06E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0,55 %</t>
        </r>
        <r>
          <rPr>
            <sz val="9"/>
            <color indexed="81"/>
            <rFont val="Tahoma"/>
            <family val="2"/>
          </rPr>
          <t xml:space="preserve"> si Eff &lt;= à 10.
</t>
        </r>
        <r>
          <rPr>
            <b/>
            <sz val="9"/>
            <color indexed="81"/>
            <rFont val="Tahoma"/>
            <family val="2"/>
          </rPr>
          <t>1 %</t>
        </r>
        <r>
          <rPr>
            <sz val="9"/>
            <color indexed="81"/>
            <rFont val="Tahoma"/>
            <family val="2"/>
          </rPr>
          <t xml:space="preserve"> si Eff &gt;= à 11.</t>
        </r>
      </text>
    </comment>
    <comment ref="I16" authorId="0" shapeId="0" xr:uid="{995BCFC6-730E-483E-A3A4-42B8DA9E5DEC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0%</t>
        </r>
        <r>
          <rPr>
            <sz val="9"/>
            <color indexed="81"/>
            <rFont val="Tahoma"/>
            <family val="2"/>
          </rPr>
          <t xml:space="preserve"> pour l'année 2019</t>
        </r>
      </text>
    </comment>
    <comment ref="I18" authorId="1" shapeId="0" xr:uid="{DAE948C4-2D6D-4175-BB7D-4B8E6D3CBC9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6"/>
            <rFont val="Tahoma"/>
            <family val="2"/>
          </rPr>
          <t>Au 01/10/2019 :</t>
        </r>
        <r>
          <rPr>
            <sz val="9"/>
            <color indexed="81"/>
            <rFont val="Tahoma"/>
            <family val="2"/>
          </rPr>
          <t xml:space="preserve">
0,3214 si Eff &lt;20.
0,3254 si Eff &gt;20.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 BERGER</author>
    <author>Dédé</author>
  </authors>
  <commentList>
    <comment ref="A2" authorId="0" shapeId="0" xr:uid="{173A395C-9EE4-4A2E-BA38-0A5DD64A2F9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Cadre, Employé, Ouvrier . . .
Cela influe sur les cotisations.</t>
        </r>
      </text>
    </comment>
    <comment ref="I4" authorId="1" shapeId="0" xr:uid="{5AAE64C0-1560-4747-82A9-79DAEC25E308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10,03 €</t>
        </r>
        <r>
          <rPr>
            <sz val="9"/>
            <color indexed="81"/>
            <rFont val="Tahoma"/>
            <family val="2"/>
          </rPr>
          <t xml:space="preserve"> pour </t>
        </r>
        <r>
          <rPr>
            <b/>
            <sz val="9"/>
            <color indexed="81"/>
            <rFont val="Tahoma"/>
            <family val="2"/>
          </rPr>
          <t>2019</t>
        </r>
      </text>
    </comment>
    <comment ref="H5" authorId="1" shapeId="0" xr:uid="{66AE1B3B-8690-4EC3-9961-090B6200709B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6"/>
            <rFont val="Tahoma"/>
            <family val="2"/>
          </rPr>
          <t>3377 en 2019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PMSS</t>
        </r>
        <r>
          <rPr>
            <sz val="9"/>
            <color indexed="81"/>
            <rFont val="Tahoma"/>
            <family val="2"/>
          </rPr>
          <t xml:space="preserve"> = 3377 * (Heures Mensualiées + Heures Complémentaires) / 151,6666667 * Jours de Présence Calendaire / Jours Calendaire Réel du Mois.</t>
        </r>
      </text>
    </comment>
    <comment ref="A8" authorId="1" shapeId="0" xr:uid="{1AE93FCA-D01A-415D-8657-97A8F96EBE9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Salaire de base
+ Montant HC/HS
+ Ancienneté proratisée</t>
        </r>
      </text>
    </comment>
    <comment ref="J17" authorId="0" shapeId="0" xr:uid="{BBEED891-9794-4B70-9AEE-C1DBCEA39658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A récupérer sur le site de l'URSSAF si pas donné.</t>
        </r>
      </text>
    </comment>
    <comment ref="J18" authorId="0" shapeId="0" xr:uid="{A17AF1F3-C6ED-4B22-90D9-759DD43E12A2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0"/>
            <rFont val="Tahoma"/>
            <family val="2"/>
          </rPr>
          <t xml:space="preserve"> 0% Si Eff &lt;11 salarié.</t>
        </r>
      </text>
    </comment>
    <comment ref="J19" authorId="0" shapeId="0" xr:uid="{4BEAB8BA-CE23-47D9-8FA9-287CC512D0AC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0,10 %</t>
        </r>
        <r>
          <rPr>
            <sz val="9"/>
            <color indexed="81"/>
            <rFont val="Tahoma"/>
            <family val="2"/>
          </rPr>
          <t xml:space="preserve"> si moins de 20 salariés.
</t>
        </r>
        <r>
          <rPr>
            <b/>
            <sz val="9"/>
            <color indexed="81"/>
            <rFont val="Tahoma"/>
            <family val="2"/>
          </rPr>
          <t xml:space="preserve">0,50 % </t>
        </r>
        <r>
          <rPr>
            <sz val="9"/>
            <color indexed="81"/>
            <rFont val="Tahoma"/>
            <family val="2"/>
          </rPr>
          <t xml:space="preserve">si 20 salarié ou plus.
</t>
        </r>
      </text>
    </comment>
    <comment ref="J20" authorId="0" shapeId="0" xr:uid="{B95D7E14-18DD-4625-9847-B5D9E70A12EB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0,450 % </t>
        </r>
        <r>
          <rPr>
            <sz val="9"/>
            <color indexed="81"/>
            <rFont val="Tahoma"/>
            <family val="2"/>
          </rPr>
          <t>si 20 salariés ou plus.</t>
        </r>
      </text>
    </comment>
    <comment ref="C21" authorId="1" shapeId="0" xr:uid="{32E279E0-2E62-41DD-9959-6C04B6226284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F21" authorId="1" shapeId="0" xr:uid="{D40112DE-9C0C-414E-83DA-3AF2C2FE7C9A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J21" authorId="0" shapeId="0" xr:uid="{9941BFEB-A433-4D39-8D42-BBD3857712A1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0,55 %</t>
        </r>
        <r>
          <rPr>
            <sz val="9"/>
            <color indexed="81"/>
            <rFont val="Tahoma"/>
            <family val="2"/>
          </rPr>
          <t xml:space="preserve"> si Eff &lt;= à 10.
</t>
        </r>
        <r>
          <rPr>
            <b/>
            <sz val="9"/>
            <color indexed="81"/>
            <rFont val="Tahoma"/>
            <family val="2"/>
          </rPr>
          <t>1 %</t>
        </r>
        <r>
          <rPr>
            <sz val="9"/>
            <color indexed="81"/>
            <rFont val="Tahoma"/>
            <family val="2"/>
          </rPr>
          <t xml:space="preserve"> si Eff &gt;= à 11.</t>
        </r>
      </text>
    </comment>
    <comment ref="J22" authorId="0" shapeId="0" xr:uid="{D4631F31-17C6-493D-99D8-E7570310A12A}">
      <text>
        <r>
          <rPr>
            <b/>
            <sz val="9"/>
            <color indexed="81"/>
            <rFont val="Tahoma"/>
            <family val="2"/>
          </rPr>
          <t>Andre BERGER: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0%</t>
        </r>
        <r>
          <rPr>
            <sz val="9"/>
            <color indexed="81"/>
            <rFont val="Tahoma"/>
            <family val="2"/>
          </rPr>
          <t xml:space="preserve"> pour l'année 2019</t>
        </r>
      </text>
    </comment>
    <comment ref="C23" authorId="1" shapeId="0" xr:uid="{1A243DB0-6655-42EF-B846-3062C95D006F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</t>
        </r>
      </text>
    </comment>
    <comment ref="F23" authorId="1" shapeId="0" xr:uid="{C6660BD7-1745-461C-8871-1A3C1FFB049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Si avantage Logement:</t>
        </r>
        <r>
          <rPr>
            <sz val="9"/>
            <color indexed="81"/>
            <rFont val="Tahoma"/>
            <family val="2"/>
          </rPr>
          <t xml:space="preserve">
Prendre le tx Horaire en C18.
Si non celui en C13.
</t>
        </r>
      </text>
    </comment>
    <comment ref="J24" authorId="1" shapeId="0" xr:uid="{F2C09C39-96F7-4265-96AC-CC5DD2D605EA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6"/>
            <rFont val="Tahoma"/>
            <family val="2"/>
          </rPr>
          <t>Au 01/10/2019 :</t>
        </r>
        <r>
          <rPr>
            <sz val="9"/>
            <color indexed="81"/>
            <rFont val="Tahoma"/>
            <family val="2"/>
          </rPr>
          <t xml:space="preserve">
0,3214 si Eff &lt;20.
0,3254 si Eff &gt;20.</t>
        </r>
      </text>
    </comment>
    <comment ref="K24" authorId="1" shapeId="0" xr:uid="{F6720227-E317-4A57-A1F6-DE0982A9B0C0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Taux a modifer manuellement au besoin.</t>
        </r>
      </text>
    </comment>
    <comment ref="N52" authorId="1" shapeId="0" xr:uid="{7AB5D22A-1F2F-47F6-AE86-C5E7B00D12D9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Carence Légal </t>
        </r>
        <r>
          <rPr>
            <sz val="9"/>
            <color indexed="81"/>
            <rFont val="Tahoma"/>
            <family val="2"/>
          </rPr>
          <t>: 7 jours calendaire pour le maintien de salaire employeur.</t>
        </r>
      </text>
    </comment>
    <comment ref="U54" authorId="1" shapeId="0" xr:uid="{F616E887-1221-4BD9-B069-CAB7A5DB09D1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=50% * </t>
        </r>
        <r>
          <rPr>
            <b/>
            <sz val="9"/>
            <color indexed="81"/>
            <rFont val="Tahoma"/>
            <family val="2"/>
          </rPr>
          <t>Salaire de ref</t>
        </r>
        <r>
          <rPr>
            <sz val="9"/>
            <color indexed="81"/>
            <rFont val="Tahoma"/>
            <family val="2"/>
          </rPr>
          <t xml:space="preserve"> / 91,25.</t>
        </r>
      </text>
    </comment>
    <comment ref="U55" authorId="1" shapeId="0" xr:uid="{DA2FA14A-9049-4320-951F-9E2FFCE5C0D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</t>
        </r>
        <r>
          <rPr>
            <b/>
            <sz val="9"/>
            <color indexed="81"/>
            <rFont val="Tahoma"/>
            <family val="2"/>
          </rPr>
          <t>IJSS Journalières</t>
        </r>
        <r>
          <rPr>
            <sz val="9"/>
            <color indexed="81"/>
            <rFont val="Tahoma"/>
            <family val="2"/>
          </rPr>
          <t xml:space="preserve"> * </t>
        </r>
        <r>
          <rPr>
            <b/>
            <sz val="9"/>
            <color indexed="30"/>
            <rFont val="Tahoma"/>
            <family val="2"/>
          </rPr>
          <t>(Nbre de jrs calendaire d'absence - 3 jrs de carence calendaire CPAM)</t>
        </r>
      </text>
    </comment>
    <comment ref="U56" authorId="1" shapeId="0" xr:uid="{022097E6-C612-4DC2-8D9A-145296A0A946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2"/>
            <rFont val="Tahoma"/>
            <family val="2"/>
          </rPr>
          <t>=</t>
        </r>
        <r>
          <rPr>
            <b/>
            <sz val="9"/>
            <color indexed="81"/>
            <rFont val="Tahoma"/>
            <family val="2"/>
          </rPr>
          <t>IJSS brutes</t>
        </r>
        <r>
          <rPr>
            <b/>
            <sz val="9"/>
            <color indexed="12"/>
            <rFont val="Tahoma"/>
            <family val="2"/>
          </rPr>
          <t xml:space="preserve"> * (1-6,70%)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2"/>
            <rFont val="Tahoma"/>
            <family val="2"/>
          </rPr>
          <t>6,70%</t>
        </r>
        <r>
          <rPr>
            <sz val="9"/>
            <color indexed="81"/>
            <rFont val="Tahoma"/>
            <family val="2"/>
          </rPr>
          <t xml:space="preserve"> c'est la CSG en partie (6,20%) + la  CRDS (0,5%)</t>
        </r>
      </text>
    </comment>
    <comment ref="U57" authorId="1" shapeId="0" xr:uid="{2A950605-6B82-473C-B87F-BFCA517D6A4D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90% à partir du 8ème jours. En fonction de l'ancienneté.
Peut être modifié par la C.C.N.</t>
        </r>
      </text>
    </comment>
    <comment ref="U58" authorId="1" shapeId="0" xr:uid="{7AB80703-C42D-49CD-AC2E-D970B3C9C2A0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 xml:space="preserve">CONDITION 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39"/>
            <rFont val="Tahoma"/>
            <family val="2"/>
          </rPr>
          <t>Ancienneté &gt;= à 1 an. Le % dépend de la durée de l'arrêt.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i/>
            <sz val="9"/>
            <color indexed="17"/>
            <rFont val="Tahoma"/>
            <family val="2"/>
          </rPr>
          <t>Ancienneté  de 1 à 6 ans.</t>
        </r>
        <r>
          <rPr>
            <sz val="9"/>
            <color indexed="81"/>
            <rFont val="Tahoma"/>
            <family val="2"/>
          </rPr>
          <t xml:space="preserve"> 
 90% du salaire habituel pendant 30 jours puis 2/3 du salaire habituel pendant les 30 jours suivant.
</t>
        </r>
        <r>
          <rPr>
            <b/>
            <i/>
            <sz val="9"/>
            <color indexed="81"/>
            <rFont val="Tahoma"/>
            <family val="2"/>
          </rPr>
          <t>Délai de carence Employeur</t>
        </r>
        <r>
          <rPr>
            <sz val="9"/>
            <color indexed="81"/>
            <rFont val="Tahoma"/>
            <family val="2"/>
          </rPr>
          <t xml:space="preserve"> : 7 jours calendaire.
= % du salaire habituel * Nbre de jrs d'absence ouvré après carence employeur / nombre de jours ouvré du mois.</t>
        </r>
      </text>
    </comment>
    <comment ref="U59" authorId="1" shapeId="0" xr:uid="{546FC6C9-7DBB-48AF-A900-F2E66E58AD7A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= </t>
        </r>
        <r>
          <rPr>
            <b/>
            <sz val="9"/>
            <color indexed="81"/>
            <rFont val="Tahoma"/>
            <family val="2"/>
          </rPr>
          <t>IJSS journalières</t>
        </r>
        <r>
          <rPr>
            <sz val="9"/>
            <color indexed="81"/>
            <rFont val="Tahoma"/>
            <family val="2"/>
          </rPr>
          <t xml:space="preserve"> *</t>
        </r>
        <r>
          <rPr>
            <b/>
            <sz val="9"/>
            <color indexed="57"/>
            <rFont val="Tahoma"/>
            <family val="2"/>
          </rPr>
          <t xml:space="preserve"> </t>
        </r>
        <r>
          <rPr>
            <b/>
            <sz val="9"/>
            <color indexed="17"/>
            <rFont val="Tahoma"/>
            <family val="2"/>
          </rPr>
          <t>Nbre de jours calendaires après la carence employeur</t>
        </r>
        <r>
          <rPr>
            <sz val="9"/>
            <color indexed="17"/>
            <rFont val="Tahoma"/>
            <family val="2"/>
          </rPr>
          <t>.</t>
        </r>
      </text>
    </comment>
    <comment ref="W60" authorId="1" shapeId="0" xr:uid="{8762737D-6AAF-497F-9512-D019685E7EB2}">
      <text>
        <r>
          <rPr>
            <b/>
            <sz val="9"/>
            <color indexed="81"/>
            <rFont val="Tahoma"/>
            <family val="2"/>
          </rPr>
          <t>Dédé: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Salaire Brut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i/>
            <sz val="9"/>
            <color indexed="18"/>
            <rFont val="Tahoma"/>
            <family val="2"/>
          </rPr>
          <t xml:space="preserve">Salaire habituel </t>
        </r>
        <r>
          <rPr>
            <b/>
            <i/>
            <sz val="9"/>
            <color indexed="17"/>
            <rFont val="Tahoma"/>
            <family val="2"/>
          </rPr>
          <t>+ Complément employeur</t>
        </r>
        <r>
          <rPr>
            <b/>
            <i/>
            <sz val="9"/>
            <color indexed="16"/>
            <rFont val="Tahoma"/>
            <family val="2"/>
          </rPr>
          <t xml:space="preserve"> - la retenue pour absence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i/>
            <sz val="9"/>
            <color indexed="61"/>
            <rFont val="Tahoma"/>
            <family val="2"/>
          </rPr>
          <t>- IJSS pendant le complément employeur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<sst xmlns="http://schemas.openxmlformats.org/spreadsheetml/2006/main" count="496" uniqueCount="389">
  <si>
    <t>Cadre</t>
  </si>
  <si>
    <t>M</t>
  </si>
  <si>
    <t>M-1</t>
  </si>
  <si>
    <t>Adresse</t>
  </si>
  <si>
    <t>Emploi</t>
  </si>
  <si>
    <t>Salaire Brut</t>
  </si>
  <si>
    <t>Salaire de Base</t>
  </si>
  <si>
    <t>Total</t>
  </si>
  <si>
    <t>Taux Horaire</t>
  </si>
  <si>
    <t>Nbre HC 10%</t>
  </si>
  <si>
    <t>Nbre HC 25%</t>
  </si>
  <si>
    <t>Nbre HS 25%</t>
  </si>
  <si>
    <t>Nbre HS 50%</t>
  </si>
  <si>
    <t>PRINCIPALES COTISATIONS SOCIALES AU 01/01/2019</t>
  </si>
  <si>
    <t>Conditions</t>
  </si>
  <si>
    <t>Bases</t>
  </si>
  <si>
    <t>Tx Part Sal</t>
  </si>
  <si>
    <t>Tx Part Pat</t>
  </si>
  <si>
    <t>URSSAF</t>
  </si>
  <si>
    <t>Sécurité Sociale</t>
  </si>
  <si>
    <t>Assurance maladie,maternité veuvage</t>
  </si>
  <si>
    <t>Sbrut (ST)</t>
  </si>
  <si>
    <t>Assurance maladie,maternité veuvage Compl</t>
  </si>
  <si>
    <t>Salaire &gt; 2,5 SMIC</t>
  </si>
  <si>
    <t>CSA</t>
  </si>
  <si>
    <t>Accident du Travail AT</t>
  </si>
  <si>
    <t>Tx Variable</t>
  </si>
  <si>
    <t>Vieillesse Plafonnée</t>
  </si>
  <si>
    <t>TA / T1 /PMSS</t>
  </si>
  <si>
    <t>Vieillesse Déplafonnée</t>
  </si>
  <si>
    <t>Allocation familiale</t>
  </si>
  <si>
    <t>Complément AF</t>
  </si>
  <si>
    <t>Salaire &gt; 3,5 SMIC</t>
  </si>
  <si>
    <t>FNAL</t>
  </si>
  <si>
    <t>Effectif - de 20 Salariés</t>
  </si>
  <si>
    <t>Transport (V.T)</t>
  </si>
  <si>
    <t>Variable URSSAF</t>
  </si>
  <si>
    <t>Salaire &lt; 1,6 SMIC</t>
  </si>
  <si>
    <t>Réduction Heures Supp</t>
  </si>
  <si>
    <t>Effectif &lt; 20 Salariés ETP</t>
  </si>
  <si>
    <t>Nbre HS</t>
  </si>
  <si>
    <t>Forfait Social Prévoyance (F.S Prèv)</t>
  </si>
  <si>
    <t>Base FS Prévoy</t>
  </si>
  <si>
    <t xml:space="preserve">Forfait Social </t>
  </si>
  <si>
    <t>Base Fs</t>
  </si>
  <si>
    <t>20% - 16% - 8%</t>
  </si>
  <si>
    <t>CSG déductible</t>
  </si>
  <si>
    <t>Base CGS / CRDS</t>
  </si>
  <si>
    <t>CSG/CRDS non déductible</t>
  </si>
  <si>
    <t>Pôle emploi</t>
  </si>
  <si>
    <t>Assurance Chômage TA + TB</t>
  </si>
  <si>
    <t>AGS</t>
  </si>
  <si>
    <t>Régime Unifié</t>
  </si>
  <si>
    <t>Cadre et
Non Cadre</t>
  </si>
  <si>
    <t>Retraite T1</t>
  </si>
  <si>
    <t>T1</t>
  </si>
  <si>
    <t>Retraite T2</t>
  </si>
  <si>
    <t>T2</t>
  </si>
  <si>
    <t>Contribution d'équilibre Général T1 (CEG)</t>
  </si>
  <si>
    <t>Contribution d'équilibre Général T2 (CEG)</t>
  </si>
  <si>
    <t>Contribution d'équilibre Technique (CET)</t>
  </si>
  <si>
    <t>Salaire &gt; PMSS</t>
  </si>
  <si>
    <t>T1 + T2</t>
  </si>
  <si>
    <t>Apec</t>
  </si>
  <si>
    <t>CADRE</t>
  </si>
  <si>
    <t>Prévoyance</t>
  </si>
  <si>
    <t>Assurance décés</t>
  </si>
  <si>
    <t>TA</t>
  </si>
  <si>
    <t>SIE</t>
  </si>
  <si>
    <t>OPCA</t>
  </si>
  <si>
    <t>Participation Formation (PFC)</t>
  </si>
  <si>
    <t>Taxe d'apprentissage (Tapp)</t>
  </si>
  <si>
    <t>0 % pour 2019</t>
  </si>
  <si>
    <t>Participation Construction (E.C)</t>
  </si>
  <si>
    <t>Bulletin de Paie du mois de</t>
  </si>
  <si>
    <t>Période de travail</t>
  </si>
  <si>
    <t>Désignation</t>
  </si>
  <si>
    <t>Base</t>
  </si>
  <si>
    <t>Taux</t>
  </si>
  <si>
    <t>Montant</t>
  </si>
  <si>
    <t>Etablissement</t>
  </si>
  <si>
    <t>Convention collective ou Congés payés Art L 3141-3 et s. du code du travail; Préavis: Art L-1237-1 L-1234-1 et s. du code du travail</t>
  </si>
  <si>
    <t>Prime d'anciennetée</t>
  </si>
  <si>
    <t>Retenue de Congé Payé</t>
  </si>
  <si>
    <t>Indemnité de Congé Payé</t>
  </si>
  <si>
    <t>Cotisations et contributions sociales</t>
  </si>
  <si>
    <t>Taux
Salarié</t>
  </si>
  <si>
    <t>Part
Salarié</t>
  </si>
  <si>
    <t>Part
Employeur</t>
  </si>
  <si>
    <t>Taux
Patronal</t>
  </si>
  <si>
    <t>SANTÉ</t>
  </si>
  <si>
    <t>Sécurité sociale - Maladie Maternité Invalidité Décés</t>
  </si>
  <si>
    <t>Complémentaire - incapacité Invalidité Décés T1</t>
  </si>
  <si>
    <t>Complémentaire - incapacité Invalidité Décés T2</t>
  </si>
  <si>
    <t>Complémentaire - santé</t>
  </si>
  <si>
    <t>Accident du travail - Maladie Professionnelles</t>
  </si>
  <si>
    <t>RETRAITE</t>
  </si>
  <si>
    <t>Sécurité sociale - Plafonnée</t>
  </si>
  <si>
    <t>Sécurité sociale - Déplafonnée</t>
  </si>
  <si>
    <t>Complémentaire tranche 1</t>
  </si>
  <si>
    <t>Complémentaire tranche 2</t>
  </si>
  <si>
    <t>Supplémentaire</t>
  </si>
  <si>
    <t>FAMILLE</t>
  </si>
  <si>
    <t>Assurance Chômage</t>
  </si>
  <si>
    <t>Chômage</t>
  </si>
  <si>
    <t>APEC</t>
  </si>
  <si>
    <t>Autre contributions dues par l'employeur</t>
  </si>
  <si>
    <t>Cotisations statutaires ou prévues par la convention collective</t>
  </si>
  <si>
    <t>Exonération Heures complémentaires / Heures Supplémentaires</t>
  </si>
  <si>
    <t>CSG déductible de l'impôt sur le revenu</t>
  </si>
  <si>
    <t>CSG / CRDS Non déductible de l'impôt sur le revenu</t>
  </si>
  <si>
    <t>CSG /CRDS sur H.C / H.S Non déductible de l'impôt sur le revenu</t>
  </si>
  <si>
    <t>Exonération de cotisations de l'employeur</t>
  </si>
  <si>
    <t>Total des cotisations et contributions</t>
  </si>
  <si>
    <t>Net à payer avant impôts</t>
  </si>
  <si>
    <t>Dont évolution de la rémunération liée à la suppression des cotisations chômage et maladie. Gain sur pouvoir d'achat</t>
  </si>
  <si>
    <t>Impôt sur le revenu</t>
  </si>
  <si>
    <t>Impôt sur le revenu prélevé à la source</t>
  </si>
  <si>
    <t>Net Imposable :</t>
  </si>
  <si>
    <t>Dans votre intérêt, et pour vous aider à faire valoir vos droits, conservez ce bulletin de paye sans limitation de durée.</t>
  </si>
  <si>
    <t>Taux Sal</t>
  </si>
  <si>
    <t>Taux Pat</t>
  </si>
  <si>
    <t>Mutuelle</t>
  </si>
  <si>
    <t>Effectif</t>
  </si>
  <si>
    <t>Prevoyance T1</t>
  </si>
  <si>
    <t>Tx AT</t>
  </si>
  <si>
    <t>Prevoyance T2</t>
  </si>
  <si>
    <t>Tx VT</t>
  </si>
  <si>
    <t>Tx VT à utiliser</t>
  </si>
  <si>
    <t>Autre contrib</t>
  </si>
  <si>
    <t>tx Fcp</t>
  </si>
  <si>
    <t>Tx Fs Prév</t>
  </si>
  <si>
    <t>Coëf T</t>
  </si>
  <si>
    <t>Fs (Prévoyance)</t>
  </si>
  <si>
    <t>Nom/Raison sociale</t>
  </si>
  <si>
    <t>Siret</t>
  </si>
  <si>
    <t>Code NAF</t>
  </si>
  <si>
    <t>Type de contrat</t>
  </si>
  <si>
    <t>Montant HC 10%</t>
  </si>
  <si>
    <t>Montant HC 25%</t>
  </si>
  <si>
    <t>Montant HS 25%</t>
  </si>
  <si>
    <t>Montant HS 50%</t>
  </si>
  <si>
    <t>Jours fériés 2019</t>
  </si>
  <si>
    <t>Ancienneté</t>
  </si>
  <si>
    <t>Salaire habituel</t>
  </si>
  <si>
    <t>C.C.N</t>
  </si>
  <si>
    <t>Verssement Transport</t>
  </si>
  <si>
    <t>Tx Fnal</t>
  </si>
  <si>
    <t>tx Effort de construction</t>
  </si>
  <si>
    <t>Effectif &gt;= à 11 Salariés</t>
  </si>
  <si>
    <t>Effectif &lt;= à 10 Salariés</t>
  </si>
  <si>
    <t>Tx Taxe Apprentissage</t>
  </si>
  <si>
    <t>TA + TB (4 PMSS)</t>
  </si>
  <si>
    <t>Nom / Prénom</t>
  </si>
  <si>
    <t>Comptable</t>
  </si>
  <si>
    <t>Mercredi 1er Janvier</t>
  </si>
  <si>
    <t>Lundi 13 Avril</t>
  </si>
  <si>
    <t>Vendredi 1er Mai</t>
  </si>
  <si>
    <t>Vendredi 8 Mai</t>
  </si>
  <si>
    <t>Jeudi 21 Mai</t>
  </si>
  <si>
    <t>Lundi 1er Juin</t>
  </si>
  <si>
    <t>Mardi 14 Juillet</t>
  </si>
  <si>
    <t>Samedi 15 Août</t>
  </si>
  <si>
    <t>Dimanche 1er Novembre</t>
  </si>
  <si>
    <t>Mercredi 11 Novembre</t>
  </si>
  <si>
    <t>Vendredi 25 Décembre</t>
  </si>
  <si>
    <t>Mardi 1er Janvier</t>
  </si>
  <si>
    <t>Lundi 22 Avril</t>
  </si>
  <si>
    <t>Mercredi 1er Mai</t>
  </si>
  <si>
    <t>Mercredi 8 Mai</t>
  </si>
  <si>
    <t>jeudi 30 Mai</t>
  </si>
  <si>
    <t>Lundi 10 Juin</t>
  </si>
  <si>
    <t>Dimanche 14 Juillet</t>
  </si>
  <si>
    <t>jeudi 15 Août</t>
  </si>
  <si>
    <t>vendredi 1er Novembre</t>
  </si>
  <si>
    <t>Lundi 11 Novembre</t>
  </si>
  <si>
    <t>Mercredi 25 Décembre</t>
  </si>
  <si>
    <t>Jours Feriés 2019</t>
  </si>
  <si>
    <t>Jours Feriés 2020</t>
  </si>
  <si>
    <t>IJSS MALADIE NON PROFESSIONNELLE</t>
  </si>
  <si>
    <t>Mois</t>
  </si>
  <si>
    <t>Date de début</t>
  </si>
  <si>
    <t>Date de fin</t>
  </si>
  <si>
    <t>Retenue Absence</t>
  </si>
  <si>
    <t>Nbre d'heures d'absence</t>
  </si>
  <si>
    <t>Temps plein</t>
  </si>
  <si>
    <t>Frais de santé</t>
  </si>
  <si>
    <t>Montant prèv T1</t>
  </si>
  <si>
    <t>Montant prèv T2</t>
  </si>
  <si>
    <t>CDI</t>
  </si>
  <si>
    <t>Heures Hebdo</t>
  </si>
  <si>
    <t>Heures Mensualisées</t>
  </si>
  <si>
    <t>Taux HC 10%</t>
  </si>
  <si>
    <t>Taux HC 25%</t>
  </si>
  <si>
    <t>Taux HS 25%</t>
  </si>
  <si>
    <t>Taux HS 50%</t>
  </si>
  <si>
    <t>Date d'entrée</t>
  </si>
  <si>
    <t>Total autres Contributions</t>
  </si>
  <si>
    <t>sem 1</t>
  </si>
  <si>
    <t>sem 2</t>
  </si>
  <si>
    <t>sem 3</t>
  </si>
  <si>
    <t>sem 4</t>
  </si>
  <si>
    <t>sem 5</t>
  </si>
  <si>
    <t>H Effectuées</t>
  </si>
  <si>
    <t>Calcul Heures supplémentaires Heures Complémentaires</t>
  </si>
  <si>
    <t xml:space="preserve">Heures Suppplémentaires à 25% </t>
  </si>
  <si>
    <t xml:space="preserve">Heures Suppplémentaires à 50% </t>
  </si>
  <si>
    <t>Heures Complémentaires à 25%</t>
  </si>
  <si>
    <t>Heures Complémentaires à 10%</t>
  </si>
  <si>
    <t>Avantage nature</t>
  </si>
  <si>
    <t>Montant des HS/HC sans Avantage Nature Logement :</t>
  </si>
  <si>
    <t>Avantage Nature Logement</t>
  </si>
  <si>
    <t>Salaire de Référence</t>
  </si>
  <si>
    <t>Nbre de pièces</t>
  </si>
  <si>
    <t>Montant par pièce</t>
  </si>
  <si>
    <t>Montant Av Nat Log</t>
  </si>
  <si>
    <t>Taux Horaire HS/HC :</t>
  </si>
  <si>
    <t>Tepa</t>
  </si>
  <si>
    <t>Nbre HS/HC</t>
  </si>
  <si>
    <t>Variables Salarié</t>
  </si>
  <si>
    <t>Salaire Cumulé</t>
  </si>
  <si>
    <t>PMSS Mois</t>
  </si>
  <si>
    <t>PMSS Cumulé</t>
  </si>
  <si>
    <t>T1 Cumulé</t>
  </si>
  <si>
    <t>T2 Cumulé</t>
  </si>
  <si>
    <t>T1 Bulletin</t>
  </si>
  <si>
    <t>T2 Bulletin</t>
  </si>
  <si>
    <t>CSG /CRDS</t>
  </si>
  <si>
    <t>FS Prévoyance</t>
  </si>
  <si>
    <t>CDS</t>
  </si>
  <si>
    <t>Effort de Construction</t>
  </si>
  <si>
    <t xml:space="preserve">Format° Pro Continue </t>
  </si>
  <si>
    <t>Montant Mutuelle</t>
  </si>
  <si>
    <t>PMSS du Mois actuel :</t>
  </si>
  <si>
    <t>ABSENCE MALADIE</t>
  </si>
  <si>
    <t>Salaire à retenir</t>
  </si>
  <si>
    <t>SALAIRE DE REFERENCE</t>
  </si>
  <si>
    <t>Salaire brut des trois derniers mois civils avant l'arrêt maladie.</t>
  </si>
  <si>
    <r>
      <rPr>
        <b/>
        <sz val="11"/>
        <color rgb="FFFF0000"/>
        <rFont val="Calibri"/>
        <family val="2"/>
        <scheme val="minor"/>
      </rPr>
      <t>LIMITE</t>
    </r>
    <r>
      <rPr>
        <sz val="11"/>
        <color theme="1"/>
        <rFont val="Calibri"/>
        <family val="2"/>
        <scheme val="minor"/>
      </rPr>
      <t xml:space="preserve"> : </t>
    </r>
    <r>
      <rPr>
        <b/>
        <sz val="11"/>
        <color rgb="FFC00000"/>
        <rFont val="Calibri"/>
        <family val="2"/>
        <scheme val="minor"/>
      </rPr>
      <t xml:space="preserve">1,8 * Smic = 2738,19 € </t>
    </r>
    <r>
      <rPr>
        <b/>
        <sz val="11"/>
        <rFont val="Calibri"/>
        <family val="2"/>
        <scheme val="minor"/>
      </rPr>
      <t>pour 2019</t>
    </r>
  </si>
  <si>
    <t>Salaire de Référence :</t>
  </si>
  <si>
    <t>IJSS Journalières :</t>
  </si>
  <si>
    <t>IJSS Nettes :</t>
  </si>
  <si>
    <t>IJSS Brutes :</t>
  </si>
  <si>
    <t>Mois Absence -1</t>
  </si>
  <si>
    <t>Mois Absence -2</t>
  </si>
  <si>
    <t>Mois Absence -3</t>
  </si>
  <si>
    <r>
      <t xml:space="preserve">Nbre de jours </t>
    </r>
    <r>
      <rPr>
        <b/>
        <sz val="11"/>
        <color rgb="FFC00000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du Mois</t>
    </r>
  </si>
  <si>
    <r>
      <t xml:space="preserve">Nbre de jours </t>
    </r>
    <r>
      <rPr>
        <b/>
        <sz val="11"/>
        <color rgb="FFC00000"/>
        <rFont val="Calibri"/>
        <family val="2"/>
        <scheme val="minor"/>
      </rPr>
      <t>ouvrés</t>
    </r>
    <r>
      <rPr>
        <sz val="11"/>
        <color theme="1"/>
        <rFont val="Calibri"/>
        <family val="2"/>
        <scheme val="minor"/>
      </rPr>
      <t xml:space="preserve"> Absent</t>
    </r>
  </si>
  <si>
    <r>
      <t xml:space="preserve">Nbre de jours </t>
    </r>
    <r>
      <rPr>
        <b/>
        <sz val="11"/>
        <color rgb="FF7030A0"/>
        <rFont val="Calibri"/>
        <family val="2"/>
        <scheme val="minor"/>
      </rPr>
      <t>calendaire</t>
    </r>
    <r>
      <rPr>
        <sz val="11"/>
        <color theme="1"/>
        <rFont val="Calibri"/>
        <family val="2"/>
        <scheme val="minor"/>
      </rPr>
      <t xml:space="preserve"> d'arret</t>
    </r>
  </si>
  <si>
    <r>
      <t xml:space="preserve">Carence en jour </t>
    </r>
    <r>
      <rPr>
        <b/>
        <sz val="11"/>
        <color rgb="FF7030A0"/>
        <rFont val="Calibri"/>
        <family val="2"/>
        <scheme val="minor"/>
      </rPr>
      <t>calendaire</t>
    </r>
    <r>
      <rPr>
        <sz val="11"/>
        <color theme="1"/>
        <rFont val="Calibri"/>
        <family val="2"/>
        <scheme val="minor"/>
      </rPr>
      <t xml:space="preserve"> CPAM</t>
    </r>
  </si>
  <si>
    <t>Carence Employeur en jrs calendaire</t>
  </si>
  <si>
    <t>Complément Employeur légal :</t>
  </si>
  <si>
    <t>IJSS Brutes pdt Compl Employeur :</t>
  </si>
  <si>
    <t>Taux du complément Légal Employeur</t>
  </si>
  <si>
    <t>IJSS MALADIE NON PROFESSIONNELLE AVEC SUBROGATION</t>
  </si>
  <si>
    <t>Smic Applicable</t>
  </si>
  <si>
    <t>Limite RG (1,6 * Smic)</t>
  </si>
  <si>
    <t>Coëf RG</t>
  </si>
  <si>
    <t>RG cumulé</t>
  </si>
  <si>
    <t>RG Bulletin</t>
  </si>
  <si>
    <t>Smic Appl Cumulé</t>
  </si>
  <si>
    <t>2,5 * Smic</t>
  </si>
  <si>
    <t>3,5 * Smic</t>
  </si>
  <si>
    <t>Nbre d'heures absence</t>
  </si>
  <si>
    <t>Nbre d'heures du mois</t>
  </si>
  <si>
    <t>Salaire avec absence</t>
  </si>
  <si>
    <t>salaire sans absence</t>
  </si>
  <si>
    <t>Nbre d'heures à travaillées</t>
  </si>
  <si>
    <t>Retenue Absence non rémunérée</t>
  </si>
  <si>
    <t>Taux Horaire du Smic :</t>
  </si>
  <si>
    <t>Retenue pour Absence</t>
  </si>
  <si>
    <t>Montant de la retenue</t>
  </si>
  <si>
    <t>Nbre de jrs de Présence</t>
  </si>
  <si>
    <t>Nbre de jrs réel du Mois</t>
  </si>
  <si>
    <t>Non Cadre</t>
  </si>
  <si>
    <t>Net à Payé en Euros :</t>
  </si>
  <si>
    <t>Avantage en Nature Logement</t>
  </si>
  <si>
    <t>Saisie sur salaire</t>
  </si>
  <si>
    <t>Grille de taux par défaut applicable aux contribuables domiciliés en métropole en 2019</t>
  </si>
  <si>
    <t>Base mensuelle de prélèvement</t>
  </si>
  <si>
    <t>Taux applicable</t>
  </si>
  <si>
    <t>Inférieure à 1 404 €</t>
  </si>
  <si>
    <t>Supérieure ou égale à 1 404 € et inférieure à 1 457 €</t>
  </si>
  <si>
    <t>Supérieure ou égale à 1 457 € et inférieure à 1 551 €</t>
  </si>
  <si>
    <t>Supérieure ou égale à 1 551 € et inférieure à 1 656 €</t>
  </si>
  <si>
    <t>Supérieure ou égale à 1 656 € et inférieure à 1 769 €</t>
  </si>
  <si>
    <t>Supérieure ou égale à 1 769 € et inférieure à 1 864 €</t>
  </si>
  <si>
    <t>Supérieure ou égale à 1 864 € et inférieure à 1 988 €</t>
  </si>
  <si>
    <t>Supérieure ou égale à 1 988 € et inférieure à 2 578 €</t>
  </si>
  <si>
    <t>Supérieure ou égale à 2 578 € et inférieure à 2 797 €</t>
  </si>
  <si>
    <t>Supérieure ou égale à 2 797 € et inférieure à 3 067 €</t>
  </si>
  <si>
    <t>Supérieure ou égale à 3 067 € et inférieure à 3 452 €</t>
  </si>
  <si>
    <t>Supérieure ou égale à 3 452 € et inférieure à 4 029 €</t>
  </si>
  <si>
    <t>Supérieure ou égale à 4 029 € et inférieure à 4 830 €</t>
  </si>
  <si>
    <t>Supérieure ou égale à 4 830 € et inférieure à 6 043 €</t>
  </si>
  <si>
    <t>Supérieure ou égale à 6 043 € et inférieure à 7 780 €</t>
  </si>
  <si>
    <t>Supérieure ou égale à 7 780 € et inférieure à 10 562 €</t>
  </si>
  <si>
    <t>Supérieure ou égale à 10 562 € et inférieure à 14 795 €</t>
  </si>
  <si>
    <t>Supérieure ou égale à 14 795 € et inférieure à 22 620 €</t>
  </si>
  <si>
    <t>Supérieure ou égale à 22 620 € et inférieure à 47 717 €</t>
  </si>
  <si>
    <t>Supérieure ou égale à 47 717 €</t>
  </si>
  <si>
    <t>Allègement de cotisations Employeur :</t>
  </si>
  <si>
    <t>Total versé par l'employeur :</t>
  </si>
  <si>
    <t>Loi Fillon (RG Mois) :</t>
  </si>
  <si>
    <t>Exonérat° de cotisat° Employeur :</t>
  </si>
  <si>
    <t>Date d'Entrée</t>
  </si>
  <si>
    <t>PMSS 2019</t>
  </si>
  <si>
    <t>Smic Applicable :</t>
  </si>
  <si>
    <r>
      <rPr>
        <b/>
        <sz val="11"/>
        <color rgb="FFC00000"/>
        <rFont val="Calibri"/>
        <family val="2"/>
        <scheme val="minor"/>
      </rPr>
      <t>1521,22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en 2019 pour 35 heures hebdo</t>
    </r>
  </si>
  <si>
    <r>
      <t xml:space="preserve">PMSS = 3377 * </t>
    </r>
    <r>
      <rPr>
        <b/>
        <sz val="10"/>
        <color rgb="FFFF0000"/>
        <rFont val="Calibri"/>
        <family val="2"/>
        <scheme val="minor"/>
      </rPr>
      <t>Heures Mensualiées</t>
    </r>
    <r>
      <rPr>
        <b/>
        <sz val="10"/>
        <color theme="1"/>
        <rFont val="Calibri"/>
        <family val="2"/>
        <scheme val="minor"/>
      </rPr>
      <t xml:space="preserve"> + </t>
    </r>
    <r>
      <rPr>
        <b/>
        <sz val="10"/>
        <color rgb="FF7030A0"/>
        <rFont val="Calibri"/>
        <family val="2"/>
        <scheme val="minor"/>
      </rPr>
      <t xml:space="preserve">Heures Complémentaires </t>
    </r>
    <r>
      <rPr>
        <b/>
        <sz val="10"/>
        <color theme="1"/>
        <rFont val="Calibri"/>
        <family val="2"/>
        <scheme val="minor"/>
      </rPr>
      <t xml:space="preserve">/ 151,6666667 * </t>
    </r>
    <r>
      <rPr>
        <b/>
        <sz val="10"/>
        <color theme="5" tint="-0.249977111117893"/>
        <rFont val="Calibri"/>
        <family val="2"/>
        <scheme val="minor"/>
      </rPr>
      <t>Jours de Présence Calendaire</t>
    </r>
    <r>
      <rPr>
        <b/>
        <sz val="10"/>
        <color theme="1"/>
        <rFont val="Calibri"/>
        <family val="2"/>
        <scheme val="minor"/>
      </rPr>
      <t xml:space="preserve"> /</t>
    </r>
    <r>
      <rPr>
        <b/>
        <sz val="10"/>
        <color theme="4" tint="-0.249977111117893"/>
        <rFont val="Calibri"/>
        <family val="2"/>
        <scheme val="minor"/>
      </rPr>
      <t xml:space="preserve"> Jours Calendaire Réel du Mois</t>
    </r>
    <r>
      <rPr>
        <b/>
        <sz val="10"/>
        <color theme="1"/>
        <rFont val="Calibri"/>
        <family val="2"/>
        <scheme val="minor"/>
      </rPr>
      <t>.</t>
    </r>
  </si>
  <si>
    <t>Mois Civils</t>
  </si>
  <si>
    <t>PMSS</t>
  </si>
  <si>
    <t>Heures Mensuelles</t>
  </si>
  <si>
    <t>Heures Compls</t>
  </si>
  <si>
    <t>Jrs de Présence Calendaire</t>
  </si>
  <si>
    <t>Jrs Calendaire Réel du Mois</t>
  </si>
  <si>
    <t>PMSS
Mensuel</t>
  </si>
  <si>
    <t>PMSS
Cumulés</t>
  </si>
  <si>
    <t>Salaire avec
Absence</t>
  </si>
  <si>
    <t>Salaire sans
Absence</t>
  </si>
  <si>
    <t>Taux du Smic</t>
  </si>
  <si>
    <t>Nombres
HC ou HS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</si>
  <si>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</si>
  <si>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</si>
  <si>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</si>
  <si>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</si>
  <si>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</si>
  <si>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</si>
  <si>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</si>
  <si>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</si>
  <si>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</si>
  <si>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</si>
  <si>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</si>
  <si>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</si>
  <si>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Ticket restaurant</t>
  </si>
  <si>
    <t>Bric à Brac</t>
  </si>
  <si>
    <t>33000 Bordeaux</t>
  </si>
  <si>
    <t>Du 01 au 30 Avril N</t>
  </si>
  <si>
    <t xml:space="preserve">Régul sur salaire janvier à Mars </t>
  </si>
  <si>
    <t>Régul sur heures sup</t>
  </si>
  <si>
    <t>Complément employeur</t>
  </si>
  <si>
    <t>IJSS Brutes</t>
  </si>
  <si>
    <t>Retenue pour Absence Maladie</t>
  </si>
  <si>
    <t>salaire brut</t>
  </si>
  <si>
    <t xml:space="preserve">Prime d'ancienneté : </t>
  </si>
  <si>
    <t>Retenue Entrée :</t>
  </si>
  <si>
    <t>Retenue sortie :</t>
  </si>
  <si>
    <t xml:space="preserve">Retenue pour absence : </t>
  </si>
  <si>
    <t xml:space="preserve">Absence CP du : 01/01 au : 02/01 </t>
  </si>
  <si>
    <t xml:space="preserve">Maintien : </t>
  </si>
  <si>
    <t xml:space="preserve">10ème : </t>
  </si>
  <si>
    <t>ICCP (N-1)</t>
  </si>
  <si>
    <r>
      <t xml:space="preserve">Smic Applicable = </t>
    </r>
    <r>
      <rPr>
        <b/>
        <sz val="10"/>
        <color rgb="FF002060"/>
        <rFont val="Calibri"/>
        <family val="2"/>
        <scheme val="minor"/>
      </rPr>
      <t>Heures Mensualiées</t>
    </r>
    <r>
      <rPr>
        <b/>
        <sz val="10"/>
        <color rgb="FFFF0000"/>
        <rFont val="Calibri"/>
        <family val="2"/>
        <scheme val="minor"/>
      </rPr>
      <t xml:space="preserve"> * (</t>
    </r>
    <r>
      <rPr>
        <b/>
        <sz val="10"/>
        <color rgb="FFC00000"/>
        <rFont val="Calibri"/>
        <family val="2"/>
        <scheme val="minor"/>
      </rPr>
      <t>Salaire avec absence</t>
    </r>
    <r>
      <rPr>
        <b/>
        <sz val="10"/>
        <color rgb="FFFF0000"/>
        <rFont val="Calibri"/>
        <family val="2"/>
        <scheme val="minor"/>
      </rPr>
      <t xml:space="preserve"> / </t>
    </r>
    <r>
      <rPr>
        <b/>
        <sz val="10"/>
        <color rgb="FF7030A0"/>
        <rFont val="Calibri"/>
        <family val="2"/>
        <scheme val="minor"/>
      </rPr>
      <t>salaire sans absence</t>
    </r>
    <r>
      <rPr>
        <b/>
        <sz val="10"/>
        <color rgb="FFFF0000"/>
        <rFont val="Calibri"/>
        <family val="2"/>
        <scheme val="minor"/>
      </rPr>
      <t xml:space="preserve">) * Taux Smic </t>
    </r>
    <r>
      <rPr>
        <b/>
        <sz val="10"/>
        <color theme="1"/>
        <rFont val="Calibri"/>
        <family val="2"/>
        <scheme val="minor"/>
      </rPr>
      <t>+ (</t>
    </r>
    <r>
      <rPr>
        <b/>
        <sz val="10"/>
        <color theme="9" tint="-0.249977111117893"/>
        <rFont val="Calibri"/>
        <family val="2"/>
        <scheme val="minor"/>
      </rPr>
      <t>Nbre HC ou HS</t>
    </r>
    <r>
      <rPr>
        <b/>
        <sz val="10"/>
        <color rgb="FF7030A0"/>
        <rFont val="Calibri"/>
        <family val="2"/>
        <scheme val="minor"/>
      </rPr>
      <t xml:space="preserve"> </t>
    </r>
    <r>
      <rPr>
        <b/>
        <sz val="10"/>
        <color theme="1"/>
        <rFont val="Calibri"/>
        <family val="2"/>
        <scheme val="minor"/>
      </rPr>
      <t xml:space="preserve">* </t>
    </r>
    <r>
      <rPr>
        <b/>
        <sz val="10"/>
        <color rgb="FFFF0000"/>
        <rFont val="Calibri"/>
        <family val="2"/>
        <scheme val="minor"/>
      </rPr>
      <t>Taux Smic</t>
    </r>
    <r>
      <rPr>
        <b/>
        <sz val="10"/>
        <color theme="1"/>
        <rFont val="Calibri"/>
        <family val="2"/>
        <scheme val="minor"/>
      </rPr>
      <t>).</t>
    </r>
  </si>
  <si>
    <t>ICCP (N)</t>
  </si>
  <si>
    <t>Base AM Cumulé</t>
  </si>
  <si>
    <t>Base AM Bulletin</t>
  </si>
  <si>
    <t>Base AF Cumulé</t>
  </si>
  <si>
    <t>Base AF Bulletin</t>
  </si>
  <si>
    <t>Frais de Santé</t>
  </si>
  <si>
    <t>Prévoyance T1</t>
  </si>
  <si>
    <t>Part Salarié</t>
  </si>
  <si>
    <t>Part Patronal</t>
  </si>
  <si>
    <t>Prévoyance T2</t>
  </si>
  <si>
    <r>
      <t>FNAL déplafonnée (</t>
    </r>
    <r>
      <rPr>
        <sz val="10"/>
        <color theme="1"/>
        <rFont val="Calibri"/>
        <family val="2"/>
      </rPr>
      <t>≥ à 20 Salariés)</t>
    </r>
  </si>
  <si>
    <r>
      <t xml:space="preserve">Effectif </t>
    </r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 xml:space="preserve"> 20 Salariés</t>
    </r>
  </si>
  <si>
    <r>
      <t xml:space="preserve">Effectif </t>
    </r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 xml:space="preserve"> 11 Salariés</t>
    </r>
  </si>
  <si>
    <r>
      <t xml:space="preserve">Contribution Dialogue Social </t>
    </r>
    <r>
      <rPr>
        <b/>
        <sz val="10"/>
        <color theme="1"/>
        <rFont val="Calibri"/>
        <family val="2"/>
        <scheme val="minor"/>
      </rPr>
      <t>CDS</t>
    </r>
  </si>
  <si>
    <r>
      <t xml:space="preserve">Réduction Générale </t>
    </r>
    <r>
      <rPr>
        <b/>
        <sz val="10"/>
        <color theme="1"/>
        <rFont val="Calibri"/>
        <family val="2"/>
        <scheme val="minor"/>
      </rPr>
      <t>RG</t>
    </r>
  </si>
  <si>
    <t>Autres
Contributions</t>
  </si>
  <si>
    <t>Prénom</t>
  </si>
  <si>
    <t>Nom</t>
  </si>
  <si>
    <t>SOULAGES</t>
  </si>
  <si>
    <t>Jean</t>
  </si>
  <si>
    <t>Boulanger</t>
  </si>
  <si>
    <t>Coefficient</t>
  </si>
  <si>
    <t>Statut</t>
  </si>
  <si>
    <t>Date de Sortie</t>
  </si>
  <si>
    <t>Nir</t>
  </si>
  <si>
    <t>Echelon</t>
  </si>
  <si>
    <t xml:space="preserve">58 rue de Marseille 33000 Bordeaux </t>
  </si>
  <si>
    <t>1720347052010 33</t>
  </si>
  <si>
    <t>Fiche Entreprise</t>
  </si>
  <si>
    <t>Fiche Salarié</t>
  </si>
  <si>
    <t>Tx Forfait Social Prévoyance</t>
  </si>
  <si>
    <t>Variables</t>
  </si>
  <si>
    <t>Forfait Social Prévoyance</t>
  </si>
  <si>
    <t>Salaire de base</t>
  </si>
  <si>
    <t>Smic App
Cumulé</t>
  </si>
  <si>
    <t>Du 01 au 30 Avril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</si>
</sst>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164" formatCode="#,##0.00\ &quot;€&quot;"/>
    <numFmt numFmtId="165" formatCode="0.000%"/>
    <numFmt numFmtId="166" formatCode="[$-40C]mmm\-yy;@"/>
    <numFmt numFmtId="167" formatCode="dd/mm/yy;@"/>
    <numFmt numFmtId="168" formatCode="0.0000000"/>
    <numFmt numFmtId="169" formatCode="#,##0.0000000\ &quot;€&quot;"/>
    <numFmt numFmtId="170" formatCode="#,##0.0000\ &quot;€&quot;"/>
    <numFmt numFmtId="171" formatCode="0.00000"/>
    <numFmt numFmtId="172" formatCode="0.0000"/>
    <numFmt numFmtId="173" formatCode="0.0000%"/>
  </numFmts>
  <fonts count="7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Century Gothic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9"/>
      <color rgb="FF2E3C1F"/>
      <name val="Lucida Sans Unicode"/>
      <family val="2"/>
    </font>
    <font>
      <b/>
      <sz val="9"/>
      <color rgb="FF2E3C1F"/>
      <name val="Lucida Sans Unicode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indexed="16"/>
      <name val="Tahoma"/>
      <family val="2"/>
    </font>
    <font>
      <b/>
      <i/>
      <sz val="9"/>
      <color indexed="10"/>
      <name val="Tahoma"/>
      <family val="2"/>
    </font>
    <font>
      <b/>
      <i/>
      <sz val="9"/>
      <color indexed="16"/>
      <name val="Tahoma"/>
      <family val="2"/>
    </font>
    <font>
      <b/>
      <sz val="9"/>
      <color indexed="12"/>
      <name val="Tahoma"/>
      <family val="2"/>
    </font>
    <font>
      <b/>
      <sz val="9"/>
      <color indexed="30"/>
      <name val="Tahoma"/>
      <family val="2"/>
    </font>
    <font>
      <b/>
      <sz val="9"/>
      <color indexed="57"/>
      <name val="Tahoma"/>
      <family val="2"/>
    </font>
    <font>
      <b/>
      <sz val="9"/>
      <color indexed="17"/>
      <name val="Tahoma"/>
      <family val="2"/>
    </font>
    <font>
      <sz val="9"/>
      <color indexed="17"/>
      <name val="Tahoma"/>
      <family val="2"/>
    </font>
    <font>
      <b/>
      <i/>
      <sz val="9"/>
      <color indexed="81"/>
      <name val="Tahoma"/>
      <family val="2"/>
    </font>
    <font>
      <b/>
      <sz val="9"/>
      <color indexed="10"/>
      <name val="Tahoma"/>
      <family val="2"/>
    </font>
    <font>
      <sz val="9"/>
      <color indexed="39"/>
      <name val="Tahoma"/>
      <family val="2"/>
    </font>
    <font>
      <b/>
      <i/>
      <sz val="9"/>
      <color indexed="17"/>
      <name val="Tahoma"/>
      <family val="2"/>
    </font>
    <font>
      <b/>
      <sz val="9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color theme="1"/>
      <name val="Calibri"/>
      <family val="2"/>
    </font>
    <font>
      <b/>
      <i/>
      <sz val="10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indexed="18"/>
      <name val="Tahoma"/>
      <family val="2"/>
    </font>
    <font>
      <b/>
      <i/>
      <sz val="9"/>
      <color indexed="61"/>
      <name val="Tahoma"/>
      <family val="2"/>
    </font>
    <font>
      <b/>
      <sz val="11"/>
      <color theme="9" tint="-0.499984740745262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76FE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  <border>
      <left style="medium">
        <color rgb="FFD0D0D0"/>
      </left>
      <right/>
      <top style="medium">
        <color rgb="FFD0D0D0"/>
      </top>
      <bottom style="medium">
        <color rgb="FFD0D0D0"/>
      </bottom>
      <diagonal/>
    </border>
    <border>
      <left/>
      <right style="medium">
        <color rgb="FFD0D0D0"/>
      </right>
      <top style="medium">
        <color rgb="FFD0D0D0"/>
      </top>
      <bottom style="medium">
        <color rgb="FFD0D0D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4" fillId="0" borderId="0"/>
  </cellStyleXfs>
  <cellXfs count="593">
    <xf numFmtId="0" fontId="0" fillId="0" borderId="0" xfId="0"/>
    <xf numFmtId="164" fontId="0" fillId="0" borderId="10" xfId="0" applyNumberFormat="1" applyBorder="1"/>
    <xf numFmtId="165" fontId="0" fillId="0" borderId="12" xfId="1" applyNumberFormat="1" applyFont="1" applyBorder="1"/>
    <xf numFmtId="164" fontId="0" fillId="0" borderId="13" xfId="0" applyNumberFormat="1" applyBorder="1"/>
    <xf numFmtId="165" fontId="0" fillId="0" borderId="7" xfId="1" applyNumberFormat="1" applyFont="1" applyBorder="1"/>
    <xf numFmtId="165" fontId="0" fillId="0" borderId="16" xfId="1" applyNumberFormat="1" applyFont="1" applyBorder="1"/>
    <xf numFmtId="164" fontId="0" fillId="0" borderId="17" xfId="0" applyNumberFormat="1" applyBorder="1"/>
    <xf numFmtId="0" fontId="0" fillId="0" borderId="7" xfId="0" applyBorder="1"/>
    <xf numFmtId="0" fontId="0" fillId="0" borderId="10" xfId="0" applyBorder="1"/>
    <xf numFmtId="0" fontId="0" fillId="0" borderId="22" xfId="0" applyBorder="1"/>
    <xf numFmtId="0" fontId="0" fillId="0" borderId="25" xfId="0" applyBorder="1"/>
    <xf numFmtId="0" fontId="0" fillId="0" borderId="28" xfId="0" applyBorder="1"/>
    <xf numFmtId="0" fontId="0" fillId="6" borderId="0" xfId="0" applyFill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top" wrapText="1"/>
    </xf>
    <xf numFmtId="10" fontId="0" fillId="0" borderId="0" xfId="0" applyNumberFormat="1"/>
    <xf numFmtId="2" fontId="0" fillId="0" borderId="7" xfId="0" applyNumberFormat="1" applyBorder="1"/>
    <xf numFmtId="10" fontId="0" fillId="0" borderId="7" xfId="0" applyNumberFormat="1" applyBorder="1"/>
    <xf numFmtId="2" fontId="0" fillId="0" borderId="10" xfId="0" applyNumberFormat="1" applyBorder="1"/>
    <xf numFmtId="0" fontId="2" fillId="6" borderId="7" xfId="0" applyFont="1" applyFill="1" applyBorder="1"/>
    <xf numFmtId="0" fontId="3" fillId="0" borderId="34" xfId="0" applyFont="1" applyBorder="1"/>
    <xf numFmtId="0" fontId="3" fillId="0" borderId="36" xfId="0" applyFont="1" applyBorder="1"/>
    <xf numFmtId="10" fontId="3" fillId="0" borderId="36" xfId="0" applyNumberFormat="1" applyFont="1" applyBorder="1"/>
    <xf numFmtId="0" fontId="0" fillId="0" borderId="34" xfId="0" applyBorder="1"/>
    <xf numFmtId="0" fontId="0" fillId="0" borderId="37" xfId="0" applyBorder="1"/>
    <xf numFmtId="2" fontId="0" fillId="0" borderId="35" xfId="0" applyNumberFormat="1" applyBorder="1"/>
    <xf numFmtId="10" fontId="0" fillId="0" borderId="35" xfId="0" applyNumberFormat="1" applyBorder="1"/>
    <xf numFmtId="2" fontId="0" fillId="0" borderId="36" xfId="0" applyNumberFormat="1" applyBorder="1"/>
    <xf numFmtId="0" fontId="0" fillId="0" borderId="36" xfId="0" applyBorder="1"/>
    <xf numFmtId="10" fontId="0" fillId="0" borderId="36" xfId="0" applyNumberFormat="1" applyBorder="1"/>
    <xf numFmtId="2" fontId="0" fillId="0" borderId="34" xfId="0" applyNumberFormat="1" applyBorder="1"/>
    <xf numFmtId="2" fontId="0" fillId="0" borderId="37" xfId="0" applyNumberFormat="1" applyBorder="1"/>
    <xf numFmtId="10" fontId="0" fillId="0" borderId="34" xfId="0" applyNumberFormat="1" applyBorder="1"/>
    <xf numFmtId="0" fontId="15" fillId="0" borderId="7" xfId="0" applyFont="1" applyBorder="1" applyAlignment="1">
      <alignment vertical="top" wrapText="1"/>
    </xf>
    <xf numFmtId="0" fontId="0" fillId="6" borderId="7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5" fillId="0" borderId="10" xfId="0" applyFont="1" applyBorder="1"/>
    <xf numFmtId="0" fontId="0" fillId="0" borderId="35" xfId="0" applyBorder="1"/>
    <xf numFmtId="0" fontId="0" fillId="0" borderId="58" xfId="0" applyBorder="1"/>
    <xf numFmtId="10" fontId="7" fillId="0" borderId="25" xfId="0" applyNumberFormat="1" applyFont="1" applyBorder="1"/>
    <xf numFmtId="10" fontId="10" fillId="0" borderId="25" xfId="0" applyNumberFormat="1" applyFont="1" applyBorder="1"/>
    <xf numFmtId="10" fontId="0" fillId="0" borderId="25" xfId="0" applyNumberFormat="1" applyBorder="1"/>
    <xf numFmtId="10" fontId="0" fillId="0" borderId="25" xfId="1" applyNumberFormat="1" applyFont="1" applyBorder="1"/>
    <xf numFmtId="0" fontId="8" fillId="0" borderId="22" xfId="0" applyFont="1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left"/>
    </xf>
    <xf numFmtId="10" fontId="11" fillId="0" borderId="62" xfId="1" applyNumberFormat="1" applyFont="1" applyBorder="1"/>
    <xf numFmtId="10" fontId="11" fillId="0" borderId="35" xfId="1" applyNumberFormat="1" applyFont="1" applyBorder="1"/>
    <xf numFmtId="10" fontId="11" fillId="0" borderId="8" xfId="1" applyNumberFormat="1" applyFont="1" applyBorder="1"/>
    <xf numFmtId="10" fontId="16" fillId="0" borderId="12" xfId="0" applyNumberFormat="1" applyFont="1" applyBorder="1"/>
    <xf numFmtId="10" fontId="16" fillId="0" borderId="13" xfId="0" applyNumberFormat="1" applyFont="1" applyBorder="1"/>
    <xf numFmtId="0" fontId="0" fillId="0" borderId="7" xfId="0" applyBorder="1" applyAlignment="1">
      <alignment horizontal="left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5" fillId="10" borderId="73" xfId="0" applyFont="1" applyFill="1" applyBorder="1" applyAlignment="1">
      <alignment horizontal="center" vertical="center"/>
    </xf>
    <xf numFmtId="0" fontId="5" fillId="10" borderId="45" xfId="0" applyFont="1" applyFill="1" applyBorder="1" applyAlignment="1">
      <alignment horizontal="center" vertical="center"/>
    </xf>
    <xf numFmtId="0" fontId="5" fillId="10" borderId="74" xfId="0" applyFont="1" applyFill="1" applyBorder="1" applyAlignment="1">
      <alignment horizontal="center" vertical="center"/>
    </xf>
    <xf numFmtId="0" fontId="2" fillId="11" borderId="63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14" fillId="0" borderId="59" xfId="0" applyFont="1" applyBorder="1"/>
    <xf numFmtId="0" fontId="14" fillId="0" borderId="25" xfId="0" applyFont="1" applyBorder="1"/>
    <xf numFmtId="0" fontId="14" fillId="0" borderId="19" xfId="0" applyFont="1" applyBorder="1"/>
    <xf numFmtId="0" fontId="14" fillId="0" borderId="28" xfId="0" applyFont="1" applyBorder="1"/>
    <xf numFmtId="0" fontId="14" fillId="2" borderId="19" xfId="0" applyFont="1" applyFill="1" applyBorder="1"/>
    <xf numFmtId="0" fontId="0" fillId="2" borderId="22" xfId="0" applyFill="1" applyBorder="1"/>
    <xf numFmtId="0" fontId="0" fillId="2" borderId="25" xfId="0" applyFill="1" applyBorder="1"/>
    <xf numFmtId="0" fontId="0" fillId="2" borderId="28" xfId="0" applyFill="1" applyBorder="1"/>
    <xf numFmtId="0" fontId="0" fillId="2" borderId="19" xfId="0" applyFill="1" applyBorder="1"/>
    <xf numFmtId="0" fontId="14" fillId="12" borderId="19" xfId="0" applyFont="1" applyFill="1" applyBorder="1"/>
    <xf numFmtId="0" fontId="0" fillId="12" borderId="22" xfId="0" applyFill="1" applyBorder="1"/>
    <xf numFmtId="0" fontId="0" fillId="12" borderId="25" xfId="0" applyFill="1" applyBorder="1"/>
    <xf numFmtId="0" fontId="0" fillId="12" borderId="28" xfId="0" applyFill="1" applyBorder="1"/>
    <xf numFmtId="0" fontId="0" fillId="12" borderId="19" xfId="0" applyFill="1" applyBorder="1"/>
    <xf numFmtId="0" fontId="0" fillId="14" borderId="19" xfId="0" applyFill="1" applyBorder="1"/>
    <xf numFmtId="0" fontId="8" fillId="0" borderId="0" xfId="0" applyFont="1"/>
    <xf numFmtId="0" fontId="3" fillId="6" borderId="7" xfId="0" applyFont="1" applyFill="1" applyBorder="1" applyAlignment="1">
      <alignment horizontal="center" vertical="center"/>
    </xf>
    <xf numFmtId="0" fontId="0" fillId="0" borderId="35" xfId="0" applyFont="1" applyBorder="1"/>
    <xf numFmtId="0" fontId="0" fillId="0" borderId="0" xfId="0" applyFont="1"/>
    <xf numFmtId="0" fontId="2" fillId="0" borderId="7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4" xfId="0" applyBorder="1"/>
    <xf numFmtId="0" fontId="16" fillId="15" borderId="75" xfId="0" applyFont="1" applyFill="1" applyBorder="1"/>
    <xf numFmtId="10" fontId="11" fillId="15" borderId="64" xfId="1" applyNumberFormat="1" applyFont="1" applyFill="1" applyBorder="1"/>
    <xf numFmtId="168" fontId="0" fillId="0" borderId="21" xfId="0" applyNumberFormat="1" applyBorder="1"/>
    <xf numFmtId="164" fontId="5" fillId="7" borderId="14" xfId="0" applyNumberFormat="1" applyFont="1" applyFill="1" applyBorder="1"/>
    <xf numFmtId="164" fontId="0" fillId="0" borderId="78" xfId="0" applyNumberFormat="1" applyBorder="1"/>
    <xf numFmtId="164" fontId="0" fillId="0" borderId="14" xfId="0" applyNumberFormat="1" applyBorder="1"/>
    <xf numFmtId="170" fontId="0" fillId="12" borderId="16" xfId="0" applyNumberFormat="1" applyFill="1" applyBorder="1"/>
    <xf numFmtId="170" fontId="0" fillId="12" borderId="7" xfId="0" applyNumberFormat="1" applyFill="1" applyBorder="1"/>
    <xf numFmtId="172" fontId="0" fillId="7" borderId="21" xfId="0" applyNumberFormat="1" applyFill="1" applyBorder="1"/>
    <xf numFmtId="170" fontId="0" fillId="2" borderId="10" xfId="0" applyNumberFormat="1" applyFill="1" applyBorder="1"/>
    <xf numFmtId="170" fontId="0" fillId="2" borderId="17" xfId="0" applyNumberFormat="1" applyFill="1" applyBorder="1"/>
    <xf numFmtId="10" fontId="0" fillId="0" borderId="18" xfId="0" applyNumberFormat="1" applyBorder="1"/>
    <xf numFmtId="172" fontId="3" fillId="0" borderId="36" xfId="0" applyNumberFormat="1" applyFont="1" applyBorder="1"/>
    <xf numFmtId="171" fontId="3" fillId="0" borderId="36" xfId="0" applyNumberFormat="1" applyFont="1" applyBorder="1"/>
    <xf numFmtId="172" fontId="3" fillId="0" borderId="34" xfId="0" applyNumberFormat="1" applyFont="1" applyBorder="1"/>
    <xf numFmtId="0" fontId="0" fillId="0" borderId="44" xfId="0" applyBorder="1"/>
    <xf numFmtId="164" fontId="0" fillId="0" borderId="44" xfId="0" applyNumberFormat="1" applyBorder="1"/>
    <xf numFmtId="0" fontId="2" fillId="0" borderId="59" xfId="0" applyFont="1" applyBorder="1" applyAlignment="1">
      <alignment horizontal="center" vertical="center"/>
    </xf>
    <xf numFmtId="164" fontId="0" fillId="0" borderId="11" xfId="0" applyNumberFormat="1" applyBorder="1"/>
    <xf numFmtId="164" fontId="0" fillId="0" borderId="9" xfId="0" applyNumberFormat="1" applyBorder="1"/>
    <xf numFmtId="164" fontId="0" fillId="0" borderId="15" xfId="0" applyNumberFormat="1" applyBorder="1"/>
    <xf numFmtId="0" fontId="0" fillId="0" borderId="13" xfId="0" applyBorder="1"/>
    <xf numFmtId="0" fontId="0" fillId="0" borderId="17" xfId="0" applyBorder="1"/>
    <xf numFmtId="0" fontId="0" fillId="0" borderId="76" xfId="0" applyBorder="1"/>
    <xf numFmtId="0" fontId="13" fillId="0" borderId="0" xfId="0" applyFont="1"/>
    <xf numFmtId="0" fontId="0" fillId="0" borderId="80" xfId="0" applyBorder="1"/>
    <xf numFmtId="0" fontId="2" fillId="0" borderId="40" xfId="0" applyFont="1" applyBorder="1"/>
    <xf numFmtId="164" fontId="2" fillId="6" borderId="47" xfId="0" applyNumberFormat="1" applyFont="1" applyFill="1" applyBorder="1"/>
    <xf numFmtId="10" fontId="2" fillId="6" borderId="47" xfId="0" applyNumberFormat="1" applyFont="1" applyFill="1" applyBorder="1"/>
    <xf numFmtId="0" fontId="0" fillId="0" borderId="43" xfId="0" applyBorder="1"/>
    <xf numFmtId="0" fontId="0" fillId="0" borderId="77" xfId="0" applyBorder="1"/>
    <xf numFmtId="0" fontId="0" fillId="0" borderId="9" xfId="0" applyBorder="1"/>
    <xf numFmtId="0" fontId="0" fillId="0" borderId="15" xfId="0" applyBorder="1"/>
    <xf numFmtId="0" fontId="0" fillId="0" borderId="16" xfId="0" applyBorder="1"/>
    <xf numFmtId="2" fontId="0" fillId="0" borderId="17" xfId="0" applyNumberFormat="1" applyBorder="1"/>
    <xf numFmtId="0" fontId="0" fillId="0" borderId="78" xfId="0" applyFill="1" applyBorder="1"/>
    <xf numFmtId="2" fontId="2" fillId="6" borderId="51" xfId="0" applyNumberFormat="1" applyFont="1" applyFill="1" applyBorder="1"/>
    <xf numFmtId="164" fontId="2" fillId="11" borderId="76" xfId="0" applyNumberFormat="1" applyFont="1" applyFill="1" applyBorder="1"/>
    <xf numFmtId="2" fontId="16" fillId="0" borderId="57" xfId="0" applyNumberFormat="1" applyFont="1" applyBorder="1"/>
    <xf numFmtId="164" fontId="0" fillId="0" borderId="36" xfId="0" applyNumberFormat="1" applyBorder="1"/>
    <xf numFmtId="164" fontId="0" fillId="0" borderId="7" xfId="0" applyNumberFormat="1" applyBorder="1"/>
    <xf numFmtId="164" fontId="0" fillId="0" borderId="35" xfId="0" applyNumberFormat="1" applyBorder="1"/>
    <xf numFmtId="164" fontId="0" fillId="0" borderId="34" xfId="0" applyNumberFormat="1" applyBorder="1"/>
    <xf numFmtId="164" fontId="0" fillId="0" borderId="37" xfId="0" applyNumberFormat="1" applyBorder="1"/>
    <xf numFmtId="164" fontId="0" fillId="0" borderId="5" xfId="0" applyNumberFormat="1" applyBorder="1"/>
    <xf numFmtId="164" fontId="0" fillId="0" borderId="8" xfId="0" applyNumberFormat="1" applyBorder="1"/>
    <xf numFmtId="164" fontId="3" fillId="0" borderId="34" xfId="0" applyNumberFormat="1" applyFont="1" applyBorder="1"/>
    <xf numFmtId="164" fontId="3" fillId="0" borderId="36" xfId="0" applyNumberFormat="1" applyFont="1" applyBorder="1"/>
    <xf numFmtId="164" fontId="2" fillId="0" borderId="35" xfId="0" applyNumberFormat="1" applyFont="1" applyBorder="1"/>
    <xf numFmtId="2" fontId="0" fillId="7" borderId="53" xfId="0" applyNumberFormat="1" applyFill="1" applyBorder="1"/>
    <xf numFmtId="164" fontId="2" fillId="6" borderId="36" xfId="0" applyNumberFormat="1" applyFont="1" applyFill="1" applyBorder="1"/>
    <xf numFmtId="164" fontId="2" fillId="6" borderId="5" xfId="0" applyNumberFormat="1" applyFont="1" applyFill="1" applyBorder="1"/>
    <xf numFmtId="2" fontId="0" fillId="7" borderId="33" xfId="0" applyNumberFormat="1" applyFill="1" applyBorder="1"/>
    <xf numFmtId="0" fontId="46" fillId="0" borderId="0" xfId="0" applyFont="1" applyAlignment="1">
      <alignment horizontal="left" vertical="center" wrapText="1" indent="4"/>
    </xf>
    <xf numFmtId="164" fontId="0" fillId="6" borderId="10" xfId="0" applyNumberFormat="1" applyFill="1" applyBorder="1"/>
    <xf numFmtId="164" fontId="0" fillId="7" borderId="36" xfId="0" applyNumberFormat="1" applyFill="1" applyBorder="1"/>
    <xf numFmtId="164" fontId="0" fillId="7" borderId="35" xfId="0" applyNumberFormat="1" applyFill="1" applyBorder="1"/>
    <xf numFmtId="164" fontId="5" fillId="0" borderId="10" xfId="0" applyNumberFormat="1" applyFont="1" applyBorder="1"/>
    <xf numFmtId="0" fontId="2" fillId="0" borderId="19" xfId="0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5" fillId="0" borderId="47" xfId="0" applyNumberFormat="1" applyFont="1" applyBorder="1" applyAlignment="1">
      <alignment horizontal="center" vertical="center"/>
    </xf>
    <xf numFmtId="164" fontId="16" fillId="9" borderId="20" xfId="0" applyNumberFormat="1" applyFont="1" applyFill="1" applyBorder="1"/>
    <xf numFmtId="164" fontId="16" fillId="9" borderId="21" xfId="0" applyNumberFormat="1" applyFont="1" applyFill="1" applyBorder="1"/>
    <xf numFmtId="164" fontId="16" fillId="9" borderId="16" xfId="0" applyNumberFormat="1" applyFont="1" applyFill="1" applyBorder="1"/>
    <xf numFmtId="164" fontId="16" fillId="9" borderId="17" xfId="0" applyNumberFormat="1" applyFont="1" applyFill="1" applyBorder="1"/>
    <xf numFmtId="164" fontId="11" fillId="9" borderId="16" xfId="1" applyNumberFormat="1" applyFont="1" applyFill="1" applyBorder="1"/>
    <xf numFmtId="164" fontId="11" fillId="9" borderId="17" xfId="1" applyNumberFormat="1" applyFont="1" applyFill="1" applyBorder="1"/>
    <xf numFmtId="0" fontId="8" fillId="0" borderId="51" xfId="0" applyFont="1" applyBorder="1"/>
    <xf numFmtId="164" fontId="23" fillId="11" borderId="21" xfId="0" applyNumberFormat="1" applyFont="1" applyFill="1" applyBorder="1"/>
    <xf numFmtId="1" fontId="3" fillId="0" borderId="36" xfId="0" applyNumberFormat="1" applyFont="1" applyBorder="1"/>
    <xf numFmtId="164" fontId="2" fillId="7" borderId="33" xfId="0" applyNumberFormat="1" applyFont="1" applyFill="1" applyBorder="1"/>
    <xf numFmtId="164" fontId="3" fillId="7" borderId="36" xfId="0" applyNumberFormat="1" applyFont="1" applyFill="1" applyBorder="1"/>
    <xf numFmtId="164" fontId="0" fillId="12" borderId="12" xfId="0" applyNumberFormat="1" applyFill="1" applyBorder="1"/>
    <xf numFmtId="164" fontId="0" fillId="12" borderId="7" xfId="0" applyNumberFormat="1" applyFill="1" applyBorder="1"/>
    <xf numFmtId="164" fontId="0" fillId="2" borderId="13" xfId="0" applyNumberFormat="1" applyFill="1" applyBorder="1"/>
    <xf numFmtId="164" fontId="0" fillId="2" borderId="10" xfId="0" applyNumberFormat="1" applyFill="1" applyBorder="1"/>
    <xf numFmtId="173" fontId="16" fillId="15" borderId="64" xfId="0" applyNumberFormat="1" applyFont="1" applyFill="1" applyBorder="1"/>
    <xf numFmtId="165" fontId="16" fillId="0" borderId="12" xfId="0" applyNumberFormat="1" applyFont="1" applyBorder="1"/>
    <xf numFmtId="165" fontId="16" fillId="0" borderId="13" xfId="0" applyNumberFormat="1" applyFont="1" applyBorder="1"/>
    <xf numFmtId="0" fontId="2" fillId="0" borderId="85" xfId="0" applyFont="1" applyBorder="1" applyAlignment="1">
      <alignment horizontal="center" vertical="center"/>
    </xf>
    <xf numFmtId="2" fontId="51" fillId="0" borderId="86" xfId="0" applyNumberFormat="1" applyFont="1" applyBorder="1" applyAlignment="1">
      <alignment horizontal="center" vertical="center"/>
    </xf>
    <xf numFmtId="0" fontId="0" fillId="0" borderId="88" xfId="0" applyBorder="1"/>
    <xf numFmtId="0" fontId="0" fillId="0" borderId="89" xfId="0" applyBorder="1"/>
    <xf numFmtId="0" fontId="2" fillId="0" borderId="92" xfId="0" applyFont="1" applyBorder="1" applyAlignment="1">
      <alignment horizontal="left" vertical="center"/>
    </xf>
    <xf numFmtId="0" fontId="50" fillId="0" borderId="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58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" fontId="10" fillId="0" borderId="7" xfId="0" applyNumberFormat="1" applyFont="1" applyBorder="1"/>
    <xf numFmtId="2" fontId="19" fillId="0" borderId="93" xfId="0" applyNumberFormat="1" applyFont="1" applyBorder="1" applyAlignment="1">
      <alignment horizontal="right"/>
    </xf>
    <xf numFmtId="0" fontId="6" fillId="0" borderId="92" xfId="0" applyFont="1" applyBorder="1" applyAlignment="1">
      <alignment horizontal="left" vertical="center"/>
    </xf>
    <xf numFmtId="0" fontId="52" fillId="0" borderId="7" xfId="0" applyFont="1" applyBorder="1" applyAlignment="1">
      <alignment horizontal="center"/>
    </xf>
    <xf numFmtId="2" fontId="2" fillId="0" borderId="7" xfId="0" applyNumberFormat="1" applyFont="1" applyBorder="1"/>
    <xf numFmtId="2" fontId="10" fillId="0" borderId="93" xfId="0" applyNumberFormat="1" applyFont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2" fontId="59" fillId="0" borderId="93" xfId="0" applyNumberFormat="1" applyFont="1" applyBorder="1" applyAlignment="1">
      <alignment horizontal="right" vertical="center"/>
    </xf>
    <xf numFmtId="2" fontId="60" fillId="0" borderId="93" xfId="0" applyNumberFormat="1" applyFont="1" applyBorder="1" applyAlignment="1">
      <alignment horizontal="right" vertical="center"/>
    </xf>
    <xf numFmtId="0" fontId="2" fillId="0" borderId="94" xfId="0" applyFont="1" applyBorder="1" applyAlignment="1">
      <alignment horizontal="left" vertical="center"/>
    </xf>
    <xf numFmtId="0" fontId="50" fillId="0" borderId="95" xfId="0" applyFont="1" applyBorder="1" applyAlignment="1">
      <alignment horizontal="center"/>
    </xf>
    <xf numFmtId="0" fontId="0" fillId="0" borderId="95" xfId="0" applyBorder="1" applyAlignment="1">
      <alignment horizontal="center" vertical="center"/>
    </xf>
    <xf numFmtId="0" fontId="58" fillId="0" borderId="95" xfId="0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2" fontId="10" fillId="0" borderId="95" xfId="0" applyNumberFormat="1" applyFont="1" applyBorder="1"/>
    <xf numFmtId="2" fontId="59" fillId="0" borderId="96" xfId="0" applyNumberFormat="1" applyFont="1" applyBorder="1" applyAlignment="1">
      <alignment horizontal="right" vertical="center"/>
    </xf>
    <xf numFmtId="0" fontId="6" fillId="0" borderId="94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0" fillId="0" borderId="0" xfId="0" applyBorder="1"/>
    <xf numFmtId="0" fontId="3" fillId="0" borderId="22" xfId="0" applyFont="1" applyBorder="1"/>
    <xf numFmtId="165" fontId="3" fillId="0" borderId="23" xfId="1" applyNumberFormat="1" applyFont="1" applyBorder="1"/>
    <xf numFmtId="0" fontId="3" fillId="0" borderId="25" xfId="0" applyFont="1" applyBorder="1"/>
    <xf numFmtId="0" fontId="3" fillId="4" borderId="25" xfId="0" applyFont="1" applyFill="1" applyBorder="1"/>
    <xf numFmtId="165" fontId="3" fillId="3" borderId="25" xfId="0" applyNumberFormat="1" applyFont="1" applyFill="1" applyBorder="1"/>
    <xf numFmtId="165" fontId="3" fillId="0" borderId="26" xfId="1" applyNumberFormat="1" applyFont="1" applyBorder="1"/>
    <xf numFmtId="165" fontId="3" fillId="0" borderId="25" xfId="0" applyNumberFormat="1" applyFont="1" applyBorder="1"/>
    <xf numFmtId="0" fontId="3" fillId="5" borderId="25" xfId="0" applyFont="1" applyFill="1" applyBorder="1"/>
    <xf numFmtId="165" fontId="3" fillId="0" borderId="22" xfId="0" applyNumberFormat="1" applyFont="1" applyBorder="1"/>
    <xf numFmtId="0" fontId="3" fillId="0" borderId="28" xfId="0" applyFont="1" applyBorder="1"/>
    <xf numFmtId="0" fontId="3" fillId="4" borderId="28" xfId="0" applyFont="1" applyFill="1" applyBorder="1"/>
    <xf numFmtId="165" fontId="3" fillId="0" borderId="28" xfId="0" applyNumberFormat="1" applyFont="1" applyBorder="1"/>
    <xf numFmtId="165" fontId="3" fillId="0" borderId="29" xfId="1" applyNumberFormat="1" applyFont="1" applyBorder="1"/>
    <xf numFmtId="0" fontId="62" fillId="0" borderId="25" xfId="0" applyFont="1" applyBorder="1"/>
    <xf numFmtId="0" fontId="3" fillId="0" borderId="59" xfId="0" applyFont="1" applyBorder="1"/>
    <xf numFmtId="0" fontId="3" fillId="5" borderId="59" xfId="0" applyFont="1" applyFill="1" applyBorder="1"/>
    <xf numFmtId="165" fontId="3" fillId="3" borderId="59" xfId="0" applyNumberFormat="1" applyFont="1" applyFill="1" applyBorder="1"/>
    <xf numFmtId="165" fontId="3" fillId="0" borderId="59" xfId="1" applyNumberFormat="1" applyFont="1" applyBorder="1"/>
    <xf numFmtId="165" fontId="3" fillId="0" borderId="25" xfId="1" applyNumberFormat="1" applyFont="1" applyBorder="1"/>
    <xf numFmtId="0" fontId="3" fillId="0" borderId="44" xfId="0" applyFont="1" applyBorder="1"/>
    <xf numFmtId="0" fontId="3" fillId="5" borderId="44" xfId="0" applyFont="1" applyFill="1" applyBorder="1"/>
    <xf numFmtId="165" fontId="3" fillId="3" borderId="44" xfId="0" applyNumberFormat="1" applyFont="1" applyFill="1" applyBorder="1"/>
    <xf numFmtId="165" fontId="3" fillId="0" borderId="44" xfId="1" applyNumberFormat="1" applyFont="1" applyBorder="1"/>
    <xf numFmtId="0" fontId="4" fillId="0" borderId="19" xfId="0" applyFont="1" applyBorder="1" applyAlignment="1">
      <alignment horizontal="center" vertical="center"/>
    </xf>
    <xf numFmtId="0" fontId="3" fillId="0" borderId="19" xfId="0" applyFont="1" applyBorder="1"/>
    <xf numFmtId="165" fontId="3" fillId="3" borderId="19" xfId="0" applyNumberFormat="1" applyFont="1" applyFill="1" applyBorder="1"/>
    <xf numFmtId="165" fontId="3" fillId="0" borderId="19" xfId="1" applyNumberFormat="1" applyFont="1" applyBorder="1"/>
    <xf numFmtId="0" fontId="6" fillId="0" borderId="19" xfId="0" applyFont="1" applyBorder="1" applyAlignment="1">
      <alignment horizontal="center" vertical="center" wrapText="1"/>
    </xf>
    <xf numFmtId="0" fontId="62" fillId="0" borderId="19" xfId="0" applyFont="1" applyBorder="1"/>
    <xf numFmtId="165" fontId="3" fillId="0" borderId="19" xfId="0" applyNumberFormat="1" applyFont="1" applyBorder="1"/>
    <xf numFmtId="165" fontId="3" fillId="0" borderId="59" xfId="0" applyNumberFormat="1" applyFont="1" applyBorder="1"/>
    <xf numFmtId="165" fontId="3" fillId="3" borderId="28" xfId="0" applyNumberFormat="1" applyFont="1" applyFill="1" applyBorder="1"/>
    <xf numFmtId="165" fontId="65" fillId="0" borderId="25" xfId="1" applyNumberFormat="1" applyFont="1" applyBorder="1"/>
    <xf numFmtId="0" fontId="3" fillId="3" borderId="25" xfId="0" applyFont="1" applyFill="1" applyBorder="1"/>
    <xf numFmtId="164" fontId="3" fillId="0" borderId="25" xfId="1" applyNumberFormat="1" applyFont="1" applyBorder="1"/>
    <xf numFmtId="165" fontId="3" fillId="3" borderId="25" xfId="1" applyNumberFormat="1" applyFont="1" applyFill="1" applyBorder="1"/>
    <xf numFmtId="165" fontId="3" fillId="0" borderId="44" xfId="0" applyNumberFormat="1" applyFont="1" applyBorder="1"/>
    <xf numFmtId="165" fontId="3" fillId="3" borderId="44" xfId="1" applyNumberFormat="1" applyFont="1" applyFill="1" applyBorder="1"/>
    <xf numFmtId="165" fontId="3" fillId="0" borderId="28" xfId="1" applyNumberFormat="1" applyFont="1" applyBorder="1"/>
    <xf numFmtId="0" fontId="3" fillId="0" borderId="0" xfId="0" applyFont="1"/>
    <xf numFmtId="0" fontId="67" fillId="0" borderId="0" xfId="0" applyFont="1" applyBorder="1" applyAlignment="1">
      <alignment horizontal="left"/>
    </xf>
    <xf numFmtId="172" fontId="3" fillId="0" borderId="0" xfId="0" applyNumberFormat="1" applyFont="1"/>
    <xf numFmtId="0" fontId="0" fillId="0" borderId="98" xfId="0" applyBorder="1"/>
    <xf numFmtId="0" fontId="0" fillId="0" borderId="99" xfId="0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13" fillId="0" borderId="100" xfId="0" applyFont="1" applyBorder="1" applyAlignment="1">
      <alignment vertical="center"/>
    </xf>
    <xf numFmtId="0" fontId="13" fillId="0" borderId="101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99" xfId="0" applyBorder="1" applyAlignment="1">
      <alignment horizontal="left" vertical="center"/>
    </xf>
    <xf numFmtId="0" fontId="5" fillId="0" borderId="98" xfId="0" applyFont="1" applyBorder="1"/>
    <xf numFmtId="0" fontId="5" fillId="0" borderId="0" xfId="0" applyFont="1" applyBorder="1"/>
    <xf numFmtId="164" fontId="30" fillId="17" borderId="14" xfId="0" applyNumberFormat="1" applyFont="1" applyFill="1" applyBorder="1"/>
    <xf numFmtId="2" fontId="2" fillId="0" borderId="51" xfId="0" applyNumberFormat="1" applyFont="1" applyBorder="1"/>
    <xf numFmtId="164" fontId="30" fillId="16" borderId="51" xfId="0" applyNumberFormat="1" applyFont="1" applyFill="1" applyBorder="1"/>
    <xf numFmtId="164" fontId="2" fillId="19" borderId="44" xfId="0" applyNumberFormat="1" applyFont="1" applyFill="1" applyBorder="1"/>
    <xf numFmtId="164" fontId="2" fillId="19" borderId="19" xfId="0" applyNumberFormat="1" applyFont="1" applyFill="1" applyBorder="1"/>
    <xf numFmtId="0" fontId="12" fillId="0" borderId="0" xfId="0" applyFont="1" applyBorder="1" applyAlignment="1">
      <alignment horizontal="left" vertical="center"/>
    </xf>
    <xf numFmtId="0" fontId="12" fillId="0" borderId="99" xfId="0" applyFont="1" applyBorder="1" applyAlignment="1">
      <alignment horizontal="left" vertical="center"/>
    </xf>
    <xf numFmtId="0" fontId="12" fillId="0" borderId="98" xfId="0" applyFont="1" applyBorder="1" applyAlignment="1">
      <alignment horizontal="left" vertical="center"/>
    </xf>
    <xf numFmtId="164" fontId="10" fillId="6" borderId="47" xfId="0" applyNumberFormat="1" applyFont="1" applyFill="1" applyBorder="1"/>
    <xf numFmtId="164" fontId="71" fillId="6" borderId="47" xfId="0" applyNumberFormat="1" applyFont="1" applyFill="1" applyBorder="1"/>
    <xf numFmtId="164" fontId="72" fillId="6" borderId="47" xfId="0" applyNumberFormat="1" applyFont="1" applyFill="1" applyBorder="1"/>
    <xf numFmtId="0" fontId="4" fillId="0" borderId="97" xfId="0" applyFont="1" applyBorder="1" applyAlignment="1">
      <alignment horizontal="center" vertical="center"/>
    </xf>
    <xf numFmtId="0" fontId="66" fillId="0" borderId="24" xfId="0" applyFont="1" applyBorder="1" applyAlignment="1">
      <alignment horizontal="center" vertical="center"/>
    </xf>
    <xf numFmtId="0" fontId="66" fillId="0" borderId="27" xfId="0" applyFont="1" applyBorder="1" applyAlignment="1">
      <alignment horizontal="center" vertical="center"/>
    </xf>
    <xf numFmtId="0" fontId="6" fillId="0" borderId="9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97" xfId="0" applyFont="1" applyBorder="1" applyAlignment="1">
      <alignment horizontal="center" vertical="center" textRotation="255"/>
    </xf>
    <xf numFmtId="0" fontId="4" fillId="0" borderId="24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center" vertical="center" textRotation="255"/>
    </xf>
    <xf numFmtId="0" fontId="6" fillId="0" borderId="97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97" xfId="0" applyFont="1" applyBorder="1" applyAlignment="1">
      <alignment horizontal="center" vertical="center" wrapText="1"/>
    </xf>
    <xf numFmtId="0" fontId="66" fillId="0" borderId="24" xfId="0" applyFont="1" applyBorder="1" applyAlignment="1">
      <alignment horizontal="center" vertical="center" wrapText="1"/>
    </xf>
    <xf numFmtId="0" fontId="66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61" xfId="0" applyFont="1" applyBorder="1" applyAlignment="1">
      <alignment horizontal="left"/>
    </xf>
    <xf numFmtId="0" fontId="3" fillId="0" borderId="5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49" fillId="6" borderId="30" xfId="0" applyFont="1" applyFill="1" applyBorder="1" applyAlignment="1">
      <alignment horizontal="left" vertical="center"/>
    </xf>
    <xf numFmtId="0" fontId="49" fillId="6" borderId="46" xfId="0" applyFont="1" applyFill="1" applyBorder="1" applyAlignment="1">
      <alignment horizontal="left" vertical="center"/>
    </xf>
    <xf numFmtId="0" fontId="49" fillId="6" borderId="40" xfId="0" applyFont="1" applyFill="1" applyBorder="1" applyAlignment="1">
      <alignment horizontal="left" vertical="center"/>
    </xf>
    <xf numFmtId="164" fontId="2" fillId="0" borderId="46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0" fontId="2" fillId="0" borderId="5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2" xfId="0" applyFont="1" applyBorder="1" applyAlignment="1">
      <alignment horizontal="left"/>
    </xf>
    <xf numFmtId="0" fontId="2" fillId="6" borderId="30" xfId="0" applyFont="1" applyFill="1" applyBorder="1" applyAlignment="1">
      <alignment horizontal="left" vertical="center"/>
    </xf>
    <xf numFmtId="0" fontId="2" fillId="6" borderId="46" xfId="0" applyFont="1" applyFill="1" applyBorder="1" applyAlignment="1">
      <alignment horizontal="left" vertical="center"/>
    </xf>
    <xf numFmtId="0" fontId="2" fillId="6" borderId="47" xfId="0" applyFont="1" applyFill="1" applyBorder="1" applyAlignment="1">
      <alignment horizontal="left" vertical="center"/>
    </xf>
    <xf numFmtId="0" fontId="2" fillId="6" borderId="40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164" fontId="2" fillId="0" borderId="46" xfId="0" applyNumberFormat="1" applyFont="1" applyBorder="1" applyAlignment="1">
      <alignment horizontal="center"/>
    </xf>
    <xf numFmtId="164" fontId="2" fillId="0" borderId="31" xfId="0" applyNumberFormat="1" applyFont="1" applyBorder="1" applyAlignment="1">
      <alignment horizontal="center"/>
    </xf>
    <xf numFmtId="164" fontId="2" fillId="7" borderId="40" xfId="0" applyNumberFormat="1" applyFont="1" applyFill="1" applyBorder="1" applyAlignment="1">
      <alignment horizontal="center" vertical="center"/>
    </xf>
    <xf numFmtId="164" fontId="2" fillId="7" borderId="31" xfId="0" applyNumberFormat="1" applyFont="1" applyFill="1" applyBorder="1" applyAlignment="1">
      <alignment horizontal="center" vertical="center"/>
    </xf>
    <xf numFmtId="0" fontId="14" fillId="0" borderId="54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60" xfId="0" applyFont="1" applyBorder="1" applyAlignment="1">
      <alignment horizontal="left" vertical="center"/>
    </xf>
    <xf numFmtId="0" fontId="14" fillId="0" borderId="52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62" xfId="0" applyFont="1" applyBorder="1" applyAlignment="1">
      <alignment horizontal="left" vertical="center"/>
    </xf>
    <xf numFmtId="0" fontId="3" fillId="0" borderId="5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62" xfId="0" applyFont="1" applyBorder="1" applyAlignment="1">
      <alignment horizontal="left"/>
    </xf>
    <xf numFmtId="0" fontId="17" fillId="0" borderId="30" xfId="0" applyFont="1" applyBorder="1" applyAlignment="1">
      <alignment horizontal="left"/>
    </xf>
    <xf numFmtId="0" fontId="17" fillId="0" borderId="46" xfId="0" applyFont="1" applyBorder="1" applyAlignment="1">
      <alignment horizontal="left"/>
    </xf>
    <xf numFmtId="0" fontId="17" fillId="0" borderId="47" xfId="0" applyFont="1" applyBorder="1" applyAlignment="1">
      <alignment horizontal="left"/>
    </xf>
    <xf numFmtId="0" fontId="17" fillId="0" borderId="65" xfId="0" applyFont="1" applyBorder="1" applyAlignment="1">
      <alignment horizontal="left"/>
    </xf>
    <xf numFmtId="0" fontId="17" fillId="0" borderId="3" xfId="0" applyFont="1" applyBorder="1" applyAlignment="1">
      <alignment horizontal="left"/>
    </xf>
    <xf numFmtId="0" fontId="17" fillId="0" borderId="61" xfId="0" applyFont="1" applyBorder="1" applyAlignment="1">
      <alignment horizontal="left"/>
    </xf>
    <xf numFmtId="0" fontId="2" fillId="0" borderId="5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0" xfId="0" applyFont="1" applyBorder="1" applyAlignment="1">
      <alignment horizontal="left"/>
    </xf>
    <xf numFmtId="0" fontId="6" fillId="6" borderId="11" xfId="0" applyFont="1" applyFill="1" applyBorder="1" applyAlignment="1">
      <alignment horizontal="center" vertical="center"/>
    </xf>
    <xf numFmtId="0" fontId="6" fillId="6" borderId="57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3" fillId="6" borderId="4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18" fillId="0" borderId="9" xfId="0" applyFont="1" applyBorder="1" applyAlignment="1"/>
    <xf numFmtId="0" fontId="18" fillId="0" borderId="47" xfId="0" applyFont="1" applyBorder="1" applyAlignment="1"/>
    <xf numFmtId="0" fontId="15" fillId="0" borderId="7" xfId="0" applyFont="1" applyBorder="1" applyAlignment="1"/>
    <xf numFmtId="164" fontId="3" fillId="0" borderId="40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0" fontId="14" fillId="0" borderId="5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60" xfId="0" applyFont="1" applyBorder="1" applyAlignment="1">
      <alignment horizontal="left"/>
    </xf>
    <xf numFmtId="0" fontId="4" fillId="6" borderId="30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left" vertical="center"/>
    </xf>
    <xf numFmtId="0" fontId="4" fillId="6" borderId="47" xfId="0" applyFont="1" applyFill="1" applyBorder="1" applyAlignment="1">
      <alignment horizontal="left" vertical="center"/>
    </xf>
    <xf numFmtId="0" fontId="14" fillId="0" borderId="30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3" fillId="0" borderId="36" xfId="0" applyFont="1" applyBorder="1" applyAlignment="1">
      <alignment horizontal="left"/>
    </xf>
    <xf numFmtId="0" fontId="15" fillId="0" borderId="5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7" fillId="0" borderId="65" xfId="0" applyFont="1" applyBorder="1"/>
    <xf numFmtId="0" fontId="17" fillId="0" borderId="3" xfId="0" applyFont="1" applyBorder="1"/>
    <xf numFmtId="0" fontId="17" fillId="0" borderId="61" xfId="0" applyFont="1" applyBorder="1"/>
    <xf numFmtId="0" fontId="3" fillId="0" borderId="6" xfId="0" applyFont="1" applyBorder="1" applyAlignment="1">
      <alignment horizontal="left"/>
    </xf>
    <xf numFmtId="0" fontId="3" fillId="0" borderId="53" xfId="0" applyFont="1" applyBorder="1" applyAlignment="1">
      <alignment horizontal="left"/>
    </xf>
    <xf numFmtId="0" fontId="14" fillId="0" borderId="65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61" xfId="0" applyFont="1" applyBorder="1" applyAlignment="1">
      <alignment horizontal="left"/>
    </xf>
    <xf numFmtId="0" fontId="15" fillId="0" borderId="3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left"/>
    </xf>
    <xf numFmtId="0" fontId="2" fillId="6" borderId="46" xfId="0" applyFont="1" applyFill="1" applyBorder="1" applyAlignment="1">
      <alignment horizontal="left"/>
    </xf>
    <xf numFmtId="0" fontId="2" fillId="6" borderId="47" xfId="0" applyFont="1" applyFill="1" applyBorder="1" applyAlignment="1">
      <alignment horizontal="left"/>
    </xf>
    <xf numFmtId="0" fontId="68" fillId="0" borderId="85" xfId="0" applyFont="1" applyBorder="1" applyAlignment="1">
      <alignment horizontal="center"/>
    </xf>
    <xf numFmtId="0" fontId="68" fillId="0" borderId="88" xfId="0" applyFont="1" applyBorder="1" applyAlignment="1">
      <alignment horizontal="center"/>
    </xf>
    <xf numFmtId="0" fontId="68" fillId="0" borderId="89" xfId="0" applyFont="1" applyBorder="1" applyAlignment="1">
      <alignment horizontal="center"/>
    </xf>
    <xf numFmtId="0" fontId="12" fillId="0" borderId="98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99" xfId="0" applyBorder="1" applyAlignment="1">
      <alignment horizontal="left"/>
    </xf>
    <xf numFmtId="2" fontId="0" fillId="0" borderId="0" xfId="0" applyNumberFormat="1" applyBorder="1" applyAlignment="1">
      <alignment horizontal="left"/>
    </xf>
    <xf numFmtId="2" fontId="0" fillId="0" borderId="99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99" xfId="0" applyNumberFormat="1" applyBorder="1" applyAlignment="1">
      <alignment horizontal="left"/>
    </xf>
    <xf numFmtId="0" fontId="5" fillId="0" borderId="9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9" xfId="0" applyBorder="1" applyAlignment="1">
      <alignment horizontal="left" vertical="center"/>
    </xf>
    <xf numFmtId="9" fontId="0" fillId="0" borderId="0" xfId="1" applyFont="1" applyBorder="1" applyAlignment="1">
      <alignment horizontal="left" vertical="center"/>
    </xf>
    <xf numFmtId="9" fontId="0" fillId="0" borderId="99" xfId="1" applyFont="1" applyBorder="1" applyAlignment="1">
      <alignment horizontal="left" vertical="center"/>
    </xf>
    <xf numFmtId="0" fontId="12" fillId="0" borderId="99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0" fillId="16" borderId="0" xfId="0" applyFont="1" applyFill="1" applyAlignment="1">
      <alignment horizontal="center" vertical="center"/>
    </xf>
    <xf numFmtId="0" fontId="0" fillId="12" borderId="9" xfId="0" applyFill="1" applyBorder="1" applyAlignment="1">
      <alignment horizontal="left"/>
    </xf>
    <xf numFmtId="0" fontId="0" fillId="12" borderId="7" xfId="0" applyFill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14" fontId="25" fillId="0" borderId="40" xfId="3" applyNumberFormat="1" applyFont="1" applyBorder="1" applyAlignment="1">
      <alignment horizontal="left"/>
    </xf>
    <xf numFmtId="14" fontId="25" fillId="0" borderId="47" xfId="3" applyNumberFormat="1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6" fillId="0" borderId="40" xfId="3" applyFont="1" applyBorder="1" applyAlignment="1">
      <alignment horizontal="center" vertical="center"/>
    </xf>
    <xf numFmtId="0" fontId="26" fillId="0" borderId="47" xfId="3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164" fontId="0" fillId="0" borderId="40" xfId="0" applyNumberFormat="1" applyBorder="1" applyAlignment="1">
      <alignment horizontal="center" vertical="center" wrapText="1"/>
    </xf>
    <xf numFmtId="164" fontId="0" fillId="0" borderId="31" xfId="0" applyNumberFormat="1" applyBorder="1" applyAlignment="1">
      <alignment horizontal="center" vertical="center" wrapText="1"/>
    </xf>
    <xf numFmtId="164" fontId="16" fillId="6" borderId="7" xfId="0" applyNumberFormat="1" applyFont="1" applyFill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12" borderId="7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7" borderId="7" xfId="0" applyNumberFormat="1" applyFill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4" fontId="19" fillId="6" borderId="7" xfId="0" applyNumberFormat="1" applyFont="1" applyFill="1" applyBorder="1" applyAlignment="1">
      <alignment horizontal="center"/>
    </xf>
    <xf numFmtId="0" fontId="19" fillId="6" borderId="10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57" fillId="0" borderId="103" xfId="0" applyFont="1" applyBorder="1" applyAlignment="1">
      <alignment horizontal="center" vertical="center"/>
    </xf>
    <xf numFmtId="0" fontId="57" fillId="0" borderId="90" xfId="0" applyFont="1" applyBorder="1" applyAlignment="1">
      <alignment horizontal="center" vertical="center"/>
    </xf>
    <xf numFmtId="0" fontId="33" fillId="18" borderId="0" xfId="0" applyFont="1" applyFill="1" applyAlignment="1">
      <alignment horizontal="center"/>
    </xf>
    <xf numFmtId="0" fontId="0" fillId="0" borderId="40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2" fillId="6" borderId="41" xfId="0" applyNumberFormat="1" applyFont="1" applyFill="1" applyBorder="1" applyAlignment="1">
      <alignment horizontal="center"/>
    </xf>
    <xf numFmtId="164" fontId="2" fillId="6" borderId="42" xfId="0" applyNumberFormat="1" applyFont="1" applyFill="1" applyBorder="1" applyAlignment="1">
      <alignment horizontal="center"/>
    </xf>
    <xf numFmtId="0" fontId="0" fillId="0" borderId="81" xfId="0" applyBorder="1" applyAlignment="1">
      <alignment horizontal="left"/>
    </xf>
    <xf numFmtId="0" fontId="0" fillId="0" borderId="80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33" xfId="0" applyBorder="1" applyAlignment="1">
      <alignment horizontal="left"/>
    </xf>
    <xf numFmtId="0" fontId="30" fillId="13" borderId="55" xfId="0" applyFont="1" applyFill="1" applyBorder="1" applyAlignment="1">
      <alignment horizontal="center"/>
    </xf>
    <xf numFmtId="0" fontId="30" fillId="13" borderId="48" xfId="0" applyFont="1" applyFill="1" applyBorder="1" applyAlignment="1">
      <alignment horizontal="center"/>
    </xf>
    <xf numFmtId="0" fontId="30" fillId="13" borderId="56" xfId="0" applyFont="1" applyFill="1" applyBorder="1" applyAlignment="1">
      <alignment horizontal="center"/>
    </xf>
    <xf numFmtId="0" fontId="0" fillId="0" borderId="9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57" fillId="0" borderId="104" xfId="0" applyFont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0" fontId="57" fillId="0" borderId="105" xfId="0" applyFont="1" applyBorder="1" applyAlignment="1">
      <alignment horizontal="center" vertical="center" wrapText="1"/>
    </xf>
    <xf numFmtId="0" fontId="57" fillId="0" borderId="91" xfId="0" applyFont="1" applyBorder="1" applyAlignment="1">
      <alignment horizontal="center" vertical="center" wrapText="1"/>
    </xf>
    <xf numFmtId="0" fontId="57" fillId="0" borderId="104" xfId="0" applyFont="1" applyBorder="1" applyAlignment="1">
      <alignment horizontal="center" vertical="center" wrapText="1"/>
    </xf>
    <xf numFmtId="0" fontId="57" fillId="0" borderId="35" xfId="0" applyFont="1" applyBorder="1" applyAlignment="1">
      <alignment horizontal="center" vertical="center" wrapText="1"/>
    </xf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14" fillId="0" borderId="8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52" fillId="0" borderId="88" xfId="0" applyFont="1" applyBorder="1" applyAlignment="1">
      <alignment horizontal="center"/>
    </xf>
    <xf numFmtId="0" fontId="14" fillId="0" borderId="85" xfId="0" applyFont="1" applyBorder="1" applyAlignment="1">
      <alignment horizontal="left" vertical="center"/>
    </xf>
    <xf numFmtId="0" fontId="14" fillId="0" borderId="88" xfId="0" applyFont="1" applyBorder="1" applyAlignment="1">
      <alignment horizontal="left" vertical="center"/>
    </xf>
    <xf numFmtId="0" fontId="14" fillId="0" borderId="89" xfId="0" applyFont="1" applyBorder="1" applyAlignment="1">
      <alignment horizontal="left" vertical="center"/>
    </xf>
    <xf numFmtId="0" fontId="2" fillId="0" borderId="103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12" fillId="0" borderId="25" xfId="0" applyFont="1" applyBorder="1" applyAlignment="1">
      <alignment horizontal="left"/>
    </xf>
    <xf numFmtId="164" fontId="0" fillId="0" borderId="25" xfId="0" applyNumberFormat="1" applyBorder="1" applyAlignment="1">
      <alignment horizontal="center"/>
    </xf>
    <xf numFmtId="164" fontId="0" fillId="14" borderId="30" xfId="0" applyNumberFormat="1" applyFill="1" applyBorder="1" applyAlignment="1">
      <alignment horizontal="center"/>
    </xf>
    <xf numFmtId="164" fontId="0" fillId="14" borderId="31" xfId="0" applyNumberFormat="1" applyFill="1" applyBorder="1" applyAlignment="1">
      <alignment horizontal="center"/>
    </xf>
    <xf numFmtId="0" fontId="12" fillId="0" borderId="30" xfId="0" applyFont="1" applyBorder="1" applyAlignment="1">
      <alignment horizontal="left"/>
    </xf>
    <xf numFmtId="0" fontId="12" fillId="0" borderId="31" xfId="0" applyFont="1" applyBorder="1" applyAlignment="1">
      <alignment horizontal="left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72" fontId="0" fillId="0" borderId="30" xfId="0" applyNumberFormat="1" applyBorder="1" applyAlignment="1">
      <alignment horizontal="center"/>
    </xf>
    <xf numFmtId="172" fontId="0" fillId="0" borderId="31" xfId="0" applyNumberFormat="1" applyBorder="1" applyAlignment="1">
      <alignment horizontal="center"/>
    </xf>
    <xf numFmtId="164" fontId="0" fillId="0" borderId="59" xfId="0" applyNumberFormat="1" applyFont="1" applyBorder="1" applyAlignment="1">
      <alignment horizontal="center" vertical="center"/>
    </xf>
    <xf numFmtId="164" fontId="0" fillId="14" borderId="50" xfId="0" applyNumberFormat="1" applyFill="1" applyBorder="1" applyAlignment="1">
      <alignment horizontal="center"/>
    </xf>
    <xf numFmtId="164" fontId="0" fillId="14" borderId="42" xfId="0" applyNumberFormat="1" applyFill="1" applyBorder="1" applyAlignment="1">
      <alignment horizontal="center"/>
    </xf>
    <xf numFmtId="0" fontId="4" fillId="0" borderId="80" xfId="0" applyFont="1" applyBorder="1" applyAlignment="1">
      <alignment horizontal="center"/>
    </xf>
    <xf numFmtId="0" fontId="2" fillId="0" borderId="50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2" fillId="0" borderId="72" xfId="0" applyFont="1" applyBorder="1"/>
    <xf numFmtId="0" fontId="2" fillId="0" borderId="39" xfId="0" applyFont="1" applyBorder="1"/>
    <xf numFmtId="0" fontId="8" fillId="0" borderId="55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77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30" fillId="17" borderId="72" xfId="0" applyFont="1" applyFill="1" applyBorder="1" applyAlignment="1">
      <alignment horizontal="center" vertical="center"/>
    </xf>
    <xf numFmtId="0" fontId="30" fillId="17" borderId="50" xfId="0" applyFont="1" applyFill="1" applyBorder="1" applyAlignment="1">
      <alignment horizontal="center" vertical="center"/>
    </xf>
    <xf numFmtId="0" fontId="33" fillId="16" borderId="59" xfId="0" applyFont="1" applyFill="1" applyBorder="1" applyAlignment="1">
      <alignment horizontal="center" vertical="center"/>
    </xf>
    <xf numFmtId="0" fontId="33" fillId="16" borderId="44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/>
    </xf>
    <xf numFmtId="0" fontId="2" fillId="11" borderId="12" xfId="0" applyFont="1" applyFill="1" applyBorder="1" applyAlignment="1">
      <alignment horizontal="center"/>
    </xf>
    <xf numFmtId="0" fontId="2" fillId="11" borderId="13" xfId="0" applyFont="1" applyFill="1" applyBorder="1" applyAlignment="1">
      <alignment horizontal="center"/>
    </xf>
    <xf numFmtId="0" fontId="32" fillId="13" borderId="43" xfId="0" applyFont="1" applyFill="1" applyBorder="1" applyAlignment="1">
      <alignment horizontal="center"/>
    </xf>
    <xf numFmtId="0" fontId="32" fillId="13" borderId="77" xfId="0" applyFont="1" applyFill="1" applyBorder="1" applyAlignment="1">
      <alignment horizontal="center"/>
    </xf>
    <xf numFmtId="0" fontId="32" fillId="13" borderId="63" xfId="0" applyFont="1" applyFill="1" applyBorder="1" applyAlignment="1">
      <alignment horizontal="center"/>
    </xf>
    <xf numFmtId="0" fontId="30" fillId="16" borderId="19" xfId="0" applyFont="1" applyFill="1" applyBorder="1" applyAlignment="1">
      <alignment horizontal="center" vertical="center"/>
    </xf>
    <xf numFmtId="0" fontId="30" fillId="16" borderId="43" xfId="0" applyFont="1" applyFill="1" applyBorder="1" applyAlignment="1">
      <alignment horizontal="center"/>
    </xf>
    <xf numFmtId="0" fontId="30" fillId="16" borderId="77" xfId="0" applyFont="1" applyFill="1" applyBorder="1" applyAlignment="1">
      <alignment horizontal="center"/>
    </xf>
    <xf numFmtId="0" fontId="5" fillId="9" borderId="50" xfId="0" applyFont="1" applyFill="1" applyBorder="1" applyAlignment="1">
      <alignment horizontal="left"/>
    </xf>
    <xf numFmtId="0" fontId="5" fillId="9" borderId="42" xfId="0" applyFont="1" applyFill="1" applyBorder="1" applyAlignment="1">
      <alignment horizontal="left"/>
    </xf>
    <xf numFmtId="0" fontId="5" fillId="0" borderId="52" xfId="0" applyFont="1" applyBorder="1" applyAlignment="1">
      <alignment horizontal="left"/>
    </xf>
    <xf numFmtId="0" fontId="5" fillId="0" borderId="53" xfId="0" applyFont="1" applyBorder="1" applyAlignment="1">
      <alignment horizontal="left"/>
    </xf>
    <xf numFmtId="0" fontId="5" fillId="0" borderId="72" xfId="0" applyFont="1" applyBorder="1"/>
    <xf numFmtId="0" fontId="5" fillId="0" borderId="39" xfId="0" applyFont="1" applyBorder="1"/>
    <xf numFmtId="0" fontId="6" fillId="10" borderId="55" xfId="0" applyFont="1" applyFill="1" applyBorder="1" applyAlignment="1">
      <alignment horizontal="center" vertical="center"/>
    </xf>
    <xf numFmtId="0" fontId="6" fillId="10" borderId="56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12" fillId="0" borderId="44" xfId="0" applyFont="1" applyBorder="1" applyAlignment="1">
      <alignment horizontal="left"/>
    </xf>
    <xf numFmtId="0" fontId="6" fillId="0" borderId="22" xfId="0" applyFont="1" applyBorder="1" applyAlignment="1">
      <alignment horizontal="left" vertical="center"/>
    </xf>
    <xf numFmtId="0" fontId="5" fillId="12" borderId="15" xfId="0" applyFont="1" applyFill="1" applyBorder="1"/>
    <xf numFmtId="0" fontId="5" fillId="12" borderId="16" xfId="0" applyFont="1" applyFill="1" applyBorder="1"/>
    <xf numFmtId="0" fontId="0" fillId="12" borderId="30" xfId="0" applyFill="1" applyBorder="1" applyAlignment="1">
      <alignment horizontal="left"/>
    </xf>
    <xf numFmtId="0" fontId="0" fillId="12" borderId="47" xfId="0" applyFill="1" applyBorder="1" applyAlignment="1">
      <alignment horizontal="left"/>
    </xf>
    <xf numFmtId="0" fontId="5" fillId="12" borderId="9" xfId="0" applyFont="1" applyFill="1" applyBorder="1"/>
    <xf numFmtId="0" fontId="5" fillId="12" borderId="7" xfId="0" applyFont="1" applyFill="1" applyBorder="1"/>
    <xf numFmtId="0" fontId="5" fillId="21" borderId="63" xfId="0" applyFont="1" applyFill="1" applyBorder="1"/>
    <xf numFmtId="0" fontId="5" fillId="21" borderId="18" xfId="0" applyFont="1" applyFill="1" applyBorder="1"/>
    <xf numFmtId="0" fontId="5" fillId="21" borderId="75" xfId="0" applyFont="1" applyFill="1" applyBorder="1"/>
    <xf numFmtId="0" fontId="5" fillId="21" borderId="20" xfId="0" applyFont="1" applyFill="1" applyBorder="1"/>
    <xf numFmtId="0" fontId="5" fillId="21" borderId="79" xfId="0" applyFont="1" applyFill="1" applyBorder="1"/>
    <xf numFmtId="0" fontId="5" fillId="2" borderId="7" xfId="0" applyFont="1" applyFill="1" applyBorder="1"/>
    <xf numFmtId="0" fontId="0" fillId="2" borderId="12" xfId="0" applyFill="1" applyBorder="1" applyAlignment="1">
      <alignment horizontal="left"/>
    </xf>
    <xf numFmtId="0" fontId="0" fillId="12" borderId="72" xfId="0" applyFill="1" applyBorder="1" applyAlignment="1">
      <alignment horizontal="left"/>
    </xf>
    <xf numFmtId="0" fontId="0" fillId="12" borderId="57" xfId="0" applyFill="1" applyBorder="1" applyAlignment="1">
      <alignment horizontal="left"/>
    </xf>
    <xf numFmtId="0" fontId="0" fillId="0" borderId="78" xfId="0" applyBorder="1" applyAlignment="1">
      <alignment horizontal="left"/>
    </xf>
    <xf numFmtId="0" fontId="0" fillId="0" borderId="18" xfId="0" applyBorder="1" applyAlignment="1">
      <alignment horizontal="left"/>
    </xf>
    <xf numFmtId="0" fontId="2" fillId="20" borderId="19" xfId="0" applyFont="1" applyFill="1" applyBorder="1" applyAlignment="1">
      <alignment horizontal="center"/>
    </xf>
    <xf numFmtId="0" fontId="2" fillId="20" borderId="43" xfId="0" applyFont="1" applyFill="1" applyBorder="1" applyAlignment="1">
      <alignment horizontal="left"/>
    </xf>
    <xf numFmtId="0" fontId="2" fillId="20" borderId="77" xfId="0" applyFont="1" applyFill="1" applyBorder="1" applyAlignment="1">
      <alignment horizontal="left"/>
    </xf>
    <xf numFmtId="169" fontId="8" fillId="20" borderId="77" xfId="0" applyNumberFormat="1" applyFont="1" applyFill="1" applyBorder="1" applyAlignment="1">
      <alignment horizontal="left"/>
    </xf>
    <xf numFmtId="169" fontId="8" fillId="20" borderId="51" xfId="0" applyNumberFormat="1" applyFont="1" applyFill="1" applyBorder="1" applyAlignment="1">
      <alignment horizontal="left"/>
    </xf>
    <xf numFmtId="0" fontId="5" fillId="21" borderId="78" xfId="0" applyFont="1" applyFill="1" applyBorder="1"/>
    <xf numFmtId="0" fontId="30" fillId="13" borderId="43" xfId="0" applyFont="1" applyFill="1" applyBorder="1" applyAlignment="1">
      <alignment horizontal="center"/>
    </xf>
    <xf numFmtId="0" fontId="31" fillId="13" borderId="77" xfId="0" applyFont="1" applyFill="1" applyBorder="1" applyAlignment="1">
      <alignment horizontal="center"/>
    </xf>
    <xf numFmtId="0" fontId="31" fillId="13" borderId="51" xfId="0" applyFont="1" applyFill="1" applyBorder="1" applyAlignment="1">
      <alignment horizontal="center"/>
    </xf>
    <xf numFmtId="0" fontId="5" fillId="2" borderId="16" xfId="0" applyFont="1" applyFill="1" applyBorder="1"/>
    <xf numFmtId="0" fontId="0" fillId="2" borderId="40" xfId="0" applyFill="1" applyBorder="1" applyAlignment="1">
      <alignment horizontal="left"/>
    </xf>
    <xf numFmtId="0" fontId="0" fillId="2" borderId="47" xfId="0" applyFill="1" applyBorder="1" applyAlignment="1">
      <alignment horizontal="left"/>
    </xf>
    <xf numFmtId="164" fontId="0" fillId="0" borderId="44" xfId="0" applyNumberFormat="1" applyBorder="1" applyAlignment="1">
      <alignment horizontal="center"/>
    </xf>
    <xf numFmtId="0" fontId="27" fillId="8" borderId="66" xfId="0" applyFont="1" applyFill="1" applyBorder="1" applyAlignment="1">
      <alignment horizontal="center" vertical="center" wrapText="1"/>
    </xf>
    <xf numFmtId="0" fontId="27" fillId="8" borderId="67" xfId="0" applyFont="1" applyFill="1" applyBorder="1" applyAlignment="1">
      <alignment horizontal="center" vertical="center" wrapText="1"/>
    </xf>
    <xf numFmtId="0" fontId="27" fillId="8" borderId="68" xfId="0" applyFont="1" applyFill="1" applyBorder="1" applyAlignment="1">
      <alignment horizontal="center" vertical="center" wrapText="1"/>
    </xf>
    <xf numFmtId="0" fontId="27" fillId="8" borderId="69" xfId="0" applyFont="1" applyFill="1" applyBorder="1" applyAlignment="1">
      <alignment horizontal="center" vertical="center" wrapText="1"/>
    </xf>
    <xf numFmtId="0" fontId="28" fillId="8" borderId="70" xfId="0" applyFont="1" applyFill="1" applyBorder="1" applyAlignment="1">
      <alignment horizontal="center" vertical="center" wrapText="1"/>
    </xf>
    <xf numFmtId="0" fontId="28" fillId="8" borderId="71" xfId="0" applyFont="1" applyFill="1" applyBorder="1" applyAlignment="1">
      <alignment horizontal="center" vertical="center" wrapText="1"/>
    </xf>
    <xf numFmtId="0" fontId="5" fillId="0" borderId="25" xfId="0" applyFont="1" applyBorder="1"/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44" xfId="0" applyFont="1" applyBorder="1"/>
    <xf numFmtId="0" fontId="6" fillId="22" borderId="19" xfId="0" applyFont="1" applyFill="1" applyBorder="1" applyAlignment="1">
      <alignment horizontal="center" vertical="center"/>
    </xf>
    <xf numFmtId="0" fontId="5" fillId="0" borderId="22" xfId="0" applyFont="1" applyBorder="1"/>
    <xf numFmtId="0" fontId="9" fillId="0" borderId="25" xfId="0" applyFont="1" applyBorder="1"/>
    <xf numFmtId="0" fontId="5" fillId="0" borderId="25" xfId="0" applyFont="1" applyBorder="1" applyAlignment="1">
      <alignment horizontal="left"/>
    </xf>
    <xf numFmtId="0" fontId="2" fillId="6" borderId="43" xfId="0" applyFont="1" applyFill="1" applyBorder="1" applyAlignment="1">
      <alignment horizontal="center"/>
    </xf>
    <xf numFmtId="0" fontId="2" fillId="6" borderId="77" xfId="0" applyFont="1" applyFill="1" applyBorder="1" applyAlignment="1">
      <alignment horizontal="center"/>
    </xf>
    <xf numFmtId="0" fontId="2" fillId="6" borderId="51" xfId="0" applyFont="1" applyFill="1" applyBorder="1" applyAlignment="1">
      <alignment horizontal="center"/>
    </xf>
    <xf numFmtId="0" fontId="12" fillId="0" borderId="50" xfId="0" applyFont="1" applyBorder="1" applyAlignment="1">
      <alignment horizontal="left"/>
    </xf>
    <xf numFmtId="0" fontId="12" fillId="0" borderId="42" xfId="0" applyFont="1" applyBorder="1" applyAlignment="1">
      <alignment horizontal="left"/>
    </xf>
    <xf numFmtId="0" fontId="6" fillId="11" borderId="72" xfId="0" applyFont="1" applyFill="1" applyBorder="1" applyAlignment="1">
      <alignment horizontal="center" vertical="center"/>
    </xf>
    <xf numFmtId="0" fontId="6" fillId="11" borderId="39" xfId="0" applyFont="1" applyFill="1" applyBorder="1" applyAlignment="1">
      <alignment horizontal="center" vertical="center"/>
    </xf>
    <xf numFmtId="0" fontId="67" fillId="0" borderId="0" xfId="0" applyFont="1" applyBorder="1" applyAlignment="1">
      <alignment horizontal="left"/>
    </xf>
    <xf numFmtId="0" fontId="67" fillId="0" borderId="0" xfId="0" applyFont="1" applyBorder="1" applyAlignment="1">
      <alignment horizontal="left" vertical="center"/>
    </xf>
    <xf numFmtId="2" fontId="3" fillId="0" borderId="0" xfId="0" applyNumberFormat="1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48" fillId="9" borderId="83" xfId="0" applyFont="1" applyFill="1" applyBorder="1" applyAlignment="1">
      <alignment horizontal="left" vertical="center" wrapText="1"/>
    </xf>
    <xf numFmtId="9" fontId="48" fillId="9" borderId="83" xfId="0" applyNumberFormat="1" applyFont="1" applyFill="1" applyBorder="1" applyAlignment="1">
      <alignment horizontal="center" vertical="center" wrapText="1"/>
    </xf>
    <xf numFmtId="0" fontId="48" fillId="8" borderId="83" xfId="0" applyFont="1" applyFill="1" applyBorder="1" applyAlignment="1">
      <alignment horizontal="left" vertical="center" wrapText="1"/>
    </xf>
    <xf numFmtId="9" fontId="48" fillId="8" borderId="83" xfId="0" applyNumberFormat="1" applyFont="1" applyFill="1" applyBorder="1" applyAlignment="1">
      <alignment horizontal="center" vertical="center" wrapText="1"/>
    </xf>
    <xf numFmtId="0" fontId="48" fillId="9" borderId="84" xfId="0" applyFont="1" applyFill="1" applyBorder="1" applyAlignment="1">
      <alignment horizontal="left" vertical="center" wrapText="1"/>
    </xf>
    <xf numFmtId="9" fontId="48" fillId="9" borderId="84" xfId="0" applyNumberFormat="1" applyFont="1" applyFill="1" applyBorder="1" applyAlignment="1">
      <alignment horizontal="center" vertical="center" wrapText="1"/>
    </xf>
    <xf numFmtId="10" fontId="48" fillId="9" borderId="83" xfId="0" applyNumberFormat="1" applyFont="1" applyFill="1" applyBorder="1" applyAlignment="1">
      <alignment horizontal="center" vertical="center" wrapText="1"/>
    </xf>
    <xf numFmtId="10" fontId="48" fillId="8" borderId="83" xfId="0" applyNumberFormat="1" applyFont="1" applyFill="1" applyBorder="1" applyAlignment="1">
      <alignment horizontal="center" vertical="center" wrapText="1"/>
    </xf>
    <xf numFmtId="0" fontId="33" fillId="16" borderId="82" xfId="0" applyFont="1" applyFill="1" applyBorder="1" applyAlignment="1">
      <alignment horizontal="center" vertical="center" wrapText="1"/>
    </xf>
    <xf numFmtId="0" fontId="33" fillId="16" borderId="83" xfId="0" applyFont="1" applyFill="1" applyBorder="1" applyAlignment="1">
      <alignment horizontal="center" vertical="center" wrapText="1"/>
    </xf>
    <xf numFmtId="0" fontId="47" fillId="19" borderId="83" xfId="0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 vertical="center"/>
    </xf>
    <xf numFmtId="0" fontId="13" fillId="0" borderId="99" xfId="0" applyFont="1" applyBorder="1" applyAlignment="1">
      <alignment horizontal="left" vertical="center"/>
    </xf>
    <xf numFmtId="0" fontId="3" fillId="0" borderId="4" xfId="0" applyFont="1" applyBorder="1" applyAlignment="1"/>
    <xf numFmtId="0" fontId="3" fillId="0" borderId="0" xfId="0" applyFont="1" applyBorder="1" applyAlignment="1"/>
    <xf numFmtId="165" fontId="0" fillId="0" borderId="0" xfId="1" applyNumberFormat="1" applyFont="1" applyBorder="1" applyAlignment="1">
      <alignment horizontal="left" vertical="center"/>
    </xf>
  </cellXfs>
  <cellStyles count="4">
    <cellStyle name="Euro" xfId="2" xr:uid="{1D78C308-6822-44BC-AB84-4D1236F61173}"/>
    <cellStyle name="Normal" xfId="0" builtinId="0"/>
    <cellStyle name="Normal 4" xfId="3" xr:uid="{E10CEC48-1086-4B49-A288-49BDD90D7692}"/>
    <cellStyle name="Pourcentage" xfId="1" builtinId="5"/>
  </cellStyles>
  <dxfs count="0"/>
  <tableStyles count="0" defaultTableStyle="TableStyleMedium2" defaultPivotStyle="PivotStyleLight16"/>
  <colors>
    <mruColors>
      <color rgb="FFC76FE3"/>
      <color rgb="FFFE9F98"/>
      <color rgb="FFFD4E41"/>
      <color rgb="FFC05BDF"/>
      <color rgb="FFFF25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os%20de%20Paie/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ures supp"/>
      <sheetName val="Formule de calcul"/>
      <sheetName val="RG"/>
      <sheetName val="Note de travail"/>
      <sheetName val="PMSS &amp; Smic App"/>
      <sheetName val="Avantage en nature"/>
      <sheetName val="Tx PAS"/>
      <sheetName val="ATD"/>
      <sheetName val="Saisi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D3">
            <v>0</v>
          </cell>
        </row>
        <row r="5">
          <cell r="D5">
            <v>1500</v>
          </cell>
          <cell r="F5">
            <v>122.5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A499-E9C9-45BB-A920-3324ED66B231}">
  <dimension ref="A1:G32"/>
  <sheetViews>
    <sheetView workbookViewId="0">
      <selection activeCell="B2" sqref="B2:B9"/>
    </sheetView>
  </sheetViews>
  <sheetFormatPr baseColWidth="10" defaultColWidth="11.42578125" defaultRowHeight="15" x14ac:dyDescent="0.25"/>
  <cols>
    <col min="1" max="1" width="15.7109375" bestFit="1" customWidth="1"/>
    <col min="2" max="2" width="18.7109375" customWidth="1"/>
    <col min="3" max="3" width="35.7109375" customWidth="1"/>
    <col min="4" max="4" width="20.7109375" customWidth="1"/>
    <col min="5" max="5" width="14.7109375" customWidth="1"/>
    <col min="6" max="6" width="11.7109375" customWidth="1"/>
    <col min="7" max="7" width="13.7109375" customWidth="1"/>
    <col min="9" max="9" width="30.7109375" customWidth="1"/>
  </cols>
  <sheetData>
    <row r="1" spans="1:7" ht="16.5" thickBot="1" x14ac:dyDescent="0.3">
      <c r="A1" s="268" t="s">
        <v>13</v>
      </c>
      <c r="B1" s="268"/>
      <c r="C1" s="268"/>
      <c r="D1" s="196" t="s">
        <v>14</v>
      </c>
      <c r="E1" s="196" t="s">
        <v>15</v>
      </c>
      <c r="F1" s="196" t="s">
        <v>16</v>
      </c>
      <c r="G1" s="196" t="s">
        <v>17</v>
      </c>
    </row>
    <row r="2" spans="1:7" x14ac:dyDescent="0.25">
      <c r="A2" s="269" t="s">
        <v>18</v>
      </c>
      <c r="B2" s="272" t="s">
        <v>19</v>
      </c>
      <c r="C2" s="212" t="s">
        <v>20</v>
      </c>
      <c r="D2" s="212"/>
      <c r="E2" s="212" t="s">
        <v>21</v>
      </c>
      <c r="F2" s="214"/>
      <c r="G2" s="215">
        <v>7.0000000000000007E-2</v>
      </c>
    </row>
    <row r="3" spans="1:7" ht="15.75" customHeight="1" x14ac:dyDescent="0.25">
      <c r="A3" s="270"/>
      <c r="B3" s="273"/>
      <c r="C3" s="200" t="s">
        <v>22</v>
      </c>
      <c r="D3" s="201" t="s">
        <v>23</v>
      </c>
      <c r="E3" s="200" t="s">
        <v>21</v>
      </c>
      <c r="F3" s="202"/>
      <c r="G3" s="216">
        <v>0.06</v>
      </c>
    </row>
    <row r="4" spans="1:7" x14ac:dyDescent="0.25">
      <c r="A4" s="270"/>
      <c r="B4" s="273"/>
      <c r="C4" s="200" t="s">
        <v>24</v>
      </c>
      <c r="D4" s="200"/>
      <c r="E4" s="200" t="s">
        <v>21</v>
      </c>
      <c r="F4" s="202"/>
      <c r="G4" s="216">
        <v>3.0000000000000001E-3</v>
      </c>
    </row>
    <row r="5" spans="1:7" x14ac:dyDescent="0.25">
      <c r="A5" s="270"/>
      <c r="B5" s="273"/>
      <c r="C5" s="200" t="s">
        <v>25</v>
      </c>
      <c r="D5" s="200" t="s">
        <v>26</v>
      </c>
      <c r="E5" s="200" t="s">
        <v>21</v>
      </c>
      <c r="F5" s="202"/>
      <c r="G5" s="216">
        <v>0</v>
      </c>
    </row>
    <row r="6" spans="1:7" x14ac:dyDescent="0.25">
      <c r="A6" s="270"/>
      <c r="B6" s="273"/>
      <c r="C6" s="200" t="s">
        <v>27</v>
      </c>
      <c r="D6" s="200"/>
      <c r="E6" s="200" t="s">
        <v>28</v>
      </c>
      <c r="F6" s="204">
        <v>6.9000000000000006E-2</v>
      </c>
      <c r="G6" s="216">
        <v>8.5500000000000007E-2</v>
      </c>
    </row>
    <row r="7" spans="1:7" x14ac:dyDescent="0.25">
      <c r="A7" s="270"/>
      <c r="B7" s="273"/>
      <c r="C7" s="200" t="s">
        <v>29</v>
      </c>
      <c r="D7" s="200"/>
      <c r="E7" s="200" t="s">
        <v>21</v>
      </c>
      <c r="F7" s="204">
        <v>4.0000000000000001E-3</v>
      </c>
      <c r="G7" s="216">
        <v>1.9E-2</v>
      </c>
    </row>
    <row r="8" spans="1:7" x14ac:dyDescent="0.25">
      <c r="A8" s="270"/>
      <c r="B8" s="273"/>
      <c r="C8" s="200" t="s">
        <v>30</v>
      </c>
      <c r="D8" s="200"/>
      <c r="E8" s="200" t="s">
        <v>21</v>
      </c>
      <c r="F8" s="202"/>
      <c r="G8" s="216">
        <v>3.4500000000000003E-2</v>
      </c>
    </row>
    <row r="9" spans="1:7" ht="15.75" thickBot="1" x14ac:dyDescent="0.3">
      <c r="A9" s="270"/>
      <c r="B9" s="273"/>
      <c r="C9" s="70" t="s">
        <v>31</v>
      </c>
      <c r="D9" s="208" t="s">
        <v>32</v>
      </c>
      <c r="E9" s="207" t="s">
        <v>21</v>
      </c>
      <c r="F9" s="229"/>
      <c r="G9" s="236">
        <v>1.7999999999999999E-2</v>
      </c>
    </row>
    <row r="10" spans="1:7" ht="15" customHeight="1" x14ac:dyDescent="0.25">
      <c r="A10" s="270"/>
      <c r="B10" s="272" t="s">
        <v>368</v>
      </c>
      <c r="C10" s="212" t="s">
        <v>33</v>
      </c>
      <c r="D10" s="213" t="s">
        <v>34</v>
      </c>
      <c r="E10" s="212" t="s">
        <v>28</v>
      </c>
      <c r="F10" s="214"/>
      <c r="G10" s="215">
        <v>1E-3</v>
      </c>
    </row>
    <row r="11" spans="1:7" ht="15" customHeight="1" x14ac:dyDescent="0.25">
      <c r="A11" s="270"/>
      <c r="B11" s="274"/>
      <c r="C11" s="200" t="s">
        <v>363</v>
      </c>
      <c r="D11" s="205" t="s">
        <v>364</v>
      </c>
      <c r="E11" s="200" t="s">
        <v>21</v>
      </c>
      <c r="F11" s="202"/>
      <c r="G11" s="216">
        <v>5.0000000000000001E-3</v>
      </c>
    </row>
    <row r="12" spans="1:7" x14ac:dyDescent="0.25">
      <c r="A12" s="270"/>
      <c r="B12" s="274"/>
      <c r="C12" s="200" t="s">
        <v>35</v>
      </c>
      <c r="D12" s="205" t="s">
        <v>365</v>
      </c>
      <c r="E12" s="200" t="s">
        <v>21</v>
      </c>
      <c r="F12" s="202"/>
      <c r="G12" s="230" t="s">
        <v>36</v>
      </c>
    </row>
    <row r="13" spans="1:7" x14ac:dyDescent="0.25">
      <c r="A13" s="270"/>
      <c r="B13" s="274"/>
      <c r="C13" s="200" t="s">
        <v>366</v>
      </c>
      <c r="D13" s="200"/>
      <c r="E13" s="200" t="s">
        <v>21</v>
      </c>
      <c r="F13" s="202"/>
      <c r="G13" s="216">
        <v>1.6000000000000001E-4</v>
      </c>
    </row>
    <row r="14" spans="1:7" x14ac:dyDescent="0.25">
      <c r="A14" s="270"/>
      <c r="B14" s="274"/>
      <c r="C14" s="200" t="s">
        <v>367</v>
      </c>
      <c r="D14" s="201" t="s">
        <v>37</v>
      </c>
      <c r="E14" s="200" t="s">
        <v>21</v>
      </c>
      <c r="F14" s="202"/>
      <c r="G14" s="231"/>
    </row>
    <row r="15" spans="1:7" x14ac:dyDescent="0.25">
      <c r="A15" s="270"/>
      <c r="B15" s="274"/>
      <c r="C15" s="200" t="s">
        <v>38</v>
      </c>
      <c r="D15" s="205" t="s">
        <v>39</v>
      </c>
      <c r="E15" s="200" t="s">
        <v>40</v>
      </c>
      <c r="F15" s="202"/>
      <c r="G15" s="232">
        <v>1.5</v>
      </c>
    </row>
    <row r="16" spans="1:7" x14ac:dyDescent="0.25">
      <c r="A16" s="270"/>
      <c r="B16" s="274"/>
      <c r="C16" s="200" t="s">
        <v>41</v>
      </c>
      <c r="D16" s="205" t="s">
        <v>365</v>
      </c>
      <c r="E16" s="200" t="s">
        <v>42</v>
      </c>
      <c r="F16" s="202"/>
      <c r="G16" s="216">
        <v>0.08</v>
      </c>
    </row>
    <row r="17" spans="1:7" x14ac:dyDescent="0.25">
      <c r="A17" s="270"/>
      <c r="B17" s="274"/>
      <c r="C17" s="200" t="s">
        <v>43</v>
      </c>
      <c r="D17" s="200"/>
      <c r="E17" s="200" t="s">
        <v>44</v>
      </c>
      <c r="F17" s="202"/>
      <c r="G17" s="216" t="s">
        <v>45</v>
      </c>
    </row>
    <row r="18" spans="1:7" x14ac:dyDescent="0.25">
      <c r="A18" s="270"/>
      <c r="B18" s="274"/>
      <c r="C18" s="200" t="s">
        <v>46</v>
      </c>
      <c r="D18" s="200"/>
      <c r="E18" s="200" t="s">
        <v>47</v>
      </c>
      <c r="F18" s="204">
        <v>6.8000000000000005E-2</v>
      </c>
      <c r="G18" s="233"/>
    </row>
    <row r="19" spans="1:7" ht="15.75" thickBot="1" x14ac:dyDescent="0.3">
      <c r="A19" s="270"/>
      <c r="B19" s="275"/>
      <c r="C19" s="217" t="s">
        <v>48</v>
      </c>
      <c r="D19" s="217"/>
      <c r="E19" s="217" t="s">
        <v>47</v>
      </c>
      <c r="F19" s="234">
        <v>2.9000000000000001E-2</v>
      </c>
      <c r="G19" s="235"/>
    </row>
    <row r="20" spans="1:7" x14ac:dyDescent="0.25">
      <c r="A20" s="270"/>
      <c r="B20" s="272" t="s">
        <v>49</v>
      </c>
      <c r="C20" s="212" t="s">
        <v>50</v>
      </c>
      <c r="D20" s="212"/>
      <c r="E20" s="212" t="s">
        <v>152</v>
      </c>
      <c r="F20" s="228">
        <v>0</v>
      </c>
      <c r="G20" s="215">
        <v>4.0500000000000001E-2</v>
      </c>
    </row>
    <row r="21" spans="1:7" ht="15.75" thickBot="1" x14ac:dyDescent="0.3">
      <c r="A21" s="271"/>
      <c r="B21" s="276"/>
      <c r="C21" s="217" t="s">
        <v>51</v>
      </c>
      <c r="D21" s="217"/>
      <c r="E21" s="217" t="s">
        <v>152</v>
      </c>
      <c r="F21" s="219"/>
      <c r="G21" s="220">
        <v>1.5E-3</v>
      </c>
    </row>
    <row r="22" spans="1:7" x14ac:dyDescent="0.25">
      <c r="A22" s="277" t="s">
        <v>52</v>
      </c>
      <c r="B22" s="273" t="s">
        <v>53</v>
      </c>
      <c r="C22" s="198" t="s">
        <v>54</v>
      </c>
      <c r="D22" s="198"/>
      <c r="E22" s="198" t="s">
        <v>55</v>
      </c>
      <c r="F22" s="206">
        <v>3.15E-2</v>
      </c>
      <c r="G22" s="199">
        <v>4.7199999999999999E-2</v>
      </c>
    </row>
    <row r="23" spans="1:7" x14ac:dyDescent="0.25">
      <c r="A23" s="278"/>
      <c r="B23" s="280"/>
      <c r="C23" s="200" t="s">
        <v>56</v>
      </c>
      <c r="D23" s="200"/>
      <c r="E23" s="200" t="s">
        <v>57</v>
      </c>
      <c r="F23" s="204">
        <v>8.6400000000000005E-2</v>
      </c>
      <c r="G23" s="203">
        <v>0.1295</v>
      </c>
    </row>
    <row r="24" spans="1:7" x14ac:dyDescent="0.25">
      <c r="A24" s="278"/>
      <c r="B24" s="280"/>
      <c r="C24" s="200" t="s">
        <v>58</v>
      </c>
      <c r="D24" s="200"/>
      <c r="E24" s="200" t="s">
        <v>55</v>
      </c>
      <c r="F24" s="204">
        <v>8.6E-3</v>
      </c>
      <c r="G24" s="203">
        <v>1.29E-2</v>
      </c>
    </row>
    <row r="25" spans="1:7" x14ac:dyDescent="0.25">
      <c r="A25" s="278"/>
      <c r="B25" s="280"/>
      <c r="C25" s="200" t="s">
        <v>59</v>
      </c>
      <c r="D25" s="200"/>
      <c r="E25" s="200" t="s">
        <v>57</v>
      </c>
      <c r="F25" s="204">
        <v>1.0800000000000001E-2</v>
      </c>
      <c r="G25" s="203">
        <v>1.6199999999999999E-2</v>
      </c>
    </row>
    <row r="26" spans="1:7" ht="15.75" thickBot="1" x14ac:dyDescent="0.3">
      <c r="A26" s="278"/>
      <c r="B26" s="281"/>
      <c r="C26" s="207" t="s">
        <v>60</v>
      </c>
      <c r="D26" s="208" t="s">
        <v>61</v>
      </c>
      <c r="E26" s="207" t="s">
        <v>62</v>
      </c>
      <c r="F26" s="209">
        <v>1.4E-3</v>
      </c>
      <c r="G26" s="210">
        <v>2.0999999999999999E-3</v>
      </c>
    </row>
    <row r="27" spans="1:7" ht="16.5" thickBot="1" x14ac:dyDescent="0.3">
      <c r="A27" s="279"/>
      <c r="B27" s="225" t="s">
        <v>0</v>
      </c>
      <c r="C27" s="222" t="s">
        <v>63</v>
      </c>
      <c r="D27" s="226" t="s">
        <v>64</v>
      </c>
      <c r="E27" s="222" t="s">
        <v>152</v>
      </c>
      <c r="F27" s="227">
        <v>2.4000000000000001E-4</v>
      </c>
      <c r="G27" s="224">
        <v>3.6000000000000002E-4</v>
      </c>
    </row>
    <row r="28" spans="1:7" ht="19.5" thickBot="1" x14ac:dyDescent="0.3">
      <c r="A28" s="221" t="s">
        <v>65</v>
      </c>
      <c r="B28" s="196" t="s">
        <v>65</v>
      </c>
      <c r="C28" s="222" t="s">
        <v>66</v>
      </c>
      <c r="D28" s="222"/>
      <c r="E28" s="222" t="s">
        <v>67</v>
      </c>
      <c r="F28" s="223"/>
      <c r="G28" s="224">
        <v>1.4999999999999999E-2</v>
      </c>
    </row>
    <row r="29" spans="1:7" x14ac:dyDescent="0.25">
      <c r="A29" s="262" t="s">
        <v>68</v>
      </c>
      <c r="B29" s="265" t="s">
        <v>69</v>
      </c>
      <c r="C29" s="212" t="s">
        <v>70</v>
      </c>
      <c r="D29" s="213" t="s">
        <v>149</v>
      </c>
      <c r="E29" s="212" t="s">
        <v>21</v>
      </c>
      <c r="F29" s="214"/>
      <c r="G29" s="215">
        <v>0.01</v>
      </c>
    </row>
    <row r="30" spans="1:7" x14ac:dyDescent="0.25">
      <c r="A30" s="263"/>
      <c r="B30" s="266"/>
      <c r="C30" s="200" t="s">
        <v>70</v>
      </c>
      <c r="D30" s="205" t="s">
        <v>150</v>
      </c>
      <c r="E30" s="200" t="s">
        <v>21</v>
      </c>
      <c r="F30" s="202"/>
      <c r="G30" s="216">
        <v>5.4999999999999997E-3</v>
      </c>
    </row>
    <row r="31" spans="1:7" x14ac:dyDescent="0.25">
      <c r="A31" s="263"/>
      <c r="B31" s="266"/>
      <c r="C31" s="200" t="s">
        <v>71</v>
      </c>
      <c r="D31" s="211" t="s">
        <v>72</v>
      </c>
      <c r="E31" s="200" t="s">
        <v>21</v>
      </c>
      <c r="F31" s="202"/>
      <c r="G31" s="216">
        <v>6.7999999999999996E-3</v>
      </c>
    </row>
    <row r="32" spans="1:7" ht="15.75" thickBot="1" x14ac:dyDescent="0.3">
      <c r="A32" s="264"/>
      <c r="B32" s="267"/>
      <c r="C32" s="217" t="s">
        <v>73</v>
      </c>
      <c r="D32" s="218" t="s">
        <v>364</v>
      </c>
      <c r="E32" s="217" t="s">
        <v>21</v>
      </c>
      <c r="F32" s="219"/>
      <c r="G32" s="220">
        <v>4.4999999999999997E-3</v>
      </c>
    </row>
  </sheetData>
  <mergeCells count="9">
    <mergeCell ref="A29:A32"/>
    <mergeCell ref="B29:B32"/>
    <mergeCell ref="A1:C1"/>
    <mergeCell ref="A2:A21"/>
    <mergeCell ref="B2:B9"/>
    <mergeCell ref="B10:B19"/>
    <mergeCell ref="B20:B21"/>
    <mergeCell ref="A22:A27"/>
    <mergeCell ref="B22:B26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>&amp;C&amp;"-,Gras"&amp;16&amp;K002060COTISATIONS SOCIALES AU 01/01/2019</oddHeader>
    <oddFooter>&amp;LAndré BERGER&amp;R&amp;D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CBC91-B82A-4499-B0FE-5B98E88CE34E}">
  <sheetPr>
    <pageSetUpPr fitToPage="1"/>
  </sheetPr>
  <dimension ref="A1:L61"/>
  <sheetViews>
    <sheetView topLeftCell="A8" workbookViewId="0">
      <selection activeCell="E7" sqref="E7:H7"/>
    </sheetView>
  </sheetViews>
  <sheetFormatPr baseColWidth="10" defaultColWidth="11.42578125" defaultRowHeight="15" x14ac:dyDescent="0.25"/>
  <cols>
    <col min="1" max="4" width="13.28515625" customWidth="1"/>
    <col min="5" max="8" width="10.7109375" customWidth="1"/>
    <col min="9" max="9" width="11.42578125" customWidth="1"/>
  </cols>
  <sheetData>
    <row r="1" spans="1:12" ht="20.100000000000001" customHeight="1" x14ac:dyDescent="0.25">
      <c r="A1" s="327" t="s">
        <v>74</v>
      </c>
      <c r="B1" s="328"/>
      <c r="C1" s="328"/>
      <c r="D1" s="328"/>
      <c r="E1" s="329"/>
      <c r="F1" s="329"/>
      <c r="G1" s="329"/>
      <c r="H1" s="330"/>
    </row>
    <row r="2" spans="1:12" x14ac:dyDescent="0.25">
      <c r="A2" s="282" t="s">
        <v>153</v>
      </c>
      <c r="B2" s="283"/>
      <c r="C2" s="283"/>
      <c r="D2" s="284"/>
      <c r="E2" s="288" t="str">
        <f>Renseignements!I3</f>
        <v>Bric à Brac</v>
      </c>
      <c r="F2" s="283"/>
      <c r="G2" s="283"/>
      <c r="H2" s="289"/>
    </row>
    <row r="3" spans="1:12" x14ac:dyDescent="0.25">
      <c r="A3" s="285" t="str">
        <f>Renseignements!C6</f>
        <v xml:space="preserve">58 rue de Marseille 33000 Bordeaux </v>
      </c>
      <c r="B3" s="286"/>
      <c r="C3" s="286"/>
      <c r="D3" s="287"/>
      <c r="E3" s="290" t="str">
        <f>Renseignements!I4</f>
        <v>33000 Bordeaux</v>
      </c>
      <c r="F3" s="286"/>
      <c r="G3" s="286"/>
      <c r="H3" s="291"/>
    </row>
    <row r="4" spans="1:12" x14ac:dyDescent="0.25">
      <c r="A4" s="285" t="s">
        <v>4</v>
      </c>
      <c r="B4" s="286"/>
      <c r="C4" s="587" t="str">
        <f>Renseignements!C7</f>
        <v>1720347052010 33</v>
      </c>
      <c r="D4" s="287"/>
      <c r="E4" s="290" t="str">
        <f>"Code NAF : "&amp;Renseignements!I5</f>
        <v>Code NAF : 12345</v>
      </c>
      <c r="F4" s="286"/>
      <c r="G4" s="286"/>
      <c r="H4" s="291"/>
    </row>
    <row r="5" spans="1:12" x14ac:dyDescent="0.25">
      <c r="A5" s="285" t="str">
        <f>"Statue : "&amp;Renseignements!C9</f>
        <v>Statue : Cadre</v>
      </c>
      <c r="B5" s="286"/>
      <c r="C5" s="286" t="str">
        <f>"Niveau : "&amp;Renseignements!C10</f>
        <v xml:space="preserve">Niveau : </v>
      </c>
      <c r="D5" s="287"/>
      <c r="E5" s="590" t="str">
        <f>"Siret : "&amp;Renseignements!I6</f>
        <v>Siret : 123456789</v>
      </c>
      <c r="F5" s="591"/>
      <c r="G5" s="286"/>
      <c r="H5" s="291"/>
    </row>
    <row r="6" spans="1:12" x14ac:dyDescent="0.25">
      <c r="A6" s="285" t="str">
        <f>"Echelon : "&amp;Renseignements!C11</f>
        <v xml:space="preserve">Echelon : </v>
      </c>
      <c r="B6" s="286"/>
      <c r="C6" s="286" t="str">
        <f>Renseignements!C12</f>
        <v>CDI</v>
      </c>
      <c r="D6" s="287"/>
      <c r="E6" s="290"/>
      <c r="F6" s="286"/>
      <c r="G6" s="286"/>
      <c r="H6" s="291"/>
    </row>
    <row r="7" spans="1:12" x14ac:dyDescent="0.25">
      <c r="A7" s="315" t="s">
        <v>75</v>
      </c>
      <c r="B7" s="316"/>
      <c r="C7" s="316" t="str">
        <f>Renseignements!C18</f>
        <v>Du 01 au 30 Avril 2017</v>
      </c>
      <c r="D7" s="317"/>
      <c r="E7" s="357" t="str">
        <f>"Convention collective : "&amp;Renseignements!I7</f>
        <v>Convention collective : Comptable</v>
      </c>
      <c r="F7" s="316"/>
      <c r="G7" s="316"/>
      <c r="H7" s="358"/>
    </row>
    <row r="8" spans="1:12" ht="15" customHeight="1" x14ac:dyDescent="0.25">
      <c r="A8" s="365" t="s">
        <v>76</v>
      </c>
      <c r="B8" s="366"/>
      <c r="C8" s="366"/>
      <c r="D8" s="367"/>
      <c r="E8" s="20" t="s">
        <v>77</v>
      </c>
      <c r="F8" s="20" t="s">
        <v>78</v>
      </c>
      <c r="G8" s="20" t="s">
        <v>79</v>
      </c>
      <c r="H8" s="38" t="s">
        <v>80</v>
      </c>
    </row>
    <row r="9" spans="1:12" ht="15" customHeight="1" x14ac:dyDescent="0.25">
      <c r="A9" s="282" t="s">
        <v>6</v>
      </c>
      <c r="B9" s="283"/>
      <c r="C9" s="283"/>
      <c r="D9" s="284"/>
      <c r="E9" s="21">
        <f>Calculs!F5</f>
        <v>151.66666666666666</v>
      </c>
      <c r="F9" s="104">
        <f>Calculs!C5</f>
        <v>24.395604395604398</v>
      </c>
      <c r="G9" s="136">
        <f>E9*F9</f>
        <v>3700</v>
      </c>
      <c r="H9" s="362" t="s">
        <v>81</v>
      </c>
    </row>
    <row r="10" spans="1:12" x14ac:dyDescent="0.25">
      <c r="A10" s="285" t="s">
        <v>342</v>
      </c>
      <c r="B10" s="286"/>
      <c r="C10" s="286"/>
      <c r="D10" s="287"/>
      <c r="E10" s="22"/>
      <c r="F10" s="160"/>
      <c r="G10" s="137">
        <v>-1409.52</v>
      </c>
      <c r="H10" s="363"/>
    </row>
    <row r="11" spans="1:12" x14ac:dyDescent="0.25">
      <c r="A11" s="285" t="s">
        <v>340</v>
      </c>
      <c r="B11" s="286"/>
      <c r="C11" s="286"/>
      <c r="D11" s="287"/>
      <c r="E11" s="102"/>
      <c r="F11" s="23"/>
      <c r="G11" s="137">
        <v>475.71</v>
      </c>
      <c r="H11" s="363"/>
    </row>
    <row r="12" spans="1:12" ht="15" hidden="1" customHeight="1" x14ac:dyDescent="0.25">
      <c r="A12" s="285" t="s">
        <v>341</v>
      </c>
      <c r="B12" s="286"/>
      <c r="C12" s="286"/>
      <c r="D12" s="287"/>
      <c r="E12" s="102"/>
      <c r="F12" s="23"/>
      <c r="G12" s="137">
        <v>-180.05</v>
      </c>
      <c r="H12" s="363"/>
    </row>
    <row r="13" spans="1:12" ht="15" hidden="1" customHeight="1" x14ac:dyDescent="0.25">
      <c r="A13" s="285" t="s">
        <v>208</v>
      </c>
      <c r="B13" s="286"/>
      <c r="C13" s="286"/>
      <c r="D13" s="287"/>
      <c r="E13" s="22">
        <f>Calculs!E19</f>
        <v>0</v>
      </c>
      <c r="F13" s="102">
        <f>Calculs!F21</f>
        <v>26.835164835164839</v>
      </c>
      <c r="G13" s="137">
        <f t="shared" ref="G13:G23" si="0">E13*F13</f>
        <v>0</v>
      </c>
      <c r="H13" s="363"/>
      <c r="L13" s="37"/>
    </row>
    <row r="14" spans="1:12" hidden="1" x14ac:dyDescent="0.25">
      <c r="A14" s="285" t="s">
        <v>207</v>
      </c>
      <c r="B14" s="286"/>
      <c r="C14" s="286"/>
      <c r="D14" s="287"/>
      <c r="E14" s="22">
        <f>Calculs!F19</f>
        <v>0</v>
      </c>
      <c r="F14" s="102">
        <f>Calculs!F23</f>
        <v>30.494505494505496</v>
      </c>
      <c r="G14" s="137">
        <f t="shared" si="0"/>
        <v>0</v>
      </c>
      <c r="H14" s="363"/>
    </row>
    <row r="15" spans="1:12" ht="15" hidden="1" customHeight="1" x14ac:dyDescent="0.25">
      <c r="A15" s="285" t="s">
        <v>205</v>
      </c>
      <c r="B15" s="286"/>
      <c r="C15" s="286"/>
      <c r="D15" s="287"/>
      <c r="E15" s="22">
        <f>Calculs!C19</f>
        <v>0</v>
      </c>
      <c r="F15" s="102">
        <f>Calculs!C21</f>
        <v>30.494505494505496</v>
      </c>
      <c r="G15" s="137">
        <f t="shared" si="0"/>
        <v>0</v>
      </c>
      <c r="H15" s="363"/>
    </row>
    <row r="16" spans="1:12" ht="15" hidden="1" customHeight="1" x14ac:dyDescent="0.25">
      <c r="A16" s="285" t="s">
        <v>206</v>
      </c>
      <c r="B16" s="286"/>
      <c r="C16" s="286"/>
      <c r="D16" s="287"/>
      <c r="E16" s="22">
        <f>Calculs!D19</f>
        <v>0</v>
      </c>
      <c r="F16" s="103">
        <f>Calculs!C23</f>
        <v>36.593406593406598</v>
      </c>
      <c r="G16" s="137">
        <f t="shared" si="0"/>
        <v>0</v>
      </c>
      <c r="H16" s="363"/>
    </row>
    <row r="17" spans="1:9" ht="15" hidden="1" customHeight="1" x14ac:dyDescent="0.25">
      <c r="A17" s="350" t="s">
        <v>209</v>
      </c>
      <c r="B17" s="350"/>
      <c r="C17" s="350"/>
      <c r="D17" s="350"/>
      <c r="E17" s="29">
        <f>Calculs!F8</f>
        <v>0</v>
      </c>
      <c r="F17" s="29">
        <f>Calculs!C9</f>
        <v>0</v>
      </c>
      <c r="G17" s="137">
        <f t="shared" si="0"/>
        <v>0</v>
      </c>
      <c r="H17" s="363"/>
    </row>
    <row r="18" spans="1:9" ht="15" hidden="1" customHeight="1" x14ac:dyDescent="0.25">
      <c r="A18" s="285" t="s">
        <v>82</v>
      </c>
      <c r="B18" s="286"/>
      <c r="C18" s="286"/>
      <c r="D18" s="287"/>
      <c r="E18" s="102">
        <f>Calculs!I33</f>
        <v>3700</v>
      </c>
      <c r="F18" s="23">
        <f>Calculs!J33</f>
        <v>0</v>
      </c>
      <c r="G18" s="137">
        <f t="shared" si="0"/>
        <v>0</v>
      </c>
      <c r="H18" s="363"/>
    </row>
    <row r="19" spans="1:9" s="85" customFormat="1" ht="15" hidden="1" customHeight="1" x14ac:dyDescent="0.25">
      <c r="A19" s="285" t="s">
        <v>268</v>
      </c>
      <c r="B19" s="286"/>
      <c r="C19" s="286"/>
      <c r="D19" s="287"/>
      <c r="E19" s="22"/>
      <c r="F19" s="23"/>
      <c r="G19" s="137">
        <f>-(E19*F19)</f>
        <v>0</v>
      </c>
      <c r="H19" s="363"/>
      <c r="I19"/>
    </row>
    <row r="20" spans="1:9" ht="15" hidden="1" customHeight="1" x14ac:dyDescent="0.25">
      <c r="A20" s="285" t="s">
        <v>338</v>
      </c>
      <c r="B20" s="286"/>
      <c r="C20" s="286"/>
      <c r="D20" s="287"/>
      <c r="E20" s="22"/>
      <c r="F20" s="23"/>
      <c r="G20" s="137"/>
      <c r="H20" s="363"/>
    </row>
    <row r="21" spans="1:9" ht="15" hidden="1" customHeight="1" x14ac:dyDescent="0.25">
      <c r="A21" s="285" t="s">
        <v>339</v>
      </c>
      <c r="B21" s="286"/>
      <c r="C21" s="286"/>
      <c r="D21" s="287"/>
      <c r="E21" s="22"/>
      <c r="F21" s="23"/>
      <c r="G21" s="137"/>
      <c r="H21" s="363"/>
    </row>
    <row r="22" spans="1:9" hidden="1" x14ac:dyDescent="0.25">
      <c r="A22" s="285" t="s">
        <v>83</v>
      </c>
      <c r="B22" s="286"/>
      <c r="C22" s="286"/>
      <c r="D22" s="287"/>
      <c r="E22" s="22"/>
      <c r="F22" s="23"/>
      <c r="G22" s="137"/>
      <c r="H22" s="363"/>
    </row>
    <row r="23" spans="1:9" x14ac:dyDescent="0.25">
      <c r="A23" s="285" t="s">
        <v>84</v>
      </c>
      <c r="B23" s="286"/>
      <c r="C23" s="286"/>
      <c r="D23" s="287"/>
      <c r="E23" s="22"/>
      <c r="F23" s="23"/>
      <c r="G23" s="137">
        <f t="shared" si="0"/>
        <v>0</v>
      </c>
      <c r="H23" s="363"/>
    </row>
    <row r="24" spans="1:9" x14ac:dyDescent="0.25">
      <c r="A24" s="297" t="s">
        <v>5</v>
      </c>
      <c r="B24" s="298"/>
      <c r="C24" s="298"/>
      <c r="D24" s="299"/>
      <c r="E24" s="84"/>
      <c r="F24" s="84"/>
      <c r="G24" s="138">
        <f>SUM(G9:G23)</f>
        <v>2586.14</v>
      </c>
      <c r="H24" s="364"/>
      <c r="I24" s="85"/>
    </row>
    <row r="25" spans="1:9" ht="30" x14ac:dyDescent="0.25">
      <c r="A25" s="300" t="s">
        <v>85</v>
      </c>
      <c r="B25" s="301"/>
      <c r="C25" s="301"/>
      <c r="D25" s="302"/>
      <c r="E25" s="13" t="s">
        <v>77</v>
      </c>
      <c r="F25" s="14" t="s">
        <v>86</v>
      </c>
      <c r="G25" s="14" t="s">
        <v>87</v>
      </c>
      <c r="H25" s="15" t="s">
        <v>88</v>
      </c>
      <c r="I25" s="12" t="s">
        <v>89</v>
      </c>
    </row>
    <row r="26" spans="1:9" x14ac:dyDescent="0.25">
      <c r="A26" s="354" t="s">
        <v>90</v>
      </c>
      <c r="B26" s="355"/>
      <c r="C26" s="355"/>
      <c r="D26" s="356"/>
      <c r="E26" s="24"/>
      <c r="F26" s="24"/>
      <c r="G26" s="24"/>
      <c r="H26" s="25"/>
    </row>
    <row r="27" spans="1:9" x14ac:dyDescent="0.25">
      <c r="A27" s="285" t="s">
        <v>91</v>
      </c>
      <c r="B27" s="286"/>
      <c r="C27" s="286"/>
      <c r="D27" s="287"/>
      <c r="E27" s="129">
        <f>$G$24</f>
        <v>2586.14</v>
      </c>
      <c r="F27" s="29"/>
      <c r="G27" s="28"/>
      <c r="H27" s="134">
        <f>E27*I27</f>
        <v>181.02979999999999</v>
      </c>
      <c r="I27" s="16">
        <f>IF(Calculs!E42&gt;Calculs!E50,'Données Sociales'!G2+'Données Sociales'!G3,'Données Sociales'!G2)</f>
        <v>7.0000000000000007E-2</v>
      </c>
    </row>
    <row r="28" spans="1:9" x14ac:dyDescent="0.25">
      <c r="A28" s="285" t="s">
        <v>92</v>
      </c>
      <c r="B28" s="286"/>
      <c r="C28" s="286"/>
      <c r="D28" s="287"/>
      <c r="E28" s="129">
        <f>IF($G$24&gt;Calculs!J5,Calculs!J5,'Bulletin de Paie'!G24)</f>
        <v>2586.14</v>
      </c>
      <c r="F28" s="30">
        <f>Calculs!D30</f>
        <v>0</v>
      </c>
      <c r="G28" s="129">
        <f>E28*F28</f>
        <v>0</v>
      </c>
      <c r="H28" s="134">
        <f>E28*I28</f>
        <v>38.792099999999998</v>
      </c>
      <c r="I28" s="16">
        <f>IF(Calculs!$C$2="Non Cadre",Calculs!E30,1.5%)</f>
        <v>1.4999999999999999E-2</v>
      </c>
    </row>
    <row r="29" spans="1:9" x14ac:dyDescent="0.25">
      <c r="A29" s="285" t="s">
        <v>93</v>
      </c>
      <c r="B29" s="286"/>
      <c r="C29" s="286"/>
      <c r="D29" s="287"/>
      <c r="E29" s="129">
        <f>IF($G$24&gt;Calculs!$J$5,Calculs!E43,0)</f>
        <v>0</v>
      </c>
      <c r="F29" s="30">
        <f>Calculs!D32</f>
        <v>7.0000000000000001E-3</v>
      </c>
      <c r="G29" s="129">
        <f>E29*F29</f>
        <v>0</v>
      </c>
      <c r="H29" s="134">
        <f>E29*I29</f>
        <v>0</v>
      </c>
      <c r="I29" s="16">
        <f>Calculs!E32</f>
        <v>8.9999999999999993E-3</v>
      </c>
    </row>
    <row r="30" spans="1:9" x14ac:dyDescent="0.25">
      <c r="A30" s="315" t="s">
        <v>94</v>
      </c>
      <c r="B30" s="316"/>
      <c r="C30" s="316"/>
      <c r="D30" s="317"/>
      <c r="E30" s="131">
        <f>Calculs!C28</f>
        <v>90</v>
      </c>
      <c r="F30" s="27">
        <f>Calculs!D28</f>
        <v>0.5</v>
      </c>
      <c r="G30" s="131">
        <f>E30*F30</f>
        <v>45</v>
      </c>
      <c r="H30" s="135">
        <f>E30*I30</f>
        <v>45</v>
      </c>
      <c r="I30" s="16">
        <f>Calculs!E28</f>
        <v>0.5</v>
      </c>
    </row>
    <row r="31" spans="1:9" x14ac:dyDescent="0.25">
      <c r="A31" s="318" t="s">
        <v>95</v>
      </c>
      <c r="B31" s="319"/>
      <c r="C31" s="319"/>
      <c r="D31" s="320"/>
      <c r="E31" s="130">
        <f>$G$24</f>
        <v>2586.14</v>
      </c>
      <c r="F31" s="7"/>
      <c r="G31" s="17"/>
      <c r="H31" s="1">
        <f>E31*I31</f>
        <v>28.447539999999996</v>
      </c>
      <c r="I31" s="16">
        <f>Calculs!J16</f>
        <v>1.0999999999999999E-2</v>
      </c>
    </row>
    <row r="32" spans="1:9" x14ac:dyDescent="0.25">
      <c r="A32" s="321" t="s">
        <v>96</v>
      </c>
      <c r="B32" s="322"/>
      <c r="C32" s="322"/>
      <c r="D32" s="323"/>
      <c r="E32" s="31"/>
      <c r="F32" s="24"/>
      <c r="G32" s="31"/>
      <c r="H32" s="32"/>
      <c r="I32" s="16"/>
    </row>
    <row r="33" spans="1:9" x14ac:dyDescent="0.25">
      <c r="A33" s="285" t="s">
        <v>97</v>
      </c>
      <c r="B33" s="286"/>
      <c r="C33" s="286"/>
      <c r="D33" s="287"/>
      <c r="E33" s="129">
        <f>Calculs!$E$42</f>
        <v>2589.0300000000007</v>
      </c>
      <c r="F33" s="30">
        <f>'Données Sociales'!F6</f>
        <v>6.9000000000000006E-2</v>
      </c>
      <c r="G33" s="129">
        <f>E33*F33</f>
        <v>178.64307000000005</v>
      </c>
      <c r="H33" s="134">
        <f>E33*I33</f>
        <v>221.36206500000009</v>
      </c>
      <c r="I33" s="16">
        <f>'Données Sociales'!G6</f>
        <v>8.5500000000000007E-2</v>
      </c>
    </row>
    <row r="34" spans="1:9" x14ac:dyDescent="0.25">
      <c r="A34" s="285" t="s">
        <v>98</v>
      </c>
      <c r="B34" s="286"/>
      <c r="C34" s="286"/>
      <c r="D34" s="287"/>
      <c r="E34" s="129">
        <f>Calculs!$E$42+Calculs!$E$43</f>
        <v>2586.1399999999994</v>
      </c>
      <c r="F34" s="30">
        <f>'Données Sociales'!F7</f>
        <v>4.0000000000000001E-3</v>
      </c>
      <c r="G34" s="129">
        <f>E34*F34</f>
        <v>10.344559999999998</v>
      </c>
      <c r="H34" s="134">
        <f>E34*I34</f>
        <v>49.136659999999985</v>
      </c>
      <c r="I34" s="16">
        <f>'Données Sociales'!G7</f>
        <v>1.9E-2</v>
      </c>
    </row>
    <row r="35" spans="1:9" x14ac:dyDescent="0.25">
      <c r="A35" s="285" t="s">
        <v>99</v>
      </c>
      <c r="B35" s="286"/>
      <c r="C35" s="286"/>
      <c r="D35" s="287"/>
      <c r="E35" s="129">
        <f>Calculs!$E$42</f>
        <v>2589.0300000000007</v>
      </c>
      <c r="F35" s="30">
        <f>IF(Calculs!E38&gt;Calculs!E39,'Données Sociales'!F22+'Données Sociales'!F24+'Données Sociales'!F26,'Données Sociales'!F22+'Données Sociales'!F24)</f>
        <v>4.1499999999999995E-2</v>
      </c>
      <c r="G35" s="129">
        <f>E35*F35</f>
        <v>107.44474500000001</v>
      </c>
      <c r="H35" s="134">
        <f>E35*I35</f>
        <v>155.60070300000004</v>
      </c>
      <c r="I35" s="16">
        <f>IF($G$24&gt;Calculs!E37,'Données Sociales'!$G$22+'Données Sociales'!$G$24+'Données Sociales'!$G$26,'Données Sociales'!$G$22+'Données Sociales'!$G$24)</f>
        <v>6.0100000000000001E-2</v>
      </c>
    </row>
    <row r="36" spans="1:9" x14ac:dyDescent="0.25">
      <c r="A36" s="285" t="s">
        <v>100</v>
      </c>
      <c r="B36" s="286"/>
      <c r="C36" s="286"/>
      <c r="D36" s="287"/>
      <c r="E36" s="129" t="str">
        <f>IF($G$24&gt;Calculs!$J$5,Calculs!E43,"")</f>
        <v/>
      </c>
      <c r="F36" s="30">
        <f>IF(Calculs!$E$36&gt;Calculs!$E$37,'Données Sociales'!$F$23+'Données Sociales'!$F$25+'Données Sociales'!$F$26,'Données Sociales'!$F$23+'Données Sociales'!$F$25)</f>
        <v>9.7200000000000009E-2</v>
      </c>
      <c r="G36" s="129"/>
      <c r="H36" s="134" t="str">
        <f>IF($E$36="","",$E$36*$I$36)</f>
        <v/>
      </c>
      <c r="I36" s="16">
        <f>IF(Calculs!$E$36&gt;Calculs!$E$37,'Données Sociales'!$G$23+'Données Sociales'!$G$25+'Données Sociales'!$G$26,'Données Sociales'!$G$23+'Données Sociales'!$G$25)</f>
        <v>0.1457</v>
      </c>
    </row>
    <row r="37" spans="1:9" x14ac:dyDescent="0.25">
      <c r="A37" s="315" t="s">
        <v>101</v>
      </c>
      <c r="B37" s="316"/>
      <c r="C37" s="316"/>
      <c r="D37" s="317"/>
      <c r="E37" s="131"/>
      <c r="F37" s="27"/>
      <c r="G37" s="131"/>
      <c r="H37" s="135"/>
      <c r="I37" s="16"/>
    </row>
    <row r="38" spans="1:9" x14ac:dyDescent="0.25">
      <c r="A38" s="318" t="s">
        <v>102</v>
      </c>
      <c r="B38" s="319"/>
      <c r="C38" s="319"/>
      <c r="D38" s="320"/>
      <c r="E38" s="130">
        <f>$G$24</f>
        <v>2586.14</v>
      </c>
      <c r="F38" s="18"/>
      <c r="G38" s="17"/>
      <c r="H38" s="1">
        <f>E38*I38</f>
        <v>89.221829999999997</v>
      </c>
      <c r="I38" s="16">
        <f>IF($G$24&gt;Calculs!$E$51,'Données Sociales'!$G$8+'Données Sociales'!$G$9,'Données Sociales'!$G$8)</f>
        <v>3.4500000000000003E-2</v>
      </c>
    </row>
    <row r="39" spans="1:9" x14ac:dyDescent="0.25">
      <c r="A39" s="321" t="s">
        <v>103</v>
      </c>
      <c r="B39" s="322"/>
      <c r="C39" s="322"/>
      <c r="D39" s="323"/>
      <c r="E39" s="31"/>
      <c r="F39" s="33"/>
      <c r="G39" s="31"/>
      <c r="H39" s="32"/>
      <c r="I39" s="16"/>
    </row>
    <row r="40" spans="1:9" x14ac:dyDescent="0.25">
      <c r="A40" s="285" t="s">
        <v>104</v>
      </c>
      <c r="B40" s="286"/>
      <c r="C40" s="286"/>
      <c r="D40" s="287"/>
      <c r="E40" s="129">
        <f>$G$24</f>
        <v>2586.14</v>
      </c>
      <c r="F40" s="30"/>
      <c r="G40" s="28"/>
      <c r="H40" s="134">
        <f>E40*I40</f>
        <v>108.61788</v>
      </c>
      <c r="I40" s="16">
        <f>'Données Sociales'!$G$20+'Données Sociales'!$G$21</f>
        <v>4.2000000000000003E-2</v>
      </c>
    </row>
    <row r="41" spans="1:9" x14ac:dyDescent="0.25">
      <c r="A41" s="315" t="s">
        <v>105</v>
      </c>
      <c r="B41" s="316"/>
      <c r="C41" s="316"/>
      <c r="D41" s="317"/>
      <c r="E41" s="131">
        <f>IF(Calculs!$C$2="Non Cadre","",Calculs!$E$42)</f>
        <v>2589.0300000000007</v>
      </c>
      <c r="F41" s="27">
        <f>IF(Calculs!$C$2="Non Cadre","",'Données Sociales'!$F$27)</f>
        <v>2.4000000000000001E-4</v>
      </c>
      <c r="G41" s="26">
        <f>IF($E$41="","",$E$41*$F$41)</f>
        <v>0.62136720000000012</v>
      </c>
      <c r="H41" s="135">
        <f>IF($E$41="","",$E$41*$I$41)</f>
        <v>0.93205080000000029</v>
      </c>
      <c r="I41" s="16">
        <f>IF(Calculs!$C$2="Non Cadre",0%,'Données Sociales'!$G$27)</f>
        <v>3.6000000000000002E-4</v>
      </c>
    </row>
    <row r="42" spans="1:9" s="36" customFormat="1" ht="15" customHeight="1" x14ac:dyDescent="0.25">
      <c r="A42" s="338" t="s">
        <v>106</v>
      </c>
      <c r="B42" s="339"/>
      <c r="C42" s="339"/>
      <c r="D42" s="340"/>
      <c r="E42" s="130">
        <f>$G$24</f>
        <v>2586.14</v>
      </c>
      <c r="F42" s="18"/>
      <c r="G42" s="17"/>
      <c r="H42" s="1">
        <f>Calculs!$L$58</f>
        <v>117.0281004</v>
      </c>
      <c r="I42" s="16">
        <f>'Données Sociales'!$G$4+'Données Sociales'!$G$13+Calculs!$J$19+Calculs!$J$20+Calculs!$J$21+Calculs!$J$23</f>
        <v>0.10266</v>
      </c>
    </row>
    <row r="43" spans="1:9" x14ac:dyDescent="0.25">
      <c r="A43" s="359" t="s">
        <v>107</v>
      </c>
      <c r="B43" s="360"/>
      <c r="C43" s="360"/>
      <c r="D43" s="361"/>
      <c r="E43" s="31"/>
      <c r="F43" s="24"/>
      <c r="G43" s="132"/>
      <c r="H43" s="133"/>
      <c r="I43" s="16"/>
    </row>
    <row r="44" spans="1:9" x14ac:dyDescent="0.25">
      <c r="A44" s="341" t="s">
        <v>108</v>
      </c>
      <c r="B44" s="342"/>
      <c r="C44" s="342"/>
      <c r="D44" s="343"/>
      <c r="E44" s="129">
        <f>IF(SUM($G$13:$G$16)="","",SUM($G$13:$G$16))</f>
        <v>0</v>
      </c>
      <c r="F44" s="30">
        <v>0.11310000000000001</v>
      </c>
      <c r="G44" s="129">
        <f>-(E44*F44)</f>
        <v>0</v>
      </c>
      <c r="H44" s="134"/>
      <c r="I44" s="16"/>
    </row>
    <row r="45" spans="1:9" ht="15" customHeight="1" x14ac:dyDescent="0.25">
      <c r="A45" s="341" t="s">
        <v>109</v>
      </c>
      <c r="B45" s="342"/>
      <c r="C45" s="342"/>
      <c r="D45" s="343"/>
      <c r="E45" s="129">
        <f>(Calculs!$E$36-Calculs!$F$25)*0.9825+'Bulletin de Paie'!$H$28+'Bulletin de Paie'!$H$29+'Bulletin de Paie'!$H$30</f>
        <v>2624.6746499999999</v>
      </c>
      <c r="F45" s="30">
        <f>'Données Sociales'!F18</f>
        <v>6.8000000000000005E-2</v>
      </c>
      <c r="G45" s="129">
        <f>E45*F45</f>
        <v>178.4778762</v>
      </c>
      <c r="H45" s="134"/>
      <c r="I45" s="16"/>
    </row>
    <row r="46" spans="1:9" ht="15" customHeight="1" x14ac:dyDescent="0.25">
      <c r="A46" s="341" t="s">
        <v>110</v>
      </c>
      <c r="B46" s="342"/>
      <c r="C46" s="342"/>
      <c r="D46" s="343"/>
      <c r="E46" s="129">
        <f>(Calculs!$E$36-Calculs!$F$25)*0.9825+'Bulletin de Paie'!$H$28+'Bulletin de Paie'!$H$29+'Bulletin de Paie'!$H$30</f>
        <v>2624.6746499999999</v>
      </c>
      <c r="F46" s="30">
        <f>'Données Sociales'!F19</f>
        <v>2.9000000000000001E-2</v>
      </c>
      <c r="G46" s="129">
        <f>E46*F46</f>
        <v>76.115564849999998</v>
      </c>
      <c r="H46" s="134"/>
      <c r="I46" s="16"/>
    </row>
    <row r="47" spans="1:9" x14ac:dyDescent="0.25">
      <c r="A47" s="341" t="s">
        <v>111</v>
      </c>
      <c r="B47" s="342"/>
      <c r="C47" s="342"/>
      <c r="D47" s="343"/>
      <c r="E47" s="129">
        <f>IF(SUM($G$13:$G$16)="","",SUM($G$13:$G$16)*0.9825)</f>
        <v>0</v>
      </c>
      <c r="F47" s="30">
        <f>'Données Sociales'!F18+'Données Sociales'!F19</f>
        <v>9.7000000000000003E-2</v>
      </c>
      <c r="G47" s="129">
        <f>E47*F47</f>
        <v>0</v>
      </c>
      <c r="H47" s="134"/>
      <c r="I47" s="16"/>
    </row>
    <row r="48" spans="1:9" x14ac:dyDescent="0.25">
      <c r="A48" s="324" t="s">
        <v>112</v>
      </c>
      <c r="B48" s="325"/>
      <c r="C48" s="325"/>
      <c r="D48" s="326"/>
      <c r="E48" s="28"/>
      <c r="F48" s="30"/>
      <c r="G48" s="129"/>
      <c r="H48" s="134">
        <f>-Calculs!K30</f>
        <v>0</v>
      </c>
      <c r="I48" s="16"/>
    </row>
    <row r="49" spans="1:9" ht="15" customHeight="1" x14ac:dyDescent="0.25">
      <c r="A49" s="324" t="s">
        <v>113</v>
      </c>
      <c r="B49" s="325"/>
      <c r="C49" s="325"/>
      <c r="D49" s="326"/>
      <c r="E49" s="29"/>
      <c r="F49" s="29"/>
      <c r="G49" s="140">
        <f>SUM($G$28:$G$48)</f>
        <v>596.64718325000013</v>
      </c>
      <c r="H49" s="141">
        <f>SUM($H$27:$H$48)</f>
        <v>1035.1687292000001</v>
      </c>
    </row>
    <row r="50" spans="1:9" x14ac:dyDescent="0.25">
      <c r="A50" s="324" t="s">
        <v>334</v>
      </c>
      <c r="B50" s="325"/>
      <c r="C50" s="325"/>
      <c r="D50" s="326"/>
      <c r="E50" s="29"/>
      <c r="F50" s="29"/>
      <c r="G50" s="162">
        <f>E50*F50</f>
        <v>0</v>
      </c>
      <c r="H50" s="161"/>
      <c r="I50" s="36"/>
    </row>
    <row r="51" spans="1:9" x14ac:dyDescent="0.25">
      <c r="A51" s="309" t="s">
        <v>276</v>
      </c>
      <c r="B51" s="310"/>
      <c r="C51" s="310"/>
      <c r="D51" s="311"/>
      <c r="E51" s="29"/>
      <c r="F51" s="29"/>
      <c r="G51" s="145">
        <f>$G$17</f>
        <v>0</v>
      </c>
      <c r="H51" s="142"/>
    </row>
    <row r="52" spans="1:9" x14ac:dyDescent="0.25">
      <c r="A52" s="312" t="s">
        <v>277</v>
      </c>
      <c r="B52" s="313"/>
      <c r="C52" s="313"/>
      <c r="D52" s="314"/>
      <c r="E52" s="39"/>
      <c r="F52" s="39"/>
      <c r="G52" s="146"/>
      <c r="H52" s="139"/>
    </row>
    <row r="53" spans="1:9" ht="18.75" x14ac:dyDescent="0.25">
      <c r="A53" s="344" t="s">
        <v>114</v>
      </c>
      <c r="B53" s="345"/>
      <c r="C53" s="345"/>
      <c r="D53" s="346"/>
      <c r="E53" s="35"/>
      <c r="F53" s="35"/>
      <c r="G53" s="307">
        <f>$G$24-$G$49-$G$51-G52-G50</f>
        <v>1989.4928167499997</v>
      </c>
      <c r="H53" s="308"/>
    </row>
    <row r="54" spans="1:9" x14ac:dyDescent="0.25">
      <c r="A54" s="333" t="s">
        <v>115</v>
      </c>
      <c r="B54" s="334"/>
      <c r="C54" s="334"/>
      <c r="D54" s="334"/>
      <c r="E54" s="335"/>
      <c r="F54" s="335"/>
      <c r="G54" s="335"/>
      <c r="H54" s="144">
        <f>$G$24*0.75%+SUM(Calculs!$E$42:$F$43)*2.4%-Calculs!$E$52*1.7%</f>
        <v>36.843940949999983</v>
      </c>
    </row>
    <row r="55" spans="1:9" x14ac:dyDescent="0.25">
      <c r="A55" s="300" t="s">
        <v>116</v>
      </c>
      <c r="B55" s="301"/>
      <c r="C55" s="301"/>
      <c r="D55" s="302"/>
      <c r="E55" s="83" t="s">
        <v>77</v>
      </c>
      <c r="F55" s="83" t="s">
        <v>78</v>
      </c>
      <c r="G55" s="331" t="s">
        <v>79</v>
      </c>
      <c r="H55" s="332"/>
    </row>
    <row r="56" spans="1:9" x14ac:dyDescent="0.25">
      <c r="A56" s="347" t="s">
        <v>117</v>
      </c>
      <c r="B56" s="348"/>
      <c r="C56" s="348"/>
      <c r="D56" s="349"/>
      <c r="E56" s="150">
        <f>$G$24-$G$49+$G$46+$G$47+$H$30-$E$44</f>
        <v>2110.6083815999996</v>
      </c>
      <c r="F56" s="149">
        <v>7.4999999999999997E-2</v>
      </c>
      <c r="G56" s="336">
        <f>E56*F56</f>
        <v>158.29562861999997</v>
      </c>
      <c r="H56" s="337"/>
    </row>
    <row r="57" spans="1:9" x14ac:dyDescent="0.25">
      <c r="A57" s="303" t="s">
        <v>118</v>
      </c>
      <c r="B57" s="304"/>
      <c r="C57" s="295">
        <f>G24+H30+G46+G47-E44-G49</f>
        <v>2110.6083815999996</v>
      </c>
      <c r="D57" s="296"/>
      <c r="E57" s="303" t="s">
        <v>275</v>
      </c>
      <c r="F57" s="304"/>
      <c r="G57" s="305">
        <f>$G$53-$G$56</f>
        <v>1831.1971881299999</v>
      </c>
      <c r="H57" s="306"/>
    </row>
    <row r="58" spans="1:9" x14ac:dyDescent="0.25">
      <c r="A58" s="292" t="s">
        <v>301</v>
      </c>
      <c r="B58" s="293"/>
      <c r="C58" s="293"/>
      <c r="D58" s="151">
        <f>Calculs!$K$30+IF(Calculs!$E$36&lt;Calculs!$E$50,Calculs!$E$36*6%,0)+IF(Calculs!$E$36&lt;Calculs!$E$51,Calculs!$E$36*1.8%,0)</f>
        <v>201.71892</v>
      </c>
      <c r="E58" s="294" t="s">
        <v>302</v>
      </c>
      <c r="F58" s="293"/>
      <c r="G58" s="293"/>
      <c r="H58" s="147">
        <f>G24+H49</f>
        <v>3621.3087292</v>
      </c>
    </row>
    <row r="59" spans="1:9" x14ac:dyDescent="0.25">
      <c r="A59" s="55"/>
      <c r="B59" s="56"/>
      <c r="C59" s="56"/>
      <c r="D59" s="57"/>
      <c r="E59" s="54"/>
      <c r="F59" s="54"/>
      <c r="G59" s="34"/>
      <c r="H59" s="1"/>
    </row>
    <row r="60" spans="1:9" x14ac:dyDescent="0.25">
      <c r="A60" s="58"/>
      <c r="B60" s="59"/>
      <c r="C60" s="59"/>
      <c r="D60" s="60"/>
      <c r="E60" s="54"/>
      <c r="F60" s="54"/>
      <c r="G60" s="34"/>
      <c r="H60" s="8"/>
    </row>
    <row r="61" spans="1:9" ht="15.75" thickBot="1" x14ac:dyDescent="0.3">
      <c r="A61" s="351" t="s">
        <v>119</v>
      </c>
      <c r="B61" s="352"/>
      <c r="C61" s="352"/>
      <c r="D61" s="352"/>
      <c r="E61" s="352"/>
      <c r="F61" s="352"/>
      <c r="G61" s="352"/>
      <c r="H61" s="353"/>
    </row>
  </sheetData>
  <mergeCells count="80">
    <mergeCell ref="A5:B5"/>
    <mergeCell ref="C5:D5"/>
    <mergeCell ref="E7:H7"/>
    <mergeCell ref="E5:F5"/>
    <mergeCell ref="G5:H5"/>
    <mergeCell ref="A61:H61"/>
    <mergeCell ref="A4:B4"/>
    <mergeCell ref="A6:B6"/>
    <mergeCell ref="A7:B7"/>
    <mergeCell ref="A26:D26"/>
    <mergeCell ref="A27:D27"/>
    <mergeCell ref="A28:D28"/>
    <mergeCell ref="A29:D29"/>
    <mergeCell ref="A38:D38"/>
    <mergeCell ref="A39:D39"/>
    <mergeCell ref="A40:D40"/>
    <mergeCell ref="A41:D41"/>
    <mergeCell ref="E4:F4"/>
    <mergeCell ref="E6:F6"/>
    <mergeCell ref="E57:F57"/>
    <mergeCell ref="A55:D55"/>
    <mergeCell ref="A56:D56"/>
    <mergeCell ref="A9:D9"/>
    <mergeCell ref="A16:D16"/>
    <mergeCell ref="A18:D18"/>
    <mergeCell ref="A15:D15"/>
    <mergeCell ref="A19:D19"/>
    <mergeCell ref="A17:D17"/>
    <mergeCell ref="A20:D20"/>
    <mergeCell ref="A22:D22"/>
    <mergeCell ref="A23:D23"/>
    <mergeCell ref="A45:D45"/>
    <mergeCell ref="A46:D46"/>
    <mergeCell ref="A47:D47"/>
    <mergeCell ref="A48:D48"/>
    <mergeCell ref="G55:H55"/>
    <mergeCell ref="A54:G54"/>
    <mergeCell ref="G56:H56"/>
    <mergeCell ref="A33:D33"/>
    <mergeCell ref="A34:D34"/>
    <mergeCell ref="A35:D35"/>
    <mergeCell ref="A36:D36"/>
    <mergeCell ref="A37:D37"/>
    <mergeCell ref="A42:D42"/>
    <mergeCell ref="A44:D44"/>
    <mergeCell ref="A49:D49"/>
    <mergeCell ref="A53:D53"/>
    <mergeCell ref="A43:D43"/>
    <mergeCell ref="A30:D30"/>
    <mergeCell ref="A31:D31"/>
    <mergeCell ref="A32:D32"/>
    <mergeCell ref="A50:D50"/>
    <mergeCell ref="A1:H1"/>
    <mergeCell ref="C4:D4"/>
    <mergeCell ref="G4:H4"/>
    <mergeCell ref="G6:H6"/>
    <mergeCell ref="A10:D10"/>
    <mergeCell ref="A11:D11"/>
    <mergeCell ref="A12:D12"/>
    <mergeCell ref="C6:D6"/>
    <mergeCell ref="H9:H24"/>
    <mergeCell ref="A21:D21"/>
    <mergeCell ref="C7:D7"/>
    <mergeCell ref="A8:D8"/>
    <mergeCell ref="A2:D2"/>
    <mergeCell ref="A3:D3"/>
    <mergeCell ref="E2:H2"/>
    <mergeCell ref="E3:H3"/>
    <mergeCell ref="A58:C58"/>
    <mergeCell ref="E58:G58"/>
    <mergeCell ref="A13:D13"/>
    <mergeCell ref="A14:D14"/>
    <mergeCell ref="C57:D57"/>
    <mergeCell ref="A24:D24"/>
    <mergeCell ref="A25:D25"/>
    <mergeCell ref="A57:B57"/>
    <mergeCell ref="G57:H57"/>
    <mergeCell ref="G53:H53"/>
    <mergeCell ref="A51:D51"/>
    <mergeCell ref="A52:D52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4" orientation="portrait" r:id="rId1"/>
  <headerFooter>
    <oddFooter>&amp;LAndré BERGER&amp;C&amp;D&amp;R&amp;P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4609-6223-4C16-9F59-6BA187A56080}">
  <dimension ref="A1:K20"/>
  <sheetViews>
    <sheetView tabSelected="1" topLeftCell="E1" workbookViewId="0">
      <selection activeCell="J17" sqref="J17:K17"/>
    </sheetView>
  </sheetViews>
  <sheetFormatPr baseColWidth="10" defaultRowHeight="15" x14ac:dyDescent="0.25"/>
  <cols>
    <col min="1" max="6" width="11.42578125" customWidth="1"/>
    <col min="7" max="8" width="13.28515625" customWidth="1"/>
    <col min="9" max="11" width="11.42578125" customWidth="1"/>
  </cols>
  <sheetData>
    <row r="1" spans="1:11" ht="15.75" thickBot="1" x14ac:dyDescent="0.3"/>
    <row r="2" spans="1:11" ht="20.25" thickTop="1" thickBot="1" x14ac:dyDescent="0.35">
      <c r="A2" s="368" t="s">
        <v>382</v>
      </c>
      <c r="B2" s="369"/>
      <c r="C2" s="369"/>
      <c r="D2" s="369"/>
      <c r="E2" s="370"/>
      <c r="G2" s="368" t="s">
        <v>381</v>
      </c>
      <c r="H2" s="369"/>
      <c r="I2" s="369"/>
      <c r="J2" s="369"/>
      <c r="K2" s="370"/>
    </row>
    <row r="3" spans="1:11" ht="15.75" thickTop="1" x14ac:dyDescent="0.25">
      <c r="A3" s="240"/>
      <c r="B3" s="197"/>
      <c r="C3" s="197"/>
      <c r="D3" s="197"/>
      <c r="E3" s="241"/>
      <c r="G3" s="379" t="s">
        <v>134</v>
      </c>
      <c r="H3" s="380"/>
      <c r="I3" s="381" t="s">
        <v>335</v>
      </c>
      <c r="J3" s="381"/>
      <c r="K3" s="382"/>
    </row>
    <row r="4" spans="1:11" ht="15.75" x14ac:dyDescent="0.25">
      <c r="A4" s="371" t="s">
        <v>370</v>
      </c>
      <c r="B4" s="372"/>
      <c r="C4" s="373" t="s">
        <v>371</v>
      </c>
      <c r="D4" s="373"/>
      <c r="E4" s="374"/>
      <c r="G4" s="379" t="s">
        <v>3</v>
      </c>
      <c r="H4" s="380"/>
      <c r="I4" s="381" t="s">
        <v>336</v>
      </c>
      <c r="J4" s="381"/>
      <c r="K4" s="382"/>
    </row>
    <row r="5" spans="1:11" ht="15.75" x14ac:dyDescent="0.25">
      <c r="A5" s="371" t="s">
        <v>369</v>
      </c>
      <c r="B5" s="372"/>
      <c r="C5" s="373" t="s">
        <v>372</v>
      </c>
      <c r="D5" s="373"/>
      <c r="E5" s="374"/>
      <c r="G5" s="379" t="s">
        <v>136</v>
      </c>
      <c r="H5" s="380"/>
      <c r="I5" s="381">
        <v>12345</v>
      </c>
      <c r="J5" s="381"/>
      <c r="K5" s="382"/>
    </row>
    <row r="6" spans="1:11" ht="15.75" x14ac:dyDescent="0.25">
      <c r="A6" s="371" t="s">
        <v>3</v>
      </c>
      <c r="B6" s="372"/>
      <c r="C6" s="373" t="s">
        <v>379</v>
      </c>
      <c r="D6" s="373"/>
      <c r="E6" s="374"/>
      <c r="G6" s="379" t="s">
        <v>135</v>
      </c>
      <c r="H6" s="380"/>
      <c r="I6" s="381">
        <v>123456789</v>
      </c>
      <c r="J6" s="381"/>
      <c r="K6" s="382"/>
    </row>
    <row r="7" spans="1:11" ht="15.75" x14ac:dyDescent="0.25">
      <c r="A7" s="371" t="s">
        <v>377</v>
      </c>
      <c r="B7" s="372"/>
      <c r="C7" s="375" t="s">
        <v>380</v>
      </c>
      <c r="D7" s="375"/>
      <c r="E7" s="376"/>
      <c r="G7" s="379" t="s">
        <v>145</v>
      </c>
      <c r="H7" s="380"/>
      <c r="I7" s="381" t="s">
        <v>154</v>
      </c>
      <c r="J7" s="381"/>
      <c r="K7" s="382"/>
    </row>
    <row r="8" spans="1:11" ht="15.75" x14ac:dyDescent="0.25">
      <c r="A8" s="371" t="s">
        <v>4</v>
      </c>
      <c r="B8" s="372"/>
      <c r="C8" s="373" t="s">
        <v>373</v>
      </c>
      <c r="D8" s="373"/>
      <c r="E8" s="374"/>
      <c r="G8" s="249"/>
      <c r="H8" s="250"/>
      <c r="I8" s="247"/>
      <c r="J8" s="247"/>
      <c r="K8" s="248"/>
    </row>
    <row r="9" spans="1:11" ht="15.75" x14ac:dyDescent="0.25">
      <c r="A9" s="371" t="s">
        <v>375</v>
      </c>
      <c r="B9" s="372"/>
      <c r="C9" s="373" t="s">
        <v>0</v>
      </c>
      <c r="D9" s="373"/>
      <c r="E9" s="374"/>
      <c r="G9" s="379" t="s">
        <v>123</v>
      </c>
      <c r="H9" s="380"/>
      <c r="I9" s="381">
        <v>22</v>
      </c>
      <c r="J9" s="381"/>
      <c r="K9" s="382"/>
    </row>
    <row r="10" spans="1:11" ht="15.75" x14ac:dyDescent="0.25">
      <c r="A10" s="371" t="s">
        <v>374</v>
      </c>
      <c r="B10" s="372"/>
      <c r="C10" s="373"/>
      <c r="D10" s="373"/>
      <c r="E10" s="374"/>
      <c r="G10" s="379" t="s">
        <v>125</v>
      </c>
      <c r="H10" s="380"/>
      <c r="I10" s="592">
        <v>1.0999999999999999E-2</v>
      </c>
      <c r="J10" s="383"/>
      <c r="K10" s="384"/>
    </row>
    <row r="11" spans="1:11" ht="15.75" x14ac:dyDescent="0.25">
      <c r="A11" s="371" t="s">
        <v>378</v>
      </c>
      <c r="B11" s="372"/>
      <c r="C11" s="373"/>
      <c r="D11" s="373"/>
      <c r="E11" s="374"/>
      <c r="G11" s="379" t="s">
        <v>127</v>
      </c>
      <c r="H11" s="380"/>
      <c r="I11" s="592">
        <v>0.02</v>
      </c>
      <c r="J11" s="383"/>
      <c r="K11" s="384"/>
    </row>
    <row r="12" spans="1:11" ht="15.75" x14ac:dyDescent="0.25">
      <c r="A12" s="371" t="s">
        <v>137</v>
      </c>
      <c r="B12" s="372"/>
      <c r="C12" s="373" t="s">
        <v>189</v>
      </c>
      <c r="D12" s="373"/>
      <c r="E12" s="374"/>
      <c r="G12" s="379" t="s">
        <v>128</v>
      </c>
      <c r="H12" s="380"/>
      <c r="I12" s="592">
        <f>IF($I$9&gt;=11,$I$11,0)</f>
        <v>0.02</v>
      </c>
      <c r="J12" s="383"/>
      <c r="K12" s="384"/>
    </row>
    <row r="13" spans="1:11" ht="15.75" x14ac:dyDescent="0.25">
      <c r="A13" s="371" t="s">
        <v>196</v>
      </c>
      <c r="B13" s="372"/>
      <c r="C13" s="377">
        <v>43405</v>
      </c>
      <c r="D13" s="377"/>
      <c r="E13" s="378"/>
      <c r="G13" s="379" t="s">
        <v>147</v>
      </c>
      <c r="H13" s="380"/>
      <c r="I13" s="592">
        <f>IF($I$9&lt;20,'Données Sociales'!$G$10,'Données Sociales'!$G$11)</f>
        <v>5.0000000000000001E-3</v>
      </c>
      <c r="J13" s="383"/>
      <c r="K13" s="384"/>
    </row>
    <row r="14" spans="1:11" ht="15.75" x14ac:dyDescent="0.25">
      <c r="A14" s="371" t="s">
        <v>376</v>
      </c>
      <c r="B14" s="372"/>
      <c r="C14" s="377"/>
      <c r="D14" s="377"/>
      <c r="E14" s="378"/>
      <c r="G14" s="379" t="s">
        <v>148</v>
      </c>
      <c r="H14" s="380"/>
      <c r="I14" s="592">
        <f>IF($I$9&gt;=20,'Données Sociales'!$G$32,0)</f>
        <v>4.4999999999999997E-3</v>
      </c>
      <c r="J14" s="383"/>
      <c r="K14" s="384"/>
    </row>
    <row r="15" spans="1:11" ht="15.75" x14ac:dyDescent="0.25">
      <c r="A15" s="386" t="s">
        <v>6</v>
      </c>
      <c r="B15" s="386"/>
      <c r="C15" s="373"/>
      <c r="D15" s="373"/>
      <c r="E15" s="374"/>
      <c r="G15" s="379" t="s">
        <v>130</v>
      </c>
      <c r="H15" s="380"/>
      <c r="I15" s="592">
        <f>IF($I$9&lt;=10,'Données Sociales'!$G$30,'Données Sociales'!$G$29)</f>
        <v>0.01</v>
      </c>
      <c r="J15" s="383"/>
      <c r="K15" s="384"/>
    </row>
    <row r="16" spans="1:11" ht="15.75" x14ac:dyDescent="0.25">
      <c r="A16" s="371" t="s">
        <v>143</v>
      </c>
      <c r="B16" s="372"/>
      <c r="C16" s="372"/>
      <c r="D16" s="372"/>
      <c r="E16" s="385"/>
      <c r="G16" s="379" t="s">
        <v>151</v>
      </c>
      <c r="H16" s="380"/>
      <c r="I16" s="592">
        <v>0</v>
      </c>
      <c r="J16" s="383"/>
      <c r="K16" s="384"/>
    </row>
    <row r="17" spans="1:11" ht="15.75" x14ac:dyDescent="0.25">
      <c r="A17" s="258"/>
      <c r="B17" s="256"/>
      <c r="C17" s="256"/>
      <c r="D17" s="256"/>
      <c r="E17" s="257"/>
      <c r="G17" s="379" t="s">
        <v>383</v>
      </c>
      <c r="H17" s="380"/>
      <c r="I17" s="592">
        <f>IF($I$9&gt;=11,'Données Sociales'!$G$16,0)</f>
        <v>0.08</v>
      </c>
      <c r="J17" s="383"/>
      <c r="K17" s="384"/>
    </row>
    <row r="18" spans="1:11" ht="15.75" x14ac:dyDescent="0.25">
      <c r="A18" s="371" t="s">
        <v>75</v>
      </c>
      <c r="B18" s="372"/>
      <c r="C18" s="588" t="s">
        <v>388</v>
      </c>
      <c r="D18" s="588"/>
      <c r="E18" s="589"/>
      <c r="G18" s="379" t="s">
        <v>132</v>
      </c>
      <c r="H18" s="380"/>
      <c r="I18" s="247">
        <f>IF($I$9&lt;20,0.2809,0.2849)</f>
        <v>0.28489999999999999</v>
      </c>
      <c r="J18" s="381"/>
      <c r="K18" s="382"/>
    </row>
    <row r="19" spans="1:11" ht="16.5" thickBot="1" x14ac:dyDescent="0.3">
      <c r="A19" s="245"/>
      <c r="B19" s="246"/>
      <c r="C19" s="243"/>
      <c r="D19" s="243"/>
      <c r="E19" s="244"/>
      <c r="G19" s="242"/>
      <c r="H19" s="243"/>
      <c r="I19" s="243"/>
      <c r="J19" s="243"/>
      <c r="K19" s="244"/>
    </row>
    <row r="20" spans="1:11" ht="15.75" thickTop="1" x14ac:dyDescent="0.25"/>
  </sheetData>
  <mergeCells count="60">
    <mergeCell ref="J17:K17"/>
    <mergeCell ref="J18:K18"/>
    <mergeCell ref="C16:E16"/>
    <mergeCell ref="A15:B15"/>
    <mergeCell ref="G17:H17"/>
    <mergeCell ref="G18:H18"/>
    <mergeCell ref="J15:K15"/>
    <mergeCell ref="A18:B18"/>
    <mergeCell ref="C18:E18"/>
    <mergeCell ref="G9:H9"/>
    <mergeCell ref="I9:K9"/>
    <mergeCell ref="G14:H14"/>
    <mergeCell ref="G15:H15"/>
    <mergeCell ref="G16:H16"/>
    <mergeCell ref="J16:K16"/>
    <mergeCell ref="G11:H11"/>
    <mergeCell ref="G12:H12"/>
    <mergeCell ref="G13:H13"/>
    <mergeCell ref="J10:K10"/>
    <mergeCell ref="J11:K11"/>
    <mergeCell ref="J12:K12"/>
    <mergeCell ref="J13:K13"/>
    <mergeCell ref="J14:K14"/>
    <mergeCell ref="G5:H5"/>
    <mergeCell ref="I5:K5"/>
    <mergeCell ref="G6:H6"/>
    <mergeCell ref="I6:K6"/>
    <mergeCell ref="G7:H7"/>
    <mergeCell ref="I7:K7"/>
    <mergeCell ref="G2:K2"/>
    <mergeCell ref="G3:H3"/>
    <mergeCell ref="I3:K3"/>
    <mergeCell ref="G4:H4"/>
    <mergeCell ref="I4:K4"/>
    <mergeCell ref="C14:E14"/>
    <mergeCell ref="C15:E15"/>
    <mergeCell ref="A14:B14"/>
    <mergeCell ref="A16:B16"/>
    <mergeCell ref="G10:H10"/>
    <mergeCell ref="C12:E12"/>
    <mergeCell ref="A10:B10"/>
    <mergeCell ref="A12:B12"/>
    <mergeCell ref="A13:B13"/>
    <mergeCell ref="A7:B7"/>
    <mergeCell ref="A8:B8"/>
    <mergeCell ref="A9:B9"/>
    <mergeCell ref="A11:B11"/>
    <mergeCell ref="C7:E7"/>
    <mergeCell ref="C8:E8"/>
    <mergeCell ref="C9:E9"/>
    <mergeCell ref="C10:E10"/>
    <mergeCell ref="C11:E11"/>
    <mergeCell ref="C13:E13"/>
    <mergeCell ref="A2:E2"/>
    <mergeCell ref="A4:B4"/>
    <mergeCell ref="A5:B5"/>
    <mergeCell ref="C4:E4"/>
    <mergeCell ref="A6:B6"/>
    <mergeCell ref="C5:E5"/>
    <mergeCell ref="C6:E6"/>
  </mergeCells>
  <dataValidations count="1">
    <dataValidation type="list" allowBlank="1" showInputMessage="1" showErrorMessage="1" sqref="C9:C11" xr:uid="{518E2361-131F-4ADC-8329-86741435883F}">
      <formula1>$K$4:$K$5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F561-B359-4112-BEDF-754821AAF07F}">
  <dimension ref="A1:X70"/>
  <sheetViews>
    <sheetView topLeftCell="F56" zoomScaleNormal="100" workbookViewId="0">
      <selection activeCell="X71" sqref="X71"/>
    </sheetView>
  </sheetViews>
  <sheetFormatPr baseColWidth="10" defaultRowHeight="15" x14ac:dyDescent="0.25"/>
  <cols>
    <col min="3" max="3" width="11.42578125" customWidth="1"/>
    <col min="6" max="6" width="12" bestFit="1" customWidth="1"/>
    <col min="9" max="9" width="11.42578125" customWidth="1"/>
  </cols>
  <sheetData>
    <row r="1" spans="1:21" ht="20.25" thickTop="1" thickBot="1" x14ac:dyDescent="0.35">
      <c r="A1" s="481"/>
      <c r="B1" s="481"/>
      <c r="C1" s="481"/>
      <c r="D1" s="481"/>
      <c r="E1" s="481"/>
      <c r="F1" s="481"/>
      <c r="M1" s="170" t="s">
        <v>306</v>
      </c>
      <c r="N1" s="171">
        <v>3377</v>
      </c>
      <c r="O1" s="454"/>
      <c r="P1" s="455"/>
      <c r="Q1" s="455"/>
      <c r="R1" s="455"/>
      <c r="S1" s="455"/>
      <c r="T1" s="455"/>
      <c r="U1" s="456"/>
    </row>
    <row r="2" spans="1:21" ht="15.75" customHeight="1" thickTop="1" thickBot="1" x14ac:dyDescent="0.3">
      <c r="A2" s="484" t="s">
        <v>375</v>
      </c>
      <c r="B2" s="485"/>
      <c r="C2" s="486" t="s">
        <v>0</v>
      </c>
      <c r="D2" s="487"/>
      <c r="E2" s="487"/>
      <c r="F2" s="488"/>
      <c r="G2" t="s">
        <v>0</v>
      </c>
      <c r="H2" s="494" t="s">
        <v>273</v>
      </c>
      <c r="I2" s="495"/>
      <c r="J2" s="111">
        <v>31</v>
      </c>
      <c r="M2" s="457" t="s">
        <v>309</v>
      </c>
      <c r="N2" s="458"/>
      <c r="O2" s="458"/>
      <c r="P2" s="458"/>
      <c r="Q2" s="458"/>
      <c r="R2" s="458"/>
      <c r="S2" s="458"/>
      <c r="T2" s="458"/>
      <c r="U2" s="459"/>
    </row>
    <row r="3" spans="1:21" ht="15" customHeight="1" thickTop="1" thickBot="1" x14ac:dyDescent="0.3">
      <c r="A3" s="482" t="s">
        <v>75</v>
      </c>
      <c r="B3" s="483"/>
      <c r="C3" s="491" t="s">
        <v>337</v>
      </c>
      <c r="D3" s="492"/>
      <c r="E3" s="492"/>
      <c r="F3" s="493"/>
      <c r="G3" t="s">
        <v>274</v>
      </c>
      <c r="H3" s="427" t="s">
        <v>272</v>
      </c>
      <c r="I3" s="428"/>
      <c r="J3" s="112">
        <v>31</v>
      </c>
      <c r="M3" s="466" t="s">
        <v>310</v>
      </c>
      <c r="N3" s="448" t="s">
        <v>311</v>
      </c>
      <c r="O3" s="452" t="s">
        <v>312</v>
      </c>
      <c r="P3" s="452" t="s">
        <v>313</v>
      </c>
      <c r="Q3" s="448">
        <v>151.66666670000001</v>
      </c>
      <c r="R3" s="452" t="s">
        <v>314</v>
      </c>
      <c r="S3" s="452" t="s">
        <v>315</v>
      </c>
      <c r="T3" s="452" t="s">
        <v>316</v>
      </c>
      <c r="U3" s="450" t="s">
        <v>317</v>
      </c>
    </row>
    <row r="4" spans="1:21" ht="15" customHeight="1" thickBot="1" x14ac:dyDescent="0.3">
      <c r="A4" s="543" t="s">
        <v>6</v>
      </c>
      <c r="B4" s="528"/>
      <c r="C4" s="93">
        <v>3700</v>
      </c>
      <c r="D4" s="527" t="s">
        <v>190</v>
      </c>
      <c r="E4" s="528"/>
      <c r="F4" s="89">
        <v>35</v>
      </c>
      <c r="G4" s="47"/>
      <c r="H4" s="119" t="s">
        <v>269</v>
      </c>
      <c r="I4" s="120"/>
      <c r="J4" s="158">
        <v>10.029999999999999</v>
      </c>
      <c r="M4" s="467"/>
      <c r="N4" s="449"/>
      <c r="O4" s="453"/>
      <c r="P4" s="453"/>
      <c r="Q4" s="449"/>
      <c r="R4" s="453"/>
      <c r="S4" s="453"/>
      <c r="T4" s="453"/>
      <c r="U4" s="451"/>
    </row>
    <row r="5" spans="1:21" ht="15" customHeight="1" thickBot="1" x14ac:dyDescent="0.3">
      <c r="A5" s="531" t="s">
        <v>8</v>
      </c>
      <c r="B5" s="530"/>
      <c r="C5" s="98">
        <f>$C$4/$F$5</f>
        <v>24.395604395604398</v>
      </c>
      <c r="D5" s="529" t="s">
        <v>191</v>
      </c>
      <c r="E5" s="530"/>
      <c r="F5" s="92">
        <f>F4*52/12</f>
        <v>151.66666666666666</v>
      </c>
      <c r="G5" s="46"/>
      <c r="H5" s="489" t="s">
        <v>233</v>
      </c>
      <c r="I5" s="490"/>
      <c r="J5" s="252">
        <f>3377*($F$5+$E$19+$F$19)/151.6666667*$J$3/$J$2</f>
        <v>3376.9999992578018</v>
      </c>
      <c r="M5" s="174" t="s">
        <v>322</v>
      </c>
      <c r="N5" s="175">
        <v>3377</v>
      </c>
      <c r="O5" s="176">
        <v>151.66666667000001</v>
      </c>
      <c r="P5" s="176">
        <v>0</v>
      </c>
      <c r="Q5" s="177">
        <v>151.66666670000001</v>
      </c>
      <c r="R5" s="176">
        <v>29</v>
      </c>
      <c r="S5" s="178">
        <v>31</v>
      </c>
      <c r="T5" s="179">
        <f>$N$5*($O$5+$P$5)/$Q$5*$R$5/$S$5</f>
        <v>3159.129031633182</v>
      </c>
      <c r="U5" s="180">
        <f>$T$5</f>
        <v>3159.129031633182</v>
      </c>
    </row>
    <row r="6" spans="1:21" ht="15.75" customHeight="1" thickBot="1" x14ac:dyDescent="0.3">
      <c r="G6" s="48"/>
      <c r="M6" s="174" t="s">
        <v>323</v>
      </c>
      <c r="N6" s="175">
        <v>3377</v>
      </c>
      <c r="O6" s="176">
        <v>151.66666667000001</v>
      </c>
      <c r="P6" s="176">
        <v>0</v>
      </c>
      <c r="Q6" s="177">
        <v>151.66666670000001</v>
      </c>
      <c r="R6" s="185">
        <v>28</v>
      </c>
      <c r="S6" s="178">
        <v>28</v>
      </c>
      <c r="T6" s="179">
        <f>$N$6*($O$6+$P$6)/$Q$6*$R$6/$S$6</f>
        <v>3376.9999993320221</v>
      </c>
      <c r="U6" s="186">
        <f>$U$5+$T$6</f>
        <v>6536.129030965204</v>
      </c>
    </row>
    <row r="7" spans="1:21" ht="16.5" thickBot="1" x14ac:dyDescent="0.3">
      <c r="A7" s="538" t="s">
        <v>211</v>
      </c>
      <c r="B7" s="538"/>
      <c r="C7" s="538"/>
      <c r="D7" s="538"/>
      <c r="E7" s="538"/>
      <c r="F7" s="538"/>
      <c r="G7" s="46"/>
      <c r="H7" s="500" t="s">
        <v>270</v>
      </c>
      <c r="I7" s="501"/>
      <c r="J7" s="502"/>
      <c r="M7" s="174" t="s">
        <v>324</v>
      </c>
      <c r="N7" s="175">
        <v>3377</v>
      </c>
      <c r="O7" s="176">
        <v>151.66666667000001</v>
      </c>
      <c r="P7" s="176">
        <v>0</v>
      </c>
      <c r="Q7" s="177">
        <v>151.66666670000001</v>
      </c>
      <c r="R7" s="176">
        <v>31</v>
      </c>
      <c r="S7" s="178">
        <v>31</v>
      </c>
      <c r="T7" s="179">
        <f>$N$7*($O$7+$P$7)/$Q$7*$R$7/$S$7</f>
        <v>3376.9999993320221</v>
      </c>
      <c r="U7" s="186">
        <f>$U$6+$T$7</f>
        <v>9913.1290302972266</v>
      </c>
    </row>
    <row r="8" spans="1:21" ht="16.5" customHeight="1" thickBot="1" x14ac:dyDescent="0.3">
      <c r="A8" s="536" t="s">
        <v>212</v>
      </c>
      <c r="B8" s="537"/>
      <c r="C8" s="95">
        <v>0</v>
      </c>
      <c r="D8" s="536" t="s">
        <v>214</v>
      </c>
      <c r="E8" s="537"/>
      <c r="F8" s="95">
        <v>0</v>
      </c>
      <c r="G8" s="47"/>
      <c r="H8" s="121" t="s">
        <v>263</v>
      </c>
      <c r="I8" s="7"/>
      <c r="J8" s="8">
        <v>0</v>
      </c>
      <c r="M8" s="174" t="s">
        <v>325</v>
      </c>
      <c r="N8" s="175">
        <v>3377</v>
      </c>
      <c r="O8" s="176">
        <v>151.66666667000001</v>
      </c>
      <c r="P8" s="176">
        <v>0</v>
      </c>
      <c r="Q8" s="177">
        <v>151.66666670000001</v>
      </c>
      <c r="R8" s="176">
        <v>30</v>
      </c>
      <c r="S8" s="178">
        <v>30</v>
      </c>
      <c r="T8" s="179">
        <f>$N$8*($O$8+$P$8)/$Q$8*$R$8/$S$8</f>
        <v>3376.9999993320221</v>
      </c>
      <c r="U8" s="186">
        <f>$U$7+$T$8</f>
        <v>13290.129029629248</v>
      </c>
    </row>
    <row r="9" spans="1:21" ht="15.75" customHeight="1" thickBot="1" x14ac:dyDescent="0.3">
      <c r="A9" s="536" t="s">
        <v>213</v>
      </c>
      <c r="B9" s="537"/>
      <c r="C9" s="89">
        <v>0</v>
      </c>
      <c r="D9" s="536" t="s">
        <v>215</v>
      </c>
      <c r="E9" s="537"/>
      <c r="F9" s="95">
        <f>F8*C9</f>
        <v>0</v>
      </c>
      <c r="G9" s="46"/>
      <c r="H9" s="121" t="s">
        <v>264</v>
      </c>
      <c r="I9" s="7"/>
      <c r="J9" s="8">
        <v>161</v>
      </c>
      <c r="M9" s="174" t="s">
        <v>326</v>
      </c>
      <c r="N9" s="175">
        <v>3377</v>
      </c>
      <c r="O9" s="176">
        <v>151.66666667000001</v>
      </c>
      <c r="P9" s="176">
        <v>0</v>
      </c>
      <c r="Q9" s="177">
        <v>151.66666670000001</v>
      </c>
      <c r="R9" s="176">
        <v>31</v>
      </c>
      <c r="S9" s="178">
        <v>31</v>
      </c>
      <c r="T9" s="179">
        <f>$N$9*($O$9+$P$9)/$Q$9*$R$9/$S$9</f>
        <v>3376.9999993320221</v>
      </c>
      <c r="U9" s="186">
        <f>$U$8+$T$9</f>
        <v>16667.12902896127</v>
      </c>
    </row>
    <row r="10" spans="1:21" ht="16.5" thickBot="1" x14ac:dyDescent="0.3">
      <c r="A10" s="539" t="s">
        <v>216</v>
      </c>
      <c r="B10" s="540"/>
      <c r="C10" s="541">
        <f>IF($C$9=0,0,(C4+F9)/F5)</f>
        <v>0</v>
      </c>
      <c r="D10" s="542"/>
      <c r="H10" s="121" t="s">
        <v>265</v>
      </c>
      <c r="I10" s="7"/>
      <c r="J10" s="19">
        <f>'Bulletin de Paie'!G24</f>
        <v>2586.14</v>
      </c>
      <c r="M10" s="174" t="s">
        <v>327</v>
      </c>
      <c r="N10" s="175">
        <v>3377</v>
      </c>
      <c r="O10" s="176">
        <v>151.66666667000001</v>
      </c>
      <c r="P10" s="176">
        <v>0</v>
      </c>
      <c r="Q10" s="177">
        <v>151.66666670000001</v>
      </c>
      <c r="R10" s="176">
        <v>30</v>
      </c>
      <c r="S10" s="178">
        <v>30</v>
      </c>
      <c r="T10" s="179">
        <f>$N$10*($O$10+$P$10)/$Q$10*$R$10/$S$10</f>
        <v>3376.9999993320221</v>
      </c>
      <c r="U10" s="186">
        <f>$U$9+$T$10</f>
        <v>20044.129028293293</v>
      </c>
    </row>
    <row r="11" spans="1:21" ht="16.5" thickBot="1" x14ac:dyDescent="0.3">
      <c r="H11" s="122" t="s">
        <v>266</v>
      </c>
      <c r="I11" s="123"/>
      <c r="J11" s="124">
        <f>('Bulletin de Paie'!$G$24-'Bulletin de Paie'!$G$10)</f>
        <v>3995.66</v>
      </c>
      <c r="M11" s="174" t="s">
        <v>328</v>
      </c>
      <c r="N11" s="175">
        <v>3377</v>
      </c>
      <c r="O11" s="176">
        <v>151.66666667000001</v>
      </c>
      <c r="P11" s="176">
        <v>0</v>
      </c>
      <c r="Q11" s="177">
        <v>151.66666670000001</v>
      </c>
      <c r="R11" s="176">
        <v>31</v>
      </c>
      <c r="S11" s="178">
        <v>31</v>
      </c>
      <c r="T11" s="179">
        <f>$N$11*($O$11+$P$11)/$Q$11*$R$11/$S$11</f>
        <v>3376.9999993320221</v>
      </c>
      <c r="U11" s="186">
        <f>$U$10+$T$11</f>
        <v>23421.129027625317</v>
      </c>
    </row>
    <row r="12" spans="1:21" ht="16.5" thickBot="1" x14ac:dyDescent="0.3">
      <c r="A12" s="544" t="s">
        <v>204</v>
      </c>
      <c r="B12" s="545"/>
      <c r="C12" s="545"/>
      <c r="D12" s="545"/>
      <c r="E12" s="545"/>
      <c r="F12" s="546"/>
      <c r="H12" s="125" t="s">
        <v>271</v>
      </c>
      <c r="I12" s="120"/>
      <c r="J12" s="126">
        <f>J11*J8/J9</f>
        <v>0</v>
      </c>
      <c r="M12" s="174" t="s">
        <v>329</v>
      </c>
      <c r="N12" s="175">
        <v>3377</v>
      </c>
      <c r="O12" s="176">
        <v>151.66666667000001</v>
      </c>
      <c r="P12" s="176">
        <v>0</v>
      </c>
      <c r="Q12" s="177">
        <v>151.66666670000001</v>
      </c>
      <c r="R12" s="176">
        <v>31</v>
      </c>
      <c r="S12" s="178">
        <v>31</v>
      </c>
      <c r="T12" s="179">
        <f>$N$12*($O$12+$P$12)/$Q$12*$R$12/$S$12</f>
        <v>3376.9999993320221</v>
      </c>
      <c r="U12" s="186">
        <f>$U$11+$T$12</f>
        <v>26798.12902695734</v>
      </c>
    </row>
    <row r="13" spans="1:21" ht="16.5" thickBot="1" x14ac:dyDescent="0.3">
      <c r="A13" s="40"/>
      <c r="B13" s="69" t="s">
        <v>203</v>
      </c>
      <c r="C13" s="76" t="s">
        <v>11</v>
      </c>
      <c r="D13" s="76" t="s">
        <v>12</v>
      </c>
      <c r="E13" s="71" t="s">
        <v>9</v>
      </c>
      <c r="F13" s="71" t="s">
        <v>10</v>
      </c>
      <c r="M13" s="174" t="s">
        <v>330</v>
      </c>
      <c r="N13" s="175">
        <v>3377</v>
      </c>
      <c r="O13" s="176">
        <v>151.66666667000001</v>
      </c>
      <c r="P13" s="176">
        <v>0</v>
      </c>
      <c r="Q13" s="177">
        <v>151.66666670000001</v>
      </c>
      <c r="R13" s="176">
        <v>30</v>
      </c>
      <c r="S13" s="178">
        <v>30</v>
      </c>
      <c r="T13" s="179">
        <f>N$13*($O$13+$P$13)/$Q$13*$R$13/$S$13</f>
        <v>3376.9999993320221</v>
      </c>
      <c r="U13" s="186">
        <f>$U$12+$T$13</f>
        <v>30175.129026289364</v>
      </c>
    </row>
    <row r="14" spans="1:21" ht="16.5" thickBot="1" x14ac:dyDescent="0.3">
      <c r="A14" s="67" t="s">
        <v>198</v>
      </c>
      <c r="B14" s="9"/>
      <c r="C14" s="77"/>
      <c r="D14" s="77"/>
      <c r="E14" s="72"/>
      <c r="F14" s="72"/>
      <c r="H14" s="561" t="s">
        <v>384</v>
      </c>
      <c r="I14" s="561"/>
      <c r="J14" s="561"/>
      <c r="M14" s="174" t="s">
        <v>331</v>
      </c>
      <c r="N14" s="175">
        <v>3377</v>
      </c>
      <c r="O14" s="176">
        <v>151.66666667000001</v>
      </c>
      <c r="P14" s="176">
        <v>0</v>
      </c>
      <c r="Q14" s="177">
        <v>151.66666670000001</v>
      </c>
      <c r="R14" s="176">
        <v>29</v>
      </c>
      <c r="S14" s="178">
        <v>31</v>
      </c>
      <c r="T14" s="179">
        <f>$N$14*($O$14+$P$14)/$Q$14*$R$14/$S$14</f>
        <v>3159.129031633182</v>
      </c>
      <c r="U14" s="186">
        <f>$U$13+$T$14</f>
        <v>33334.258057922547</v>
      </c>
    </row>
    <row r="15" spans="1:21" ht="15.75" x14ac:dyDescent="0.25">
      <c r="A15" s="68" t="s">
        <v>199</v>
      </c>
      <c r="B15" s="10"/>
      <c r="C15" s="78"/>
      <c r="D15" s="78"/>
      <c r="E15" s="73"/>
      <c r="F15" s="73"/>
      <c r="H15" s="562" t="s">
        <v>123</v>
      </c>
      <c r="I15" s="562"/>
      <c r="J15" s="45">
        <v>22</v>
      </c>
      <c r="M15" s="174" t="s">
        <v>332</v>
      </c>
      <c r="N15" s="175">
        <v>3377</v>
      </c>
      <c r="O15" s="176">
        <v>151.66666667000001</v>
      </c>
      <c r="P15" s="176">
        <v>0</v>
      </c>
      <c r="Q15" s="177">
        <v>151.66666670000001</v>
      </c>
      <c r="R15" s="176">
        <v>30</v>
      </c>
      <c r="S15" s="178">
        <v>30</v>
      </c>
      <c r="T15" s="179">
        <f>$N$15*($O$15+$P$15)/$Q$15*$R$15/$S$15</f>
        <v>3376.9999993320221</v>
      </c>
      <c r="U15" s="186">
        <f>$U$14+$T$15</f>
        <v>36711.25805725457</v>
      </c>
    </row>
    <row r="16" spans="1:21" ht="16.5" thickBot="1" x14ac:dyDescent="0.3">
      <c r="A16" s="68" t="s">
        <v>200</v>
      </c>
      <c r="B16" s="10"/>
      <c r="C16" s="78"/>
      <c r="D16" s="78"/>
      <c r="E16" s="73"/>
      <c r="F16" s="73"/>
      <c r="H16" s="557" t="s">
        <v>125</v>
      </c>
      <c r="I16" s="557"/>
      <c r="J16" s="41">
        <v>1.0999999999999999E-2</v>
      </c>
      <c r="M16" s="188" t="s">
        <v>333</v>
      </c>
      <c r="N16" s="189">
        <v>3377</v>
      </c>
      <c r="O16" s="190">
        <v>151.66666667000001</v>
      </c>
      <c r="P16" s="190">
        <v>0</v>
      </c>
      <c r="Q16" s="191">
        <v>151.66666670000001</v>
      </c>
      <c r="R16" s="190">
        <v>31</v>
      </c>
      <c r="S16" s="192">
        <v>31</v>
      </c>
      <c r="T16" s="193">
        <f>$N$16*($O$16+$P$16)/$Q$16*$R$16/$S$16</f>
        <v>3376.9999993320221</v>
      </c>
      <c r="U16" s="194">
        <f>$U$15+$T$16</f>
        <v>40088.258056586594</v>
      </c>
    </row>
    <row r="17" spans="1:21" ht="16.5" thickTop="1" thickBot="1" x14ac:dyDescent="0.3">
      <c r="A17" s="68" t="s">
        <v>201</v>
      </c>
      <c r="B17" s="10"/>
      <c r="C17" s="78"/>
      <c r="D17" s="78"/>
      <c r="E17" s="73"/>
      <c r="F17" s="73"/>
      <c r="H17" s="564" t="s">
        <v>127</v>
      </c>
      <c r="I17" s="564"/>
      <c r="J17" s="41">
        <v>0.02</v>
      </c>
    </row>
    <row r="18" spans="1:21" ht="17.25" thickTop="1" thickBot="1" x14ac:dyDescent="0.3">
      <c r="A18" s="70" t="s">
        <v>202</v>
      </c>
      <c r="B18" s="11"/>
      <c r="C18" s="79"/>
      <c r="D18" s="79"/>
      <c r="E18" s="74"/>
      <c r="F18" s="74"/>
      <c r="H18" s="563" t="s">
        <v>128</v>
      </c>
      <c r="I18" s="563"/>
      <c r="J18" s="42">
        <f>IF($J$15&gt;=11,$J$17,0)</f>
        <v>0.02</v>
      </c>
      <c r="M18" s="460" t="s">
        <v>307</v>
      </c>
      <c r="N18" s="461"/>
      <c r="O18" s="462" t="s">
        <v>308</v>
      </c>
      <c r="P18" s="462"/>
      <c r="Q18" s="462"/>
      <c r="R18" s="172"/>
      <c r="S18" s="172"/>
      <c r="T18" s="172"/>
      <c r="U18" s="173"/>
    </row>
    <row r="19" spans="1:21" ht="16.5" thickTop="1" thickBot="1" x14ac:dyDescent="0.3">
      <c r="A19" s="69" t="s">
        <v>7</v>
      </c>
      <c r="B19" s="81"/>
      <c r="C19" s="80">
        <f>SUM(C14:C18)</f>
        <v>0</v>
      </c>
      <c r="D19" s="80">
        <f>SUM(D14:D18)</f>
        <v>0</v>
      </c>
      <c r="E19" s="75">
        <f>SUM(E14:E18)</f>
        <v>0</v>
      </c>
      <c r="F19" s="75">
        <f>SUM(F14:F18)</f>
        <v>0</v>
      </c>
      <c r="H19" s="557" t="s">
        <v>147</v>
      </c>
      <c r="I19" s="557"/>
      <c r="J19" s="43">
        <f>IF($J$15&lt;20,'Données Sociales'!$G$10,'Données Sociales'!$G$11)</f>
        <v>5.0000000000000001E-3</v>
      </c>
      <c r="M19" s="463" t="s">
        <v>352</v>
      </c>
      <c r="N19" s="464"/>
      <c r="O19" s="464"/>
      <c r="P19" s="464"/>
      <c r="Q19" s="464"/>
      <c r="R19" s="464"/>
      <c r="S19" s="464"/>
      <c r="T19" s="464"/>
      <c r="U19" s="465"/>
    </row>
    <row r="20" spans="1:21" ht="16.5" thickTop="1" thickBot="1" x14ac:dyDescent="0.3">
      <c r="H20" s="557" t="s">
        <v>148</v>
      </c>
      <c r="I20" s="557"/>
      <c r="J20" s="44">
        <f>IF($J$15&gt;=20,'Données Sociales'!$G$32,0)</f>
        <v>4.4999999999999997E-3</v>
      </c>
      <c r="M20" s="422" t="s">
        <v>310</v>
      </c>
      <c r="N20" s="452" t="s">
        <v>312</v>
      </c>
      <c r="O20" s="452" t="s">
        <v>318</v>
      </c>
      <c r="P20" s="452" t="s">
        <v>319</v>
      </c>
      <c r="Q20" s="448" t="s">
        <v>320</v>
      </c>
      <c r="R20" s="452" t="s">
        <v>321</v>
      </c>
      <c r="S20" s="452" t="s">
        <v>320</v>
      </c>
      <c r="T20" s="448" t="s">
        <v>255</v>
      </c>
      <c r="U20" s="450" t="s">
        <v>387</v>
      </c>
    </row>
    <row r="21" spans="1:21" x14ac:dyDescent="0.25">
      <c r="A21" s="534" t="s">
        <v>194</v>
      </c>
      <c r="B21" s="535"/>
      <c r="C21" s="163">
        <f>IF(C10=0,C5*1.25,C10*1.25)</f>
        <v>30.494505494505496</v>
      </c>
      <c r="D21" s="533" t="s">
        <v>192</v>
      </c>
      <c r="E21" s="533"/>
      <c r="F21" s="165">
        <f>IF($C$10=0,$C$5*1.1,$C$10*1.1)</f>
        <v>26.835164835164839</v>
      </c>
      <c r="H21" s="557" t="s">
        <v>130</v>
      </c>
      <c r="I21" s="557"/>
      <c r="J21" s="44">
        <f>IF($J$15&lt;=10,'Données Sociales'!$G$30,'Données Sociales'!$G$29)</f>
        <v>0.01</v>
      </c>
      <c r="M21" s="423"/>
      <c r="N21" s="453"/>
      <c r="O21" s="453"/>
      <c r="P21" s="453"/>
      <c r="Q21" s="449"/>
      <c r="R21" s="453"/>
      <c r="S21" s="453"/>
      <c r="T21" s="449"/>
      <c r="U21" s="451"/>
    </row>
    <row r="22" spans="1:21" ht="15.75" x14ac:dyDescent="0.25">
      <c r="A22" s="525" t="s">
        <v>140</v>
      </c>
      <c r="B22" s="526"/>
      <c r="C22" s="97">
        <f>C21*C19</f>
        <v>0</v>
      </c>
      <c r="D22" s="532" t="s">
        <v>138</v>
      </c>
      <c r="E22" s="532"/>
      <c r="F22" s="99">
        <f>F21*E19</f>
        <v>0</v>
      </c>
      <c r="H22" s="558" t="s">
        <v>151</v>
      </c>
      <c r="I22" s="559"/>
      <c r="J22" s="44">
        <v>0</v>
      </c>
      <c r="M22" s="181" t="s">
        <v>322</v>
      </c>
      <c r="N22" s="176">
        <v>151.66666667000001</v>
      </c>
      <c r="O22" s="182">
        <v>3378</v>
      </c>
      <c r="P22" s="176">
        <v>3700</v>
      </c>
      <c r="Q22" s="177">
        <v>10.029999999999999</v>
      </c>
      <c r="R22" s="176">
        <v>0</v>
      </c>
      <c r="S22" s="177">
        <v>10.029999999999999</v>
      </c>
      <c r="T22" s="183">
        <f>$N$22*($O$22/$P$22)*$Q$22+($R$22*$S$22)</f>
        <v>1388.8297027332264</v>
      </c>
      <c r="U22" s="184">
        <f>$T$22</f>
        <v>1388.8297027332264</v>
      </c>
    </row>
    <row r="23" spans="1:21" ht="15.75" x14ac:dyDescent="0.25">
      <c r="A23" s="523" t="s">
        <v>195</v>
      </c>
      <c r="B23" s="524"/>
      <c r="C23" s="164">
        <f>IF($C$10=0,$C$5*1.5,$C$10*1.5)</f>
        <v>36.593406593406598</v>
      </c>
      <c r="D23" s="548" t="s">
        <v>193</v>
      </c>
      <c r="E23" s="549"/>
      <c r="F23" s="166">
        <f>IF($C$10=0,$C$5*1.25,$C$10*1.25)</f>
        <v>30.494505494505496</v>
      </c>
      <c r="H23" s="557" t="s">
        <v>131</v>
      </c>
      <c r="I23" s="557"/>
      <c r="J23" s="44">
        <f>IF($J$15&gt;=11,'Données Sociales'!$G$16,0)</f>
        <v>0.08</v>
      </c>
      <c r="M23" s="181" t="s">
        <v>323</v>
      </c>
      <c r="N23" s="176">
        <v>151.66666667000001</v>
      </c>
      <c r="O23" s="182">
        <v>3700</v>
      </c>
      <c r="P23" s="176">
        <v>3700</v>
      </c>
      <c r="Q23" s="177">
        <v>10.029999999999999</v>
      </c>
      <c r="R23" s="176">
        <v>0</v>
      </c>
      <c r="S23" s="177">
        <v>10.029999999999999</v>
      </c>
      <c r="T23" s="183">
        <f>$N$23*($O$23/$P$23)*$Q$23+($R$23*$S$23)</f>
        <v>1521.2166667000999</v>
      </c>
      <c r="U23" s="187">
        <f>$U$22+$T$23</f>
        <v>2910.0463694333266</v>
      </c>
    </row>
    <row r="24" spans="1:21" ht="16.5" thickBot="1" x14ac:dyDescent="0.3">
      <c r="A24" s="521" t="s">
        <v>141</v>
      </c>
      <c r="B24" s="522"/>
      <c r="C24" s="96">
        <f>C23*D19</f>
        <v>0</v>
      </c>
      <c r="D24" s="547" t="s">
        <v>139</v>
      </c>
      <c r="E24" s="547"/>
      <c r="F24" s="100">
        <f>F23*F19</f>
        <v>0</v>
      </c>
      <c r="H24" s="560" t="s">
        <v>132</v>
      </c>
      <c r="I24" s="560"/>
      <c r="J24" s="105">
        <f>IF($J$15&lt;20,0.2809,0.2849)</f>
        <v>0.28489999999999999</v>
      </c>
      <c r="K24" s="105">
        <v>0</v>
      </c>
      <c r="M24" s="181" t="s">
        <v>324</v>
      </c>
      <c r="N24" s="176">
        <v>151.66666667000001</v>
      </c>
      <c r="O24" s="182">
        <v>3700</v>
      </c>
      <c r="P24" s="176">
        <v>3700</v>
      </c>
      <c r="Q24" s="177">
        <v>10.029999999999999</v>
      </c>
      <c r="R24" s="176">
        <v>0</v>
      </c>
      <c r="S24" s="177">
        <v>10.029999999999999</v>
      </c>
      <c r="T24" s="183">
        <f>$N$24*($O$24/$P$24)*$Q$24+($R$24*$S$24)</f>
        <v>1521.2166667000999</v>
      </c>
      <c r="U24" s="187">
        <f>$U$23+$T$24</f>
        <v>4431.2630361334268</v>
      </c>
    </row>
    <row r="25" spans="1:21" ht="16.5" thickBot="1" x14ac:dyDescent="0.3">
      <c r="A25" s="503" t="s">
        <v>210</v>
      </c>
      <c r="B25" s="504"/>
      <c r="C25" s="504"/>
      <c r="D25" s="504"/>
      <c r="E25" s="505"/>
      <c r="F25" s="159">
        <f>F22+F24+C22+C24</f>
        <v>0</v>
      </c>
      <c r="M25" s="181" t="s">
        <v>325</v>
      </c>
      <c r="N25" s="176">
        <v>151.66666667000001</v>
      </c>
      <c r="O25" s="182">
        <v>3700</v>
      </c>
      <c r="P25" s="176">
        <v>3700</v>
      </c>
      <c r="Q25" s="177">
        <v>10.029999999999999</v>
      </c>
      <c r="R25" s="176">
        <v>0</v>
      </c>
      <c r="S25" s="177">
        <v>10.029999999999999</v>
      </c>
      <c r="T25" s="183">
        <f>$N$25*($O$25/$P$25)*$Q$25+($R$25*$S$25)</f>
        <v>1521.2166667000999</v>
      </c>
      <c r="U25" s="187">
        <f>$U$24+$T$25</f>
        <v>5952.479702833527</v>
      </c>
    </row>
    <row r="26" spans="1:21" ht="16.5" thickBot="1" x14ac:dyDescent="0.3">
      <c r="H26" s="506" t="s">
        <v>303</v>
      </c>
      <c r="I26" s="506"/>
      <c r="J26" s="506"/>
      <c r="K26" s="148" t="s">
        <v>79</v>
      </c>
      <c r="M26" s="181" t="s">
        <v>326</v>
      </c>
      <c r="N26" s="176">
        <v>151.66666667000001</v>
      </c>
      <c r="O26" s="182">
        <v>3700</v>
      </c>
      <c r="P26" s="176">
        <v>3700</v>
      </c>
      <c r="Q26" s="177">
        <v>10.029999999999999</v>
      </c>
      <c r="R26" s="176">
        <v>0</v>
      </c>
      <c r="S26" s="177">
        <v>10.029999999999999</v>
      </c>
      <c r="T26" s="183">
        <f>$N$26*($O$26/$P$26)*$Q$26+($R$26*$S$26)</f>
        <v>1521.2166667000999</v>
      </c>
      <c r="U26" s="187">
        <f>$U$25+$T$26</f>
        <v>7473.6963695336271</v>
      </c>
    </row>
    <row r="27" spans="1:21" ht="16.5" thickBot="1" x14ac:dyDescent="0.3">
      <c r="A27" s="515" t="s">
        <v>186</v>
      </c>
      <c r="B27" s="516"/>
      <c r="C27" s="61" t="s">
        <v>77</v>
      </c>
      <c r="D27" s="62" t="s">
        <v>120</v>
      </c>
      <c r="E27" s="63" t="s">
        <v>121</v>
      </c>
      <c r="H27" s="506"/>
      <c r="I27" s="506"/>
      <c r="J27" s="506"/>
      <c r="K27" s="255">
        <f>$E$49</f>
        <v>0</v>
      </c>
      <c r="M27" s="181" t="s">
        <v>327</v>
      </c>
      <c r="N27" s="176">
        <v>151.66666667000001</v>
      </c>
      <c r="O27" s="182">
        <v>3700</v>
      </c>
      <c r="P27" s="176">
        <v>3700</v>
      </c>
      <c r="Q27" s="177">
        <v>10.029999999999999</v>
      </c>
      <c r="R27" s="176">
        <v>0</v>
      </c>
      <c r="S27" s="177">
        <v>10.029999999999999</v>
      </c>
      <c r="T27" s="183">
        <f>$N$27*($O$27/$P$27)*$Q$27+($R$27*$S$27)</f>
        <v>1521.2166667000999</v>
      </c>
      <c r="U27" s="187">
        <f>$U$26+$T$27</f>
        <v>8994.9130362337273</v>
      </c>
    </row>
    <row r="28" spans="1:21" ht="15.75" x14ac:dyDescent="0.25">
      <c r="A28" s="513" t="s">
        <v>122</v>
      </c>
      <c r="B28" s="514"/>
      <c r="C28" s="128">
        <v>90</v>
      </c>
      <c r="D28" s="168">
        <v>0.5</v>
      </c>
      <c r="E28" s="169">
        <v>0.5</v>
      </c>
      <c r="H28" s="498" t="s">
        <v>217</v>
      </c>
      <c r="I28" s="107" t="s">
        <v>218</v>
      </c>
      <c r="J28" s="107" t="s">
        <v>78</v>
      </c>
      <c r="K28" s="107" t="s">
        <v>79</v>
      </c>
      <c r="M28" s="181" t="s">
        <v>328</v>
      </c>
      <c r="N28" s="176">
        <v>151.66666667000001</v>
      </c>
      <c r="O28" s="182">
        <v>3700</v>
      </c>
      <c r="P28" s="176">
        <v>3700</v>
      </c>
      <c r="Q28" s="177">
        <v>10.029999999999999</v>
      </c>
      <c r="R28" s="176">
        <v>0</v>
      </c>
      <c r="S28" s="177">
        <v>10.029999999999999</v>
      </c>
      <c r="T28" s="183">
        <f>$N$28*($O$28/$P$28)*$Q$28+($R$28*$S$28)</f>
        <v>1521.2166667000999</v>
      </c>
      <c r="U28" s="187">
        <f>$U$27+$T$28</f>
        <v>10516.129702933828</v>
      </c>
    </row>
    <row r="29" spans="1:21" ht="16.5" thickBot="1" x14ac:dyDescent="0.3">
      <c r="A29" s="509" t="s">
        <v>232</v>
      </c>
      <c r="B29" s="510"/>
      <c r="C29" s="90"/>
      <c r="D29" s="152">
        <f>$C$28*$D$28</f>
        <v>45</v>
      </c>
      <c r="E29" s="153">
        <f>$C$28*$E$28</f>
        <v>45</v>
      </c>
      <c r="H29" s="499"/>
      <c r="I29" s="105">
        <f>C19+D19+E19+F19</f>
        <v>0</v>
      </c>
      <c r="J29" s="106">
        <v>1.5</v>
      </c>
      <c r="K29" s="254">
        <f>IF(Calculs!J15&gt;20,0,$I$29*$J$29)</f>
        <v>0</v>
      </c>
      <c r="M29" s="181" t="s">
        <v>329</v>
      </c>
      <c r="N29" s="176">
        <v>151.66666667000001</v>
      </c>
      <c r="O29" s="182">
        <v>3700</v>
      </c>
      <c r="P29" s="176">
        <v>3700</v>
      </c>
      <c r="Q29" s="177">
        <v>10.029999999999999</v>
      </c>
      <c r="R29" s="176">
        <v>0</v>
      </c>
      <c r="S29" s="177">
        <v>10.029999999999999</v>
      </c>
      <c r="T29" s="183">
        <f>$N$29*($O$29/$P$29)*$Q$29+($R$29*$S$29)</f>
        <v>1521.2166667000999</v>
      </c>
      <c r="U29" s="187">
        <f>$U$28+$T$29</f>
        <v>12037.346369633928</v>
      </c>
    </row>
    <row r="30" spans="1:21" ht="16.5" thickBot="1" x14ac:dyDescent="0.3">
      <c r="A30" s="517" t="s">
        <v>124</v>
      </c>
      <c r="B30" s="518"/>
      <c r="C30" s="128">
        <f>'Bulletin de Paie'!G24</f>
        <v>2586.14</v>
      </c>
      <c r="D30" s="52">
        <v>0</v>
      </c>
      <c r="E30" s="53">
        <v>1.4999999999999999E-2</v>
      </c>
      <c r="H30" s="507" t="s">
        <v>304</v>
      </c>
      <c r="I30" s="508"/>
      <c r="J30" s="508"/>
      <c r="K30" s="253">
        <f>($K$27+$K$29)</f>
        <v>0</v>
      </c>
      <c r="M30" s="181" t="s">
        <v>330</v>
      </c>
      <c r="N30" s="176">
        <v>151.66666667000001</v>
      </c>
      <c r="O30" s="182">
        <v>3700</v>
      </c>
      <c r="P30" s="176">
        <v>3700</v>
      </c>
      <c r="Q30" s="177">
        <v>10.029999999999999</v>
      </c>
      <c r="R30" s="176">
        <v>0</v>
      </c>
      <c r="S30" s="177">
        <v>10.029999999999999</v>
      </c>
      <c r="T30" s="183">
        <f>$N$30*($O$30/$P$30)*$Q$30+($R$30*$S$30)</f>
        <v>1521.2166667000999</v>
      </c>
      <c r="U30" s="187">
        <f>$U$29+$T$30</f>
        <v>13558.563036334028</v>
      </c>
    </row>
    <row r="31" spans="1:21" ht="16.5" thickBot="1" x14ac:dyDescent="0.3">
      <c r="A31" s="509" t="s">
        <v>187</v>
      </c>
      <c r="B31" s="510"/>
      <c r="C31" s="167"/>
      <c r="D31" s="154">
        <f>C30*D30</f>
        <v>0</v>
      </c>
      <c r="E31" s="155">
        <f>C30*E30</f>
        <v>38.792099999999998</v>
      </c>
      <c r="M31" s="181" t="s">
        <v>331</v>
      </c>
      <c r="N31" s="176">
        <v>151.66666667000001</v>
      </c>
      <c r="O31" s="182">
        <v>3700</v>
      </c>
      <c r="P31" s="176">
        <v>3700</v>
      </c>
      <c r="Q31" s="177">
        <v>10.029999999999999</v>
      </c>
      <c r="R31" s="176">
        <v>0</v>
      </c>
      <c r="S31" s="177">
        <v>10.029999999999999</v>
      </c>
      <c r="T31" s="183">
        <f>$N$31*($O$31/$P$31)*$Q$31+($R$31*$S$31)</f>
        <v>1521.2166667000999</v>
      </c>
      <c r="U31" s="187">
        <f>$U$30+$T$31</f>
        <v>15079.779703034128</v>
      </c>
    </row>
    <row r="32" spans="1:21" ht="16.5" thickBot="1" x14ac:dyDescent="0.3">
      <c r="A32" s="511" t="s">
        <v>126</v>
      </c>
      <c r="B32" s="512"/>
      <c r="C32" s="49">
        <v>0</v>
      </c>
      <c r="D32" s="50">
        <v>7.0000000000000001E-3</v>
      </c>
      <c r="E32" s="51">
        <v>8.9999999999999993E-3</v>
      </c>
      <c r="H32" s="496" t="s">
        <v>143</v>
      </c>
      <c r="I32" s="86" t="s">
        <v>77</v>
      </c>
      <c r="J32" s="87" t="s">
        <v>78</v>
      </c>
      <c r="K32" s="88" t="s">
        <v>79</v>
      </c>
      <c r="M32" s="181" t="s">
        <v>332</v>
      </c>
      <c r="N32" s="176">
        <v>151.66666667000001</v>
      </c>
      <c r="O32" s="182">
        <v>3700</v>
      </c>
      <c r="P32" s="176">
        <v>3700</v>
      </c>
      <c r="Q32" s="177">
        <v>10.029999999999999</v>
      </c>
      <c r="R32" s="176">
        <v>0</v>
      </c>
      <c r="S32" s="177">
        <v>10.029999999999999</v>
      </c>
      <c r="T32" s="183">
        <f>$N$32*($O$32/$P$32)*$Q$32+($R$32*$S$32)</f>
        <v>1521.2166667000999</v>
      </c>
      <c r="U32" s="187">
        <f>$U$31+$T$32</f>
        <v>16600.996369734228</v>
      </c>
    </row>
    <row r="33" spans="1:21" ht="16.5" thickBot="1" x14ac:dyDescent="0.3">
      <c r="A33" s="509" t="s">
        <v>188</v>
      </c>
      <c r="B33" s="510"/>
      <c r="C33" s="91"/>
      <c r="D33" s="156">
        <f>C32*D32</f>
        <v>0</v>
      </c>
      <c r="E33" s="157">
        <f>C32*E32</f>
        <v>0</v>
      </c>
      <c r="H33" s="497"/>
      <c r="I33" s="94">
        <f>C4+F25</f>
        <v>3700</v>
      </c>
      <c r="J33" s="101">
        <v>0</v>
      </c>
      <c r="K33" s="251">
        <f>I33*J33</f>
        <v>0</v>
      </c>
      <c r="M33" s="195" t="s">
        <v>333</v>
      </c>
      <c r="N33" s="190">
        <v>151.66666667000001</v>
      </c>
      <c r="O33" s="182">
        <v>3700</v>
      </c>
      <c r="P33" s="176">
        <v>3700</v>
      </c>
      <c r="Q33" s="177">
        <v>10.029999999999999</v>
      </c>
      <c r="R33" s="176">
        <v>0</v>
      </c>
      <c r="S33" s="177">
        <v>10.029999999999999</v>
      </c>
      <c r="T33" s="183">
        <f>$N$33*($O$33/$P$33)*$Q$33+($R$33*$S$33)</f>
        <v>1521.2166667000999</v>
      </c>
      <c r="U33" s="187">
        <f>$U$32+$T$33</f>
        <v>18122.213036434328</v>
      </c>
    </row>
    <row r="34" spans="1:21" ht="15.75" thickBot="1" x14ac:dyDescent="0.3"/>
    <row r="35" spans="1:21" ht="16.5" thickBot="1" x14ac:dyDescent="0.3">
      <c r="A35" s="268" t="s">
        <v>219</v>
      </c>
      <c r="B35" s="268"/>
      <c r="C35" s="268" t="s">
        <v>2</v>
      </c>
      <c r="D35" s="268"/>
      <c r="E35" s="268" t="s">
        <v>1</v>
      </c>
      <c r="F35" s="268"/>
      <c r="N35" s="424" t="s">
        <v>179</v>
      </c>
      <c r="O35" s="424"/>
      <c r="P35" s="424"/>
      <c r="Q35" s="424"/>
      <c r="R35" s="424"/>
      <c r="S35" s="424"/>
      <c r="T35" s="424"/>
      <c r="U35" s="424"/>
    </row>
    <row r="36" spans="1:21" ht="16.5" customHeight="1" thickBot="1" x14ac:dyDescent="0.3">
      <c r="A36" s="520" t="s">
        <v>5</v>
      </c>
      <c r="B36" s="520"/>
      <c r="C36" s="478">
        <v>3700</v>
      </c>
      <c r="D36" s="478"/>
      <c r="E36" s="478">
        <f>'Bulletin de Paie'!$G$24</f>
        <v>2586.14</v>
      </c>
      <c r="F36" s="478"/>
    </row>
    <row r="37" spans="1:21" ht="16.5" thickBot="1" x14ac:dyDescent="0.3">
      <c r="A37" s="468" t="s">
        <v>221</v>
      </c>
      <c r="B37" s="468"/>
      <c r="C37" s="469">
        <v>3377</v>
      </c>
      <c r="D37" s="469"/>
      <c r="E37" s="469">
        <v>2589.0300000000002</v>
      </c>
      <c r="F37" s="469"/>
      <c r="H37" s="555" t="s">
        <v>177</v>
      </c>
      <c r="I37" s="556"/>
      <c r="J37" s="555" t="s">
        <v>178</v>
      </c>
      <c r="K37" s="556"/>
      <c r="N37" s="398" t="s">
        <v>144</v>
      </c>
      <c r="O37" s="398"/>
      <c r="P37" s="398"/>
      <c r="Q37" s="409">
        <v>3700</v>
      </c>
      <c r="R37" s="409"/>
      <c r="T37" s="7" t="s">
        <v>185</v>
      </c>
      <c r="U37" s="7">
        <v>35</v>
      </c>
    </row>
    <row r="38" spans="1:21" ht="15.75" x14ac:dyDescent="0.25">
      <c r="A38" s="468" t="s">
        <v>220</v>
      </c>
      <c r="B38" s="468"/>
      <c r="C38" s="469">
        <v>11278</v>
      </c>
      <c r="D38" s="469"/>
      <c r="E38" s="469">
        <f>$C$38+$E$36</f>
        <v>13864.14</v>
      </c>
      <c r="F38" s="469"/>
      <c r="H38" s="551" t="s">
        <v>166</v>
      </c>
      <c r="I38" s="552"/>
      <c r="J38" s="551" t="s">
        <v>155</v>
      </c>
      <c r="K38" s="552"/>
      <c r="N38" s="398" t="s">
        <v>143</v>
      </c>
      <c r="O38" s="398"/>
      <c r="P38" s="398"/>
      <c r="Q38" s="414">
        <f>DATEDIF(Q39,Q43,"y")</f>
        <v>16</v>
      </c>
      <c r="R38" s="414"/>
    </row>
    <row r="39" spans="1:21" ht="15.75" x14ac:dyDescent="0.25">
      <c r="A39" s="468" t="s">
        <v>222</v>
      </c>
      <c r="B39" s="468"/>
      <c r="C39" s="469">
        <f>Calculs!U7</f>
        <v>9913.1290302972266</v>
      </c>
      <c r="D39" s="469"/>
      <c r="E39" s="469">
        <f>$C$39+$E$37</f>
        <v>12502.159030297227</v>
      </c>
      <c r="F39" s="469"/>
      <c r="H39" s="551" t="s">
        <v>167</v>
      </c>
      <c r="I39" s="552"/>
      <c r="J39" s="551" t="s">
        <v>156</v>
      </c>
      <c r="K39" s="552"/>
      <c r="N39" s="398" t="s">
        <v>305</v>
      </c>
      <c r="O39" s="399"/>
      <c r="P39" s="399"/>
      <c r="Q39" s="400">
        <v>37514</v>
      </c>
      <c r="R39" s="400"/>
      <c r="T39" s="401" t="s">
        <v>142</v>
      </c>
      <c r="U39" s="402"/>
    </row>
    <row r="40" spans="1:21" ht="16.5" thickBot="1" x14ac:dyDescent="0.3">
      <c r="A40" s="468" t="s">
        <v>223</v>
      </c>
      <c r="B40" s="468"/>
      <c r="C40" s="469">
        <f>IF($C$38&gt;$C$39,$C$39,$C$38)</f>
        <v>9913.1290302972266</v>
      </c>
      <c r="D40" s="469"/>
      <c r="E40" s="469">
        <f>IF($E$38&gt;$E$39,$E$39,$E$38)</f>
        <v>12502.159030297227</v>
      </c>
      <c r="F40" s="469"/>
      <c r="H40" s="551" t="s">
        <v>168</v>
      </c>
      <c r="I40" s="552"/>
      <c r="J40" s="551" t="s">
        <v>157</v>
      </c>
      <c r="K40" s="552"/>
      <c r="T40" s="396">
        <v>43466</v>
      </c>
      <c r="U40" s="397"/>
    </row>
    <row r="41" spans="1:21" ht="15.75" x14ac:dyDescent="0.25">
      <c r="A41" s="468" t="s">
        <v>224</v>
      </c>
      <c r="B41" s="468"/>
      <c r="C41" s="469">
        <f>IF($C$38&gt;$C$39,$C$38-$C$39,0)</f>
        <v>1364.8709697027734</v>
      </c>
      <c r="D41" s="469"/>
      <c r="E41" s="469">
        <f>IF($E$38&gt;$E$39,$E$38-$E$39,0)</f>
        <v>1361.9809697027722</v>
      </c>
      <c r="F41" s="469"/>
      <c r="H41" s="551" t="s">
        <v>169</v>
      </c>
      <c r="I41" s="552"/>
      <c r="J41" s="551" t="s">
        <v>158</v>
      </c>
      <c r="K41" s="552"/>
      <c r="N41" s="444" t="s">
        <v>234</v>
      </c>
      <c r="O41" s="445"/>
      <c r="P41" s="445"/>
      <c r="Q41" s="445"/>
      <c r="R41" s="446"/>
      <c r="T41" s="396">
        <v>43577</v>
      </c>
      <c r="U41" s="397"/>
    </row>
    <row r="42" spans="1:21" ht="15.75" x14ac:dyDescent="0.25">
      <c r="A42" s="468" t="s">
        <v>225</v>
      </c>
      <c r="B42" s="468"/>
      <c r="C42" s="470"/>
      <c r="D42" s="471"/>
      <c r="E42" s="469">
        <f>$E$40-$C$40</f>
        <v>2589.0300000000007</v>
      </c>
      <c r="F42" s="469"/>
      <c r="H42" s="551" t="s">
        <v>170</v>
      </c>
      <c r="I42" s="552"/>
      <c r="J42" s="551" t="s">
        <v>159</v>
      </c>
      <c r="K42" s="552"/>
      <c r="N42" s="410" t="s">
        <v>180</v>
      </c>
      <c r="O42" s="411"/>
      <c r="P42" s="411"/>
      <c r="Q42" s="415">
        <v>43556</v>
      </c>
      <c r="R42" s="416"/>
      <c r="T42" s="396">
        <v>43586</v>
      </c>
      <c r="U42" s="397"/>
    </row>
    <row r="43" spans="1:21" ht="15.75" x14ac:dyDescent="0.25">
      <c r="A43" s="468" t="s">
        <v>226</v>
      </c>
      <c r="B43" s="468"/>
      <c r="C43" s="470"/>
      <c r="D43" s="471"/>
      <c r="E43" s="469">
        <f>$E$41-$C$41</f>
        <v>-2.8900000000012369</v>
      </c>
      <c r="F43" s="469"/>
      <c r="H43" s="551" t="s">
        <v>171</v>
      </c>
      <c r="I43" s="552"/>
      <c r="J43" s="551" t="s">
        <v>160</v>
      </c>
      <c r="K43" s="552"/>
      <c r="N43" s="410" t="s">
        <v>181</v>
      </c>
      <c r="O43" s="411"/>
      <c r="P43" s="411"/>
      <c r="Q43" s="417">
        <v>43573</v>
      </c>
      <c r="R43" s="418"/>
      <c r="T43" s="396">
        <v>43593</v>
      </c>
      <c r="U43" s="397"/>
    </row>
    <row r="44" spans="1:21" ht="15.75" x14ac:dyDescent="0.25">
      <c r="A44" s="472" t="s">
        <v>255</v>
      </c>
      <c r="B44" s="473"/>
      <c r="C44" s="474">
        <v>1521.22</v>
      </c>
      <c r="D44" s="475"/>
      <c r="E44" s="474">
        <v>1521.22</v>
      </c>
      <c r="F44" s="475"/>
      <c r="H44" s="551" t="s">
        <v>172</v>
      </c>
      <c r="I44" s="552"/>
      <c r="J44" s="551" t="s">
        <v>161</v>
      </c>
      <c r="K44" s="552"/>
      <c r="N44" s="410" t="s">
        <v>182</v>
      </c>
      <c r="O44" s="411"/>
      <c r="P44" s="411"/>
      <c r="Q44" s="417">
        <v>43583</v>
      </c>
      <c r="R44" s="418"/>
      <c r="T44" s="396">
        <v>43615</v>
      </c>
      <c r="U44" s="397"/>
    </row>
    <row r="45" spans="1:21" ht="15.75" x14ac:dyDescent="0.25">
      <c r="A45" s="472" t="s">
        <v>260</v>
      </c>
      <c r="B45" s="473"/>
      <c r="C45" s="474">
        <v>4431.26</v>
      </c>
      <c r="D45" s="475"/>
      <c r="E45" s="474">
        <f>$C$45+$E$44</f>
        <v>5952.4800000000005</v>
      </c>
      <c r="F45" s="475"/>
      <c r="H45" s="551" t="s">
        <v>173</v>
      </c>
      <c r="I45" s="552"/>
      <c r="J45" s="551" t="s">
        <v>162</v>
      </c>
      <c r="K45" s="552"/>
      <c r="N45" s="392" t="s">
        <v>246</v>
      </c>
      <c r="O45" s="393"/>
      <c r="P45" s="393"/>
      <c r="Q45" s="394">
        <f>NETWORKDAYS($Q$42,EDATE($Q$42,1)+1,T40:U50)</f>
        <v>22</v>
      </c>
      <c r="R45" s="395"/>
      <c r="T45" s="396">
        <v>43626</v>
      </c>
      <c r="U45" s="397"/>
    </row>
    <row r="46" spans="1:21" ht="15.75" x14ac:dyDescent="0.25">
      <c r="A46" s="472" t="s">
        <v>256</v>
      </c>
      <c r="B46" s="473"/>
      <c r="C46" s="474">
        <f>1.6*$C$45</f>
        <v>7090.0160000000005</v>
      </c>
      <c r="D46" s="475"/>
      <c r="E46" s="474">
        <f>1.6*$E$45</f>
        <v>9523.9680000000008</v>
      </c>
      <c r="F46" s="475"/>
      <c r="H46" s="551" t="s">
        <v>174</v>
      </c>
      <c r="I46" s="552"/>
      <c r="J46" s="551" t="s">
        <v>163</v>
      </c>
      <c r="K46" s="552"/>
      <c r="N46" s="392" t="s">
        <v>267</v>
      </c>
      <c r="O46" s="393"/>
      <c r="P46" s="393"/>
      <c r="Q46" s="394">
        <f>$Q$45*7</f>
        <v>154</v>
      </c>
      <c r="R46" s="395"/>
      <c r="T46" s="396">
        <v>43660</v>
      </c>
      <c r="U46" s="397"/>
    </row>
    <row r="47" spans="1:21" ht="15.75" x14ac:dyDescent="0.25">
      <c r="A47" s="472" t="s">
        <v>257</v>
      </c>
      <c r="B47" s="473"/>
      <c r="C47" s="476">
        <f>IF($C$46&lt;$C$38,0,IF(Calculs!$K$24=0,Calculs!$J$24/0.6*($C$46/$C$38-1),Calculs!$K$24/0.6*($C$46/$C$38-1)))</f>
        <v>0</v>
      </c>
      <c r="D47" s="477"/>
      <c r="E47" s="476">
        <f>IF($C$46&lt;$C$38,0,IF(Calculs!$K$24=0,Calculs!$J$24/0.6*($E$46/$E$38-1),Calculs!$K$24/0.6*($E$46/$E$38-1)))</f>
        <v>0</v>
      </c>
      <c r="F47" s="477"/>
      <c r="H47" s="551" t="s">
        <v>175</v>
      </c>
      <c r="I47" s="552"/>
      <c r="J47" s="551" t="s">
        <v>164</v>
      </c>
      <c r="K47" s="552"/>
      <c r="N47" s="388" t="s">
        <v>247</v>
      </c>
      <c r="O47" s="389"/>
      <c r="P47" s="389"/>
      <c r="Q47" s="412">
        <f>NETWORKDAYS($Q$43,$Q$44,$T$40:$U$50)</f>
        <v>6</v>
      </c>
      <c r="R47" s="413"/>
      <c r="T47" s="396">
        <v>43692</v>
      </c>
      <c r="U47" s="397"/>
    </row>
    <row r="48" spans="1:21" ht="16.5" thickBot="1" x14ac:dyDescent="0.3">
      <c r="A48" s="472" t="s">
        <v>258</v>
      </c>
      <c r="B48" s="473"/>
      <c r="C48" s="474">
        <f>IF($C$47&lt;0,0,$C$38*$C$47)</f>
        <v>0</v>
      </c>
      <c r="D48" s="475"/>
      <c r="E48" s="474">
        <f>IF($E$47&lt;0,0,$E$38*$E$47)</f>
        <v>0</v>
      </c>
      <c r="F48" s="475"/>
      <c r="H48" s="553" t="s">
        <v>176</v>
      </c>
      <c r="I48" s="554"/>
      <c r="J48" s="553" t="s">
        <v>165</v>
      </c>
      <c r="K48" s="554"/>
      <c r="N48" s="388" t="s">
        <v>184</v>
      </c>
      <c r="O48" s="389"/>
      <c r="P48" s="389"/>
      <c r="Q48" s="412">
        <f>$Q$47*7</f>
        <v>42</v>
      </c>
      <c r="R48" s="413"/>
      <c r="T48" s="396">
        <v>43770</v>
      </c>
      <c r="U48" s="397"/>
    </row>
    <row r="49" spans="1:24" ht="16.5" thickBot="1" x14ac:dyDescent="0.3">
      <c r="A49" s="472" t="s">
        <v>259</v>
      </c>
      <c r="B49" s="473"/>
      <c r="C49" s="470"/>
      <c r="D49" s="471"/>
      <c r="E49" s="474">
        <f>$E$48-$C$48</f>
        <v>0</v>
      </c>
      <c r="F49" s="475"/>
      <c r="N49" s="390" t="s">
        <v>183</v>
      </c>
      <c r="O49" s="391"/>
      <c r="P49" s="391"/>
      <c r="Q49" s="419">
        <f>-(Q37*Q48/Q46)</f>
        <v>-1009.0909090909091</v>
      </c>
      <c r="R49" s="420"/>
      <c r="T49" s="396">
        <v>43780</v>
      </c>
      <c r="U49" s="397"/>
    </row>
    <row r="50" spans="1:24" ht="16.5" thickBot="1" x14ac:dyDescent="0.3">
      <c r="A50" s="472" t="s">
        <v>261</v>
      </c>
      <c r="B50" s="473"/>
      <c r="C50" s="470"/>
      <c r="D50" s="471"/>
      <c r="E50" s="474">
        <f>2.5*$E$44</f>
        <v>3803.05</v>
      </c>
      <c r="F50" s="475"/>
      <c r="H50" s="570" t="s">
        <v>129</v>
      </c>
      <c r="I50" s="571"/>
      <c r="J50" s="64" t="s">
        <v>77</v>
      </c>
      <c r="K50" s="65" t="s">
        <v>78</v>
      </c>
      <c r="L50" s="66" t="s">
        <v>79</v>
      </c>
      <c r="N50" s="410" t="s">
        <v>248</v>
      </c>
      <c r="O50" s="411"/>
      <c r="P50" s="411"/>
      <c r="Q50" s="399">
        <f>$Q$44-$Q$43+1</f>
        <v>11</v>
      </c>
      <c r="R50" s="421"/>
      <c r="T50" s="396">
        <v>43824</v>
      </c>
      <c r="U50" s="397"/>
    </row>
    <row r="51" spans="1:24" ht="15.75" x14ac:dyDescent="0.25">
      <c r="A51" s="472" t="s">
        <v>262</v>
      </c>
      <c r="B51" s="473"/>
      <c r="C51" s="470"/>
      <c r="D51" s="471"/>
      <c r="E51" s="474">
        <f>3.5*$E$44</f>
        <v>5324.27</v>
      </c>
      <c r="F51" s="475"/>
      <c r="H51" s="472" t="s">
        <v>24</v>
      </c>
      <c r="I51" s="473"/>
      <c r="J51" s="108">
        <f>'Bulletin de Paie'!$G$24</f>
        <v>2586.14</v>
      </c>
      <c r="K51" s="2">
        <f>'Données Sociales'!$G$4</f>
        <v>3.0000000000000001E-3</v>
      </c>
      <c r="L51" s="3">
        <f>$J$51*$K$51</f>
        <v>7.7584200000000001</v>
      </c>
      <c r="N51" s="410" t="s">
        <v>249</v>
      </c>
      <c r="O51" s="411"/>
      <c r="P51" s="411"/>
      <c r="Q51" s="399">
        <v>3</v>
      </c>
      <c r="R51" s="421"/>
    </row>
    <row r="52" spans="1:24" ht="16.5" thickBot="1" x14ac:dyDescent="0.3">
      <c r="A52" s="468" t="s">
        <v>227</v>
      </c>
      <c r="B52" s="468"/>
      <c r="C52" s="470"/>
      <c r="D52" s="471"/>
      <c r="E52" s="469">
        <f>($E$36-$F$25)*0.9825+SUM('Bulletin de Paie'!$H$28:$H$30)</f>
        <v>2624.6746499999999</v>
      </c>
      <c r="F52" s="469"/>
      <c r="G52" s="82"/>
      <c r="H52" s="472" t="s">
        <v>229</v>
      </c>
      <c r="I52" s="473"/>
      <c r="J52" s="109">
        <f>'Bulletin de Paie'!$G$24</f>
        <v>2586.14</v>
      </c>
      <c r="K52" s="4">
        <f>'Données Sociales'!$G$13</f>
        <v>1.6000000000000001E-4</v>
      </c>
      <c r="L52" s="1">
        <f>$J$52*$K$52</f>
        <v>0.41378239999999999</v>
      </c>
      <c r="N52" s="427" t="s">
        <v>250</v>
      </c>
      <c r="O52" s="428"/>
      <c r="P52" s="428"/>
      <c r="Q52" s="429">
        <v>7</v>
      </c>
      <c r="R52" s="430"/>
      <c r="T52" s="114"/>
      <c r="U52" s="114"/>
    </row>
    <row r="53" spans="1:24" ht="17.25" customHeight="1" thickBot="1" x14ac:dyDescent="0.3">
      <c r="A53" s="519" t="s">
        <v>228</v>
      </c>
      <c r="B53" s="519"/>
      <c r="C53" s="479"/>
      <c r="D53" s="480"/>
      <c r="E53" s="550">
        <f>SUM('Bulletin de Paie'!$H$28:$H$30)</f>
        <v>83.792100000000005</v>
      </c>
      <c r="F53" s="550"/>
      <c r="H53" s="472" t="s">
        <v>33</v>
      </c>
      <c r="I53" s="473"/>
      <c r="J53" s="109">
        <f>'Bulletin de Paie'!$G$24</f>
        <v>2586.14</v>
      </c>
      <c r="K53" s="4">
        <f>Calculs!$J$19</f>
        <v>5.0000000000000001E-3</v>
      </c>
      <c r="L53" s="1">
        <f>$J$53*$K$53</f>
        <v>12.9307</v>
      </c>
    </row>
    <row r="54" spans="1:24" ht="15.75" x14ac:dyDescent="0.25">
      <c r="H54" s="472" t="s">
        <v>146</v>
      </c>
      <c r="I54" s="473"/>
      <c r="J54" s="109">
        <f>'Bulletin de Paie'!$G$24</f>
        <v>2586.14</v>
      </c>
      <c r="K54" s="4">
        <f>Calculs!$J$18</f>
        <v>0.02</v>
      </c>
      <c r="L54" s="1">
        <f>$J$54*$K$54</f>
        <v>51.722799999999999</v>
      </c>
      <c r="N54" s="437" t="s">
        <v>236</v>
      </c>
      <c r="O54" s="438"/>
      <c r="P54" s="438"/>
      <c r="Q54" s="438"/>
      <c r="R54" s="438"/>
      <c r="S54" s="439"/>
      <c r="U54" s="425" t="s">
        <v>240</v>
      </c>
      <c r="V54" s="426"/>
      <c r="W54" s="426"/>
      <c r="X54" s="117">
        <f>50%*$R$61/91.25</f>
        <v>45.011342465753422</v>
      </c>
    </row>
    <row r="55" spans="1:24" ht="15.75" x14ac:dyDescent="0.25">
      <c r="H55" s="472" t="s">
        <v>230</v>
      </c>
      <c r="I55" s="473"/>
      <c r="J55" s="109">
        <f>'Bulletin de Paie'!$G$24</f>
        <v>2586.14</v>
      </c>
      <c r="K55" s="4">
        <f>Calculs!$J$20</f>
        <v>4.4999999999999997E-3</v>
      </c>
      <c r="L55" s="1">
        <f>$J$55*$K$55</f>
        <v>11.637629999999998</v>
      </c>
      <c r="N55" s="435" t="s">
        <v>237</v>
      </c>
      <c r="O55" s="373"/>
      <c r="P55" s="373"/>
      <c r="Q55" s="373"/>
      <c r="R55" s="373"/>
      <c r="S55" s="436"/>
      <c r="U55" s="425" t="s">
        <v>242</v>
      </c>
      <c r="V55" s="426"/>
      <c r="W55" s="426"/>
      <c r="X55" s="117">
        <f>$X$54*($Q$50-$Q$51)</f>
        <v>360.09073972602738</v>
      </c>
    </row>
    <row r="56" spans="1:24" ht="16.5" thickBot="1" x14ac:dyDescent="0.3">
      <c r="H56" s="472" t="s">
        <v>231</v>
      </c>
      <c r="I56" s="473"/>
      <c r="J56" s="109">
        <f>'Bulletin de Paie'!$G$24</f>
        <v>2586.14</v>
      </c>
      <c r="K56" s="4">
        <f>Calculs!$J$21</f>
        <v>0.01</v>
      </c>
      <c r="L56" s="1">
        <f>$J$56*$K$56</f>
        <v>25.8614</v>
      </c>
      <c r="N56" s="433" t="s">
        <v>238</v>
      </c>
      <c r="O56" s="434"/>
      <c r="P56" s="434"/>
      <c r="Q56" s="434"/>
      <c r="R56" s="115"/>
      <c r="S56" s="113"/>
      <c r="U56" s="425" t="s">
        <v>241</v>
      </c>
      <c r="V56" s="426"/>
      <c r="W56" s="426"/>
      <c r="X56" s="117">
        <f>$X$55*0.933</f>
        <v>335.96466016438359</v>
      </c>
    </row>
    <row r="57" spans="1:24" ht="16.5" thickBot="1" x14ac:dyDescent="0.3">
      <c r="H57" s="568" t="s">
        <v>133</v>
      </c>
      <c r="I57" s="569"/>
      <c r="J57" s="110">
        <f>'Bulletin de Paie'!$H$28+'Bulletin de Paie'!$H$29+'Bulletin de Paie'!$H$30</f>
        <v>83.792100000000005</v>
      </c>
      <c r="K57" s="5">
        <f>Calculs!$J$23</f>
        <v>0.08</v>
      </c>
      <c r="L57" s="6">
        <f>$J$57*$K$57</f>
        <v>6.7033680000000002</v>
      </c>
      <c r="N57" s="447" t="s">
        <v>180</v>
      </c>
      <c r="O57" s="403"/>
      <c r="P57" s="403" t="s">
        <v>5</v>
      </c>
      <c r="Q57" s="403"/>
      <c r="R57" s="405" t="s">
        <v>235</v>
      </c>
      <c r="S57" s="406"/>
      <c r="U57" s="425" t="s">
        <v>253</v>
      </c>
      <c r="V57" s="426"/>
      <c r="W57" s="426"/>
      <c r="X57" s="118">
        <v>0.9</v>
      </c>
    </row>
    <row r="58" spans="1:24" ht="15.75" thickBot="1" x14ac:dyDescent="0.3">
      <c r="H58" s="565" t="s">
        <v>197</v>
      </c>
      <c r="I58" s="566"/>
      <c r="J58" s="566"/>
      <c r="K58" s="567"/>
      <c r="L58" s="127">
        <f>SUM($L$51:$L$57)</f>
        <v>117.0281004</v>
      </c>
      <c r="N58" s="440" t="s">
        <v>243</v>
      </c>
      <c r="O58" s="441"/>
      <c r="P58" s="404">
        <v>3700</v>
      </c>
      <c r="Q58" s="404"/>
      <c r="R58" s="407">
        <f>IF(P58&gt;2738.19,2738.19,P58)</f>
        <v>2738.19</v>
      </c>
      <c r="S58" s="408"/>
      <c r="U58" s="425" t="s">
        <v>251</v>
      </c>
      <c r="V58" s="426"/>
      <c r="W58" s="426"/>
      <c r="X58" s="259">
        <f>IF(Q38&lt;1,0,$X$57*$Q$37*($Q$50-$Q$52)/$Q$45)</f>
        <v>605.4545454545455</v>
      </c>
    </row>
    <row r="59" spans="1:24" x14ac:dyDescent="0.25">
      <c r="N59" s="440" t="s">
        <v>244</v>
      </c>
      <c r="O59" s="441"/>
      <c r="P59" s="404">
        <v>4200</v>
      </c>
      <c r="Q59" s="404"/>
      <c r="R59" s="407">
        <f>IF(P59&gt;2738.19,2738.19,P59)</f>
        <v>2738.19</v>
      </c>
      <c r="S59" s="408"/>
      <c r="U59" s="425" t="s">
        <v>252</v>
      </c>
      <c r="V59" s="426"/>
      <c r="W59" s="426"/>
      <c r="X59" s="260">
        <f>IF(Q38&lt;1,0,-$X$54*($Q$50-$Q$52))</f>
        <v>-180.04536986301369</v>
      </c>
    </row>
    <row r="60" spans="1:24" x14ac:dyDescent="0.25">
      <c r="N60" s="440" t="s">
        <v>245</v>
      </c>
      <c r="O60" s="441"/>
      <c r="P60" s="404">
        <v>3378</v>
      </c>
      <c r="Q60" s="404"/>
      <c r="R60" s="407">
        <f>IF(P60&gt;2738.19,2738.19,P60)</f>
        <v>2738.19</v>
      </c>
      <c r="S60" s="408"/>
      <c r="W60" s="116" t="s">
        <v>5</v>
      </c>
      <c r="X60" s="261">
        <f>$Q$37+$Q$49+$X$58+$X$59</f>
        <v>3116.3182665006229</v>
      </c>
    </row>
    <row r="61" spans="1:24" ht="16.5" thickBot="1" x14ac:dyDescent="0.3">
      <c r="N61" s="442" t="s">
        <v>239</v>
      </c>
      <c r="O61" s="443"/>
      <c r="P61" s="443"/>
      <c r="Q61" s="443"/>
      <c r="R61" s="431">
        <f>SUM(R58:S60)</f>
        <v>8214.57</v>
      </c>
      <c r="S61" s="432"/>
    </row>
    <row r="70" spans="14:21" x14ac:dyDescent="0.25">
      <c r="N70" s="387" t="s">
        <v>254</v>
      </c>
      <c r="O70" s="387"/>
      <c r="P70" s="387"/>
      <c r="Q70" s="387"/>
      <c r="R70" s="387"/>
      <c r="S70" s="387"/>
      <c r="T70" s="387"/>
      <c r="U70" s="387"/>
    </row>
  </sheetData>
  <mergeCells count="231">
    <mergeCell ref="H24:I24"/>
    <mergeCell ref="H14:J14"/>
    <mergeCell ref="H20:I20"/>
    <mergeCell ref="H15:I15"/>
    <mergeCell ref="H16:I16"/>
    <mergeCell ref="H19:I19"/>
    <mergeCell ref="H18:I18"/>
    <mergeCell ref="H17:I17"/>
    <mergeCell ref="H58:K58"/>
    <mergeCell ref="H55:I55"/>
    <mergeCell ref="H56:I56"/>
    <mergeCell ref="H57:I57"/>
    <mergeCell ref="H52:I52"/>
    <mergeCell ref="H53:I53"/>
    <mergeCell ref="H54:I54"/>
    <mergeCell ref="H50:I50"/>
    <mergeCell ref="H51:I51"/>
    <mergeCell ref="J42:K42"/>
    <mergeCell ref="J43:K43"/>
    <mergeCell ref="J47:K47"/>
    <mergeCell ref="J37:K37"/>
    <mergeCell ref="J40:K40"/>
    <mergeCell ref="J39:K39"/>
    <mergeCell ref="J38:K38"/>
    <mergeCell ref="J45:K45"/>
    <mergeCell ref="J48:K48"/>
    <mergeCell ref="J44:K44"/>
    <mergeCell ref="J41:K41"/>
    <mergeCell ref="J46:K46"/>
    <mergeCell ref="H43:I43"/>
    <mergeCell ref="H47:I47"/>
    <mergeCell ref="H45:I45"/>
    <mergeCell ref="H42:I42"/>
    <mergeCell ref="H46:I46"/>
    <mergeCell ref="H48:I48"/>
    <mergeCell ref="H41:I41"/>
    <mergeCell ref="H37:I37"/>
    <mergeCell ref="H38:I38"/>
    <mergeCell ref="H40:I40"/>
    <mergeCell ref="H39:I39"/>
    <mergeCell ref="H44:I44"/>
    <mergeCell ref="A53:B53"/>
    <mergeCell ref="A36:B36"/>
    <mergeCell ref="A24:B24"/>
    <mergeCell ref="A23:B23"/>
    <mergeCell ref="A22:B22"/>
    <mergeCell ref="D4:E4"/>
    <mergeCell ref="D5:E5"/>
    <mergeCell ref="A5:B5"/>
    <mergeCell ref="D22:E22"/>
    <mergeCell ref="D21:E21"/>
    <mergeCell ref="A21:B21"/>
    <mergeCell ref="A8:B8"/>
    <mergeCell ref="A9:B9"/>
    <mergeCell ref="D8:E8"/>
    <mergeCell ref="D9:E9"/>
    <mergeCell ref="A7:F7"/>
    <mergeCell ref="A10:B10"/>
    <mergeCell ref="C10:D10"/>
    <mergeCell ref="A4:B4"/>
    <mergeCell ref="A12:F12"/>
    <mergeCell ref="D24:E24"/>
    <mergeCell ref="D23:E23"/>
    <mergeCell ref="E53:F53"/>
    <mergeCell ref="C35:D35"/>
    <mergeCell ref="A1:F1"/>
    <mergeCell ref="H3:I3"/>
    <mergeCell ref="A3:B3"/>
    <mergeCell ref="A2:B2"/>
    <mergeCell ref="C2:F2"/>
    <mergeCell ref="H5:I5"/>
    <mergeCell ref="C3:F3"/>
    <mergeCell ref="H2:I2"/>
    <mergeCell ref="H32:H33"/>
    <mergeCell ref="H28:H29"/>
    <mergeCell ref="H7:J7"/>
    <mergeCell ref="A25:E25"/>
    <mergeCell ref="H26:J27"/>
    <mergeCell ref="H30:J30"/>
    <mergeCell ref="A31:B31"/>
    <mergeCell ref="A32:B32"/>
    <mergeCell ref="A33:B33"/>
    <mergeCell ref="A28:B28"/>
    <mergeCell ref="A27:B27"/>
    <mergeCell ref="A29:B29"/>
    <mergeCell ref="A30:B30"/>
    <mergeCell ref="H21:I21"/>
    <mergeCell ref="H22:I22"/>
    <mergeCell ref="H23:I23"/>
    <mergeCell ref="C38:D38"/>
    <mergeCell ref="C37:D37"/>
    <mergeCell ref="C39:D39"/>
    <mergeCell ref="C40:D40"/>
    <mergeCell ref="C41:D41"/>
    <mergeCell ref="C52:D52"/>
    <mergeCell ref="C53:D53"/>
    <mergeCell ref="E45:F45"/>
    <mergeCell ref="E46:F46"/>
    <mergeCell ref="C45:D45"/>
    <mergeCell ref="C46:D46"/>
    <mergeCell ref="C47:D47"/>
    <mergeCell ref="C48:D48"/>
    <mergeCell ref="C49:D49"/>
    <mergeCell ref="C50:D50"/>
    <mergeCell ref="C51:D51"/>
    <mergeCell ref="E52:F52"/>
    <mergeCell ref="E35:F35"/>
    <mergeCell ref="E36:F36"/>
    <mergeCell ref="E38:F38"/>
    <mergeCell ref="E37:F37"/>
    <mergeCell ref="E39:F39"/>
    <mergeCell ref="E51:F51"/>
    <mergeCell ref="A48:B48"/>
    <mergeCell ref="A49:B49"/>
    <mergeCell ref="A50:B50"/>
    <mergeCell ref="A51:B51"/>
    <mergeCell ref="E44:F44"/>
    <mergeCell ref="C42:D42"/>
    <mergeCell ref="E43:F43"/>
    <mergeCell ref="A42:B42"/>
    <mergeCell ref="A43:B43"/>
    <mergeCell ref="A41:B41"/>
    <mergeCell ref="A35:B35"/>
    <mergeCell ref="A38:B38"/>
    <mergeCell ref="A37:B37"/>
    <mergeCell ref="A39:B39"/>
    <mergeCell ref="A40:B40"/>
    <mergeCell ref="E40:F40"/>
    <mergeCell ref="E41:F41"/>
    <mergeCell ref="C36:D36"/>
    <mergeCell ref="A52:B52"/>
    <mergeCell ref="E42:F42"/>
    <mergeCell ref="C43:D43"/>
    <mergeCell ref="A44:B44"/>
    <mergeCell ref="C44:D44"/>
    <mergeCell ref="E48:F48"/>
    <mergeCell ref="E49:F49"/>
    <mergeCell ref="E50:F50"/>
    <mergeCell ref="A45:B45"/>
    <mergeCell ref="A46:B46"/>
    <mergeCell ref="A47:B47"/>
    <mergeCell ref="E47:F47"/>
    <mergeCell ref="O1:U1"/>
    <mergeCell ref="M2:U2"/>
    <mergeCell ref="M18:N18"/>
    <mergeCell ref="O18:Q18"/>
    <mergeCell ref="M19:U19"/>
    <mergeCell ref="U3:U4"/>
    <mergeCell ref="T3:T4"/>
    <mergeCell ref="S3:S4"/>
    <mergeCell ref="R3:R4"/>
    <mergeCell ref="O3:O4"/>
    <mergeCell ref="N3:N4"/>
    <mergeCell ref="M3:M4"/>
    <mergeCell ref="P3:P4"/>
    <mergeCell ref="Q3:Q4"/>
    <mergeCell ref="U20:U21"/>
    <mergeCell ref="T20:T21"/>
    <mergeCell ref="S20:S21"/>
    <mergeCell ref="R20:R21"/>
    <mergeCell ref="Q20:Q21"/>
    <mergeCell ref="P20:P21"/>
    <mergeCell ref="O20:O21"/>
    <mergeCell ref="N20:N21"/>
    <mergeCell ref="R61:S61"/>
    <mergeCell ref="N56:Q56"/>
    <mergeCell ref="N55:S55"/>
    <mergeCell ref="N54:S54"/>
    <mergeCell ref="N60:O60"/>
    <mergeCell ref="P60:Q60"/>
    <mergeCell ref="N61:Q61"/>
    <mergeCell ref="R60:S60"/>
    <mergeCell ref="N41:R41"/>
    <mergeCell ref="N57:O57"/>
    <mergeCell ref="N58:O58"/>
    <mergeCell ref="N59:O59"/>
    <mergeCell ref="M20:M21"/>
    <mergeCell ref="N35:U35"/>
    <mergeCell ref="U54:W54"/>
    <mergeCell ref="U55:W55"/>
    <mergeCell ref="U56:W56"/>
    <mergeCell ref="U58:W58"/>
    <mergeCell ref="U59:W59"/>
    <mergeCell ref="U57:W57"/>
    <mergeCell ref="N51:P51"/>
    <mergeCell ref="Q51:R51"/>
    <mergeCell ref="N52:P52"/>
    <mergeCell ref="Q52:R52"/>
    <mergeCell ref="R59:S59"/>
    <mergeCell ref="Q46:R46"/>
    <mergeCell ref="N45:P45"/>
    <mergeCell ref="N37:P37"/>
    <mergeCell ref="Q37:R37"/>
    <mergeCell ref="N50:P50"/>
    <mergeCell ref="Q47:R47"/>
    <mergeCell ref="N38:P38"/>
    <mergeCell ref="Q38:R38"/>
    <mergeCell ref="Q42:R42"/>
    <mergeCell ref="Q43:R43"/>
    <mergeCell ref="Q44:R44"/>
    <mergeCell ref="Q49:R49"/>
    <mergeCell ref="Q50:R50"/>
    <mergeCell ref="N48:P48"/>
    <mergeCell ref="Q48:R48"/>
    <mergeCell ref="N42:P42"/>
    <mergeCell ref="N43:P43"/>
    <mergeCell ref="N44:P44"/>
    <mergeCell ref="N70:U70"/>
    <mergeCell ref="N47:P47"/>
    <mergeCell ref="N49:P49"/>
    <mergeCell ref="N46:P46"/>
    <mergeCell ref="Q45:R45"/>
    <mergeCell ref="T47:U47"/>
    <mergeCell ref="T48:U48"/>
    <mergeCell ref="N39:P39"/>
    <mergeCell ref="Q39:R39"/>
    <mergeCell ref="T49:U49"/>
    <mergeCell ref="T50:U50"/>
    <mergeCell ref="T39:U39"/>
    <mergeCell ref="T40:U40"/>
    <mergeCell ref="T41:U41"/>
    <mergeCell ref="T42:U42"/>
    <mergeCell ref="T43:U43"/>
    <mergeCell ref="T44:U44"/>
    <mergeCell ref="T45:U45"/>
    <mergeCell ref="T46:U46"/>
    <mergeCell ref="P57:Q57"/>
    <mergeCell ref="P58:Q58"/>
    <mergeCell ref="P59:Q59"/>
    <mergeCell ref="R57:S57"/>
    <mergeCell ref="R58:S58"/>
  </mergeCells>
  <phoneticPr fontId="29" type="noConversion"/>
  <dataValidations count="1">
    <dataValidation type="list" allowBlank="1" showInputMessage="1" showErrorMessage="1" sqref="C2:F2" xr:uid="{9DAE0358-182B-4EA5-918B-41FAFC8744D8}">
      <formula1>$G$2:$G$3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49748-C5A2-4042-AC7A-0599398D182E}">
  <dimension ref="A1:F72"/>
  <sheetViews>
    <sheetView workbookViewId="0">
      <selection activeCell="I28" sqref="I28"/>
    </sheetView>
  </sheetViews>
  <sheetFormatPr baseColWidth="10" defaultRowHeight="15" x14ac:dyDescent="0.25"/>
  <cols>
    <col min="1" max="2" width="13.28515625" customWidth="1"/>
  </cols>
  <sheetData>
    <row r="1" spans="1:6" x14ac:dyDescent="0.25">
      <c r="A1" s="237" t="s">
        <v>386</v>
      </c>
      <c r="B1" s="237"/>
      <c r="C1" s="237"/>
    </row>
    <row r="2" spans="1:6" x14ac:dyDescent="0.25">
      <c r="A2" s="237" t="s">
        <v>344</v>
      </c>
      <c r="B2" s="237"/>
      <c r="C2" s="237"/>
    </row>
    <row r="3" spans="1:6" x14ac:dyDescent="0.25">
      <c r="A3" s="237" t="s">
        <v>345</v>
      </c>
      <c r="B3" s="237"/>
      <c r="C3" s="237"/>
    </row>
    <row r="4" spans="1:6" x14ac:dyDescent="0.25">
      <c r="A4" s="237" t="s">
        <v>346</v>
      </c>
      <c r="B4" s="237"/>
      <c r="C4" s="237"/>
    </row>
    <row r="5" spans="1:6" x14ac:dyDescent="0.25">
      <c r="A5" s="237" t="s">
        <v>347</v>
      </c>
      <c r="B5" s="237"/>
      <c r="C5" s="237"/>
    </row>
    <row r="6" spans="1:6" ht="15.75" thickBot="1" x14ac:dyDescent="0.3">
      <c r="A6" s="574" t="s">
        <v>8</v>
      </c>
      <c r="B6" s="574"/>
      <c r="C6" s="239">
        <v>24.395604395604398</v>
      </c>
      <c r="F6" s="98"/>
    </row>
    <row r="7" spans="1:6" x14ac:dyDescent="0.25">
      <c r="A7" s="237"/>
      <c r="B7" s="237"/>
      <c r="C7" s="237"/>
    </row>
    <row r="8" spans="1:6" x14ac:dyDescent="0.25">
      <c r="A8" s="237"/>
      <c r="B8" s="237"/>
      <c r="C8" s="237"/>
    </row>
    <row r="9" spans="1:6" x14ac:dyDescent="0.25">
      <c r="A9" s="237"/>
      <c r="B9" s="237"/>
      <c r="C9" s="237"/>
    </row>
    <row r="10" spans="1:6" x14ac:dyDescent="0.25">
      <c r="A10" s="237"/>
      <c r="B10" s="237"/>
      <c r="C10" s="237"/>
    </row>
    <row r="11" spans="1:6" x14ac:dyDescent="0.25">
      <c r="A11" s="237"/>
      <c r="B11" s="237"/>
      <c r="C11" s="237"/>
    </row>
    <row r="12" spans="1:6" x14ac:dyDescent="0.25">
      <c r="A12" s="237"/>
      <c r="B12" s="237"/>
      <c r="C12" s="237"/>
    </row>
    <row r="13" spans="1:6" x14ac:dyDescent="0.25">
      <c r="A13" s="237"/>
      <c r="B13" s="237"/>
      <c r="C13" s="237"/>
    </row>
    <row r="14" spans="1:6" x14ac:dyDescent="0.25">
      <c r="A14" s="237"/>
      <c r="B14" s="237"/>
      <c r="C14" s="237"/>
    </row>
    <row r="15" spans="1:6" x14ac:dyDescent="0.25">
      <c r="A15" s="237" t="s">
        <v>348</v>
      </c>
      <c r="B15" s="237"/>
      <c r="C15" s="237"/>
    </row>
    <row r="16" spans="1:6" x14ac:dyDescent="0.25">
      <c r="A16" s="237" t="s">
        <v>349</v>
      </c>
      <c r="B16" s="237"/>
      <c r="C16" s="237"/>
    </row>
    <row r="17" spans="1:3" x14ac:dyDescent="0.25">
      <c r="A17" s="237" t="s">
        <v>350</v>
      </c>
      <c r="B17" s="237"/>
      <c r="C17" s="237"/>
    </row>
    <row r="18" spans="1:3" x14ac:dyDescent="0.25">
      <c r="A18" s="237" t="s">
        <v>351</v>
      </c>
      <c r="B18" s="237"/>
      <c r="C18" s="237"/>
    </row>
    <row r="19" spans="1:3" x14ac:dyDescent="0.25">
      <c r="A19" s="237" t="s">
        <v>349</v>
      </c>
      <c r="B19" s="237"/>
      <c r="C19" s="237"/>
    </row>
    <row r="20" spans="1:3" x14ac:dyDescent="0.25">
      <c r="A20" s="237" t="s">
        <v>350</v>
      </c>
      <c r="B20" s="237"/>
      <c r="C20" s="237"/>
    </row>
    <row r="21" spans="1:3" x14ac:dyDescent="0.25">
      <c r="A21" s="237" t="s">
        <v>353</v>
      </c>
      <c r="B21" s="237"/>
      <c r="C21" s="237"/>
    </row>
    <row r="22" spans="1:3" x14ac:dyDescent="0.25">
      <c r="A22" s="237" t="s">
        <v>349</v>
      </c>
      <c r="B22" s="237"/>
      <c r="C22" s="237"/>
    </row>
    <row r="23" spans="1:3" x14ac:dyDescent="0.25">
      <c r="A23" s="237" t="s">
        <v>350</v>
      </c>
      <c r="B23" s="237"/>
      <c r="C23" s="237"/>
    </row>
    <row r="24" spans="1:3" x14ac:dyDescent="0.25">
      <c r="A24" s="237"/>
      <c r="B24" s="237"/>
      <c r="C24" s="237"/>
    </row>
    <row r="25" spans="1:3" x14ac:dyDescent="0.25">
      <c r="A25" s="237"/>
      <c r="B25" s="237"/>
      <c r="C25" s="237"/>
    </row>
    <row r="26" spans="1:3" x14ac:dyDescent="0.25">
      <c r="A26" s="237"/>
      <c r="B26" s="237"/>
      <c r="C26" s="237"/>
    </row>
    <row r="27" spans="1:3" x14ac:dyDescent="0.25">
      <c r="A27" s="237"/>
      <c r="B27" s="237"/>
      <c r="C27" s="237"/>
    </row>
    <row r="28" spans="1:3" x14ac:dyDescent="0.25">
      <c r="A28" s="237"/>
      <c r="B28" s="237"/>
      <c r="C28" s="237"/>
    </row>
    <row r="29" spans="1:3" x14ac:dyDescent="0.25">
      <c r="A29" s="237"/>
      <c r="B29" s="237"/>
      <c r="C29" s="237"/>
    </row>
    <row r="30" spans="1:3" x14ac:dyDescent="0.25">
      <c r="A30" s="237"/>
      <c r="B30" s="237"/>
      <c r="C30" s="237"/>
    </row>
    <row r="31" spans="1:3" x14ac:dyDescent="0.25">
      <c r="A31" s="237"/>
      <c r="B31" s="237"/>
      <c r="C31" s="237"/>
    </row>
    <row r="32" spans="1:3" x14ac:dyDescent="0.25">
      <c r="A32" s="237"/>
      <c r="B32" s="237"/>
      <c r="C32" s="237"/>
    </row>
    <row r="33" spans="1:3" x14ac:dyDescent="0.25">
      <c r="A33" s="237"/>
      <c r="B33" s="237"/>
      <c r="C33" s="237"/>
    </row>
    <row r="34" spans="1:3" x14ac:dyDescent="0.25">
      <c r="A34" s="237" t="s">
        <v>343</v>
      </c>
      <c r="B34" s="237"/>
      <c r="C34" s="237"/>
    </row>
    <row r="35" spans="1:3" x14ac:dyDescent="0.25">
      <c r="A35" s="237"/>
      <c r="B35" s="237"/>
      <c r="C35" s="237"/>
    </row>
    <row r="36" spans="1:3" x14ac:dyDescent="0.25">
      <c r="A36" s="237"/>
      <c r="B36" s="237"/>
      <c r="C36" s="237"/>
    </row>
    <row r="37" spans="1:3" x14ac:dyDescent="0.25">
      <c r="A37" s="237"/>
      <c r="B37" s="237"/>
      <c r="C37" s="237"/>
    </row>
    <row r="38" spans="1:3" x14ac:dyDescent="0.25">
      <c r="A38" s="237"/>
      <c r="B38" s="237"/>
      <c r="C38" s="237"/>
    </row>
    <row r="39" spans="1:3" x14ac:dyDescent="0.25">
      <c r="A39" s="237"/>
      <c r="B39" s="237"/>
      <c r="C39" s="237"/>
    </row>
    <row r="40" spans="1:3" x14ac:dyDescent="0.25">
      <c r="A40" s="575" t="s">
        <v>5</v>
      </c>
      <c r="B40" s="575"/>
      <c r="C40" s="237"/>
    </row>
    <row r="41" spans="1:3" x14ac:dyDescent="0.25">
      <c r="A41" s="572" t="s">
        <v>221</v>
      </c>
      <c r="B41" s="572"/>
      <c r="C41" s="237"/>
    </row>
    <row r="42" spans="1:3" x14ac:dyDescent="0.25">
      <c r="A42" s="572" t="s">
        <v>220</v>
      </c>
      <c r="B42" s="572"/>
      <c r="C42" s="237"/>
    </row>
    <row r="43" spans="1:3" x14ac:dyDescent="0.25">
      <c r="A43" s="572" t="s">
        <v>222</v>
      </c>
      <c r="B43" s="572"/>
      <c r="C43" s="237"/>
    </row>
    <row r="44" spans="1:3" x14ac:dyDescent="0.25">
      <c r="A44" s="572" t="s">
        <v>223</v>
      </c>
      <c r="B44" s="572"/>
      <c r="C44" s="237"/>
    </row>
    <row r="45" spans="1:3" x14ac:dyDescent="0.25">
      <c r="A45" s="572" t="s">
        <v>224</v>
      </c>
      <c r="B45" s="572"/>
      <c r="C45" s="237"/>
    </row>
    <row r="46" spans="1:3" x14ac:dyDescent="0.25">
      <c r="A46" s="572" t="s">
        <v>225</v>
      </c>
      <c r="B46" s="572"/>
      <c r="C46" s="237"/>
    </row>
    <row r="47" spans="1:3" x14ac:dyDescent="0.25">
      <c r="A47" s="572" t="s">
        <v>226</v>
      </c>
      <c r="B47" s="572"/>
      <c r="C47" s="237"/>
    </row>
    <row r="48" spans="1:3" x14ac:dyDescent="0.25">
      <c r="A48" s="572" t="s">
        <v>255</v>
      </c>
      <c r="B48" s="572"/>
      <c r="C48" s="237"/>
    </row>
    <row r="49" spans="1:3" x14ac:dyDescent="0.25">
      <c r="A49" s="572" t="s">
        <v>260</v>
      </c>
      <c r="B49" s="572"/>
      <c r="C49" s="237"/>
    </row>
    <row r="50" spans="1:3" x14ac:dyDescent="0.25">
      <c r="A50" s="572" t="s">
        <v>256</v>
      </c>
      <c r="B50" s="572"/>
      <c r="C50" s="237"/>
    </row>
    <row r="51" spans="1:3" x14ac:dyDescent="0.25">
      <c r="A51" s="572" t="s">
        <v>257</v>
      </c>
      <c r="B51" s="572"/>
      <c r="C51" s="237"/>
    </row>
    <row r="52" spans="1:3" x14ac:dyDescent="0.25">
      <c r="A52" s="572" t="s">
        <v>258</v>
      </c>
      <c r="B52" s="572"/>
      <c r="C52" s="237"/>
    </row>
    <row r="53" spans="1:3" x14ac:dyDescent="0.25">
      <c r="A53" s="572" t="s">
        <v>259</v>
      </c>
      <c r="B53" s="572"/>
      <c r="C53" s="237"/>
    </row>
    <row r="54" spans="1:3" x14ac:dyDescent="0.25">
      <c r="A54" s="572" t="s">
        <v>261</v>
      </c>
      <c r="B54" s="572"/>
      <c r="C54" s="237"/>
    </row>
    <row r="55" spans="1:3" x14ac:dyDescent="0.25">
      <c r="A55" s="572" t="s">
        <v>354</v>
      </c>
      <c r="B55" s="572"/>
      <c r="C55" s="237"/>
    </row>
    <row r="56" spans="1:3" x14ac:dyDescent="0.25">
      <c r="A56" s="572" t="s">
        <v>355</v>
      </c>
      <c r="B56" s="572"/>
      <c r="C56" s="237"/>
    </row>
    <row r="57" spans="1:3" x14ac:dyDescent="0.25">
      <c r="A57" s="572" t="s">
        <v>262</v>
      </c>
      <c r="B57" s="572"/>
      <c r="C57" s="237"/>
    </row>
    <row r="58" spans="1:3" x14ac:dyDescent="0.25">
      <c r="A58" s="572" t="s">
        <v>356</v>
      </c>
      <c r="B58" s="572"/>
      <c r="C58" s="237"/>
    </row>
    <row r="59" spans="1:3" x14ac:dyDescent="0.25">
      <c r="A59" s="572" t="s">
        <v>357</v>
      </c>
      <c r="B59" s="572"/>
      <c r="C59" s="237"/>
    </row>
    <row r="60" spans="1:3" ht="15.75" customHeight="1" x14ac:dyDescent="0.25">
      <c r="A60" s="573" t="s">
        <v>358</v>
      </c>
      <c r="B60" s="573"/>
      <c r="C60" s="237" t="s">
        <v>360</v>
      </c>
    </row>
    <row r="61" spans="1:3" ht="15.75" customHeight="1" x14ac:dyDescent="0.25">
      <c r="A61" s="573"/>
      <c r="B61" s="573"/>
      <c r="C61" s="237" t="s">
        <v>361</v>
      </c>
    </row>
    <row r="62" spans="1:3" ht="15.75" customHeight="1" x14ac:dyDescent="0.25">
      <c r="A62" s="573" t="s">
        <v>359</v>
      </c>
      <c r="B62" s="573"/>
      <c r="C62" s="237" t="s">
        <v>360</v>
      </c>
    </row>
    <row r="63" spans="1:3" ht="15.75" customHeight="1" x14ac:dyDescent="0.25">
      <c r="A63" s="573"/>
      <c r="B63" s="573"/>
      <c r="C63" s="237" t="s">
        <v>361</v>
      </c>
    </row>
    <row r="64" spans="1:3" ht="15.75" customHeight="1" x14ac:dyDescent="0.25">
      <c r="A64" s="573" t="s">
        <v>362</v>
      </c>
      <c r="B64" s="573"/>
      <c r="C64" s="237" t="s">
        <v>360</v>
      </c>
    </row>
    <row r="65" spans="1:3" x14ac:dyDescent="0.25">
      <c r="A65" s="573"/>
      <c r="B65" s="573"/>
      <c r="C65" s="237" t="s">
        <v>361</v>
      </c>
    </row>
    <row r="66" spans="1:3" x14ac:dyDescent="0.25">
      <c r="A66" s="238"/>
      <c r="B66" s="238"/>
      <c r="C66" s="237"/>
    </row>
    <row r="67" spans="1:3" x14ac:dyDescent="0.25">
      <c r="A67" s="238"/>
      <c r="B67" s="238"/>
      <c r="C67" s="237"/>
    </row>
    <row r="68" spans="1:3" x14ac:dyDescent="0.25">
      <c r="A68" s="238"/>
      <c r="B68" s="238"/>
      <c r="C68" s="237"/>
    </row>
    <row r="69" spans="1:3" x14ac:dyDescent="0.25">
      <c r="A69" s="238"/>
      <c r="B69" s="238"/>
      <c r="C69" s="237"/>
    </row>
    <row r="70" spans="1:3" x14ac:dyDescent="0.25">
      <c r="A70" s="238"/>
      <c r="B70" s="238"/>
      <c r="C70" s="237"/>
    </row>
    <row r="71" spans="1:3" x14ac:dyDescent="0.25">
      <c r="A71" s="572" t="s">
        <v>227</v>
      </c>
      <c r="B71" s="572"/>
      <c r="C71" s="237"/>
    </row>
    <row r="72" spans="1:3" x14ac:dyDescent="0.25">
      <c r="A72" s="572" t="s">
        <v>385</v>
      </c>
      <c r="B72" s="572"/>
      <c r="C72" s="237"/>
    </row>
  </sheetData>
  <mergeCells count="26">
    <mergeCell ref="A6:B6"/>
    <mergeCell ref="A51:B51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72:B72"/>
    <mergeCell ref="A55:B55"/>
    <mergeCell ref="A56:B56"/>
    <mergeCell ref="A58:B58"/>
    <mergeCell ref="A59:B59"/>
    <mergeCell ref="A62:B63"/>
    <mergeCell ref="A64:B65"/>
    <mergeCell ref="A60:B61"/>
    <mergeCell ref="A52:B52"/>
    <mergeCell ref="A53:B53"/>
    <mergeCell ref="A54:B54"/>
    <mergeCell ref="A57:B57"/>
    <mergeCell ref="A71:B71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6E210-9E7D-4842-8490-FA00DDAE1FEC}">
  <dimension ref="A1:G24"/>
  <sheetViews>
    <sheetView workbookViewId="0">
      <selection activeCell="N15" sqref="N15"/>
    </sheetView>
  </sheetViews>
  <sheetFormatPr baseColWidth="10" defaultRowHeight="15" x14ac:dyDescent="0.25"/>
  <sheetData>
    <row r="1" spans="1:7" ht="15.75" thickBot="1" x14ac:dyDescent="0.3">
      <c r="A1" s="143"/>
    </row>
    <row r="2" spans="1:7" ht="15" customHeight="1" x14ac:dyDescent="0.25">
      <c r="A2" s="584" t="s">
        <v>278</v>
      </c>
      <c r="B2" s="584"/>
      <c r="C2" s="584"/>
      <c r="D2" s="584"/>
      <c r="E2" s="584"/>
      <c r="F2" s="584"/>
      <c r="G2" s="584"/>
    </row>
    <row r="3" spans="1:7" ht="15" customHeight="1" x14ac:dyDescent="0.25">
      <c r="A3" s="585"/>
      <c r="B3" s="585"/>
      <c r="C3" s="585"/>
      <c r="D3" s="585"/>
      <c r="E3" s="585"/>
      <c r="F3" s="585"/>
      <c r="G3" s="585"/>
    </row>
    <row r="4" spans="1:7" ht="15" customHeight="1" x14ac:dyDescent="0.25">
      <c r="A4" s="586" t="s">
        <v>279</v>
      </c>
      <c r="B4" s="586"/>
      <c r="C4" s="586"/>
      <c r="D4" s="586"/>
      <c r="E4" s="586"/>
      <c r="F4" s="586" t="s">
        <v>280</v>
      </c>
      <c r="G4" s="586"/>
    </row>
    <row r="5" spans="1:7" ht="15" customHeight="1" x14ac:dyDescent="0.25">
      <c r="A5" s="578" t="s">
        <v>281</v>
      </c>
      <c r="B5" s="578"/>
      <c r="C5" s="578"/>
      <c r="D5" s="578"/>
      <c r="E5" s="578"/>
      <c r="F5" s="579">
        <v>0</v>
      </c>
      <c r="G5" s="579"/>
    </row>
    <row r="6" spans="1:7" ht="15" customHeight="1" x14ac:dyDescent="0.25">
      <c r="A6" s="576" t="s">
        <v>282</v>
      </c>
      <c r="B6" s="576"/>
      <c r="C6" s="576"/>
      <c r="D6" s="576"/>
      <c r="E6" s="576"/>
      <c r="F6" s="582">
        <v>5.0000000000000001E-3</v>
      </c>
      <c r="G6" s="582"/>
    </row>
    <row r="7" spans="1:7" ht="15" customHeight="1" x14ac:dyDescent="0.25">
      <c r="A7" s="578" t="s">
        <v>283</v>
      </c>
      <c r="B7" s="578"/>
      <c r="C7" s="578"/>
      <c r="D7" s="578"/>
      <c r="E7" s="578"/>
      <c r="F7" s="583">
        <v>1.4999999999999999E-2</v>
      </c>
      <c r="G7" s="583"/>
    </row>
    <row r="8" spans="1:7" ht="15" customHeight="1" x14ac:dyDescent="0.25">
      <c r="A8" s="576" t="s">
        <v>284</v>
      </c>
      <c r="B8" s="576"/>
      <c r="C8" s="576"/>
      <c r="D8" s="576"/>
      <c r="E8" s="576"/>
      <c r="F8" s="582">
        <v>2.5000000000000001E-2</v>
      </c>
      <c r="G8" s="582"/>
    </row>
    <row r="9" spans="1:7" ht="15" customHeight="1" x14ac:dyDescent="0.25">
      <c r="A9" s="578" t="s">
        <v>285</v>
      </c>
      <c r="B9" s="578"/>
      <c r="C9" s="578"/>
      <c r="D9" s="578"/>
      <c r="E9" s="578"/>
      <c r="F9" s="583">
        <v>3.5000000000000003E-2</v>
      </c>
      <c r="G9" s="583"/>
    </row>
    <row r="10" spans="1:7" ht="15" customHeight="1" x14ac:dyDescent="0.25">
      <c r="A10" s="576" t="s">
        <v>286</v>
      </c>
      <c r="B10" s="576"/>
      <c r="C10" s="576"/>
      <c r="D10" s="576"/>
      <c r="E10" s="576"/>
      <c r="F10" s="582">
        <v>4.4999999999999998E-2</v>
      </c>
      <c r="G10" s="582"/>
    </row>
    <row r="11" spans="1:7" ht="15" customHeight="1" x14ac:dyDescent="0.25">
      <c r="A11" s="578" t="s">
        <v>287</v>
      </c>
      <c r="B11" s="578"/>
      <c r="C11" s="578"/>
      <c r="D11" s="578"/>
      <c r="E11" s="578"/>
      <c r="F11" s="579">
        <v>0.06</v>
      </c>
      <c r="G11" s="579"/>
    </row>
    <row r="12" spans="1:7" ht="15" customHeight="1" x14ac:dyDescent="0.25">
      <c r="A12" s="576" t="s">
        <v>288</v>
      </c>
      <c r="B12" s="576"/>
      <c r="C12" s="576"/>
      <c r="D12" s="576"/>
      <c r="E12" s="576"/>
      <c r="F12" s="582">
        <v>7.4999999999999997E-2</v>
      </c>
      <c r="G12" s="582"/>
    </row>
    <row r="13" spans="1:7" ht="15" customHeight="1" x14ac:dyDescent="0.25">
      <c r="A13" s="578" t="s">
        <v>289</v>
      </c>
      <c r="B13" s="578"/>
      <c r="C13" s="578"/>
      <c r="D13" s="578"/>
      <c r="E13" s="578"/>
      <c r="F13" s="579">
        <v>0.09</v>
      </c>
      <c r="G13" s="579"/>
    </row>
    <row r="14" spans="1:7" ht="15" customHeight="1" x14ac:dyDescent="0.25">
      <c r="A14" s="576" t="s">
        <v>290</v>
      </c>
      <c r="B14" s="576"/>
      <c r="C14" s="576"/>
      <c r="D14" s="576"/>
      <c r="E14" s="576"/>
      <c r="F14" s="582">
        <v>0.105</v>
      </c>
      <c r="G14" s="582"/>
    </row>
    <row r="15" spans="1:7" ht="15" customHeight="1" x14ac:dyDescent="0.25">
      <c r="A15" s="578" t="s">
        <v>291</v>
      </c>
      <c r="B15" s="578"/>
      <c r="C15" s="578"/>
      <c r="D15" s="578"/>
      <c r="E15" s="578"/>
      <c r="F15" s="579">
        <v>0.12</v>
      </c>
      <c r="G15" s="579"/>
    </row>
    <row r="16" spans="1:7" ht="15" customHeight="1" x14ac:dyDescent="0.25">
      <c r="A16" s="576" t="s">
        <v>292</v>
      </c>
      <c r="B16" s="576"/>
      <c r="C16" s="576"/>
      <c r="D16" s="576"/>
      <c r="E16" s="576"/>
      <c r="F16" s="577">
        <v>0.14000000000000001</v>
      </c>
      <c r="G16" s="577"/>
    </row>
    <row r="17" spans="1:7" ht="15" customHeight="1" x14ac:dyDescent="0.25">
      <c r="A17" s="578" t="s">
        <v>293</v>
      </c>
      <c r="B17" s="578"/>
      <c r="C17" s="578"/>
      <c r="D17" s="578"/>
      <c r="E17" s="578"/>
      <c r="F17" s="579">
        <v>0.16</v>
      </c>
      <c r="G17" s="579"/>
    </row>
    <row r="18" spans="1:7" ht="15" customHeight="1" x14ac:dyDescent="0.25">
      <c r="A18" s="576" t="s">
        <v>294</v>
      </c>
      <c r="B18" s="576"/>
      <c r="C18" s="576"/>
      <c r="D18" s="576"/>
      <c r="E18" s="576"/>
      <c r="F18" s="577">
        <v>0.18</v>
      </c>
      <c r="G18" s="577"/>
    </row>
    <row r="19" spans="1:7" ht="15" customHeight="1" x14ac:dyDescent="0.25">
      <c r="A19" s="578" t="s">
        <v>295</v>
      </c>
      <c r="B19" s="578"/>
      <c r="C19" s="578"/>
      <c r="D19" s="578"/>
      <c r="E19" s="578"/>
      <c r="F19" s="579">
        <v>0.2</v>
      </c>
      <c r="G19" s="579"/>
    </row>
    <row r="20" spans="1:7" ht="15" customHeight="1" x14ac:dyDescent="0.25">
      <c r="A20" s="576" t="s">
        <v>296</v>
      </c>
      <c r="B20" s="576"/>
      <c r="C20" s="576"/>
      <c r="D20" s="576"/>
      <c r="E20" s="576"/>
      <c r="F20" s="577">
        <v>0.24</v>
      </c>
      <c r="G20" s="577"/>
    </row>
    <row r="21" spans="1:7" ht="15" customHeight="1" x14ac:dyDescent="0.25">
      <c r="A21" s="578" t="s">
        <v>297</v>
      </c>
      <c r="B21" s="578"/>
      <c r="C21" s="578"/>
      <c r="D21" s="578"/>
      <c r="E21" s="578"/>
      <c r="F21" s="579">
        <v>0.28000000000000003</v>
      </c>
      <c r="G21" s="579"/>
    </row>
    <row r="22" spans="1:7" ht="15" customHeight="1" x14ac:dyDescent="0.25">
      <c r="A22" s="576" t="s">
        <v>298</v>
      </c>
      <c r="B22" s="576"/>
      <c r="C22" s="576"/>
      <c r="D22" s="576"/>
      <c r="E22" s="576"/>
      <c r="F22" s="577">
        <v>0.33</v>
      </c>
      <c r="G22" s="577"/>
    </row>
    <row r="23" spans="1:7" ht="15" customHeight="1" x14ac:dyDescent="0.25">
      <c r="A23" s="578" t="s">
        <v>299</v>
      </c>
      <c r="B23" s="578"/>
      <c r="C23" s="578"/>
      <c r="D23" s="578"/>
      <c r="E23" s="578"/>
      <c r="F23" s="579">
        <v>0.38</v>
      </c>
      <c r="G23" s="579"/>
    </row>
    <row r="24" spans="1:7" ht="15" customHeight="1" thickBot="1" x14ac:dyDescent="0.3">
      <c r="A24" s="580" t="s">
        <v>300</v>
      </c>
      <c r="B24" s="580"/>
      <c r="C24" s="580"/>
      <c r="D24" s="580"/>
      <c r="E24" s="580"/>
      <c r="F24" s="581">
        <v>0.43</v>
      </c>
      <c r="G24" s="581"/>
    </row>
  </sheetData>
  <mergeCells count="43">
    <mergeCell ref="A6:E6"/>
    <mergeCell ref="F6:G6"/>
    <mergeCell ref="A2:G3"/>
    <mergeCell ref="A4:E4"/>
    <mergeCell ref="F4:G4"/>
    <mergeCell ref="A5:E5"/>
    <mergeCell ref="F5:G5"/>
    <mergeCell ref="A7:E7"/>
    <mergeCell ref="F7:G7"/>
    <mergeCell ref="A8:E8"/>
    <mergeCell ref="F8:G8"/>
    <mergeCell ref="A9:E9"/>
    <mergeCell ref="F9:G9"/>
    <mergeCell ref="A10:E10"/>
    <mergeCell ref="F10:G10"/>
    <mergeCell ref="A11:E11"/>
    <mergeCell ref="F11:G11"/>
    <mergeCell ref="A12:E12"/>
    <mergeCell ref="F12:G12"/>
    <mergeCell ref="A13:E13"/>
    <mergeCell ref="F13:G13"/>
    <mergeCell ref="A14:E14"/>
    <mergeCell ref="F14:G14"/>
    <mergeCell ref="A15:E15"/>
    <mergeCell ref="F15:G15"/>
    <mergeCell ref="A16:E16"/>
    <mergeCell ref="F16:G16"/>
    <mergeCell ref="A17:E17"/>
    <mergeCell ref="F17:G17"/>
    <mergeCell ref="A18:E18"/>
    <mergeCell ref="F18:G18"/>
    <mergeCell ref="A19:E19"/>
    <mergeCell ref="F19:G19"/>
    <mergeCell ref="A20:E20"/>
    <mergeCell ref="F20:G20"/>
    <mergeCell ref="A21:E21"/>
    <mergeCell ref="F21:G21"/>
    <mergeCell ref="A22:E22"/>
    <mergeCell ref="F22:G22"/>
    <mergeCell ref="A23:E23"/>
    <mergeCell ref="F23:G23"/>
    <mergeCell ref="A24:E24"/>
    <mergeCell ref="F24:G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 Sociales</vt:lpstr>
      <vt:lpstr>Bulletin de Paie</vt:lpstr>
      <vt:lpstr>Renseignements</vt:lpstr>
      <vt:lpstr>Calculs</vt:lpstr>
      <vt:lpstr>Note de travail</vt:lpstr>
      <vt:lpstr>Tx PAS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Berger A</dc:creator>
  <cp:keywords/>
  <dc:description/>
  <cp:lastModifiedBy>Dédé</cp:lastModifiedBy>
  <cp:revision/>
  <cp:lastPrinted>2019-12-17T08:21:14Z</cp:lastPrinted>
  <dcterms:created xsi:type="dcterms:W3CDTF">2019-07-10T18:31:26Z</dcterms:created>
  <dcterms:modified xsi:type="dcterms:W3CDTF">2019-12-17T17:41:30Z</dcterms:modified>
  <cp:category/>
  <cp:contentStatus/>
</cp:coreProperties>
</file>