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 codeName="{E757BCB4-07E6-AE0B-56E0-F0EEF7A6E26C}"/>
  <workbookPr codeName="ThisWorkbook1"/>
  <mc:AlternateContent xmlns:mc="http://schemas.openxmlformats.org/markup-compatibility/2006">
    <mc:Choice Requires="x15">
      <x15ac:absPath xmlns:x15ac="http://schemas.microsoft.com/office/spreadsheetml/2010/11/ac" url="https://d.docs.live.net/fccc093d150310f9/Documents/"/>
    </mc:Choice>
  </mc:AlternateContent>
  <xr:revisionPtr revIDLastSave="23" documentId="8_{DB823716-78E9-4313-9BC7-12D657DB5960}" xr6:coauthVersionLast="47" xr6:coauthVersionMax="47" xr10:uidLastSave="{463A2552-DB52-4E14-9CE1-DEFDB2228B34}"/>
  <bookViews>
    <workbookView xWindow="-108" yWindow="-108" windowWidth="23256" windowHeight="12456" tabRatio="700" xr2:uid="{00000000-000D-0000-FFFF-FFFF00000000}"/>
  </bookViews>
  <sheets>
    <sheet name="Annuel" sheetId="13" r:id="rId1"/>
    <sheet name="Planning" sheetId="1" r:id="rId2"/>
    <sheet name="Planning (2)" sheetId="3" r:id="rId3"/>
    <sheet name="Planning (3)" sheetId="2" r:id="rId4"/>
    <sheet name="Planning (4)" sheetId="4" r:id="rId5"/>
    <sheet name="Planning (5)" sheetId="5" r:id="rId6"/>
    <sheet name="Planning (6)" sheetId="6" r:id="rId7"/>
    <sheet name="Planning (7)" sheetId="7" r:id="rId8"/>
    <sheet name="Planning (8)" sheetId="8" r:id="rId9"/>
    <sheet name="Horaires" sheetId="9" r:id="rId10"/>
    <sheet name="Planning Vacances" sheetId="10" r:id="rId11"/>
    <sheet name="Demande congé" sheetId="11" r:id="rId12"/>
    <sheet name="Barème" sheetId="12" state="hidden" r:id="rId13"/>
  </sheets>
  <definedNames>
    <definedName name="AprSun1">DATE(CalendarYear,4,1)-WEEKDAY(DATE(CalendarYear,4,1))</definedName>
    <definedName name="AugSun1">DATE(CalendarYear,8,1)-WEEKDAY(DATE(CalendarYear,8,1))</definedName>
    <definedName name="CalendarYear">'Planning Vacances'!$AH$1</definedName>
    <definedName name="date">'Planning (4)'!$T$15</definedName>
    <definedName name="DecSun1">DATE(CalendarYear,12,1)-WEEKDAY(DATE(CalendarYear,12,1))</definedName>
    <definedName name="FebSun1">DATE(CalendarYear,2,1)-WEEKDAY(DATE(CalendarYear,2,1))</definedName>
    <definedName name="JanSun1">DATE(CalendarYear,1,1)-WEEKDAY(DATE(CalendarYear,1,1))</definedName>
    <definedName name="Job1_DayOff_Code">#REF!</definedName>
    <definedName name="Job1_Name">#REF!</definedName>
    <definedName name="Job1_Pattern">#REF!</definedName>
    <definedName name="Job1_Shift1_Code">#REF!</definedName>
    <definedName name="Job1_Shift2_Code">#REF!</definedName>
    <definedName name="Job1_Shift3_Code">#REF!</definedName>
    <definedName name="Job1_StartDate">#REF!</definedName>
    <definedName name="Job2_DayOff_Code">#REF!</definedName>
    <definedName name="Job2_Name">#REF!</definedName>
    <definedName name="Job2_Pattern">#REF!</definedName>
    <definedName name="Job2_Shift1_Code">#REF!</definedName>
    <definedName name="Job2_Shift2_Code">#REF!</definedName>
    <definedName name="Job2_Shift3_Code">#REF!</definedName>
    <definedName name="Job2_StartDate">#REF!</definedName>
    <definedName name="Job3_DayOff_Code">#REF!</definedName>
    <definedName name="Job3_Name">#REF!</definedName>
    <definedName name="Job3_Pattern">#REF!</definedName>
    <definedName name="Job3_Shift1_Code">#REF!</definedName>
    <definedName name="Job3_Shift2_Code">#REF!</definedName>
    <definedName name="Job3_Shift3_Code">#REF!</definedName>
    <definedName name="Job3_StartDate">#REF!</definedName>
    <definedName name="JulSun1">DATE(CalendarYear,7,1)-WEEKDAY(DATE(CalendarYear,7,1))</definedName>
    <definedName name="JunSun1">DATE(CalendarYear,6,1)-WEEKDAY(DATE(CalendarYear,6,1))</definedName>
    <definedName name="MarSun1">DATE(CalendarYear,3,1)-WEEKDAY(DATE(CalendarYear,3,1))</definedName>
    <definedName name="MaySun1">DATE(CalendarYear,5,1)-WEEKDAY(DATE(CalendarYear,5,1))</definedName>
    <definedName name="NovSun1">DATE(CalendarYear,11,1)-WEEKDAY(DATE(CalendarYear,11,1))</definedName>
    <definedName name="OctSun1">DATE(CalendarYear,10,1)-WEEKDAY(DATE(CalendarYear,10,1))</definedName>
    <definedName name="Range_Dates">'Planning Vacances'!$C$5:$AM$5,'Planning Vacances'!$C$18:$AM$18,'Planning Vacances'!$C$34:$AM$34,'Planning Vacances'!$C$50:$AM$50,'Planning Vacances'!$C$66:$AM$66,'Planning Vacances'!$C$82:$AM$82,'Planning Vacances'!$C$98:$AM$98,'Planning Vacances'!$C$113:$AM$113,'Planning Vacances'!$C$127:$AM$127,'Planning Vacances'!$C$141:$AM$141,'Planning Vacances'!$C$155:$AM$155,'Planning Vacances'!$C$169:$AM$169</definedName>
    <definedName name="Range_Days">'Planning Vacances'!$C$7:$AM$9,'Planning Vacances'!$C$20:$AM$32,'Planning Vacances'!$C$36:$AM$48,'Planning Vacances'!$C$52:$AM$64,'Planning Vacances'!$C$68:$AM$80,'Planning Vacances'!$C$84:$AM$96,'Planning Vacances'!$C$100:$AM$111,'Planning Vacances'!$C$115:$AM$125,'Planning Vacances'!$C$129:$AM$139,'Planning Vacances'!$C$143:$AM$153,'Planning Vacances'!$C$157:$AM$167,'Planning Vacances'!$C$171:$AM$181</definedName>
    <definedName name="Range_Weekdays">'Planning Vacances'!$C$6:$AM$6,'Planning Vacances'!$C$19:$AM$19,'Planning Vacances'!$C$35:$AM$35,'Planning Vacances'!$C$51:$AM$51,'Planning Vacances'!$C$67:$AM$67,'Planning Vacances'!$C$83:$AM$83,'Planning Vacances'!$C$99:$AM$99,'Planning Vacances'!$C$114:$AM$114,'Planning Vacances'!$C$128:$AM$128,'Planning Vacances'!$C$142:$AM$142,'Planning Vacances'!$C$156:$AM$156,'Planning Vacances'!$C$170:$AM$170</definedName>
    <definedName name="Semaine">Planning!$E$5,'Planning (2)'!$E$5,'Planning (3)'!$E$5,'Planning (4)'!$E$5,'Planning (5)'!$E$5,'Planning (6)'!$E$5,'Planning (7)'!$E$5,'Planning (8)'!$E$5</definedName>
    <definedName name="SepSun1">DATE(CalendarYear,9,1)-WEEKDAY(DATE(CalendarYear,9,1))</definedName>
    <definedName name="_xlnm.Print_Area" localSheetId="9">Horaires!$A$1:$CB$43</definedName>
    <definedName name="_xlnm.Print_Area" localSheetId="1">Planning!$A$1:$R$37</definedName>
    <definedName name="_xlnm.Print_Area" localSheetId="2">'Planning (2)'!$A$1:$R$37</definedName>
    <definedName name="_xlnm.Print_Area" localSheetId="3">'Planning (3)'!$A$1:$R$37</definedName>
    <definedName name="_xlnm.Print_Area" localSheetId="4">'Planning (4)'!$A$1:$R$37</definedName>
    <definedName name="_xlnm.Print_Area" localSheetId="5">'Planning (5)'!$A$1:$R$37</definedName>
    <definedName name="_xlnm.Print_Area" localSheetId="6">'Planning (6)'!$A$1:$R$37</definedName>
    <definedName name="_xlnm.Print_Area" localSheetId="7">'Planning (7)'!$A$1:$R$37</definedName>
    <definedName name="_xlnm.Print_Area" localSheetId="8">'Planning (8)'!$A$1:$R$37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9" i="13" l="1" a="1"/>
  <c r="C9" i="13" s="1"/>
  <c r="H10" i="13" a="1"/>
  <c r="H10" i="13" s="1"/>
  <c r="C7" i="13"/>
  <c r="H13" i="13"/>
  <c r="C8" i="13"/>
  <c r="T2" i="12" l="1"/>
  <c r="S2" i="12"/>
  <c r="R2" i="12"/>
  <c r="Q2" i="12"/>
  <c r="P2" i="12"/>
  <c r="O2" i="12"/>
  <c r="N2" i="12"/>
  <c r="M2" i="12"/>
  <c r="L2" i="12"/>
  <c r="K2" i="12"/>
  <c r="J2" i="12"/>
  <c r="I2" i="12"/>
  <c r="H2" i="12"/>
  <c r="G2" i="12"/>
  <c r="F2" i="12"/>
  <c r="E2" i="12"/>
  <c r="D2" i="12"/>
  <c r="C2" i="12"/>
  <c r="B2" i="12"/>
  <c r="AM169" i="10"/>
  <c r="AL169" i="10"/>
  <c r="AK169" i="10"/>
  <c r="AJ169" i="10"/>
  <c r="AI169" i="10"/>
  <c r="AH169" i="10"/>
  <c r="AG169" i="10"/>
  <c r="AF169" i="10"/>
  <c r="AE169" i="10"/>
  <c r="AD169" i="10"/>
  <c r="AC169" i="10"/>
  <c r="AB169" i="10"/>
  <c r="AA169" i="10"/>
  <c r="Z169" i="10"/>
  <c r="Y169" i="10"/>
  <c r="X169" i="10"/>
  <c r="W169" i="10"/>
  <c r="V169" i="10"/>
  <c r="U169" i="10"/>
  <c r="T169" i="10"/>
  <c r="S169" i="10"/>
  <c r="R169" i="10"/>
  <c r="Q169" i="10"/>
  <c r="P169" i="10"/>
  <c r="O169" i="10"/>
  <c r="N169" i="10"/>
  <c r="M169" i="10"/>
  <c r="L169" i="10"/>
  <c r="K169" i="10"/>
  <c r="J169" i="10"/>
  <c r="I169" i="10"/>
  <c r="H169" i="10"/>
  <c r="G169" i="10"/>
  <c r="F169" i="10"/>
  <c r="E169" i="10"/>
  <c r="D169" i="10"/>
  <c r="C169" i="10"/>
  <c r="B169" i="10"/>
  <c r="AM155" i="10"/>
  <c r="AL155" i="10"/>
  <c r="AK155" i="10"/>
  <c r="AJ155" i="10"/>
  <c r="AI155" i="10"/>
  <c r="AH155" i="10"/>
  <c r="AG155" i="10"/>
  <c r="AF155" i="10"/>
  <c r="AE155" i="10"/>
  <c r="AD155" i="10"/>
  <c r="AC155" i="10"/>
  <c r="AB155" i="10"/>
  <c r="AA155" i="10"/>
  <c r="Z155" i="10"/>
  <c r="Y155" i="10"/>
  <c r="X155" i="10"/>
  <c r="W155" i="10"/>
  <c r="V155" i="10"/>
  <c r="U155" i="10"/>
  <c r="T155" i="10"/>
  <c r="S155" i="10"/>
  <c r="R155" i="10"/>
  <c r="Q155" i="10"/>
  <c r="P155" i="10"/>
  <c r="O155" i="10"/>
  <c r="N155" i="10"/>
  <c r="M155" i="10"/>
  <c r="L155" i="10"/>
  <c r="K155" i="10"/>
  <c r="J155" i="10"/>
  <c r="I155" i="10"/>
  <c r="H155" i="10"/>
  <c r="G155" i="10"/>
  <c r="F155" i="10"/>
  <c r="E155" i="10"/>
  <c r="D155" i="10"/>
  <c r="C155" i="10"/>
  <c r="B155" i="10"/>
  <c r="AM141" i="10"/>
  <c r="AL141" i="10"/>
  <c r="AK141" i="10"/>
  <c r="AJ141" i="10"/>
  <c r="AI141" i="10"/>
  <c r="AH141" i="10"/>
  <c r="AG141" i="10"/>
  <c r="AF141" i="10"/>
  <c r="AE141" i="10"/>
  <c r="AD141" i="10"/>
  <c r="AC141" i="10"/>
  <c r="AB141" i="10"/>
  <c r="AA141" i="10"/>
  <c r="Z141" i="10"/>
  <c r="Y141" i="10"/>
  <c r="X141" i="10"/>
  <c r="W141" i="10"/>
  <c r="V141" i="10"/>
  <c r="U141" i="10"/>
  <c r="T141" i="10"/>
  <c r="S141" i="10"/>
  <c r="R141" i="10"/>
  <c r="Q141" i="10"/>
  <c r="P141" i="10"/>
  <c r="O141" i="10"/>
  <c r="N141" i="10"/>
  <c r="M141" i="10"/>
  <c r="L141" i="10"/>
  <c r="K141" i="10"/>
  <c r="J141" i="10"/>
  <c r="I141" i="10"/>
  <c r="H141" i="10"/>
  <c r="G141" i="10"/>
  <c r="F141" i="10"/>
  <c r="E141" i="10"/>
  <c r="D141" i="10"/>
  <c r="C141" i="10"/>
  <c r="B141" i="10"/>
  <c r="AM127" i="10"/>
  <c r="AL127" i="10"/>
  <c r="AK127" i="10"/>
  <c r="AJ127" i="10"/>
  <c r="AI127" i="10"/>
  <c r="AH127" i="10"/>
  <c r="AG127" i="10"/>
  <c r="AF127" i="10"/>
  <c r="AE127" i="10"/>
  <c r="AD127" i="10"/>
  <c r="AC127" i="10"/>
  <c r="AB127" i="10"/>
  <c r="AA127" i="10"/>
  <c r="Z127" i="10"/>
  <c r="Y127" i="10"/>
  <c r="X127" i="10"/>
  <c r="W127" i="10"/>
  <c r="V127" i="10"/>
  <c r="U127" i="10"/>
  <c r="T127" i="10"/>
  <c r="S127" i="10"/>
  <c r="R127" i="10"/>
  <c r="Q127" i="10"/>
  <c r="P127" i="10"/>
  <c r="O127" i="10"/>
  <c r="N127" i="10"/>
  <c r="M127" i="10"/>
  <c r="L127" i="10"/>
  <c r="K127" i="10"/>
  <c r="J127" i="10"/>
  <c r="I127" i="10"/>
  <c r="H127" i="10"/>
  <c r="G127" i="10"/>
  <c r="F127" i="10"/>
  <c r="E127" i="10"/>
  <c r="D127" i="10"/>
  <c r="C127" i="10"/>
  <c r="B127" i="10"/>
  <c r="AM113" i="10"/>
  <c r="AL113" i="10"/>
  <c r="AK113" i="10"/>
  <c r="AJ113" i="10"/>
  <c r="AI113" i="10"/>
  <c r="AH113" i="10"/>
  <c r="AG113" i="10"/>
  <c r="AF113" i="10"/>
  <c r="AE113" i="10"/>
  <c r="AD113" i="10"/>
  <c r="AC113" i="10"/>
  <c r="AB113" i="10"/>
  <c r="AA113" i="10"/>
  <c r="Z113" i="10"/>
  <c r="Y113" i="10"/>
  <c r="X113" i="10"/>
  <c r="W113" i="10"/>
  <c r="V113" i="10"/>
  <c r="U113" i="10"/>
  <c r="T113" i="10"/>
  <c r="S113" i="10"/>
  <c r="R113" i="10"/>
  <c r="Q113" i="10"/>
  <c r="P113" i="10"/>
  <c r="O113" i="10"/>
  <c r="N113" i="10"/>
  <c r="M113" i="10"/>
  <c r="L113" i="10"/>
  <c r="K113" i="10"/>
  <c r="J113" i="10"/>
  <c r="I113" i="10"/>
  <c r="H113" i="10"/>
  <c r="G113" i="10"/>
  <c r="F113" i="10"/>
  <c r="E113" i="10"/>
  <c r="D113" i="10"/>
  <c r="C113" i="10"/>
  <c r="B113" i="10"/>
  <c r="AM98" i="10"/>
  <c r="AL98" i="10"/>
  <c r="AK98" i="10"/>
  <c r="AJ98" i="10"/>
  <c r="AI98" i="10"/>
  <c r="AH98" i="10"/>
  <c r="AG98" i="10"/>
  <c r="AF98" i="10"/>
  <c r="AE98" i="10"/>
  <c r="AD98" i="10"/>
  <c r="AC98" i="10"/>
  <c r="AB98" i="10"/>
  <c r="AA98" i="10"/>
  <c r="Z98" i="10"/>
  <c r="Y98" i="10"/>
  <c r="X98" i="10"/>
  <c r="W98" i="10"/>
  <c r="V98" i="10"/>
  <c r="U98" i="10"/>
  <c r="T98" i="10"/>
  <c r="S98" i="10"/>
  <c r="R98" i="10"/>
  <c r="Q98" i="10"/>
  <c r="P98" i="10"/>
  <c r="O98" i="10"/>
  <c r="N98" i="10"/>
  <c r="M98" i="10"/>
  <c r="L98" i="10"/>
  <c r="K98" i="10"/>
  <c r="J98" i="10"/>
  <c r="I98" i="10"/>
  <c r="H98" i="10"/>
  <c r="G98" i="10"/>
  <c r="F98" i="10"/>
  <c r="E98" i="10"/>
  <c r="D98" i="10"/>
  <c r="C98" i="10"/>
  <c r="B98" i="10"/>
  <c r="AM82" i="10"/>
  <c r="AL82" i="10"/>
  <c r="AK82" i="10"/>
  <c r="AJ82" i="10"/>
  <c r="AI82" i="10"/>
  <c r="AH82" i="10"/>
  <c r="AG82" i="10"/>
  <c r="AF82" i="10"/>
  <c r="AE82" i="10"/>
  <c r="AD82" i="10"/>
  <c r="AC82" i="10"/>
  <c r="AB82" i="10"/>
  <c r="AA82" i="10"/>
  <c r="Z82" i="10"/>
  <c r="Y82" i="10"/>
  <c r="X82" i="10"/>
  <c r="W82" i="10"/>
  <c r="V82" i="10"/>
  <c r="U82" i="10"/>
  <c r="T82" i="10"/>
  <c r="S82" i="10"/>
  <c r="R82" i="10"/>
  <c r="Q82" i="10"/>
  <c r="P82" i="10"/>
  <c r="O82" i="10"/>
  <c r="N82" i="10"/>
  <c r="M82" i="10"/>
  <c r="L82" i="10"/>
  <c r="K82" i="10"/>
  <c r="J82" i="10"/>
  <c r="I82" i="10"/>
  <c r="H82" i="10"/>
  <c r="G82" i="10"/>
  <c r="F82" i="10"/>
  <c r="E82" i="10"/>
  <c r="D82" i="10"/>
  <c r="C82" i="10"/>
  <c r="B82" i="10"/>
  <c r="AM66" i="10"/>
  <c r="AL66" i="10"/>
  <c r="AK66" i="10"/>
  <c r="AJ66" i="10"/>
  <c r="AI66" i="10"/>
  <c r="AH66" i="10"/>
  <c r="AG66" i="10"/>
  <c r="AF66" i="10"/>
  <c r="AE66" i="10"/>
  <c r="AD66" i="10"/>
  <c r="AC66" i="10"/>
  <c r="AB66" i="10"/>
  <c r="AA66" i="10"/>
  <c r="Z66" i="10"/>
  <c r="Y66" i="10"/>
  <c r="X66" i="10"/>
  <c r="W66" i="10"/>
  <c r="V66" i="10"/>
  <c r="U66" i="10"/>
  <c r="T66" i="10"/>
  <c r="S66" i="10"/>
  <c r="R66" i="10"/>
  <c r="Q66" i="10"/>
  <c r="P66" i="10"/>
  <c r="O66" i="10"/>
  <c r="N66" i="10"/>
  <c r="M66" i="10"/>
  <c r="L66" i="10"/>
  <c r="K66" i="10"/>
  <c r="J66" i="10"/>
  <c r="I66" i="10"/>
  <c r="H66" i="10"/>
  <c r="G66" i="10"/>
  <c r="F66" i="10"/>
  <c r="E66" i="10"/>
  <c r="D66" i="10"/>
  <c r="C66" i="10"/>
  <c r="B66" i="10"/>
  <c r="AM50" i="10"/>
  <c r="AL50" i="10"/>
  <c r="AK50" i="10"/>
  <c r="AJ50" i="10"/>
  <c r="AI50" i="10"/>
  <c r="AH50" i="10"/>
  <c r="AG50" i="10"/>
  <c r="AF50" i="10"/>
  <c r="AE50" i="10"/>
  <c r="AD50" i="10"/>
  <c r="AC50" i="10"/>
  <c r="AB50" i="10"/>
  <c r="AA50" i="10"/>
  <c r="Z50" i="10"/>
  <c r="Y50" i="10"/>
  <c r="X50" i="10"/>
  <c r="W50" i="10"/>
  <c r="V50" i="10"/>
  <c r="U50" i="10"/>
  <c r="T50" i="10"/>
  <c r="S50" i="10"/>
  <c r="R50" i="10"/>
  <c r="Q50" i="10"/>
  <c r="P50" i="10"/>
  <c r="O50" i="10"/>
  <c r="N50" i="10"/>
  <c r="M50" i="10"/>
  <c r="L50" i="10"/>
  <c r="K50" i="10"/>
  <c r="J50" i="10"/>
  <c r="I50" i="10"/>
  <c r="H50" i="10"/>
  <c r="G50" i="10"/>
  <c r="F50" i="10"/>
  <c r="E50" i="10"/>
  <c r="D50" i="10"/>
  <c r="C50" i="10"/>
  <c r="B50" i="10"/>
  <c r="AM34" i="10"/>
  <c r="AL34" i="10"/>
  <c r="AK34" i="10"/>
  <c r="AJ34" i="10"/>
  <c r="AI34" i="10"/>
  <c r="AH34" i="10"/>
  <c r="AG34" i="10"/>
  <c r="AF34" i="10"/>
  <c r="AE34" i="10"/>
  <c r="AD34" i="10"/>
  <c r="AC34" i="10"/>
  <c r="AB34" i="10"/>
  <c r="AA34" i="10"/>
  <c r="Z34" i="10"/>
  <c r="Y34" i="10"/>
  <c r="X34" i="10"/>
  <c r="W34" i="10"/>
  <c r="V34" i="10"/>
  <c r="U34" i="10"/>
  <c r="T34" i="10"/>
  <c r="S34" i="10"/>
  <c r="R34" i="10"/>
  <c r="Q34" i="10"/>
  <c r="P34" i="10"/>
  <c r="O34" i="10"/>
  <c r="N34" i="10"/>
  <c r="M34" i="10"/>
  <c r="L34" i="10"/>
  <c r="K34" i="10"/>
  <c r="J34" i="10"/>
  <c r="I34" i="10"/>
  <c r="H34" i="10"/>
  <c r="G34" i="10"/>
  <c r="F34" i="10"/>
  <c r="E34" i="10"/>
  <c r="D34" i="10"/>
  <c r="C34" i="10"/>
  <c r="B34" i="10"/>
  <c r="AM18" i="10"/>
  <c r="AL18" i="10"/>
  <c r="AK18" i="10"/>
  <c r="AJ18" i="10"/>
  <c r="AI18" i="10"/>
  <c r="AH18" i="10"/>
  <c r="AG18" i="10"/>
  <c r="AF18" i="10"/>
  <c r="AE18" i="10"/>
  <c r="AD18" i="10"/>
  <c r="AC18" i="10"/>
  <c r="AB18" i="10"/>
  <c r="AA18" i="10"/>
  <c r="Z18" i="10"/>
  <c r="Y18" i="10"/>
  <c r="X18" i="10"/>
  <c r="W18" i="10"/>
  <c r="V18" i="10"/>
  <c r="U18" i="10"/>
  <c r="T18" i="10"/>
  <c r="S18" i="10"/>
  <c r="R18" i="10"/>
  <c r="Q18" i="10"/>
  <c r="P18" i="10"/>
  <c r="O18" i="10"/>
  <c r="N18" i="10"/>
  <c r="M18" i="10"/>
  <c r="L18" i="10"/>
  <c r="K18" i="10"/>
  <c r="J18" i="10"/>
  <c r="I18" i="10"/>
  <c r="H18" i="10"/>
  <c r="G18" i="10"/>
  <c r="F18" i="10"/>
  <c r="E18" i="10"/>
  <c r="D18" i="10"/>
  <c r="C18" i="10"/>
  <c r="B18" i="10"/>
  <c r="AM5" i="10"/>
  <c r="AL5" i="10"/>
  <c r="AK5" i="10"/>
  <c r="AJ5" i="10"/>
  <c r="AI5" i="10"/>
  <c r="AH5" i="10"/>
  <c r="AG5" i="10"/>
  <c r="AF5" i="10"/>
  <c r="AE5" i="10"/>
  <c r="AD5" i="10"/>
  <c r="AC5" i="10"/>
  <c r="AB5" i="10"/>
  <c r="AA5" i="10"/>
  <c r="Z5" i="10"/>
  <c r="Y5" i="10"/>
  <c r="X5" i="10"/>
  <c r="W5" i="10"/>
  <c r="V5" i="10"/>
  <c r="U5" i="10"/>
  <c r="T5" i="10"/>
  <c r="S5" i="10"/>
  <c r="R5" i="10"/>
  <c r="Q5" i="10"/>
  <c r="P5" i="10"/>
  <c r="O5" i="10"/>
  <c r="N5" i="10"/>
  <c r="M5" i="10"/>
  <c r="L5" i="10"/>
  <c r="K5" i="10"/>
  <c r="J5" i="10"/>
  <c r="I5" i="10"/>
  <c r="H5" i="10"/>
  <c r="G5" i="10"/>
  <c r="F5" i="10"/>
  <c r="E5" i="10"/>
  <c r="D5" i="10"/>
  <c r="C5" i="10"/>
  <c r="B5" i="10"/>
  <c r="O37" i="8"/>
  <c r="M37" i="8"/>
  <c r="K37" i="8"/>
  <c r="I37" i="8"/>
  <c r="G37" i="8"/>
  <c r="E37" i="8"/>
  <c r="O28" i="8"/>
  <c r="M28" i="8"/>
  <c r="K28" i="8"/>
  <c r="I28" i="8"/>
  <c r="G28" i="8"/>
  <c r="E28" i="8"/>
  <c r="Q26" i="8"/>
  <c r="O26" i="8"/>
  <c r="M26" i="8"/>
  <c r="K26" i="8"/>
  <c r="I26" i="8"/>
  <c r="G26" i="8"/>
  <c r="E26" i="8"/>
  <c r="C26" i="8"/>
  <c r="Q25" i="8"/>
  <c r="O25" i="8"/>
  <c r="M25" i="8"/>
  <c r="K25" i="8"/>
  <c r="I25" i="8"/>
  <c r="G25" i="8"/>
  <c r="E25" i="8"/>
  <c r="C25" i="8"/>
  <c r="Q24" i="8"/>
  <c r="O24" i="8"/>
  <c r="M24" i="8"/>
  <c r="K24" i="8"/>
  <c r="I24" i="8"/>
  <c r="G24" i="8"/>
  <c r="E24" i="8"/>
  <c r="C24" i="8"/>
  <c r="Q23" i="8"/>
  <c r="O23" i="8"/>
  <c r="M23" i="8"/>
  <c r="K23" i="8"/>
  <c r="I23" i="8"/>
  <c r="G23" i="8"/>
  <c r="E23" i="8"/>
  <c r="C23" i="8"/>
  <c r="Q22" i="8"/>
  <c r="O22" i="8"/>
  <c r="M22" i="8"/>
  <c r="K22" i="8"/>
  <c r="I22" i="8"/>
  <c r="G22" i="8"/>
  <c r="E22" i="8"/>
  <c r="C22" i="8"/>
  <c r="Q21" i="8"/>
  <c r="O21" i="8"/>
  <c r="M21" i="8"/>
  <c r="K21" i="8"/>
  <c r="I21" i="8"/>
  <c r="G21" i="8"/>
  <c r="E21" i="8"/>
  <c r="C21" i="8"/>
  <c r="Q20" i="8"/>
  <c r="O20" i="8"/>
  <c r="R20" i="8" s="1"/>
  <c r="M20" i="8"/>
  <c r="K20" i="8"/>
  <c r="I20" i="8"/>
  <c r="G20" i="8"/>
  <c r="E20" i="8"/>
  <c r="C20" i="8"/>
  <c r="Q19" i="8"/>
  <c r="O19" i="8"/>
  <c r="M19" i="8"/>
  <c r="K19" i="8"/>
  <c r="I19" i="8"/>
  <c r="G19" i="8"/>
  <c r="E19" i="8"/>
  <c r="C19" i="8"/>
  <c r="Q18" i="8"/>
  <c r="O18" i="8"/>
  <c r="M18" i="8"/>
  <c r="K18" i="8"/>
  <c r="I18" i="8"/>
  <c r="G18" i="8"/>
  <c r="E18" i="8"/>
  <c r="C18" i="8"/>
  <c r="Q17" i="8"/>
  <c r="O17" i="8"/>
  <c r="M17" i="8"/>
  <c r="K17" i="8"/>
  <c r="I17" i="8"/>
  <c r="G17" i="8"/>
  <c r="E17" i="8"/>
  <c r="C17" i="8"/>
  <c r="Q16" i="8"/>
  <c r="O16" i="8"/>
  <c r="R16" i="8" s="1"/>
  <c r="M16" i="8"/>
  <c r="K16" i="8"/>
  <c r="I16" i="8"/>
  <c r="G16" i="8"/>
  <c r="E16" i="8"/>
  <c r="C16" i="8"/>
  <c r="Q15" i="8"/>
  <c r="O15" i="8"/>
  <c r="M15" i="8"/>
  <c r="K15" i="8"/>
  <c r="I15" i="8"/>
  <c r="G15" i="8"/>
  <c r="E15" i="8"/>
  <c r="C15" i="8"/>
  <c r="Q14" i="8"/>
  <c r="O14" i="8"/>
  <c r="M14" i="8"/>
  <c r="K14" i="8"/>
  <c r="I14" i="8"/>
  <c r="G14" i="8"/>
  <c r="E14" i="8"/>
  <c r="C14" i="8"/>
  <c r="Q13" i="8"/>
  <c r="O13" i="8"/>
  <c r="M13" i="8"/>
  <c r="K13" i="8"/>
  <c r="I13" i="8"/>
  <c r="G13" i="8"/>
  <c r="E13" i="8"/>
  <c r="C13" i="8"/>
  <c r="Q12" i="8"/>
  <c r="O12" i="8"/>
  <c r="M12" i="8"/>
  <c r="K12" i="8"/>
  <c r="G12" i="8"/>
  <c r="E12" i="8"/>
  <c r="C12" i="8"/>
  <c r="Q11" i="8"/>
  <c r="O11" i="8"/>
  <c r="M11" i="8"/>
  <c r="K11" i="8"/>
  <c r="I11" i="8"/>
  <c r="G11" i="8"/>
  <c r="E11" i="8"/>
  <c r="C11" i="8"/>
  <c r="Q10" i="8"/>
  <c r="O10" i="8"/>
  <c r="M10" i="8"/>
  <c r="K10" i="8"/>
  <c r="I10" i="8"/>
  <c r="G10" i="8"/>
  <c r="E10" i="8"/>
  <c r="C10" i="8"/>
  <c r="O37" i="7"/>
  <c r="M37" i="7"/>
  <c r="K37" i="7"/>
  <c r="I37" i="7"/>
  <c r="G37" i="7"/>
  <c r="E37" i="7"/>
  <c r="O28" i="7"/>
  <c r="M28" i="7"/>
  <c r="K28" i="7"/>
  <c r="I28" i="7"/>
  <c r="G28" i="7"/>
  <c r="E28" i="7"/>
  <c r="Q26" i="7"/>
  <c r="O26" i="7"/>
  <c r="M26" i="7"/>
  <c r="K26" i="7"/>
  <c r="I26" i="7"/>
  <c r="G26" i="7"/>
  <c r="E26" i="7"/>
  <c r="C26" i="7"/>
  <c r="Q25" i="7"/>
  <c r="O25" i="7"/>
  <c r="M25" i="7"/>
  <c r="K25" i="7"/>
  <c r="I25" i="7"/>
  <c r="G25" i="7"/>
  <c r="E25" i="7"/>
  <c r="C25" i="7"/>
  <c r="Q24" i="7"/>
  <c r="O24" i="7"/>
  <c r="M24" i="7"/>
  <c r="K24" i="7"/>
  <c r="I24" i="7"/>
  <c r="G24" i="7"/>
  <c r="E24" i="7"/>
  <c r="C24" i="7"/>
  <c r="Q23" i="7"/>
  <c r="O23" i="7"/>
  <c r="M23" i="7"/>
  <c r="K23" i="7"/>
  <c r="I23" i="7"/>
  <c r="G23" i="7"/>
  <c r="E23" i="7"/>
  <c r="C23" i="7"/>
  <c r="Q22" i="7"/>
  <c r="O22" i="7"/>
  <c r="M22" i="7"/>
  <c r="K22" i="7"/>
  <c r="I22" i="7"/>
  <c r="G22" i="7"/>
  <c r="E22" i="7"/>
  <c r="C22" i="7"/>
  <c r="Q21" i="7"/>
  <c r="O21" i="7"/>
  <c r="M21" i="7"/>
  <c r="K21" i="7"/>
  <c r="I21" i="7"/>
  <c r="G21" i="7"/>
  <c r="E21" i="7"/>
  <c r="C21" i="7"/>
  <c r="Q20" i="7"/>
  <c r="O20" i="7"/>
  <c r="M20" i="7"/>
  <c r="K20" i="7"/>
  <c r="I20" i="7"/>
  <c r="G20" i="7"/>
  <c r="E20" i="7"/>
  <c r="C20" i="7"/>
  <c r="Q19" i="7"/>
  <c r="O19" i="7"/>
  <c r="M19" i="7"/>
  <c r="K19" i="7"/>
  <c r="I19" i="7"/>
  <c r="G19" i="7"/>
  <c r="E19" i="7"/>
  <c r="C19" i="7"/>
  <c r="Q18" i="7"/>
  <c r="O18" i="7"/>
  <c r="M18" i="7"/>
  <c r="K18" i="7"/>
  <c r="I18" i="7"/>
  <c r="G18" i="7"/>
  <c r="E18" i="7"/>
  <c r="C18" i="7"/>
  <c r="Q17" i="7"/>
  <c r="O17" i="7"/>
  <c r="M17" i="7"/>
  <c r="K17" i="7"/>
  <c r="I17" i="7"/>
  <c r="G17" i="7"/>
  <c r="E17" i="7"/>
  <c r="C17" i="7"/>
  <c r="Q16" i="7"/>
  <c r="O16" i="7"/>
  <c r="M16" i="7"/>
  <c r="K16" i="7"/>
  <c r="I16" i="7"/>
  <c r="G16" i="7"/>
  <c r="E16" i="7"/>
  <c r="C16" i="7"/>
  <c r="Q15" i="7"/>
  <c r="O15" i="7"/>
  <c r="M15" i="7"/>
  <c r="K15" i="7"/>
  <c r="I15" i="7"/>
  <c r="G15" i="7"/>
  <c r="E15" i="7"/>
  <c r="C15" i="7"/>
  <c r="Q14" i="7"/>
  <c r="O14" i="7"/>
  <c r="M14" i="7"/>
  <c r="K14" i="7"/>
  <c r="I14" i="7"/>
  <c r="G14" i="7"/>
  <c r="E14" i="7"/>
  <c r="C14" i="7"/>
  <c r="Q13" i="7"/>
  <c r="O13" i="7"/>
  <c r="M13" i="7"/>
  <c r="K13" i="7"/>
  <c r="I13" i="7"/>
  <c r="G13" i="7"/>
  <c r="E13" i="7"/>
  <c r="C13" i="7"/>
  <c r="Q12" i="7"/>
  <c r="O12" i="7"/>
  <c r="M12" i="7"/>
  <c r="K12" i="7"/>
  <c r="I12" i="7"/>
  <c r="G12" i="7"/>
  <c r="E12" i="7"/>
  <c r="C12" i="7"/>
  <c r="O11" i="7"/>
  <c r="M11" i="7"/>
  <c r="K11" i="7"/>
  <c r="I11" i="7"/>
  <c r="G11" i="7"/>
  <c r="E11" i="7"/>
  <c r="C11" i="7"/>
  <c r="Q10" i="7"/>
  <c r="O10" i="7"/>
  <c r="M10" i="7"/>
  <c r="K10" i="7"/>
  <c r="I10" i="7"/>
  <c r="G10" i="7"/>
  <c r="E10" i="7"/>
  <c r="C10" i="7"/>
  <c r="O37" i="6"/>
  <c r="M37" i="6"/>
  <c r="K37" i="6"/>
  <c r="I37" i="6"/>
  <c r="G37" i="6"/>
  <c r="E37" i="6"/>
  <c r="O28" i="6"/>
  <c r="M28" i="6"/>
  <c r="K28" i="6"/>
  <c r="I28" i="6"/>
  <c r="G28" i="6"/>
  <c r="E28" i="6"/>
  <c r="Q26" i="6"/>
  <c r="O26" i="6"/>
  <c r="M26" i="6"/>
  <c r="K26" i="6"/>
  <c r="I26" i="6"/>
  <c r="G26" i="6"/>
  <c r="E26" i="6"/>
  <c r="C26" i="6"/>
  <c r="Q25" i="6"/>
  <c r="O25" i="6"/>
  <c r="M25" i="6"/>
  <c r="K25" i="6"/>
  <c r="I25" i="6"/>
  <c r="G25" i="6"/>
  <c r="E25" i="6"/>
  <c r="C25" i="6"/>
  <c r="Q24" i="6"/>
  <c r="O24" i="6"/>
  <c r="M24" i="6"/>
  <c r="K24" i="6"/>
  <c r="I24" i="6"/>
  <c r="G24" i="6"/>
  <c r="E24" i="6"/>
  <c r="C24" i="6"/>
  <c r="Q23" i="6"/>
  <c r="O23" i="6"/>
  <c r="M23" i="6"/>
  <c r="K23" i="6"/>
  <c r="I23" i="6"/>
  <c r="G23" i="6"/>
  <c r="E23" i="6"/>
  <c r="C23" i="6"/>
  <c r="Q22" i="6"/>
  <c r="O22" i="6"/>
  <c r="M22" i="6"/>
  <c r="K22" i="6"/>
  <c r="I22" i="6"/>
  <c r="G22" i="6"/>
  <c r="E22" i="6"/>
  <c r="C22" i="6"/>
  <c r="Q21" i="6"/>
  <c r="O21" i="6"/>
  <c r="M21" i="6"/>
  <c r="K21" i="6"/>
  <c r="I21" i="6"/>
  <c r="G21" i="6"/>
  <c r="E21" i="6"/>
  <c r="C21" i="6"/>
  <c r="Q20" i="6"/>
  <c r="O20" i="6"/>
  <c r="M20" i="6"/>
  <c r="K20" i="6"/>
  <c r="I20" i="6"/>
  <c r="G20" i="6"/>
  <c r="E20" i="6"/>
  <c r="C20" i="6"/>
  <c r="Q19" i="6"/>
  <c r="O19" i="6"/>
  <c r="M19" i="6"/>
  <c r="K19" i="6"/>
  <c r="I19" i="6"/>
  <c r="G19" i="6"/>
  <c r="E19" i="6"/>
  <c r="C19" i="6"/>
  <c r="Q18" i="6"/>
  <c r="O18" i="6"/>
  <c r="M18" i="6"/>
  <c r="K18" i="6"/>
  <c r="I18" i="6"/>
  <c r="G18" i="6"/>
  <c r="E18" i="6"/>
  <c r="C18" i="6"/>
  <c r="Q17" i="6"/>
  <c r="O17" i="6"/>
  <c r="M17" i="6"/>
  <c r="K17" i="6"/>
  <c r="I17" i="6"/>
  <c r="G17" i="6"/>
  <c r="E17" i="6"/>
  <c r="C17" i="6"/>
  <c r="Q16" i="6"/>
  <c r="O16" i="6"/>
  <c r="M16" i="6"/>
  <c r="K16" i="6"/>
  <c r="I16" i="6"/>
  <c r="G16" i="6"/>
  <c r="E16" i="6"/>
  <c r="C16" i="6"/>
  <c r="Q15" i="6"/>
  <c r="O15" i="6"/>
  <c r="M15" i="6"/>
  <c r="K15" i="6"/>
  <c r="I15" i="6"/>
  <c r="G15" i="6"/>
  <c r="E15" i="6"/>
  <c r="C15" i="6"/>
  <c r="Q14" i="6"/>
  <c r="O14" i="6"/>
  <c r="M14" i="6"/>
  <c r="K14" i="6"/>
  <c r="I14" i="6"/>
  <c r="G14" i="6"/>
  <c r="E14" i="6"/>
  <c r="C14" i="6"/>
  <c r="Q13" i="6"/>
  <c r="O13" i="6"/>
  <c r="M13" i="6"/>
  <c r="K13" i="6"/>
  <c r="I13" i="6"/>
  <c r="G13" i="6"/>
  <c r="E13" i="6"/>
  <c r="C13" i="6"/>
  <c r="Q12" i="6"/>
  <c r="O12" i="6"/>
  <c r="M12" i="6"/>
  <c r="K12" i="6"/>
  <c r="I12" i="6"/>
  <c r="G12" i="6"/>
  <c r="E12" i="6"/>
  <c r="C12" i="6"/>
  <c r="Q11" i="6"/>
  <c r="O11" i="6"/>
  <c r="M11" i="6"/>
  <c r="I11" i="6"/>
  <c r="E11" i="6"/>
  <c r="C11" i="6"/>
  <c r="Q10" i="6"/>
  <c r="O10" i="6"/>
  <c r="M10" i="6"/>
  <c r="K10" i="6"/>
  <c r="I10" i="6"/>
  <c r="G10" i="6"/>
  <c r="E10" i="6"/>
  <c r="C10" i="6"/>
  <c r="O37" i="5"/>
  <c r="M37" i="5"/>
  <c r="K37" i="5"/>
  <c r="I37" i="5"/>
  <c r="G37" i="5"/>
  <c r="E37" i="5"/>
  <c r="O28" i="5"/>
  <c r="M28" i="5"/>
  <c r="K28" i="5"/>
  <c r="I28" i="5"/>
  <c r="G28" i="5"/>
  <c r="E28" i="5"/>
  <c r="Q26" i="5"/>
  <c r="O26" i="5"/>
  <c r="M26" i="5"/>
  <c r="K26" i="5"/>
  <c r="I26" i="5"/>
  <c r="G26" i="5"/>
  <c r="E26" i="5"/>
  <c r="C26" i="5"/>
  <c r="Q25" i="5"/>
  <c r="O25" i="5"/>
  <c r="M25" i="5"/>
  <c r="K25" i="5"/>
  <c r="I25" i="5"/>
  <c r="G25" i="5"/>
  <c r="E25" i="5"/>
  <c r="C25" i="5"/>
  <c r="Q24" i="5"/>
  <c r="O24" i="5"/>
  <c r="M24" i="5"/>
  <c r="K24" i="5"/>
  <c r="I24" i="5"/>
  <c r="G24" i="5"/>
  <c r="E24" i="5"/>
  <c r="C24" i="5"/>
  <c r="Q23" i="5"/>
  <c r="O23" i="5"/>
  <c r="M23" i="5"/>
  <c r="K23" i="5"/>
  <c r="I23" i="5"/>
  <c r="G23" i="5"/>
  <c r="E23" i="5"/>
  <c r="C23" i="5"/>
  <c r="Q22" i="5"/>
  <c r="O22" i="5"/>
  <c r="M22" i="5"/>
  <c r="K22" i="5"/>
  <c r="I22" i="5"/>
  <c r="G22" i="5"/>
  <c r="E22" i="5"/>
  <c r="C22" i="5"/>
  <c r="Q21" i="5"/>
  <c r="O21" i="5"/>
  <c r="M21" i="5"/>
  <c r="K21" i="5"/>
  <c r="I21" i="5"/>
  <c r="G21" i="5"/>
  <c r="E21" i="5"/>
  <c r="C21" i="5"/>
  <c r="Q20" i="5"/>
  <c r="O20" i="5"/>
  <c r="M20" i="5"/>
  <c r="K20" i="5"/>
  <c r="I20" i="5"/>
  <c r="G20" i="5"/>
  <c r="E20" i="5"/>
  <c r="C20" i="5"/>
  <c r="Q19" i="5"/>
  <c r="O19" i="5"/>
  <c r="M19" i="5"/>
  <c r="K19" i="5"/>
  <c r="I19" i="5"/>
  <c r="G19" i="5"/>
  <c r="E19" i="5"/>
  <c r="C19" i="5"/>
  <c r="Q18" i="5"/>
  <c r="O18" i="5"/>
  <c r="M18" i="5"/>
  <c r="K18" i="5"/>
  <c r="I18" i="5"/>
  <c r="G18" i="5"/>
  <c r="E18" i="5"/>
  <c r="C18" i="5"/>
  <c r="Q17" i="5"/>
  <c r="O17" i="5"/>
  <c r="M17" i="5"/>
  <c r="K17" i="5"/>
  <c r="I17" i="5"/>
  <c r="G17" i="5"/>
  <c r="E17" i="5"/>
  <c r="C17" i="5"/>
  <c r="Q16" i="5"/>
  <c r="O16" i="5"/>
  <c r="M16" i="5"/>
  <c r="K16" i="5"/>
  <c r="I16" i="5"/>
  <c r="G16" i="5"/>
  <c r="E16" i="5"/>
  <c r="C16" i="5"/>
  <c r="Q15" i="5"/>
  <c r="O15" i="5"/>
  <c r="M15" i="5"/>
  <c r="K15" i="5"/>
  <c r="I15" i="5"/>
  <c r="G15" i="5"/>
  <c r="E15" i="5"/>
  <c r="C15" i="5"/>
  <c r="Q14" i="5"/>
  <c r="O14" i="5"/>
  <c r="M14" i="5"/>
  <c r="K14" i="5"/>
  <c r="I14" i="5"/>
  <c r="G14" i="5"/>
  <c r="E14" i="5"/>
  <c r="C14" i="5"/>
  <c r="Q13" i="5"/>
  <c r="O13" i="5"/>
  <c r="M13" i="5"/>
  <c r="K13" i="5"/>
  <c r="I13" i="5"/>
  <c r="G13" i="5"/>
  <c r="E13" i="5"/>
  <c r="C13" i="5"/>
  <c r="Q12" i="5"/>
  <c r="O12" i="5"/>
  <c r="M12" i="5"/>
  <c r="K12" i="5"/>
  <c r="I12" i="5"/>
  <c r="G12" i="5"/>
  <c r="E12" i="5"/>
  <c r="C12" i="5"/>
  <c r="Q11" i="5"/>
  <c r="O11" i="5"/>
  <c r="M11" i="5"/>
  <c r="K11" i="5"/>
  <c r="G11" i="5"/>
  <c r="E11" i="5"/>
  <c r="C11" i="5"/>
  <c r="Q10" i="5"/>
  <c r="O10" i="5"/>
  <c r="M10" i="5"/>
  <c r="K10" i="5"/>
  <c r="I10" i="5"/>
  <c r="G10" i="5"/>
  <c r="E10" i="5"/>
  <c r="C10" i="5"/>
  <c r="O37" i="4"/>
  <c r="M37" i="4"/>
  <c r="K37" i="4"/>
  <c r="I37" i="4"/>
  <c r="G37" i="4"/>
  <c r="E37" i="4"/>
  <c r="O28" i="4"/>
  <c r="M28" i="4"/>
  <c r="K28" i="4"/>
  <c r="I28" i="4"/>
  <c r="G28" i="4"/>
  <c r="E28" i="4"/>
  <c r="Q26" i="4"/>
  <c r="O26" i="4"/>
  <c r="M26" i="4"/>
  <c r="K26" i="4"/>
  <c r="I26" i="4"/>
  <c r="G26" i="4"/>
  <c r="E26" i="4"/>
  <c r="C26" i="4"/>
  <c r="Q25" i="4"/>
  <c r="O25" i="4"/>
  <c r="M25" i="4"/>
  <c r="K25" i="4"/>
  <c r="I25" i="4"/>
  <c r="G25" i="4"/>
  <c r="E25" i="4"/>
  <c r="C25" i="4"/>
  <c r="Q24" i="4"/>
  <c r="O24" i="4"/>
  <c r="M24" i="4"/>
  <c r="K24" i="4"/>
  <c r="I24" i="4"/>
  <c r="G24" i="4"/>
  <c r="E24" i="4"/>
  <c r="C24" i="4"/>
  <c r="Q23" i="4"/>
  <c r="O23" i="4"/>
  <c r="M23" i="4"/>
  <c r="K23" i="4"/>
  <c r="I23" i="4"/>
  <c r="G23" i="4"/>
  <c r="E23" i="4"/>
  <c r="C23" i="4"/>
  <c r="Q22" i="4"/>
  <c r="O22" i="4"/>
  <c r="M22" i="4"/>
  <c r="K22" i="4"/>
  <c r="I22" i="4"/>
  <c r="G22" i="4"/>
  <c r="E22" i="4"/>
  <c r="C22" i="4"/>
  <c r="Q21" i="4"/>
  <c r="O21" i="4"/>
  <c r="M21" i="4"/>
  <c r="K21" i="4"/>
  <c r="I21" i="4"/>
  <c r="G21" i="4"/>
  <c r="E21" i="4"/>
  <c r="C21" i="4"/>
  <c r="Q20" i="4"/>
  <c r="O20" i="4"/>
  <c r="M20" i="4"/>
  <c r="K20" i="4"/>
  <c r="I20" i="4"/>
  <c r="G20" i="4"/>
  <c r="E20" i="4"/>
  <c r="C20" i="4"/>
  <c r="Q19" i="4"/>
  <c r="O19" i="4"/>
  <c r="M19" i="4"/>
  <c r="K19" i="4"/>
  <c r="I19" i="4"/>
  <c r="G19" i="4"/>
  <c r="E19" i="4"/>
  <c r="C19" i="4"/>
  <c r="Q18" i="4"/>
  <c r="O18" i="4"/>
  <c r="M18" i="4"/>
  <c r="K18" i="4"/>
  <c r="I18" i="4"/>
  <c r="G18" i="4"/>
  <c r="E18" i="4"/>
  <c r="C18" i="4"/>
  <c r="Q17" i="4"/>
  <c r="O17" i="4"/>
  <c r="M17" i="4"/>
  <c r="K17" i="4"/>
  <c r="I17" i="4"/>
  <c r="G17" i="4"/>
  <c r="E17" i="4"/>
  <c r="C17" i="4"/>
  <c r="Q16" i="4"/>
  <c r="O16" i="4"/>
  <c r="M16" i="4"/>
  <c r="K16" i="4"/>
  <c r="I16" i="4"/>
  <c r="G16" i="4"/>
  <c r="E16" i="4"/>
  <c r="C16" i="4"/>
  <c r="Q15" i="4"/>
  <c r="O15" i="4"/>
  <c r="M15" i="4"/>
  <c r="K15" i="4"/>
  <c r="I15" i="4"/>
  <c r="G15" i="4"/>
  <c r="E15" i="4"/>
  <c r="C15" i="4"/>
  <c r="Q14" i="4"/>
  <c r="O14" i="4"/>
  <c r="M14" i="4"/>
  <c r="K14" i="4"/>
  <c r="I14" i="4"/>
  <c r="G14" i="4"/>
  <c r="E14" i="4"/>
  <c r="C14" i="4"/>
  <c r="Q13" i="4"/>
  <c r="M13" i="4"/>
  <c r="K13" i="4"/>
  <c r="I13" i="4"/>
  <c r="G13" i="4"/>
  <c r="E13" i="4"/>
  <c r="C13" i="4"/>
  <c r="Q12" i="4"/>
  <c r="O12" i="4"/>
  <c r="M12" i="4"/>
  <c r="K12" i="4"/>
  <c r="G12" i="4"/>
  <c r="E12" i="4"/>
  <c r="C12" i="4"/>
  <c r="Q11" i="4"/>
  <c r="O11" i="4"/>
  <c r="M11" i="4"/>
  <c r="I11" i="4"/>
  <c r="G11" i="4"/>
  <c r="E11" i="4"/>
  <c r="C11" i="4"/>
  <c r="Q10" i="4"/>
  <c r="O10" i="4"/>
  <c r="M10" i="4"/>
  <c r="K10" i="4"/>
  <c r="I10" i="4"/>
  <c r="G10" i="4"/>
  <c r="E10" i="4"/>
  <c r="C10" i="4"/>
  <c r="O37" i="3"/>
  <c r="M37" i="3"/>
  <c r="K37" i="3"/>
  <c r="I37" i="3"/>
  <c r="G37" i="3"/>
  <c r="E37" i="3"/>
  <c r="O28" i="3"/>
  <c r="M28" i="3"/>
  <c r="K28" i="3"/>
  <c r="I28" i="3"/>
  <c r="G28" i="3"/>
  <c r="E28" i="3"/>
  <c r="Q26" i="3"/>
  <c r="O26" i="3"/>
  <c r="M26" i="3"/>
  <c r="K26" i="3"/>
  <c r="I26" i="3"/>
  <c r="G26" i="3"/>
  <c r="E26" i="3"/>
  <c r="C26" i="3"/>
  <c r="Q25" i="3"/>
  <c r="O25" i="3"/>
  <c r="M25" i="3"/>
  <c r="K25" i="3"/>
  <c r="I25" i="3"/>
  <c r="G25" i="3"/>
  <c r="E25" i="3"/>
  <c r="C25" i="3"/>
  <c r="Q24" i="3"/>
  <c r="O24" i="3"/>
  <c r="M24" i="3"/>
  <c r="K24" i="3"/>
  <c r="I24" i="3"/>
  <c r="G24" i="3"/>
  <c r="E24" i="3"/>
  <c r="C24" i="3"/>
  <c r="Q23" i="3"/>
  <c r="O23" i="3"/>
  <c r="M23" i="3"/>
  <c r="K23" i="3"/>
  <c r="I23" i="3"/>
  <c r="G23" i="3"/>
  <c r="E23" i="3"/>
  <c r="C23" i="3"/>
  <c r="Q22" i="3"/>
  <c r="O22" i="3"/>
  <c r="M22" i="3"/>
  <c r="K22" i="3"/>
  <c r="I22" i="3"/>
  <c r="G22" i="3"/>
  <c r="E22" i="3"/>
  <c r="C22" i="3"/>
  <c r="Q21" i="3"/>
  <c r="O21" i="3"/>
  <c r="M21" i="3"/>
  <c r="K21" i="3"/>
  <c r="I21" i="3"/>
  <c r="G21" i="3"/>
  <c r="E21" i="3"/>
  <c r="C21" i="3"/>
  <c r="Q20" i="3"/>
  <c r="O20" i="3"/>
  <c r="M20" i="3"/>
  <c r="K20" i="3"/>
  <c r="I20" i="3"/>
  <c r="G20" i="3"/>
  <c r="E20" i="3"/>
  <c r="C20" i="3"/>
  <c r="Q19" i="3"/>
  <c r="O19" i="3"/>
  <c r="M19" i="3"/>
  <c r="K19" i="3"/>
  <c r="I19" i="3"/>
  <c r="G19" i="3"/>
  <c r="E19" i="3"/>
  <c r="C19" i="3"/>
  <c r="Q18" i="3"/>
  <c r="O18" i="3"/>
  <c r="M18" i="3"/>
  <c r="K18" i="3"/>
  <c r="I18" i="3"/>
  <c r="G18" i="3"/>
  <c r="E18" i="3"/>
  <c r="C18" i="3"/>
  <c r="Q17" i="3"/>
  <c r="O17" i="3"/>
  <c r="M17" i="3"/>
  <c r="K17" i="3"/>
  <c r="I17" i="3"/>
  <c r="G17" i="3"/>
  <c r="E17" i="3"/>
  <c r="C17" i="3"/>
  <c r="Q16" i="3"/>
  <c r="O16" i="3"/>
  <c r="M16" i="3"/>
  <c r="K16" i="3"/>
  <c r="I16" i="3"/>
  <c r="G16" i="3"/>
  <c r="E16" i="3"/>
  <c r="C16" i="3"/>
  <c r="Q15" i="3"/>
  <c r="O15" i="3"/>
  <c r="M15" i="3"/>
  <c r="K15" i="3"/>
  <c r="I15" i="3"/>
  <c r="G15" i="3"/>
  <c r="E15" i="3"/>
  <c r="C15" i="3"/>
  <c r="Q14" i="3"/>
  <c r="O14" i="3"/>
  <c r="M14" i="3"/>
  <c r="K14" i="3"/>
  <c r="I14" i="3"/>
  <c r="G14" i="3"/>
  <c r="E14" i="3"/>
  <c r="C14" i="3"/>
  <c r="Q13" i="3"/>
  <c r="O13" i="3"/>
  <c r="M13" i="3"/>
  <c r="K13" i="3"/>
  <c r="I13" i="3"/>
  <c r="G13" i="3"/>
  <c r="E13" i="3"/>
  <c r="C13" i="3"/>
  <c r="Q12" i="3"/>
  <c r="O12" i="3"/>
  <c r="M12" i="3"/>
  <c r="K12" i="3"/>
  <c r="I12" i="3"/>
  <c r="G12" i="3"/>
  <c r="E12" i="3"/>
  <c r="C12" i="3"/>
  <c r="Q11" i="3"/>
  <c r="O11" i="3"/>
  <c r="M11" i="3"/>
  <c r="K11" i="3"/>
  <c r="I11" i="3"/>
  <c r="G11" i="3"/>
  <c r="E11" i="3"/>
  <c r="C11" i="3"/>
  <c r="Q10" i="3"/>
  <c r="O10" i="3"/>
  <c r="M10" i="3"/>
  <c r="K10" i="3"/>
  <c r="I10" i="3"/>
  <c r="G10" i="3"/>
  <c r="E10" i="3"/>
  <c r="C10" i="3"/>
  <c r="O37" i="2"/>
  <c r="M37" i="2"/>
  <c r="K37" i="2"/>
  <c r="I37" i="2"/>
  <c r="G37" i="2"/>
  <c r="E37" i="2"/>
  <c r="O28" i="2"/>
  <c r="M28" i="2"/>
  <c r="K28" i="2"/>
  <c r="I28" i="2"/>
  <c r="G28" i="2"/>
  <c r="E28" i="2"/>
  <c r="Q26" i="2"/>
  <c r="O26" i="2"/>
  <c r="M26" i="2"/>
  <c r="K26" i="2"/>
  <c r="I26" i="2"/>
  <c r="G26" i="2"/>
  <c r="E26" i="2"/>
  <c r="C26" i="2"/>
  <c r="Q25" i="2"/>
  <c r="O25" i="2"/>
  <c r="M25" i="2"/>
  <c r="K25" i="2"/>
  <c r="I25" i="2"/>
  <c r="G25" i="2"/>
  <c r="E25" i="2"/>
  <c r="C25" i="2"/>
  <c r="Q24" i="2"/>
  <c r="O24" i="2"/>
  <c r="M24" i="2"/>
  <c r="K24" i="2"/>
  <c r="I24" i="2"/>
  <c r="G24" i="2"/>
  <c r="E24" i="2"/>
  <c r="C24" i="2"/>
  <c r="Q23" i="2"/>
  <c r="O23" i="2"/>
  <c r="M23" i="2"/>
  <c r="K23" i="2"/>
  <c r="I23" i="2"/>
  <c r="G23" i="2"/>
  <c r="E23" i="2"/>
  <c r="C23" i="2"/>
  <c r="Q22" i="2"/>
  <c r="O22" i="2"/>
  <c r="R22" i="2" s="1"/>
  <c r="M22" i="2"/>
  <c r="K22" i="2"/>
  <c r="I22" i="2"/>
  <c r="G22" i="2"/>
  <c r="E22" i="2"/>
  <c r="C22" i="2"/>
  <c r="Q21" i="2"/>
  <c r="O21" i="2"/>
  <c r="M21" i="2"/>
  <c r="K21" i="2"/>
  <c r="I21" i="2"/>
  <c r="G21" i="2"/>
  <c r="E21" i="2"/>
  <c r="C21" i="2"/>
  <c r="Q20" i="2"/>
  <c r="O20" i="2"/>
  <c r="R20" i="2" s="1"/>
  <c r="M20" i="2"/>
  <c r="K20" i="2"/>
  <c r="I20" i="2"/>
  <c r="G20" i="2"/>
  <c r="E20" i="2"/>
  <c r="C20" i="2"/>
  <c r="Q19" i="2"/>
  <c r="O19" i="2"/>
  <c r="M19" i="2"/>
  <c r="K19" i="2"/>
  <c r="I19" i="2"/>
  <c r="G19" i="2"/>
  <c r="E19" i="2"/>
  <c r="C19" i="2"/>
  <c r="Q18" i="2"/>
  <c r="O18" i="2"/>
  <c r="M18" i="2"/>
  <c r="K18" i="2"/>
  <c r="I18" i="2"/>
  <c r="G18" i="2"/>
  <c r="E18" i="2"/>
  <c r="C18" i="2"/>
  <c r="Q17" i="2"/>
  <c r="O17" i="2"/>
  <c r="M17" i="2"/>
  <c r="K17" i="2"/>
  <c r="I17" i="2"/>
  <c r="G17" i="2"/>
  <c r="E17" i="2"/>
  <c r="C17" i="2"/>
  <c r="Q16" i="2"/>
  <c r="O16" i="2"/>
  <c r="M16" i="2"/>
  <c r="K16" i="2"/>
  <c r="I16" i="2"/>
  <c r="G16" i="2"/>
  <c r="E16" i="2"/>
  <c r="C16" i="2"/>
  <c r="Q15" i="2"/>
  <c r="O15" i="2"/>
  <c r="M15" i="2"/>
  <c r="K15" i="2"/>
  <c r="I15" i="2"/>
  <c r="G15" i="2"/>
  <c r="E15" i="2"/>
  <c r="C15" i="2"/>
  <c r="Q14" i="2"/>
  <c r="O14" i="2"/>
  <c r="M14" i="2"/>
  <c r="K14" i="2"/>
  <c r="I14" i="2"/>
  <c r="G14" i="2"/>
  <c r="E14" i="2"/>
  <c r="C14" i="2"/>
  <c r="Q13" i="2"/>
  <c r="O13" i="2"/>
  <c r="M13" i="2"/>
  <c r="K13" i="2"/>
  <c r="I13" i="2"/>
  <c r="G13" i="2"/>
  <c r="E13" i="2"/>
  <c r="C13" i="2"/>
  <c r="Q12" i="2"/>
  <c r="O12" i="2"/>
  <c r="M12" i="2"/>
  <c r="K12" i="2"/>
  <c r="I12" i="2"/>
  <c r="G12" i="2"/>
  <c r="E12" i="2"/>
  <c r="C12" i="2"/>
  <c r="Q11" i="2"/>
  <c r="O11" i="2"/>
  <c r="M11" i="2"/>
  <c r="K11" i="2"/>
  <c r="I11" i="2"/>
  <c r="G11" i="2"/>
  <c r="E11" i="2"/>
  <c r="C11" i="2"/>
  <c r="Q10" i="2"/>
  <c r="O10" i="2"/>
  <c r="M10" i="2"/>
  <c r="K10" i="2"/>
  <c r="I10" i="2"/>
  <c r="G10" i="2"/>
  <c r="E10" i="2"/>
  <c r="C10" i="2"/>
  <c r="O37" i="1"/>
  <c r="M37" i="1"/>
  <c r="K37" i="1"/>
  <c r="I37" i="1"/>
  <c r="G37" i="1"/>
  <c r="E37" i="1"/>
  <c r="O28" i="1"/>
  <c r="M28" i="1"/>
  <c r="K28" i="1"/>
  <c r="I28" i="1"/>
  <c r="G28" i="1"/>
  <c r="E28" i="1"/>
  <c r="Q26" i="1"/>
  <c r="O26" i="1"/>
  <c r="M26" i="1"/>
  <c r="K26" i="1"/>
  <c r="I26" i="1"/>
  <c r="G26" i="1"/>
  <c r="E26" i="1"/>
  <c r="C26" i="1"/>
  <c r="Q25" i="1"/>
  <c r="O25" i="1"/>
  <c r="M25" i="1"/>
  <c r="K25" i="1"/>
  <c r="I25" i="1"/>
  <c r="G25" i="1"/>
  <c r="E25" i="1"/>
  <c r="C25" i="1"/>
  <c r="Q24" i="1"/>
  <c r="O24" i="1"/>
  <c r="M24" i="1"/>
  <c r="K24" i="1"/>
  <c r="I24" i="1"/>
  <c r="G24" i="1"/>
  <c r="E24" i="1"/>
  <c r="C24" i="1"/>
  <c r="Q23" i="1"/>
  <c r="O23" i="1"/>
  <c r="M23" i="1"/>
  <c r="K23" i="1"/>
  <c r="I23" i="1"/>
  <c r="G23" i="1"/>
  <c r="E23" i="1"/>
  <c r="C23" i="1"/>
  <c r="Q22" i="1"/>
  <c r="O22" i="1"/>
  <c r="M22" i="1"/>
  <c r="K22" i="1"/>
  <c r="I22" i="1"/>
  <c r="G22" i="1"/>
  <c r="E22" i="1"/>
  <c r="C22" i="1"/>
  <c r="Q21" i="1"/>
  <c r="O21" i="1"/>
  <c r="M21" i="1"/>
  <c r="K21" i="1"/>
  <c r="I21" i="1"/>
  <c r="G21" i="1"/>
  <c r="E21" i="1"/>
  <c r="C21" i="1"/>
  <c r="Q20" i="1"/>
  <c r="O20" i="1"/>
  <c r="M20" i="1"/>
  <c r="K20" i="1"/>
  <c r="I20" i="1"/>
  <c r="G20" i="1"/>
  <c r="E20" i="1"/>
  <c r="C20" i="1"/>
  <c r="Q19" i="1"/>
  <c r="O19" i="1"/>
  <c r="M19" i="1"/>
  <c r="K19" i="1"/>
  <c r="I19" i="1"/>
  <c r="G19" i="1"/>
  <c r="E19" i="1"/>
  <c r="C19" i="1"/>
  <c r="Q18" i="1"/>
  <c r="O18" i="1"/>
  <c r="M18" i="1"/>
  <c r="K18" i="1"/>
  <c r="I18" i="1"/>
  <c r="G18" i="1"/>
  <c r="E18" i="1"/>
  <c r="C18" i="1"/>
  <c r="Q17" i="1"/>
  <c r="O17" i="1"/>
  <c r="R17" i="1" s="1"/>
  <c r="M17" i="1"/>
  <c r="K17" i="1"/>
  <c r="I17" i="1"/>
  <c r="G17" i="1"/>
  <c r="E17" i="1"/>
  <c r="C17" i="1"/>
  <c r="Q16" i="1"/>
  <c r="O16" i="1"/>
  <c r="M16" i="1"/>
  <c r="K16" i="1"/>
  <c r="I16" i="1"/>
  <c r="G16" i="1"/>
  <c r="E16" i="1"/>
  <c r="C16" i="1"/>
  <c r="Q15" i="1"/>
  <c r="O15" i="1"/>
  <c r="M15" i="1"/>
  <c r="K15" i="1"/>
  <c r="I15" i="1"/>
  <c r="G15" i="1"/>
  <c r="E15" i="1"/>
  <c r="C15" i="1"/>
  <c r="Q14" i="1"/>
  <c r="O14" i="1"/>
  <c r="M14" i="1"/>
  <c r="K14" i="1"/>
  <c r="I14" i="1"/>
  <c r="G14" i="1"/>
  <c r="E14" i="1"/>
  <c r="C14" i="1"/>
  <c r="Q13" i="1"/>
  <c r="O13" i="1"/>
  <c r="M13" i="1"/>
  <c r="K13" i="1"/>
  <c r="I13" i="1"/>
  <c r="G13" i="1"/>
  <c r="E13" i="1"/>
  <c r="C13" i="1"/>
  <c r="Q12" i="1"/>
  <c r="O12" i="1"/>
  <c r="M12" i="1"/>
  <c r="K12" i="1"/>
  <c r="I12" i="1"/>
  <c r="G12" i="1"/>
  <c r="E12" i="1"/>
  <c r="C12" i="1"/>
  <c r="Q11" i="1"/>
  <c r="O11" i="1"/>
  <c r="M11" i="1"/>
  <c r="K11" i="1"/>
  <c r="I11" i="1"/>
  <c r="G11" i="1"/>
  <c r="E11" i="1"/>
  <c r="C11" i="1"/>
  <c r="Q10" i="1"/>
  <c r="O10" i="1"/>
  <c r="M10" i="1"/>
  <c r="K10" i="1"/>
  <c r="I10" i="1"/>
  <c r="G10" i="1"/>
  <c r="E10" i="1"/>
  <c r="C10" i="1"/>
  <c r="F27" i="1" l="1"/>
  <c r="H27" i="1"/>
  <c r="F27" i="2"/>
  <c r="D27" i="2"/>
  <c r="H27" i="2"/>
  <c r="D27" i="8"/>
  <c r="L27" i="8"/>
  <c r="P27" i="8"/>
  <c r="D27" i="5"/>
  <c r="F27" i="4"/>
  <c r="N27" i="2"/>
  <c r="J27" i="2"/>
  <c r="N27" i="1"/>
  <c r="L27" i="1"/>
  <c r="J27" i="1"/>
  <c r="D27" i="1"/>
  <c r="R15" i="1"/>
  <c r="R19" i="1"/>
  <c r="R23" i="1"/>
  <c r="R12" i="2"/>
  <c r="R14" i="2"/>
  <c r="R16" i="2"/>
  <c r="R24" i="2"/>
  <c r="R26" i="2"/>
  <c r="R37" i="2"/>
  <c r="R15" i="3"/>
  <c r="R17" i="3"/>
  <c r="R19" i="3"/>
  <c r="R21" i="3"/>
  <c r="R23" i="3"/>
  <c r="R25" i="3"/>
  <c r="R28" i="3"/>
  <c r="R15" i="5"/>
  <c r="R17" i="5"/>
  <c r="R19" i="5"/>
  <c r="R21" i="5"/>
  <c r="R23" i="5"/>
  <c r="R25" i="5"/>
  <c r="R28" i="5"/>
  <c r="R10" i="6"/>
  <c r="N27" i="6"/>
  <c r="R14" i="6"/>
  <c r="R16" i="6"/>
  <c r="R18" i="6"/>
  <c r="R20" i="6"/>
  <c r="R22" i="6"/>
  <c r="R24" i="6"/>
  <c r="R26" i="6"/>
  <c r="R37" i="6"/>
  <c r="J27" i="8"/>
  <c r="R14" i="8"/>
  <c r="R18" i="8"/>
  <c r="R22" i="8"/>
  <c r="R24" i="8"/>
  <c r="R26" i="8"/>
  <c r="R37" i="8"/>
  <c r="R10" i="1"/>
  <c r="R12" i="1"/>
  <c r="R14" i="1"/>
  <c r="R16" i="1"/>
  <c r="R18" i="1"/>
  <c r="R20" i="1"/>
  <c r="R22" i="1"/>
  <c r="R24" i="1"/>
  <c r="R26" i="1"/>
  <c r="R37" i="1"/>
  <c r="R11" i="2"/>
  <c r="R13" i="2"/>
  <c r="R15" i="2"/>
  <c r="R17" i="2"/>
  <c r="R19" i="2"/>
  <c r="R21" i="2"/>
  <c r="R23" i="2"/>
  <c r="R25" i="2"/>
  <c r="H27" i="3"/>
  <c r="R14" i="4"/>
  <c r="R16" i="4"/>
  <c r="R18" i="4"/>
  <c r="R20" i="4"/>
  <c r="R22" i="4"/>
  <c r="R24" i="4"/>
  <c r="R26" i="4"/>
  <c r="R37" i="4"/>
  <c r="D27" i="7"/>
  <c r="H27" i="7"/>
  <c r="L27" i="7"/>
  <c r="R13" i="7"/>
  <c r="R15" i="7"/>
  <c r="R17" i="7"/>
  <c r="R19" i="7"/>
  <c r="R21" i="7"/>
  <c r="R23" i="7"/>
  <c r="R25" i="7"/>
  <c r="R28" i="7"/>
  <c r="F27" i="8"/>
  <c r="N27" i="8"/>
  <c r="R11" i="1"/>
  <c r="R13" i="1"/>
  <c r="R21" i="1"/>
  <c r="R25" i="1"/>
  <c r="R28" i="1"/>
  <c r="R18" i="2"/>
  <c r="R11" i="3"/>
  <c r="R13" i="3"/>
  <c r="L27" i="5"/>
  <c r="R13" i="5"/>
  <c r="P27" i="1"/>
  <c r="R10" i="2"/>
  <c r="R28" i="2"/>
  <c r="R12" i="3"/>
  <c r="R16" i="3"/>
  <c r="R22" i="3"/>
  <c r="R10" i="4"/>
  <c r="R17" i="4"/>
  <c r="R25" i="4"/>
  <c r="R16" i="5"/>
  <c r="R24" i="5"/>
  <c r="R12" i="6"/>
  <c r="R13" i="6"/>
  <c r="L27" i="2"/>
  <c r="P27" i="2"/>
  <c r="D27" i="3"/>
  <c r="L27" i="3"/>
  <c r="R10" i="3"/>
  <c r="R14" i="3"/>
  <c r="R18" i="3"/>
  <c r="R26" i="3"/>
  <c r="P27" i="3"/>
  <c r="R21" i="4"/>
  <c r="R10" i="5"/>
  <c r="P27" i="5"/>
  <c r="R12" i="5"/>
  <c r="R20" i="5"/>
  <c r="R37" i="5"/>
  <c r="D27" i="6"/>
  <c r="H27" i="6"/>
  <c r="L27" i="6"/>
  <c r="P27" i="6"/>
  <c r="R17" i="6"/>
  <c r="F27" i="3"/>
  <c r="J27" i="3"/>
  <c r="N27" i="3"/>
  <c r="R20" i="3"/>
  <c r="R24" i="3"/>
  <c r="R37" i="3"/>
  <c r="D27" i="4"/>
  <c r="L27" i="4"/>
  <c r="P27" i="4"/>
  <c r="R15" i="4"/>
  <c r="R19" i="4"/>
  <c r="R23" i="4"/>
  <c r="R28" i="4"/>
  <c r="F27" i="5"/>
  <c r="J27" i="5"/>
  <c r="N27" i="5"/>
  <c r="R14" i="5"/>
  <c r="R18" i="5"/>
  <c r="R22" i="5"/>
  <c r="R26" i="5"/>
  <c r="R15" i="6"/>
  <c r="R19" i="6"/>
  <c r="R23" i="6"/>
  <c r="R28" i="6"/>
  <c r="F27" i="7"/>
  <c r="J27" i="7"/>
  <c r="N27" i="7"/>
  <c r="R14" i="7"/>
  <c r="R18" i="7"/>
  <c r="R22" i="7"/>
  <c r="R26" i="7"/>
  <c r="R10" i="8"/>
  <c r="R11" i="8"/>
  <c r="R13" i="8"/>
  <c r="R17" i="8"/>
  <c r="R21" i="8"/>
  <c r="R25" i="8"/>
  <c r="I12" i="8"/>
  <c r="R12" i="8" s="1"/>
  <c r="Q11" i="7"/>
  <c r="R11" i="7" s="1"/>
  <c r="K11" i="6"/>
  <c r="G11" i="6"/>
  <c r="F27" i="6" s="1"/>
  <c r="I11" i="5"/>
  <c r="H27" i="5" s="1"/>
  <c r="O13" i="4"/>
  <c r="N27" i="4" s="1"/>
  <c r="I12" i="4"/>
  <c r="R12" i="4" s="1"/>
  <c r="K11" i="4"/>
  <c r="R11" i="4" s="1"/>
  <c r="R21" i="6"/>
  <c r="R25" i="6"/>
  <c r="R10" i="7"/>
  <c r="R12" i="7"/>
  <c r="R16" i="7"/>
  <c r="R20" i="7"/>
  <c r="R24" i="7"/>
  <c r="R37" i="7"/>
  <c r="R15" i="8"/>
  <c r="R19" i="8"/>
  <c r="R23" i="8"/>
  <c r="R28" i="8"/>
  <c r="H27" i="8" l="1"/>
  <c r="R11" i="6"/>
  <c r="R27" i="6" s="1"/>
  <c r="R27" i="2"/>
  <c r="R27" i="1"/>
  <c r="H27" i="4"/>
  <c r="J27" i="6"/>
  <c r="R11" i="5"/>
  <c r="R27" i="5" s="1"/>
  <c r="P27" i="7"/>
  <c r="J27" i="4"/>
  <c r="R27" i="7"/>
  <c r="R27" i="8"/>
  <c r="R13" i="4"/>
  <c r="R27" i="4" s="1"/>
  <c r="R27" i="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<sst xmlns="http://schemas.openxmlformats.org/spreadsheetml/2006/main" count="954" uniqueCount="88">
  <si>
    <t>Planning</t>
  </si>
  <si>
    <t>Horaire Semaine n°</t>
  </si>
  <si>
    <t xml:space="preserve">du </t>
  </si>
  <si>
    <t>au</t>
  </si>
  <si>
    <t>NOM</t>
  </si>
  <si>
    <t>Taux</t>
  </si>
  <si>
    <t>Heures</t>
  </si>
  <si>
    <t>Lundi</t>
  </si>
  <si>
    <t>Mardi</t>
  </si>
  <si>
    <t>Mercredi</t>
  </si>
  <si>
    <t>Jeudi</t>
  </si>
  <si>
    <t>Vendredi</t>
  </si>
  <si>
    <t>Samedi</t>
  </si>
  <si>
    <t>Dimanche</t>
  </si>
  <si>
    <t>Total</t>
  </si>
  <si>
    <t>N°</t>
  </si>
  <si>
    <t>Hrs</t>
  </si>
  <si>
    <t>Christelle</t>
  </si>
  <si>
    <t>Elodie</t>
  </si>
  <si>
    <t>Jennifer</t>
  </si>
  <si>
    <t>Adri</t>
  </si>
  <si>
    <t xml:space="preserve"> </t>
  </si>
  <si>
    <t>.</t>
  </si>
  <si>
    <t xml:space="preserve">Total </t>
  </si>
  <si>
    <t>H</t>
  </si>
  <si>
    <t>PALETTE DES HORAIRES</t>
  </si>
  <si>
    <t>-</t>
  </si>
  <si>
    <t>Jours de validité</t>
  </si>
  <si>
    <t xml:space="preserve">06 </t>
  </si>
  <si>
    <t xml:space="preserve">07 </t>
  </si>
  <si>
    <t xml:space="preserve">08 </t>
  </si>
  <si>
    <t xml:space="preserve">09 </t>
  </si>
  <si>
    <t xml:space="preserve">10 </t>
  </si>
  <si>
    <t xml:space="preserve">11 </t>
  </si>
  <si>
    <t xml:space="preserve">12 </t>
  </si>
  <si>
    <t xml:space="preserve">13 </t>
  </si>
  <si>
    <t xml:space="preserve">14 </t>
  </si>
  <si>
    <t xml:space="preserve">15 </t>
  </si>
  <si>
    <t xml:space="preserve">16 </t>
  </si>
  <si>
    <t xml:space="preserve">17 </t>
  </si>
  <si>
    <t xml:space="preserve">18 </t>
  </si>
  <si>
    <t xml:space="preserve">19 </t>
  </si>
  <si>
    <t xml:space="preserve">20 </t>
  </si>
  <si>
    <t xml:space="preserve">21 </t>
  </si>
  <si>
    <t>TOTAL</t>
  </si>
  <si>
    <t>L</t>
  </si>
  <si>
    <t>M</t>
  </si>
  <si>
    <t>J</t>
  </si>
  <si>
    <t>V</t>
  </si>
  <si>
    <t>S</t>
  </si>
  <si>
    <t>D</t>
  </si>
  <si>
    <t>X</t>
  </si>
  <si>
    <t>Planning Vacances Absences</t>
  </si>
  <si>
    <t>Vide</t>
  </si>
  <si>
    <t>Accident</t>
  </si>
  <si>
    <t>Maladie</t>
  </si>
  <si>
    <t>Vacances</t>
  </si>
  <si>
    <t>Militaire</t>
  </si>
  <si>
    <t>Autre</t>
  </si>
  <si>
    <t>Di</t>
  </si>
  <si>
    <t>Lu</t>
  </si>
  <si>
    <t>Ma</t>
  </si>
  <si>
    <t>Me</t>
  </si>
  <si>
    <t>Je</t>
  </si>
  <si>
    <t>Ve</t>
  </si>
  <si>
    <t>Sa</t>
  </si>
  <si>
    <t>DEMANDE DE CONGÉS OU JUSTIFICATION D'ABSENCE</t>
  </si>
  <si>
    <t xml:space="preserve">Nom : </t>
  </si>
  <si>
    <t xml:space="preserve">Prénom : </t>
  </si>
  <si>
    <t>Mois :</t>
  </si>
  <si>
    <t>Nombre de jours</t>
  </si>
  <si>
    <t>Motif</t>
  </si>
  <si>
    <t>Dates</t>
  </si>
  <si>
    <t>CONGES PAYES</t>
  </si>
  <si>
    <t>Du ……………….... au …………………..</t>
  </si>
  <si>
    <t>ABSENCES/</t>
  </si>
  <si>
    <t>CONGES SPECIAUX</t>
  </si>
  <si>
    <t>Nature :</t>
  </si>
  <si>
    <t>……………………….</t>
  </si>
  <si>
    <r>
      <rPr>
        <u/>
        <sz val="12"/>
        <color theme="1"/>
        <rFont val="Arial"/>
        <family val="2"/>
        <charset val="1"/>
      </rPr>
      <t>Signature du collaborateur</t>
    </r>
    <r>
      <rPr>
        <sz val="12"/>
        <color theme="1"/>
        <rFont val="Arial"/>
        <family val="2"/>
        <charset val="1"/>
      </rPr>
      <t> :</t>
    </r>
  </si>
  <si>
    <r>
      <rPr>
        <u/>
        <sz val="12"/>
        <color theme="1"/>
        <rFont val="Arial"/>
        <family val="2"/>
        <charset val="1"/>
      </rPr>
      <t>Signature du responsable hiérarchique</t>
    </r>
    <r>
      <rPr>
        <sz val="12"/>
        <color theme="1"/>
        <rFont val="Arial"/>
        <family val="2"/>
        <charset val="1"/>
      </rPr>
      <t> :</t>
    </r>
  </si>
  <si>
    <t>Date :</t>
  </si>
  <si>
    <t>Code</t>
  </si>
  <si>
    <t>Heure</t>
  </si>
  <si>
    <t>Alexandre</t>
  </si>
  <si>
    <t>Alexandra</t>
  </si>
  <si>
    <t>Semaine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</si>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</sst>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h:mm"/>
    <numFmt numFmtId="165" formatCode="[h]:mm"/>
    <numFmt numFmtId="166" formatCode="mmmm\ yyyy"/>
    <numFmt numFmtId="167" formatCode="d"/>
    <numFmt numFmtId="168" formatCode=";;;"/>
  </numFmts>
  <fonts count="46" x14ac:knownFonts="1">
    <font>
      <sz val="10"/>
      <name val="Arial"/>
      <charset val="1"/>
    </font>
    <font>
      <sz val="10"/>
      <name val="Arial"/>
      <family val="2"/>
      <charset val="1"/>
    </font>
    <font>
      <sz val="11"/>
      <color theme="1"/>
      <name val="Calibri"/>
      <family val="2"/>
      <charset val="1"/>
    </font>
    <font>
      <sz val="10"/>
      <name val="Comic Sans MS"/>
      <family val="4"/>
      <charset val="1"/>
    </font>
    <font>
      <b/>
      <sz val="14"/>
      <name val="Comic Sans MS"/>
      <family val="4"/>
      <charset val="1"/>
    </font>
    <font>
      <sz val="8"/>
      <name val="Comic Sans MS"/>
      <family val="4"/>
      <charset val="1"/>
    </font>
    <font>
      <sz val="14"/>
      <name val="Comic Sans MS"/>
      <family val="4"/>
      <charset val="1"/>
    </font>
    <font>
      <b/>
      <sz val="14"/>
      <name val="Calibri"/>
      <family val="2"/>
      <charset val="1"/>
    </font>
    <font>
      <b/>
      <sz val="26"/>
      <name val="Calibri"/>
      <family val="2"/>
      <charset val="1"/>
    </font>
    <font>
      <sz val="10"/>
      <name val="Calibri"/>
      <family val="2"/>
      <charset val="1"/>
    </font>
    <font>
      <sz val="8"/>
      <name val="Calibri"/>
      <family val="2"/>
      <charset val="1"/>
    </font>
    <font>
      <sz val="14"/>
      <name val="Calibri"/>
      <family val="2"/>
      <charset val="1"/>
    </font>
    <font>
      <b/>
      <sz val="11"/>
      <name val="Calibri"/>
      <family val="2"/>
      <charset val="1"/>
    </font>
    <font>
      <b/>
      <sz val="10"/>
      <name val="Calibri"/>
      <family val="2"/>
      <charset val="1"/>
    </font>
    <font>
      <sz val="9"/>
      <name val="Calibri"/>
      <family val="2"/>
      <charset val="1"/>
    </font>
    <font>
      <sz val="10"/>
      <color rgb="FFFF0000"/>
      <name val="Comic Sans MS"/>
      <family val="4"/>
      <charset val="1"/>
    </font>
    <font>
      <sz val="12"/>
      <name val="Comic Sans MS"/>
      <family val="4"/>
      <charset val="1"/>
    </font>
    <font>
      <sz val="10"/>
      <color theme="0"/>
      <name val="Tahoma"/>
      <family val="2"/>
      <charset val="1"/>
    </font>
    <font>
      <b/>
      <sz val="16"/>
      <name val="Calibri"/>
      <family val="2"/>
      <charset val="1"/>
    </font>
    <font>
      <b/>
      <sz val="8"/>
      <name val="Calibri"/>
      <family val="2"/>
      <charset val="1"/>
    </font>
    <font>
      <b/>
      <sz val="25"/>
      <name val="Calibri"/>
      <family val="2"/>
      <charset val="1"/>
    </font>
    <font>
      <b/>
      <sz val="32"/>
      <name val="Arial"/>
      <family val="2"/>
      <charset val="1"/>
    </font>
    <font>
      <b/>
      <sz val="14"/>
      <name val="Arial"/>
      <family val="2"/>
      <charset val="1"/>
    </font>
    <font>
      <b/>
      <sz val="10"/>
      <name val="Arial"/>
      <family val="2"/>
      <charset val="1"/>
    </font>
    <font>
      <sz val="10"/>
      <color rgb="FFFF00FF"/>
      <name val="Arial"/>
      <family val="2"/>
      <charset val="1"/>
    </font>
    <font>
      <sz val="14"/>
      <name val="Arial"/>
      <family val="2"/>
      <charset val="1"/>
    </font>
    <font>
      <sz val="10"/>
      <color rgb="FF7030A0"/>
      <name val="Arial"/>
      <family val="2"/>
      <charset val="1"/>
    </font>
    <font>
      <sz val="10"/>
      <color theme="1"/>
      <name val="Arial"/>
      <family val="2"/>
      <charset val="1"/>
    </font>
    <font>
      <sz val="12"/>
      <name val="Arial"/>
      <family val="2"/>
      <charset val="1"/>
    </font>
    <font>
      <sz val="6"/>
      <name val="Arial"/>
      <family val="2"/>
      <charset val="1"/>
    </font>
    <font>
      <sz val="11"/>
      <color theme="1" tint="0.14999847407452621"/>
      <name val="Calibri"/>
      <family val="2"/>
      <charset val="1"/>
    </font>
    <font>
      <sz val="11"/>
      <color theme="0" tint="-0.499984740745262"/>
      <name val="Calibri"/>
      <family val="2"/>
      <charset val="1"/>
    </font>
    <font>
      <sz val="40"/>
      <color theme="3" tint="-0.499984740745262"/>
      <name val="Cambria"/>
      <family val="2"/>
      <charset val="1"/>
    </font>
    <font>
      <b/>
      <sz val="22"/>
      <color theme="0" tint="-0.499984740745262"/>
      <name val="Calibri"/>
      <family val="2"/>
      <charset val="1"/>
    </font>
    <font>
      <sz val="42"/>
      <color theme="3" tint="-0.499984740745262"/>
      <name val="Cambria"/>
      <family val="2"/>
      <charset val="1"/>
    </font>
    <font>
      <sz val="10"/>
      <color theme="0"/>
      <name val="Calibri"/>
      <family val="2"/>
      <charset val="1"/>
    </font>
    <font>
      <sz val="14"/>
      <color theme="0"/>
      <name val="Cambria"/>
      <family val="2"/>
      <charset val="1"/>
    </font>
    <font>
      <sz val="11"/>
      <color theme="0"/>
      <name val="Calibri"/>
      <family val="2"/>
      <charset val="1"/>
    </font>
    <font>
      <b/>
      <sz val="14"/>
      <color theme="1"/>
      <name val="Arial"/>
      <family val="2"/>
      <charset val="1"/>
    </font>
    <font>
      <sz val="12"/>
      <color theme="1"/>
      <name val="Arial"/>
      <family val="2"/>
      <charset val="1"/>
    </font>
    <font>
      <b/>
      <sz val="12"/>
      <color theme="1"/>
      <name val="Arial"/>
      <family val="2"/>
      <charset val="1"/>
    </font>
    <font>
      <sz val="12"/>
      <color theme="1"/>
      <name val="Times New Roman"/>
      <family val="1"/>
      <charset val="1"/>
    </font>
    <font>
      <u/>
      <sz val="12"/>
      <color theme="1"/>
      <name val="Arial"/>
      <family val="2"/>
      <charset val="1"/>
    </font>
    <font>
      <b/>
      <sz val="10"/>
      <name val="Arial"/>
      <family val="2"/>
    </font>
    <font>
      <sz val="8"/>
      <color rgb="FF141414"/>
      <name val="Segoe UI"/>
      <family val="2"/>
    </font>
    <font>
      <sz val="10"/>
      <color rgb="FF000000"/>
      <name val="Calibri"/>
    </font>
  </fonts>
  <fills count="12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  <fill>
      <patternFill patternType="solid">
        <fgColor theme="6" tint="0.39988402966399123"/>
        <bgColor rgb="FFC4BD97"/>
      </patternFill>
    </fill>
    <fill>
      <patternFill patternType="solid">
        <fgColor theme="0" tint="-0.14999847407452621"/>
        <bgColor rgb="FFE0E0E0"/>
      </patternFill>
    </fill>
    <fill>
      <patternFill patternType="solid">
        <fgColor theme="5" tint="0.39988402966399123"/>
        <bgColor rgb="FFE6B9B8"/>
      </patternFill>
    </fill>
    <fill>
      <patternFill patternType="solid">
        <fgColor rgb="FFE0E0E0"/>
        <bgColor rgb="FFD9D9D9"/>
      </patternFill>
    </fill>
    <fill>
      <patternFill patternType="solid">
        <fgColor rgb="FF7030A0"/>
        <bgColor rgb="FF993366"/>
      </patternFill>
    </fill>
    <fill>
      <patternFill patternType="solid">
        <fgColor theme="3" tint="-0.499984740745262"/>
        <bgColor rgb="FF262626"/>
      </patternFill>
    </fill>
    <fill>
      <patternFill patternType="solid">
        <fgColor theme="2" tint="-0.499984740745262"/>
        <bgColor rgb="FF808080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5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thin">
        <color theme="0" tint="-0.14999847407452621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244">
    <xf numFmtId="0" fontId="0" fillId="0" borderId="0" xfId="0"/>
    <xf numFmtId="0" fontId="3" fillId="0" borderId="0" xfId="0" applyFont="1" applyProtection="1">
      <protection locked="0"/>
    </xf>
    <xf numFmtId="0" fontId="4" fillId="0" borderId="0" xfId="0" applyFont="1" applyAlignment="1" applyProtection="1">
      <alignment horizontal="center"/>
      <protection locked="0"/>
    </xf>
    <xf numFmtId="164" fontId="5" fillId="0" borderId="0" xfId="0" applyNumberFormat="1" applyFont="1" applyAlignment="1" applyProtection="1">
      <alignment horizontal="center"/>
      <protection locked="0"/>
    </xf>
    <xf numFmtId="0" fontId="6" fillId="2" borderId="0" xfId="0" applyFont="1" applyFill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/>
      <protection locked="0"/>
    </xf>
    <xf numFmtId="164" fontId="3" fillId="0" borderId="0" xfId="0" applyNumberFormat="1" applyFont="1" applyProtection="1">
      <protection locked="0"/>
    </xf>
    <xf numFmtId="0" fontId="7" fillId="0" borderId="0" xfId="0" applyFont="1" applyProtection="1">
      <protection hidden="1"/>
    </xf>
    <xf numFmtId="0" fontId="3" fillId="0" borderId="0" xfId="0" applyFont="1" applyProtection="1">
      <protection hidden="1"/>
    </xf>
    <xf numFmtId="0" fontId="4" fillId="0" borderId="0" xfId="0" applyFont="1" applyAlignment="1" applyProtection="1">
      <alignment horizontal="center"/>
      <protection hidden="1"/>
    </xf>
    <xf numFmtId="164" fontId="5" fillId="0" borderId="0" xfId="0" applyNumberFormat="1" applyFont="1" applyAlignment="1" applyProtection="1">
      <alignment horizontal="center"/>
      <protection hidden="1"/>
    </xf>
    <xf numFmtId="0" fontId="6" fillId="2" borderId="0" xfId="0" applyFont="1" applyFill="1" applyAlignment="1" applyProtection="1">
      <alignment horizontal="center"/>
      <protection hidden="1"/>
    </xf>
    <xf numFmtId="0" fontId="6" fillId="0" borderId="0" xfId="0" applyFont="1" applyAlignment="1" applyProtection="1">
      <alignment horizontal="center"/>
      <protection hidden="1"/>
    </xf>
    <xf numFmtId="164" fontId="3" fillId="0" borderId="0" xfId="0" applyNumberFormat="1" applyFont="1" applyProtection="1">
      <protection hidden="1"/>
    </xf>
    <xf numFmtId="0" fontId="9" fillId="0" borderId="0" xfId="0" applyFont="1" applyProtection="1">
      <protection hidden="1"/>
    </xf>
    <xf numFmtId="0" fontId="7" fillId="0" borderId="0" xfId="0" applyFont="1" applyAlignment="1" applyProtection="1">
      <alignment horizontal="center"/>
      <protection hidden="1"/>
    </xf>
    <xf numFmtId="164" fontId="10" fillId="0" borderId="0" xfId="0" applyNumberFormat="1" applyFont="1" applyAlignment="1" applyProtection="1">
      <alignment horizontal="center"/>
      <protection hidden="1"/>
    </xf>
    <xf numFmtId="0" fontId="11" fillId="2" borderId="0" xfId="0" applyFont="1" applyFill="1" applyAlignment="1" applyProtection="1">
      <alignment horizontal="center"/>
      <protection hidden="1"/>
    </xf>
    <xf numFmtId="0" fontId="11" fillId="0" borderId="0" xfId="0" applyFont="1" applyAlignment="1" applyProtection="1">
      <alignment horizontal="center"/>
      <protection hidden="1"/>
    </xf>
    <xf numFmtId="164" fontId="9" fillId="0" borderId="0" xfId="0" applyNumberFormat="1" applyFont="1" applyProtection="1">
      <protection hidden="1"/>
    </xf>
    <xf numFmtId="0" fontId="12" fillId="4" borderId="2" xfId="0" applyFont="1" applyFill="1" applyBorder="1" applyProtection="1">
      <protection hidden="1"/>
    </xf>
    <xf numFmtId="0" fontId="12" fillId="4" borderId="3" xfId="0" applyFont="1" applyFill="1" applyBorder="1" applyProtection="1">
      <protection hidden="1"/>
    </xf>
    <xf numFmtId="0" fontId="7" fillId="4" borderId="3" xfId="0" applyFont="1" applyFill="1" applyBorder="1" applyAlignment="1" applyProtection="1">
      <alignment horizontal="center"/>
      <protection hidden="1"/>
    </xf>
    <xf numFmtId="1" fontId="7" fillId="0" borderId="3" xfId="0" applyNumberFormat="1" applyFont="1" applyBorder="1" applyAlignment="1" applyProtection="1">
      <alignment horizontal="center"/>
      <protection locked="0"/>
    </xf>
    <xf numFmtId="0" fontId="7" fillId="4" borderId="1" xfId="0" applyFont="1" applyFill="1" applyBorder="1" applyAlignment="1" applyProtection="1">
      <alignment horizontal="center"/>
      <protection hidden="1"/>
    </xf>
    <xf numFmtId="164" fontId="7" fillId="4" borderId="3" xfId="0" applyNumberFormat="1" applyFont="1" applyFill="1" applyBorder="1" applyAlignment="1" applyProtection="1">
      <alignment horizontal="center"/>
      <protection hidden="1"/>
    </xf>
    <xf numFmtId="164" fontId="7" fillId="4" borderId="3" xfId="0" applyNumberFormat="1" applyFont="1" applyFill="1" applyBorder="1" applyAlignment="1">
      <alignment horizontal="center"/>
    </xf>
    <xf numFmtId="164" fontId="7" fillId="4" borderId="2" xfId="0" applyNumberFormat="1" applyFont="1" applyFill="1" applyBorder="1" applyAlignment="1" applyProtection="1">
      <alignment horizontal="center"/>
      <protection hidden="1"/>
    </xf>
    <xf numFmtId="164" fontId="7" fillId="4" borderId="4" xfId="0" applyNumberFormat="1" applyFont="1" applyFill="1" applyBorder="1" applyProtection="1">
      <protection hidden="1"/>
    </xf>
    <xf numFmtId="0" fontId="4" fillId="0" borderId="0" xfId="0" applyFont="1" applyProtection="1">
      <protection locked="0"/>
    </xf>
    <xf numFmtId="0" fontId="4" fillId="2" borderId="0" xfId="0" applyFont="1" applyFill="1" applyProtection="1">
      <protection locked="0"/>
    </xf>
    <xf numFmtId="14" fontId="11" fillId="0" borderId="0" xfId="0" applyNumberFormat="1" applyFont="1" applyAlignment="1" applyProtection="1">
      <alignment horizontal="center"/>
      <protection hidden="1"/>
    </xf>
    <xf numFmtId="0" fontId="13" fillId="4" borderId="5" xfId="0" applyFont="1" applyFill="1" applyBorder="1" applyProtection="1">
      <protection hidden="1"/>
    </xf>
    <xf numFmtId="0" fontId="13" fillId="4" borderId="6" xfId="0" applyFont="1" applyFill="1" applyBorder="1" applyProtection="1">
      <protection hidden="1"/>
    </xf>
    <xf numFmtId="0" fontId="13" fillId="4" borderId="7" xfId="0" applyFont="1" applyFill="1" applyBorder="1" applyProtection="1">
      <protection hidden="1"/>
    </xf>
    <xf numFmtId="164" fontId="13" fillId="3" borderId="12" xfId="0" applyNumberFormat="1" applyFont="1" applyFill="1" applyBorder="1" applyAlignment="1" applyProtection="1">
      <alignment horizontal="center"/>
      <protection hidden="1"/>
    </xf>
    <xf numFmtId="0" fontId="3" fillId="0" borderId="0" xfId="0" applyFont="1" applyAlignment="1" applyProtection="1">
      <alignment horizontal="center" vertical="center"/>
      <protection locked="0"/>
    </xf>
    <xf numFmtId="0" fontId="10" fillId="4" borderId="13" xfId="0" applyFont="1" applyFill="1" applyBorder="1" applyProtection="1">
      <protection hidden="1"/>
    </xf>
    <xf numFmtId="0" fontId="10" fillId="4" borderId="14" xfId="0" applyFont="1" applyFill="1" applyBorder="1" applyProtection="1">
      <protection hidden="1"/>
    </xf>
    <xf numFmtId="0" fontId="10" fillId="4" borderId="15" xfId="0" applyFont="1" applyFill="1" applyBorder="1" applyAlignment="1" applyProtection="1">
      <alignment horizontal="center"/>
      <protection hidden="1"/>
    </xf>
    <xf numFmtId="164" fontId="10" fillId="4" borderId="15" xfId="0" applyNumberFormat="1" applyFont="1" applyFill="1" applyBorder="1" applyAlignment="1" applyProtection="1">
      <alignment horizontal="center"/>
      <protection hidden="1"/>
    </xf>
    <xf numFmtId="0" fontId="10" fillId="4" borderId="16" xfId="0" applyFont="1" applyFill="1" applyBorder="1" applyAlignment="1" applyProtection="1">
      <alignment horizontal="center"/>
      <protection hidden="1"/>
    </xf>
    <xf numFmtId="164" fontId="10" fillId="4" borderId="16" xfId="0" applyNumberFormat="1" applyFont="1" applyFill="1" applyBorder="1" applyAlignment="1" applyProtection="1">
      <alignment horizontal="center"/>
      <protection hidden="1"/>
    </xf>
    <xf numFmtId="164" fontId="13" fillId="3" borderId="17" xfId="0" applyNumberFormat="1" applyFont="1" applyFill="1" applyBorder="1" applyAlignment="1" applyProtection="1">
      <alignment horizontal="center"/>
      <protection hidden="1"/>
    </xf>
    <xf numFmtId="9" fontId="10" fillId="0" borderId="0" xfId="0" applyNumberFormat="1" applyFont="1" applyAlignment="1" applyProtection="1">
      <alignment horizontal="center"/>
      <protection hidden="1"/>
    </xf>
    <xf numFmtId="0" fontId="10" fillId="0" borderId="0" xfId="0" applyFont="1" applyAlignment="1" applyProtection="1">
      <alignment horizontal="center"/>
      <protection hidden="1"/>
    </xf>
    <xf numFmtId="164" fontId="13" fillId="0" borderId="0" xfId="0" applyNumberFormat="1" applyFont="1" applyAlignment="1" applyProtection="1">
      <alignment horizontal="center"/>
      <protection hidden="1"/>
    </xf>
    <xf numFmtId="0" fontId="14" fillId="2" borderId="18" xfId="0" applyFont="1" applyFill="1" applyBorder="1" applyAlignment="1" applyProtection="1">
      <alignment horizontal="left" vertical="center"/>
      <protection locked="0"/>
    </xf>
    <xf numFmtId="0" fontId="14" fillId="4" borderId="19" xfId="0" applyFont="1" applyFill="1" applyBorder="1" applyAlignment="1" applyProtection="1">
      <alignment horizontal="center" vertical="center"/>
      <protection locked="0"/>
    </xf>
    <xf numFmtId="46" fontId="14" fillId="4" borderId="19" xfId="0" applyNumberFormat="1" applyFont="1" applyFill="1" applyBorder="1" applyAlignment="1" applyProtection="1">
      <alignment horizontal="center" vertical="center"/>
      <protection hidden="1"/>
    </xf>
    <xf numFmtId="0" fontId="7" fillId="0" borderId="20" xfId="0" applyFont="1" applyBorder="1" applyAlignment="1" applyProtection="1">
      <alignment horizontal="center"/>
      <protection locked="0"/>
    </xf>
    <xf numFmtId="164" fontId="10" fillId="4" borderId="11" xfId="0" applyNumberFormat="1" applyFont="1" applyFill="1" applyBorder="1" applyAlignment="1" applyProtection="1">
      <alignment horizontal="center"/>
      <protection hidden="1"/>
    </xf>
    <xf numFmtId="0" fontId="7" fillId="2" borderId="10" xfId="0" applyFont="1" applyFill="1" applyBorder="1" applyAlignment="1" applyProtection="1">
      <alignment horizontal="center"/>
      <protection locked="0"/>
    </xf>
    <xf numFmtId="0" fontId="7" fillId="0" borderId="10" xfId="0" applyFont="1" applyBorder="1" applyAlignment="1" applyProtection="1">
      <alignment horizontal="center"/>
      <protection locked="0"/>
    </xf>
    <xf numFmtId="46" fontId="9" fillId="3" borderId="12" xfId="0" applyNumberFormat="1" applyFont="1" applyFill="1" applyBorder="1" applyAlignment="1" applyProtection="1">
      <alignment horizontal="center"/>
      <protection hidden="1"/>
    </xf>
    <xf numFmtId="46" fontId="3" fillId="0" borderId="0" xfId="0" applyNumberFormat="1" applyFont="1" applyProtection="1">
      <protection locked="0"/>
    </xf>
    <xf numFmtId="0" fontId="14" fillId="0" borderId="21" xfId="0" applyFont="1" applyBorder="1" applyAlignment="1" applyProtection="1">
      <alignment horizontal="left" vertical="center"/>
      <protection locked="0"/>
    </xf>
    <xf numFmtId="0" fontId="14" fillId="4" borderId="22" xfId="0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/>
      <protection locked="0"/>
    </xf>
    <xf numFmtId="164" fontId="10" fillId="4" borderId="17" xfId="0" applyNumberFormat="1" applyFont="1" applyFill="1" applyBorder="1" applyAlignment="1" applyProtection="1">
      <alignment horizontal="center"/>
      <protection hidden="1"/>
    </xf>
    <xf numFmtId="0" fontId="7" fillId="2" borderId="13" xfId="0" applyFont="1" applyFill="1" applyBorder="1" applyAlignment="1" applyProtection="1">
      <alignment horizontal="center"/>
      <protection locked="0"/>
    </xf>
    <xf numFmtId="0" fontId="7" fillId="0" borderId="13" xfId="0" applyFont="1" applyBorder="1" applyAlignment="1" applyProtection="1">
      <alignment horizontal="center"/>
      <protection locked="0"/>
    </xf>
    <xf numFmtId="0" fontId="14" fillId="2" borderId="23" xfId="0" applyFont="1" applyFill="1" applyBorder="1" applyAlignment="1" applyProtection="1">
      <alignment horizontal="left" vertical="center"/>
      <protection locked="0"/>
    </xf>
    <xf numFmtId="0" fontId="14" fillId="4" borderId="24" xfId="0" applyFont="1" applyFill="1" applyBorder="1" applyAlignment="1" applyProtection="1">
      <alignment horizontal="center" vertical="center"/>
      <protection locked="0"/>
    </xf>
    <xf numFmtId="0" fontId="14" fillId="2" borderId="21" xfId="0" applyFont="1" applyFill="1" applyBorder="1" applyAlignment="1" applyProtection="1">
      <alignment horizontal="left" vertical="center"/>
      <protection locked="0"/>
    </xf>
    <xf numFmtId="46" fontId="15" fillId="2" borderId="0" xfId="0" applyNumberFormat="1" applyFont="1" applyFill="1" applyProtection="1">
      <protection locked="0"/>
    </xf>
    <xf numFmtId="46" fontId="3" fillId="2" borderId="0" xfId="0" applyNumberFormat="1" applyFont="1" applyFill="1" applyProtection="1">
      <protection locked="0"/>
    </xf>
    <xf numFmtId="46" fontId="16" fillId="0" borderId="0" xfId="0" applyNumberFormat="1" applyFont="1" applyProtection="1">
      <protection locked="0"/>
    </xf>
    <xf numFmtId="0" fontId="14" fillId="4" borderId="25" xfId="0" applyFont="1" applyFill="1" applyBorder="1" applyAlignment="1" applyProtection="1">
      <alignment horizontal="center" vertical="center"/>
      <protection locked="0"/>
    </xf>
    <xf numFmtId="0" fontId="14" fillId="0" borderId="23" xfId="0" applyFont="1" applyBorder="1" applyAlignment="1" applyProtection="1">
      <alignment horizontal="left" vertical="center"/>
      <protection locked="0"/>
    </xf>
    <xf numFmtId="46" fontId="9" fillId="0" borderId="0" xfId="0" applyNumberFormat="1" applyFont="1" applyProtection="1">
      <protection locked="0"/>
    </xf>
    <xf numFmtId="0" fontId="7" fillId="2" borderId="14" xfId="0" applyFont="1" applyFill="1" applyBorder="1" applyAlignment="1" applyProtection="1">
      <alignment horizontal="center"/>
      <protection locked="0"/>
    </xf>
    <xf numFmtId="14" fontId="3" fillId="0" borderId="0" xfId="0" applyNumberFormat="1" applyFont="1" applyProtection="1">
      <protection locked="0"/>
    </xf>
    <xf numFmtId="0" fontId="17" fillId="2" borderId="23" xfId="0" applyFont="1" applyFill="1" applyBorder="1" applyAlignment="1">
      <alignment vertical="center"/>
    </xf>
    <xf numFmtId="46" fontId="3" fillId="4" borderId="26" xfId="0" applyNumberFormat="1" applyFont="1" applyFill="1" applyBorder="1" applyAlignment="1" applyProtection="1">
      <alignment horizontal="center" vertical="center"/>
      <protection locked="0"/>
    </xf>
    <xf numFmtId="0" fontId="18" fillId="3" borderId="10" xfId="0" applyFont="1" applyFill="1" applyBorder="1" applyAlignment="1" applyProtection="1">
      <alignment horizontal="left"/>
      <protection hidden="1"/>
    </xf>
    <xf numFmtId="0" fontId="18" fillId="3" borderId="27" xfId="0" applyFont="1" applyFill="1" applyBorder="1" applyAlignment="1" applyProtection="1">
      <alignment horizontal="left"/>
      <protection hidden="1"/>
    </xf>
    <xf numFmtId="46" fontId="9" fillId="3" borderId="1" xfId="0" applyNumberFormat="1" applyFont="1" applyFill="1" applyBorder="1" applyAlignment="1" applyProtection="1">
      <alignment horizontal="center" vertical="center"/>
      <protection hidden="1"/>
    </xf>
    <xf numFmtId="0" fontId="9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164" fontId="10" fillId="0" borderId="0" xfId="0" applyNumberFormat="1" applyFont="1" applyAlignment="1">
      <alignment horizontal="center"/>
    </xf>
    <xf numFmtId="0" fontId="11" fillId="2" borderId="0" xfId="0" applyFont="1" applyFill="1" applyAlignment="1">
      <alignment horizontal="center"/>
    </xf>
    <xf numFmtId="0" fontId="11" fillId="0" borderId="0" xfId="0" applyFont="1" applyAlignment="1">
      <alignment horizontal="center"/>
    </xf>
    <xf numFmtId="165" fontId="9" fillId="0" borderId="0" xfId="0" applyNumberFormat="1" applyFont="1" applyAlignment="1">
      <alignment horizontal="center"/>
    </xf>
    <xf numFmtId="164" fontId="20" fillId="0" borderId="0" xfId="0" applyNumberFormat="1" applyFont="1" applyAlignment="1" applyProtection="1">
      <alignment horizontal="center" vertical="center" wrapText="1"/>
      <protection locked="0"/>
    </xf>
    <xf numFmtId="0" fontId="1" fillId="0" borderId="0" xfId="1" applyProtection="1">
      <protection hidden="1"/>
    </xf>
    <xf numFmtId="0" fontId="22" fillId="6" borderId="29" xfId="1" applyFont="1" applyFill="1" applyBorder="1" applyAlignment="1" applyProtection="1">
      <alignment horizontal="center"/>
      <protection hidden="1"/>
    </xf>
    <xf numFmtId="0" fontId="23" fillId="0" borderId="0" xfId="1" applyFont="1" applyProtection="1">
      <protection hidden="1"/>
    </xf>
    <xf numFmtId="0" fontId="22" fillId="6" borderId="18" xfId="1" applyFont="1" applyFill="1" applyBorder="1" applyProtection="1">
      <protection hidden="1"/>
    </xf>
    <xf numFmtId="0" fontId="23" fillId="6" borderId="7" xfId="1" applyFont="1" applyFill="1" applyBorder="1" applyProtection="1">
      <protection hidden="1"/>
    </xf>
    <xf numFmtId="0" fontId="23" fillId="6" borderId="12" xfId="1" applyFont="1" applyFill="1" applyBorder="1" applyProtection="1">
      <protection hidden="1"/>
    </xf>
    <xf numFmtId="0" fontId="22" fillId="6" borderId="2" xfId="1" applyFont="1" applyFill="1" applyBorder="1" applyProtection="1">
      <protection hidden="1"/>
    </xf>
    <xf numFmtId="0" fontId="23" fillId="6" borderId="3" xfId="1" applyFont="1" applyFill="1" applyBorder="1" applyProtection="1">
      <protection hidden="1"/>
    </xf>
    <xf numFmtId="0" fontId="23" fillId="6" borderId="4" xfId="1" applyFont="1" applyFill="1" applyBorder="1" applyProtection="1">
      <protection hidden="1"/>
    </xf>
    <xf numFmtId="0" fontId="1" fillId="6" borderId="30" xfId="1" applyFill="1" applyBorder="1" applyProtection="1">
      <protection hidden="1"/>
    </xf>
    <xf numFmtId="0" fontId="1" fillId="6" borderId="0" xfId="1" applyFill="1" applyProtection="1">
      <protection hidden="1"/>
    </xf>
    <xf numFmtId="0" fontId="1" fillId="6" borderId="31" xfId="1" applyFill="1" applyBorder="1" applyProtection="1">
      <protection hidden="1"/>
    </xf>
    <xf numFmtId="0" fontId="23" fillId="2" borderId="29" xfId="1" applyFont="1" applyFill="1" applyBorder="1" applyAlignment="1" applyProtection="1">
      <alignment horizontal="center"/>
      <protection locked="0"/>
    </xf>
    <xf numFmtId="0" fontId="23" fillId="2" borderId="29" xfId="1" applyFont="1" applyFill="1" applyBorder="1" applyProtection="1">
      <protection locked="0"/>
    </xf>
    <xf numFmtId="0" fontId="23" fillId="0" borderId="29" xfId="1" applyFont="1" applyBorder="1" applyProtection="1">
      <protection locked="0"/>
    </xf>
    <xf numFmtId="0" fontId="1" fillId="2" borderId="32" xfId="1" applyFill="1" applyBorder="1" applyProtection="1">
      <protection locked="0"/>
    </xf>
    <xf numFmtId="0" fontId="1" fillId="2" borderId="29" xfId="1" applyFill="1" applyBorder="1" applyProtection="1">
      <protection locked="0"/>
    </xf>
    <xf numFmtId="0" fontId="1" fillId="0" borderId="29" xfId="1" applyBorder="1" applyProtection="1">
      <protection locked="0"/>
    </xf>
    <xf numFmtId="0" fontId="1" fillId="7" borderId="33" xfId="1" applyFill="1" applyBorder="1" applyProtection="1">
      <protection locked="0"/>
    </xf>
    <xf numFmtId="0" fontId="24" fillId="7" borderId="32" xfId="1" applyFont="1" applyFill="1" applyBorder="1" applyProtection="1">
      <protection locked="0"/>
    </xf>
    <xf numFmtId="0" fontId="24" fillId="7" borderId="29" xfId="1" applyFont="1" applyFill="1" applyBorder="1" applyProtection="1">
      <protection locked="0"/>
    </xf>
    <xf numFmtId="0" fontId="24" fillId="7" borderId="33" xfId="1" applyFont="1" applyFill="1" applyBorder="1" applyProtection="1">
      <protection locked="0"/>
    </xf>
    <xf numFmtId="0" fontId="24" fillId="7" borderId="24" xfId="1" applyFont="1" applyFill="1" applyBorder="1" applyProtection="1">
      <protection locked="0"/>
    </xf>
    <xf numFmtId="0" fontId="24" fillId="0" borderId="32" xfId="1" applyFont="1" applyBorder="1" applyProtection="1">
      <protection locked="0"/>
    </xf>
    <xf numFmtId="0" fontId="24" fillId="2" borderId="29" xfId="1" applyFont="1" applyFill="1" applyBorder="1" applyProtection="1">
      <protection locked="0"/>
    </xf>
    <xf numFmtId="0" fontId="1" fillId="0" borderId="33" xfId="1" applyBorder="1" applyProtection="1">
      <protection locked="0"/>
    </xf>
    <xf numFmtId="0" fontId="1" fillId="0" borderId="32" xfId="1" applyBorder="1" applyProtection="1">
      <protection locked="0"/>
    </xf>
    <xf numFmtId="0" fontId="1" fillId="7" borderId="29" xfId="1" applyFill="1" applyBorder="1" applyProtection="1">
      <protection locked="0"/>
    </xf>
    <xf numFmtId="0" fontId="1" fillId="7" borderId="32" xfId="1" applyFill="1" applyBorder="1" applyProtection="1">
      <protection locked="0"/>
    </xf>
    <xf numFmtId="0" fontId="1" fillId="2" borderId="33" xfId="1" applyFill="1" applyBorder="1" applyProtection="1">
      <protection locked="0"/>
    </xf>
    <xf numFmtId="0" fontId="1" fillId="2" borderId="0" xfId="1" applyFill="1" applyProtection="1">
      <protection hidden="1"/>
    </xf>
    <xf numFmtId="0" fontId="26" fillId="7" borderId="29" xfId="1" applyFont="1" applyFill="1" applyBorder="1" applyProtection="1">
      <protection locked="0"/>
    </xf>
    <xf numFmtId="0" fontId="26" fillId="7" borderId="33" xfId="1" applyFont="1" applyFill="1" applyBorder="1" applyProtection="1">
      <protection locked="0"/>
    </xf>
    <xf numFmtId="0" fontId="26" fillId="7" borderId="32" xfId="1" applyFont="1" applyFill="1" applyBorder="1" applyProtection="1">
      <protection locked="0"/>
    </xf>
    <xf numFmtId="0" fontId="26" fillId="2" borderId="33" xfId="1" applyFont="1" applyFill="1" applyBorder="1" applyProtection="1">
      <protection locked="0"/>
    </xf>
    <xf numFmtId="0" fontId="1" fillId="2" borderId="34" xfId="1" applyFill="1" applyBorder="1" applyProtection="1">
      <protection locked="0"/>
    </xf>
    <xf numFmtId="0" fontId="1" fillId="2" borderId="29" xfId="1" applyFill="1" applyBorder="1" applyProtection="1">
      <protection locked="0" hidden="1"/>
    </xf>
    <xf numFmtId="0" fontId="1" fillId="2" borderId="35" xfId="1" applyFill="1" applyBorder="1" applyProtection="1">
      <protection locked="0"/>
    </xf>
    <xf numFmtId="0" fontId="24" fillId="2" borderId="32" xfId="1" applyFont="1" applyFill="1" applyBorder="1" applyProtection="1">
      <protection locked="0"/>
    </xf>
    <xf numFmtId="0" fontId="26" fillId="2" borderId="29" xfId="1" applyFont="1" applyFill="1" applyBorder="1" applyProtection="1">
      <protection locked="0"/>
    </xf>
    <xf numFmtId="0" fontId="1" fillId="7" borderId="24" xfId="1" applyFill="1" applyBorder="1" applyProtection="1">
      <protection locked="0"/>
    </xf>
    <xf numFmtId="0" fontId="26" fillId="2" borderId="0" xfId="1" applyFont="1" applyFill="1" applyProtection="1">
      <protection locked="0" hidden="1"/>
    </xf>
    <xf numFmtId="0" fontId="24" fillId="2" borderId="33" xfId="1" applyFont="1" applyFill="1" applyBorder="1" applyProtection="1">
      <protection locked="0"/>
    </xf>
    <xf numFmtId="0" fontId="25" fillId="2" borderId="0" xfId="1" applyFont="1" applyFill="1" applyAlignment="1" applyProtection="1">
      <alignment horizontal="center" vertical="center" wrapText="1"/>
      <protection hidden="1"/>
    </xf>
    <xf numFmtId="0" fontId="26" fillId="7" borderId="0" xfId="1" applyFont="1" applyFill="1" applyProtection="1">
      <protection locked="0" hidden="1"/>
    </xf>
    <xf numFmtId="0" fontId="27" fillId="7" borderId="32" xfId="1" applyFont="1" applyFill="1" applyBorder="1" applyProtection="1">
      <protection locked="0"/>
    </xf>
    <xf numFmtId="0" fontId="27" fillId="7" borderId="29" xfId="1" applyFont="1" applyFill="1" applyBorder="1" applyProtection="1">
      <protection locked="0"/>
    </xf>
    <xf numFmtId="0" fontId="27" fillId="7" borderId="33" xfId="1" applyFont="1" applyFill="1" applyBorder="1" applyProtection="1">
      <protection locked="0"/>
    </xf>
    <xf numFmtId="0" fontId="26" fillId="6" borderId="30" xfId="1" applyFont="1" applyFill="1" applyBorder="1" applyProtection="1">
      <protection hidden="1"/>
    </xf>
    <xf numFmtId="0" fontId="26" fillId="6" borderId="0" xfId="1" applyFont="1" applyFill="1" applyProtection="1">
      <protection hidden="1"/>
    </xf>
    <xf numFmtId="0" fontId="26" fillId="6" borderId="31" xfId="1" applyFont="1" applyFill="1" applyBorder="1" applyProtection="1">
      <protection hidden="1"/>
    </xf>
    <xf numFmtId="0" fontId="23" fillId="6" borderId="0" xfId="1" applyFont="1" applyFill="1" applyProtection="1">
      <protection hidden="1"/>
    </xf>
    <xf numFmtId="0" fontId="24" fillId="0" borderId="29" xfId="1" applyFont="1" applyBorder="1" applyProtection="1">
      <protection locked="0"/>
    </xf>
    <xf numFmtId="0" fontId="24" fillId="0" borderId="33" xfId="1" applyFont="1" applyBorder="1" applyProtection="1">
      <protection locked="0"/>
    </xf>
    <xf numFmtId="0" fontId="26" fillId="2" borderId="32" xfId="1" applyFont="1" applyFill="1" applyBorder="1" applyProtection="1">
      <protection locked="0"/>
    </xf>
    <xf numFmtId="0" fontId="26" fillId="2" borderId="29" xfId="1" applyFont="1" applyFill="1" applyBorder="1" applyAlignment="1" applyProtection="1">
      <alignment vertical="center"/>
      <protection locked="0"/>
    </xf>
    <xf numFmtId="0" fontId="26" fillId="7" borderId="33" xfId="1" applyFont="1" applyFill="1" applyBorder="1" applyAlignment="1" applyProtection="1">
      <alignment vertical="center"/>
      <protection locked="0"/>
    </xf>
    <xf numFmtId="0" fontId="26" fillId="7" borderId="32" xfId="1" applyFont="1" applyFill="1" applyBorder="1" applyAlignment="1" applyProtection="1">
      <alignment vertical="center"/>
      <protection locked="0"/>
    </xf>
    <xf numFmtId="0" fontId="26" fillId="7" borderId="29" xfId="1" applyFont="1" applyFill="1" applyBorder="1" applyAlignment="1" applyProtection="1">
      <alignment vertical="center"/>
      <protection locked="0"/>
    </xf>
    <xf numFmtId="0" fontId="26" fillId="2" borderId="33" xfId="1" applyFont="1" applyFill="1" applyBorder="1" applyAlignment="1" applyProtection="1">
      <alignment vertical="center"/>
      <protection locked="0"/>
    </xf>
    <xf numFmtId="0" fontId="26" fillId="2" borderId="32" xfId="1" applyFont="1" applyFill="1" applyBorder="1" applyAlignment="1" applyProtection="1">
      <alignment vertical="center"/>
      <protection locked="0"/>
    </xf>
    <xf numFmtId="0" fontId="23" fillId="2" borderId="32" xfId="1" applyFont="1" applyFill="1" applyBorder="1" applyProtection="1">
      <protection locked="0"/>
    </xf>
    <xf numFmtId="0" fontId="23" fillId="2" borderId="33" xfId="1" applyFont="1" applyFill="1" applyBorder="1" applyProtection="1">
      <protection locked="0"/>
    </xf>
    <xf numFmtId="0" fontId="1" fillId="6" borderId="37" xfId="1" applyFill="1" applyBorder="1" applyProtection="1">
      <protection hidden="1"/>
    </xf>
    <xf numFmtId="0" fontId="1" fillId="6" borderId="23" xfId="1" applyFill="1" applyBorder="1" applyProtection="1">
      <protection hidden="1"/>
    </xf>
    <xf numFmtId="0" fontId="1" fillId="6" borderId="36" xfId="1" applyFill="1" applyBorder="1" applyProtection="1">
      <protection hidden="1"/>
    </xf>
    <xf numFmtId="0" fontId="1" fillId="0" borderId="13" xfId="1" applyBorder="1" applyProtection="1">
      <protection locked="0"/>
    </xf>
    <xf numFmtId="0" fontId="1" fillId="0" borderId="15" xfId="1" applyBorder="1" applyProtection="1">
      <protection locked="0"/>
    </xf>
    <xf numFmtId="0" fontId="1" fillId="0" borderId="17" xfId="1" applyBorder="1" applyProtection="1">
      <protection locked="0"/>
    </xf>
    <xf numFmtId="0" fontId="1" fillId="2" borderId="13" xfId="1" applyFill="1" applyBorder="1" applyProtection="1">
      <protection locked="0"/>
    </xf>
    <xf numFmtId="0" fontId="1" fillId="0" borderId="38" xfId="1" applyBorder="1" applyProtection="1">
      <protection locked="0"/>
    </xf>
    <xf numFmtId="0" fontId="1" fillId="0" borderId="16" xfId="1" applyBorder="1" applyProtection="1">
      <protection locked="0"/>
    </xf>
    <xf numFmtId="0" fontId="1" fillId="0" borderId="39" xfId="1" applyBorder="1" applyProtection="1">
      <protection locked="0"/>
    </xf>
    <xf numFmtId="0" fontId="28" fillId="0" borderId="38" xfId="1" applyFont="1" applyBorder="1" applyProtection="1">
      <protection locked="0"/>
    </xf>
    <xf numFmtId="0" fontId="28" fillId="0" borderId="16" xfId="1" applyFont="1" applyBorder="1" applyProtection="1">
      <protection locked="0"/>
    </xf>
    <xf numFmtId="0" fontId="29" fillId="0" borderId="0" xfId="1" applyFont="1" applyProtection="1">
      <protection hidden="1"/>
    </xf>
    <xf numFmtId="0" fontId="28" fillId="0" borderId="0" xfId="1" applyFont="1" applyProtection="1">
      <protection hidden="1"/>
    </xf>
    <xf numFmtId="0" fontId="30" fillId="0" borderId="0" xfId="2" applyFont="1" applyAlignment="1" applyProtection="1">
      <alignment horizontal="center" vertical="center"/>
      <protection hidden="1"/>
    </xf>
    <xf numFmtId="0" fontId="31" fillId="0" borderId="0" xfId="2" applyFont="1" applyAlignment="1" applyProtection="1">
      <alignment vertical="center"/>
      <protection hidden="1"/>
    </xf>
    <xf numFmtId="0" fontId="32" fillId="0" borderId="40" xfId="2" applyFont="1" applyBorder="1" applyProtection="1">
      <protection hidden="1"/>
    </xf>
    <xf numFmtId="0" fontId="33" fillId="0" borderId="40" xfId="2" applyFont="1" applyBorder="1" applyAlignment="1" applyProtection="1">
      <alignment vertical="center"/>
      <protection hidden="1"/>
    </xf>
    <xf numFmtId="0" fontId="33" fillId="0" borderId="40" xfId="2" applyFont="1" applyBorder="1" applyAlignment="1" applyProtection="1">
      <alignment horizontal="left" vertical="center"/>
      <protection hidden="1"/>
    </xf>
    <xf numFmtId="0" fontId="31" fillId="0" borderId="40" xfId="2" applyFont="1" applyBorder="1" applyAlignment="1" applyProtection="1">
      <alignment vertical="center"/>
      <protection hidden="1"/>
    </xf>
    <xf numFmtId="0" fontId="2" fillId="0" borderId="0" xfId="2" applyProtection="1">
      <protection hidden="1"/>
    </xf>
    <xf numFmtId="0" fontId="2" fillId="0" borderId="0" xfId="2" applyAlignment="1" applyProtection="1">
      <alignment vertical="center"/>
      <protection hidden="1"/>
    </xf>
    <xf numFmtId="0" fontId="2" fillId="0" borderId="0" xfId="2" applyAlignment="1" applyProtection="1">
      <alignment horizontal="left" vertical="center"/>
      <protection hidden="1"/>
    </xf>
    <xf numFmtId="0" fontId="35" fillId="0" borderId="0" xfId="2" applyFont="1" applyAlignment="1" applyProtection="1">
      <alignment horizontal="center" vertical="center"/>
      <protection hidden="1"/>
    </xf>
    <xf numFmtId="167" fontId="35" fillId="8" borderId="42" xfId="2" applyNumberFormat="1" applyFont="1" applyFill="1" applyBorder="1" applyAlignment="1" applyProtection="1">
      <alignment horizontal="center" vertical="center"/>
      <protection hidden="1"/>
    </xf>
    <xf numFmtId="167" fontId="35" fillId="8" borderId="43" xfId="2" applyNumberFormat="1" applyFont="1" applyFill="1" applyBorder="1" applyAlignment="1" applyProtection="1">
      <alignment horizontal="center" vertical="center"/>
      <protection hidden="1"/>
    </xf>
    <xf numFmtId="0" fontId="35" fillId="9" borderId="42" xfId="2" applyFont="1" applyFill="1" applyBorder="1" applyAlignment="1" applyProtection="1">
      <alignment horizontal="center" vertical="center"/>
      <protection hidden="1"/>
    </xf>
    <xf numFmtId="0" fontId="35" fillId="9" borderId="43" xfId="2" applyFont="1" applyFill="1" applyBorder="1" applyAlignment="1" applyProtection="1">
      <alignment horizontal="center" vertical="center"/>
      <protection hidden="1"/>
    </xf>
    <xf numFmtId="0" fontId="30" fillId="0" borderId="44" xfId="2" applyFont="1" applyBorder="1" applyAlignment="1" applyProtection="1">
      <alignment horizontal="center" vertical="center"/>
      <protection locked="0"/>
    </xf>
    <xf numFmtId="168" fontId="30" fillId="0" borderId="44" xfId="2" applyNumberFormat="1" applyFont="1" applyBorder="1" applyAlignment="1" applyProtection="1">
      <alignment horizontal="center" vertical="center"/>
      <protection locked="0"/>
    </xf>
    <xf numFmtId="0" fontId="30" fillId="0" borderId="45" xfId="2" applyFont="1" applyBorder="1" applyAlignment="1" applyProtection="1">
      <alignment horizontal="center" vertical="center"/>
      <protection locked="0"/>
    </xf>
    <xf numFmtId="168" fontId="30" fillId="0" borderId="45" xfId="2" applyNumberFormat="1" applyFont="1" applyBorder="1" applyAlignment="1" applyProtection="1">
      <alignment horizontal="center" vertical="center"/>
      <protection locked="0"/>
    </xf>
    <xf numFmtId="0" fontId="37" fillId="0" borderId="0" xfId="2" applyFont="1" applyAlignment="1" applyProtection="1">
      <alignment horizontal="center" vertical="center"/>
      <protection hidden="1"/>
    </xf>
    <xf numFmtId="0" fontId="39" fillId="0" borderId="0" xfId="2" applyFont="1" applyAlignment="1" applyProtection="1">
      <alignment vertical="center"/>
      <protection hidden="1"/>
    </xf>
    <xf numFmtId="0" fontId="40" fillId="0" borderId="0" xfId="2" applyFont="1" applyAlignment="1" applyProtection="1">
      <alignment vertical="center" wrapText="1"/>
      <protection hidden="1"/>
    </xf>
    <xf numFmtId="0" fontId="41" fillId="0" borderId="0" xfId="2" applyFont="1" applyAlignment="1" applyProtection="1">
      <alignment vertical="center"/>
      <protection hidden="1"/>
    </xf>
    <xf numFmtId="0" fontId="39" fillId="0" borderId="46" xfId="2" applyFont="1" applyBorder="1" applyAlignment="1" applyProtection="1">
      <alignment vertical="center" wrapText="1"/>
      <protection hidden="1"/>
    </xf>
    <xf numFmtId="0" fontId="39" fillId="0" borderId="47" xfId="2" applyFont="1" applyBorder="1" applyAlignment="1" applyProtection="1">
      <alignment horizontal="center" vertical="center" wrapText="1"/>
      <protection hidden="1"/>
    </xf>
    <xf numFmtId="0" fontId="39" fillId="0" borderId="48" xfId="2" applyFont="1" applyBorder="1" applyAlignment="1" applyProtection="1">
      <alignment horizontal="center" vertical="center" wrapText="1"/>
      <protection hidden="1"/>
    </xf>
    <xf numFmtId="0" fontId="39" fillId="0" borderId="31" xfId="2" applyFont="1" applyBorder="1" applyAlignment="1" applyProtection="1">
      <alignment horizontal="center" vertical="center" wrapText="1"/>
      <protection hidden="1"/>
    </xf>
    <xf numFmtId="0" fontId="39" fillId="0" borderId="49" xfId="2" applyFont="1" applyBorder="1" applyAlignment="1" applyProtection="1">
      <alignment vertical="center" wrapText="1"/>
      <protection hidden="1"/>
    </xf>
    <xf numFmtId="0" fontId="39" fillId="0" borderId="50" xfId="2" applyFont="1" applyBorder="1" applyAlignment="1" applyProtection="1">
      <alignment vertical="center" wrapText="1"/>
      <protection hidden="1"/>
    </xf>
    <xf numFmtId="0" fontId="39" fillId="0" borderId="31" xfId="2" applyFont="1" applyBorder="1" applyAlignment="1" applyProtection="1">
      <alignment vertical="center" wrapText="1"/>
      <protection hidden="1"/>
    </xf>
    <xf numFmtId="0" fontId="2" fillId="0" borderId="31" xfId="2" applyBorder="1" applyAlignment="1" applyProtection="1">
      <alignment vertical="center" wrapText="1"/>
      <protection hidden="1"/>
    </xf>
    <xf numFmtId="0" fontId="2" fillId="0" borderId="50" xfId="2" applyBorder="1" applyAlignment="1" applyProtection="1">
      <alignment vertical="center" wrapText="1"/>
      <protection hidden="1"/>
    </xf>
    <xf numFmtId="0" fontId="39" fillId="0" borderId="49" xfId="2" applyFont="1" applyBorder="1" applyAlignment="1" applyProtection="1">
      <alignment horizontal="center" vertical="center" wrapText="1"/>
      <protection hidden="1"/>
    </xf>
    <xf numFmtId="0" fontId="0" fillId="0" borderId="0" xfId="0" applyProtection="1">
      <protection hidden="1"/>
    </xf>
    <xf numFmtId="0" fontId="0" fillId="0" borderId="0" xfId="0" applyAlignment="1" applyProtection="1">
      <alignment horizontal="center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0" fillId="0" borderId="0" xfId="0" applyProtection="1">
      <protection locked="0"/>
    </xf>
    <xf numFmtId="164" fontId="0" fillId="0" borderId="0" xfId="0" applyNumberFormat="1" applyAlignment="1" applyProtection="1">
      <alignment horizont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164" fontId="0" fillId="0" borderId="0" xfId="0" applyNumberFormat="1" applyAlignment="1" applyProtection="1">
      <alignment horizontal="right"/>
      <protection locked="0"/>
    </xf>
    <xf numFmtId="164" fontId="0" fillId="0" borderId="0" xfId="0" applyNumberFormat="1" applyProtection="1">
      <protection locked="0"/>
    </xf>
    <xf numFmtId="164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0" xfId="0" applyAlignment="1">
      <alignment horizontal="center"/>
    </xf>
    <xf numFmtId="0" fontId="0" fillId="0" borderId="29" xfId="0" applyBorder="1"/>
    <xf numFmtId="0" fontId="0" fillId="0" borderId="51" xfId="0" applyBorder="1"/>
    <xf numFmtId="0" fontId="43" fillId="10" borderId="52" xfId="0" applyFont="1" applyFill="1" applyBorder="1"/>
    <xf numFmtId="0" fontId="0" fillId="10" borderId="53" xfId="0" applyFill="1" applyBorder="1"/>
    <xf numFmtId="0" fontId="0" fillId="10" borderId="54" xfId="0" applyFill="1" applyBorder="1"/>
    <xf numFmtId="0" fontId="43" fillId="11" borderId="10" xfId="0" applyFont="1" applyFill="1" applyBorder="1"/>
    <xf numFmtId="0" fontId="0" fillId="11" borderId="55" xfId="0" applyFill="1" applyBorder="1"/>
    <xf numFmtId="0" fontId="0" fillId="11" borderId="11" xfId="0" applyFill="1" applyBorder="1"/>
    <xf numFmtId="0" fontId="0" fillId="0" borderId="56" xfId="0" applyBorder="1"/>
    <xf numFmtId="0" fontId="0" fillId="0" borderId="35" xfId="0" applyBorder="1"/>
    <xf numFmtId="0" fontId="43" fillId="10" borderId="19" xfId="0" applyFont="1" applyFill="1" applyBorder="1"/>
    <xf numFmtId="0" fontId="0" fillId="10" borderId="24" xfId="0" applyFill="1" applyBorder="1"/>
    <xf numFmtId="0" fontId="0" fillId="10" borderId="26" xfId="0" applyFill="1" applyBorder="1"/>
    <xf numFmtId="1" fontId="3" fillId="0" borderId="0" xfId="0" applyNumberFormat="1" applyFont="1" applyAlignment="1" applyProtection="1">
      <alignment horizontal="center" vertical="center"/>
      <protection locked="0"/>
    </xf>
    <xf numFmtId="20" fontId="0" fillId="0" borderId="35" xfId="0" applyNumberFormat="1" applyBorder="1"/>
    <xf numFmtId="0" fontId="44" fillId="0" borderId="0" xfId="0" applyFont="1"/>
    <xf numFmtId="0" fontId="8" fillId="3" borderId="1" xfId="0" applyFont="1" applyFill="1" applyBorder="1" applyAlignment="1" applyProtection="1">
      <alignment horizontal="center" vertical="center"/>
      <protection hidden="1"/>
    </xf>
    <xf numFmtId="14" fontId="7" fillId="0" borderId="1" xfId="0" applyNumberFormat="1" applyFont="1" applyBorder="1" applyAlignment="1" applyProtection="1">
      <alignment horizontal="center"/>
      <protection locked="0"/>
    </xf>
    <xf numFmtId="0" fontId="13" fillId="4" borderId="8" xfId="0" applyFont="1" applyFill="1" applyBorder="1" applyAlignment="1" applyProtection="1">
      <alignment horizontal="center"/>
      <protection hidden="1"/>
    </xf>
    <xf numFmtId="0" fontId="13" fillId="4" borderId="9" xfId="0" applyFont="1" applyFill="1" applyBorder="1" applyAlignment="1" applyProtection="1">
      <alignment horizontal="center"/>
      <protection hidden="1"/>
    </xf>
    <xf numFmtId="0" fontId="13" fillId="4" borderId="10" xfId="0" applyFont="1" applyFill="1" applyBorder="1" applyAlignment="1" applyProtection="1">
      <alignment horizontal="center"/>
      <protection hidden="1"/>
    </xf>
    <xf numFmtId="0" fontId="13" fillId="5" borderId="11" xfId="0" applyFont="1" applyFill="1" applyBorder="1" applyAlignment="1" applyProtection="1">
      <alignment horizontal="center"/>
      <protection hidden="1"/>
    </xf>
    <xf numFmtId="46" fontId="19" fillId="3" borderId="1" xfId="0" applyNumberFormat="1" applyFont="1" applyFill="1" applyBorder="1" applyAlignment="1" applyProtection="1">
      <alignment horizontal="center" vertical="center"/>
      <protection hidden="1"/>
    </xf>
    <xf numFmtId="0" fontId="12" fillId="4" borderId="2" xfId="0" applyFont="1" applyFill="1" applyBorder="1" applyAlignment="1" applyProtection="1">
      <alignment horizontal="center"/>
      <protection hidden="1"/>
    </xf>
    <xf numFmtId="0" fontId="12" fillId="4" borderId="3" xfId="0" applyFont="1" applyFill="1" applyBorder="1" applyAlignment="1" applyProtection="1">
      <alignment horizontal="center"/>
      <protection hidden="1"/>
    </xf>
    <xf numFmtId="0" fontId="1" fillId="0" borderId="28" xfId="1" applyBorder="1" applyAlignment="1" applyProtection="1">
      <alignment horizontal="center"/>
      <protection hidden="1"/>
    </xf>
    <xf numFmtId="0" fontId="21" fillId="6" borderId="29" xfId="1" applyFont="1" applyFill="1" applyBorder="1" applyAlignment="1" applyProtection="1">
      <alignment horizontal="center"/>
      <protection hidden="1"/>
    </xf>
    <xf numFmtId="0" fontId="21" fillId="0" borderId="29" xfId="1" applyFont="1" applyBorder="1" applyAlignment="1" applyProtection="1">
      <alignment horizontal="center" vertical="center"/>
      <protection hidden="1"/>
    </xf>
    <xf numFmtId="0" fontId="23" fillId="6" borderId="29" xfId="1" applyFont="1" applyFill="1" applyBorder="1" applyAlignment="1" applyProtection="1">
      <alignment horizontal="center"/>
      <protection hidden="1"/>
    </xf>
    <xf numFmtId="165" fontId="25" fillId="0" borderId="29" xfId="1" applyNumberFormat="1" applyFont="1" applyBorder="1" applyAlignment="1" applyProtection="1">
      <alignment horizontal="center"/>
      <protection locked="0"/>
    </xf>
    <xf numFmtId="20" fontId="25" fillId="0" borderId="29" xfId="1" applyNumberFormat="1" applyFont="1" applyBorder="1" applyAlignment="1" applyProtection="1">
      <alignment horizontal="center"/>
      <protection locked="0"/>
    </xf>
    <xf numFmtId="0" fontId="25" fillId="2" borderId="36" xfId="1" applyFont="1" applyFill="1" applyBorder="1" applyAlignment="1" applyProtection="1">
      <alignment horizontal="center" vertical="center" wrapText="1"/>
      <protection hidden="1"/>
    </xf>
    <xf numFmtId="0" fontId="25" fillId="0" borderId="29" xfId="1" applyFont="1" applyBorder="1" applyAlignment="1" applyProtection="1">
      <alignment horizontal="center"/>
      <protection locked="0"/>
    </xf>
    <xf numFmtId="0" fontId="34" fillId="0" borderId="40" xfId="2" applyFont="1" applyBorder="1" applyAlignment="1" applyProtection="1">
      <alignment horizontal="right" wrapText="1"/>
      <protection hidden="1"/>
    </xf>
    <xf numFmtId="166" fontId="36" fillId="8" borderId="41" xfId="2" applyNumberFormat="1" applyFont="1" applyFill="1" applyBorder="1" applyAlignment="1" applyProtection="1">
      <alignment horizontal="center" vertical="center"/>
      <protection hidden="1"/>
    </xf>
    <xf numFmtId="0" fontId="42" fillId="0" borderId="0" xfId="2" applyFont="1" applyAlignment="1" applyProtection="1">
      <alignment vertical="center" wrapText="1"/>
      <protection hidden="1"/>
    </xf>
    <xf numFmtId="0" fontId="38" fillId="0" borderId="0" xfId="2" applyFont="1" applyAlignment="1" applyProtection="1">
      <alignment horizontal="center" vertical="center"/>
      <protection hidden="1"/>
    </xf>
    <xf numFmtId="0" fontId="39" fillId="0" borderId="1" xfId="2" applyFont="1" applyBorder="1" applyAlignment="1" applyProtection="1">
      <alignment horizontal="center" vertical="center" wrapText="1"/>
      <protection hidden="1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167">
    <dxf>
      <fill>
        <patternFill>
          <bgColor rgb="FFC00000"/>
        </patternFill>
      </fill>
    </dxf>
    <dxf>
      <font>
        <color rgb="FFC4BD97"/>
      </font>
      <fill>
        <patternFill>
          <bgColor theme="2" tint="-0.249977111117893"/>
        </patternFill>
      </fill>
    </dxf>
    <dxf>
      <fill>
        <patternFill>
          <bgColor rgb="FFC00000"/>
        </patternFill>
      </fill>
    </dxf>
    <dxf>
      <font>
        <color rgb="FFC4BD97"/>
      </font>
      <fill>
        <patternFill>
          <bgColor theme="2" tint="-0.249977111117893"/>
        </patternFill>
      </fill>
    </dxf>
    <dxf>
      <fill>
        <patternFill>
          <bgColor rgb="FFC00000"/>
        </patternFill>
      </fill>
    </dxf>
    <dxf>
      <font>
        <color rgb="FFC4BD97"/>
      </font>
      <fill>
        <patternFill>
          <bgColor theme="2" tint="-0.249977111117893"/>
        </patternFill>
      </fill>
    </dxf>
    <dxf>
      <fill>
        <patternFill>
          <bgColor rgb="FFC00000"/>
        </patternFill>
      </fill>
    </dxf>
    <dxf>
      <font>
        <color rgb="FFC4BD97"/>
      </font>
      <fill>
        <patternFill>
          <bgColor theme="2" tint="-0.249977111117893"/>
        </patternFill>
      </fill>
    </dxf>
    <dxf>
      <fill>
        <patternFill>
          <bgColor rgb="FFC00000"/>
        </patternFill>
      </fill>
    </dxf>
    <dxf>
      <font>
        <color rgb="FFC4BD97"/>
      </font>
      <fill>
        <patternFill>
          <bgColor theme="2" tint="-0.249977111117893"/>
        </patternFill>
      </fill>
    </dxf>
    <dxf>
      <fill>
        <patternFill>
          <bgColor rgb="FFC00000"/>
        </patternFill>
      </fill>
    </dxf>
    <dxf>
      <font>
        <color rgb="FFC4BD97"/>
      </font>
      <fill>
        <patternFill>
          <bgColor theme="2" tint="-0.249977111117893"/>
        </patternFill>
      </fill>
    </dxf>
    <dxf>
      <fill>
        <patternFill>
          <bgColor rgb="FFC00000"/>
        </patternFill>
      </fill>
    </dxf>
    <dxf>
      <font>
        <color rgb="FFC4BD97"/>
      </font>
      <fill>
        <patternFill>
          <bgColor theme="2" tint="-0.249977111117893"/>
        </patternFill>
      </fill>
    </dxf>
    <dxf>
      <fill>
        <patternFill>
          <bgColor rgb="FFC00000"/>
        </patternFill>
      </fill>
    </dxf>
    <dxf>
      <font>
        <color rgb="FFC4BD97"/>
      </font>
      <fill>
        <patternFill>
          <bgColor theme="2" tint="-0.249977111117893"/>
        </patternFill>
      </fill>
    </dxf>
    <dxf>
      <fill>
        <patternFill>
          <bgColor rgb="FFC00000"/>
        </patternFill>
      </fill>
    </dxf>
    <dxf>
      <font>
        <color rgb="FFC4BD97"/>
      </font>
      <fill>
        <patternFill>
          <bgColor theme="2" tint="-0.249977111117893"/>
        </patternFill>
      </fill>
    </dxf>
    <dxf>
      <fill>
        <patternFill>
          <bgColor rgb="FFC00000"/>
        </patternFill>
      </fill>
    </dxf>
    <dxf>
      <font>
        <color rgb="FFC4BD97"/>
      </font>
      <fill>
        <patternFill>
          <bgColor theme="2" tint="-0.249977111117893"/>
        </patternFill>
      </fill>
    </dxf>
    <dxf>
      <fill>
        <patternFill>
          <bgColor rgb="FFC00000"/>
        </patternFill>
      </fill>
    </dxf>
    <dxf>
      <font>
        <color rgb="FFC4BD97"/>
      </font>
      <fill>
        <patternFill>
          <bgColor theme="2" tint="-0.249977111117893"/>
        </patternFill>
      </fill>
    </dxf>
    <dxf>
      <fill>
        <patternFill>
          <bgColor theme="3" tint="-0.249977111117893"/>
        </patternFill>
      </fill>
    </dxf>
    <dxf>
      <fill>
        <patternFill>
          <bgColor theme="8" tint="0.79989013336588644"/>
        </patternFill>
      </fill>
    </dxf>
    <dxf>
      <fill>
        <patternFill>
          <bgColor theme="7" tint="0.59987182226020086"/>
        </patternFill>
      </fill>
    </dxf>
    <dxf>
      <fill>
        <patternFill>
          <bgColor theme="5" tint="0.59987182226020086"/>
        </patternFill>
      </fill>
    </dxf>
    <dxf>
      <fill>
        <patternFill>
          <bgColor rgb="FFC00000"/>
        </patternFill>
      </fill>
    </dxf>
    <dxf>
      <font>
        <color rgb="FFC4BD97"/>
      </font>
      <fill>
        <patternFill>
          <bgColor theme="2" tint="-0.249977111117893"/>
        </patternFill>
      </fill>
    </dxf>
    <dxf>
      <fill>
        <patternFill>
          <bgColor theme="8" tint="0.79989013336588644"/>
        </patternFill>
      </fill>
    </dxf>
    <dxf>
      <fill>
        <patternFill>
          <bgColor theme="7" tint="0.59987182226020086"/>
        </patternFill>
      </fill>
    </dxf>
    <dxf>
      <fill>
        <patternFill>
          <bgColor theme="5" tint="0.5998718222602008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7030A0"/>
      <rgbColor rgb="FFFFFFCC"/>
      <rgbColor rgb="FFDBEEF4"/>
      <rgbColor rgb="FF660066"/>
      <rgbColor rgb="FFD99694"/>
      <rgbColor rgb="FF0066CC"/>
      <rgbColor rgb="FFCCC1DA"/>
      <rgbColor rgb="FF000080"/>
      <rgbColor rgb="FFFF00FF"/>
      <rgbColor rgb="FFFFFF00"/>
      <rgbColor rgb="FF00FFFF"/>
      <rgbColor rgb="FF800080"/>
      <rgbColor rgb="FFC00000"/>
      <rgbColor rgb="FF008080"/>
      <rgbColor rgb="FF0000FF"/>
      <rgbColor rgb="FF00CCFF"/>
      <rgbColor rgb="FFD9D9D9"/>
      <rgbColor rgb="FFE0E0E0"/>
      <rgbColor rgb="FFFFFF99"/>
      <rgbColor rgb="FFC3D69B"/>
      <rgbColor rgb="FFE6B9B8"/>
      <rgbColor rgb="FFC4BD97"/>
      <rgbColor rgb="FFFFC7CE"/>
      <rgbColor rgb="FF3366FF"/>
      <rgbColor rgb="FF33CCCC"/>
      <rgbColor rgb="FF99CC00"/>
      <rgbColor rgb="FFFFCC00"/>
      <rgbColor rgb="FFFF9900"/>
      <rgbColor rgb="FFFF6600"/>
      <rgbColor rgb="FF666699"/>
      <rgbColor rgb="FF948A54"/>
      <rgbColor rgb="FF17375E"/>
      <rgbColor rgb="FF339966"/>
      <rgbColor rgb="FF10243E"/>
      <rgbColor rgb="FF333300"/>
      <rgbColor rgb="FF993300"/>
      <rgbColor rgb="FF993366"/>
      <rgbColor rgb="FF333399"/>
      <rgbColor rgb="FF26262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eetMetadata" Target="metadata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ctrlProps/ctrlProp81.xml><?xml version="1.0" encoding="utf-8"?>
<formControlPr xmlns="http://schemas.microsoft.com/office/spreadsheetml/2009/9/main" objectType="Button" lockText="1"/>
</file>

<file path=xl/ctrlProps/ctrlProp82.xml><?xml version="1.0" encoding="utf-8"?>
<formControlPr xmlns="http://schemas.microsoft.com/office/spreadsheetml/2009/9/main" objectType="Button" lockText="1"/>
</file>

<file path=xl/ctrlProps/ctrlProp83.xml><?xml version="1.0" encoding="utf-8"?>
<formControlPr xmlns="http://schemas.microsoft.com/office/spreadsheetml/2009/9/main" objectType="Button" lockText="1"/>
</file>

<file path=xl/ctrlProps/ctrlProp8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57240</xdr:colOff>
      <xdr:row>0</xdr:row>
      <xdr:rowOff>0</xdr:rowOff>
    </xdr:from>
    <xdr:to>
      <xdr:col>0</xdr:col>
      <xdr:colOff>556920</xdr:colOff>
      <xdr:row>0</xdr:row>
      <xdr:rowOff>509400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57240" y="0"/>
          <a:ext cx="499680" cy="50940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57240</xdr:colOff>
      <xdr:row>0</xdr:row>
      <xdr:rowOff>0</xdr:rowOff>
    </xdr:from>
    <xdr:to>
      <xdr:col>0</xdr:col>
      <xdr:colOff>556920</xdr:colOff>
      <xdr:row>0</xdr:row>
      <xdr:rowOff>509400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57240" y="0"/>
          <a:ext cx="499680" cy="50940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57240</xdr:colOff>
      <xdr:row>0</xdr:row>
      <xdr:rowOff>0</xdr:rowOff>
    </xdr:from>
    <xdr:to>
      <xdr:col>0</xdr:col>
      <xdr:colOff>556920</xdr:colOff>
      <xdr:row>0</xdr:row>
      <xdr:rowOff>509400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57240" y="0"/>
          <a:ext cx="499680" cy="50940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57240</xdr:colOff>
      <xdr:row>0</xdr:row>
      <xdr:rowOff>0</xdr:rowOff>
    </xdr:from>
    <xdr:to>
      <xdr:col>0</xdr:col>
      <xdr:colOff>556920</xdr:colOff>
      <xdr:row>0</xdr:row>
      <xdr:rowOff>509400</xdr:rowOff>
    </xdr:to>
    <xdr:pic>
      <xdr:nvPicPr>
        <xdr:cNvPr id="3" name="Image 1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57240" y="0"/>
          <a:ext cx="499680" cy="50940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57240</xdr:colOff>
      <xdr:row>0</xdr:row>
      <xdr:rowOff>0</xdr:rowOff>
    </xdr:from>
    <xdr:to>
      <xdr:col>0</xdr:col>
      <xdr:colOff>556920</xdr:colOff>
      <xdr:row>0</xdr:row>
      <xdr:rowOff>509400</xdr:rowOff>
    </xdr:to>
    <xdr:pic>
      <xdr:nvPicPr>
        <xdr:cNvPr id="4" name="Image 1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57240" y="0"/>
          <a:ext cx="499680" cy="50940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57240</xdr:colOff>
      <xdr:row>0</xdr:row>
      <xdr:rowOff>0</xdr:rowOff>
    </xdr:from>
    <xdr:to>
      <xdr:col>0</xdr:col>
      <xdr:colOff>556920</xdr:colOff>
      <xdr:row>0</xdr:row>
      <xdr:rowOff>509400</xdr:rowOff>
    </xdr:to>
    <xdr:pic>
      <xdr:nvPicPr>
        <xdr:cNvPr id="5" name="Image 1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57240" y="0"/>
          <a:ext cx="499680" cy="50940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57240</xdr:colOff>
      <xdr:row>0</xdr:row>
      <xdr:rowOff>0</xdr:rowOff>
    </xdr:from>
    <xdr:to>
      <xdr:col>0</xdr:col>
      <xdr:colOff>556920</xdr:colOff>
      <xdr:row>0</xdr:row>
      <xdr:rowOff>509400</xdr:rowOff>
    </xdr:to>
    <xdr:pic>
      <xdr:nvPicPr>
        <xdr:cNvPr id="6" name="Image 1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57240" y="0"/>
          <a:ext cx="499680" cy="50940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57240</xdr:colOff>
      <xdr:row>0</xdr:row>
      <xdr:rowOff>0</xdr:rowOff>
    </xdr:from>
    <xdr:to>
      <xdr:col>0</xdr:col>
      <xdr:colOff>556920</xdr:colOff>
      <xdr:row>0</xdr:row>
      <xdr:rowOff>509400</xdr:rowOff>
    </xdr:to>
    <xdr:pic>
      <xdr:nvPicPr>
        <xdr:cNvPr id="7" name="Image 1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57240" y="0"/>
          <a:ext cx="499680" cy="50940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54000</xdr:colOff>
      <xdr:row>1</xdr:row>
      <xdr:rowOff>2160</xdr:rowOff>
    </xdr:to>
    <xdr:pic>
      <xdr:nvPicPr>
        <xdr:cNvPr id="8" name="Image 2">
          <a:extLst>
            <a:ext uri="{FF2B5EF4-FFF2-40B4-BE49-F238E27FC236}">
              <a16:creationId xmlns:a16="http://schemas.microsoft.com/office/drawing/2014/main" id="{00000000-0008-0000-0A00-000008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0" y="0"/>
          <a:ext cx="1172880" cy="90720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60840</xdr:colOff>
      <xdr:row>0</xdr:row>
      <xdr:rowOff>312480</xdr:rowOff>
    </xdr:from>
    <xdr:to>
      <xdr:col>34</xdr:col>
      <xdr:colOff>-52920</xdr:colOff>
      <xdr:row>1</xdr:row>
      <xdr:rowOff>-211320</xdr:rowOff>
    </xdr:to>
    <xdr:sp macro="" textlink="">
      <xdr:nvSpPr>
        <xdr:cNvPr id="2" name="Compteur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anchor="ctr">
          <a:noAutofit/>
        </a:bodyPr>
        <a:lstStyle/>
        <a:p>
          <a:endParaRPr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45720</xdr:colOff>
          <xdr:row>1</xdr:row>
          <xdr:rowOff>99060</xdr:rowOff>
        </xdr:from>
        <xdr:to>
          <xdr:col>33</xdr:col>
          <xdr:colOff>60960</xdr:colOff>
          <xdr:row>3</xdr:row>
          <xdr:rowOff>22860</xdr:rowOff>
        </xdr:to>
        <xdr:sp macro="" textlink="">
          <xdr:nvSpPr>
            <xdr:cNvPr id="1001" name="CommandButton2" hidden="1">
              <a:extLst>
                <a:ext uri="{63B3BB69-23CF-44E3-9099-C40C66FF867C}">
                  <a14:compatExt spid="_x0000_s1001"/>
                </a:ext>
                <a:ext uri="{FF2B5EF4-FFF2-40B4-BE49-F238E27FC236}">
                  <a16:creationId xmlns:a16="http://schemas.microsoft.com/office/drawing/2014/main" id="{00000000-0008-0000-0B00-0000E90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CH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121920</xdr:colOff>
          <xdr:row>1</xdr:row>
          <xdr:rowOff>106680</xdr:rowOff>
        </xdr:from>
        <xdr:to>
          <xdr:col>37</xdr:col>
          <xdr:colOff>137160</xdr:colOff>
          <xdr:row>3</xdr:row>
          <xdr:rowOff>30480</xdr:rowOff>
        </xdr:to>
        <xdr:sp macro="" textlink="">
          <xdr:nvSpPr>
            <xdr:cNvPr id="1002" name="CommandButton3" hidden="1">
              <a:extLst>
                <a:ext uri="{63B3BB69-23CF-44E3-9099-C40C66FF867C}">
                  <a14:compatExt spid="_x0000_s1002"/>
                </a:ext>
                <a:ext uri="{FF2B5EF4-FFF2-40B4-BE49-F238E27FC236}">
                  <a16:creationId xmlns:a16="http://schemas.microsoft.com/office/drawing/2014/main" id="{00000000-0008-0000-0B00-0000EA0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CH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7620</xdr:colOff>
          <xdr:row>1</xdr:row>
          <xdr:rowOff>99060</xdr:rowOff>
        </xdr:from>
        <xdr:to>
          <xdr:col>28</xdr:col>
          <xdr:colOff>22860</xdr:colOff>
          <xdr:row>3</xdr:row>
          <xdr:rowOff>22860</xdr:rowOff>
        </xdr:to>
        <xdr:sp macro="" textlink="">
          <xdr:nvSpPr>
            <xdr:cNvPr id="1003" name="CommandButton4" hidden="1">
              <a:extLst>
                <a:ext uri="{63B3BB69-23CF-44E3-9099-C40C66FF867C}">
                  <a14:compatExt spid="_x0000_s1003"/>
                </a:ext>
                <a:ext uri="{FF2B5EF4-FFF2-40B4-BE49-F238E27FC236}">
                  <a16:creationId xmlns:a16="http://schemas.microsoft.com/office/drawing/2014/main" id="{00000000-0008-0000-0B00-0000EB0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CH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</xdr:row>
          <xdr:rowOff>106680</xdr:rowOff>
        </xdr:from>
        <xdr:to>
          <xdr:col>23</xdr:col>
          <xdr:colOff>15240</xdr:colOff>
          <xdr:row>3</xdr:row>
          <xdr:rowOff>30480</xdr:rowOff>
        </xdr:to>
        <xdr:sp macro="" textlink="">
          <xdr:nvSpPr>
            <xdr:cNvPr id="1004" name="CommandButton1" hidden="1">
              <a:extLst>
                <a:ext uri="{63B3BB69-23CF-44E3-9099-C40C66FF867C}">
                  <a14:compatExt spid="_x0000_s1004"/>
                </a:ext>
                <a:ext uri="{FF2B5EF4-FFF2-40B4-BE49-F238E27FC236}">
                  <a16:creationId xmlns:a16="http://schemas.microsoft.com/office/drawing/2014/main" id="{00000000-0008-0000-0B00-0000EC0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CH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</xdr:row>
          <xdr:rowOff>106680</xdr:rowOff>
        </xdr:from>
        <xdr:to>
          <xdr:col>18</xdr:col>
          <xdr:colOff>15240</xdr:colOff>
          <xdr:row>3</xdr:row>
          <xdr:rowOff>30480</xdr:rowOff>
        </xdr:to>
        <xdr:sp macro="" textlink="">
          <xdr:nvSpPr>
            <xdr:cNvPr id="1005" name="CommandButton5" hidden="1">
              <a:extLst>
                <a:ext uri="{63B3BB69-23CF-44E3-9099-C40C66FF867C}">
                  <a14:compatExt spid="_x0000_s1005"/>
                </a:ext>
                <a:ext uri="{FF2B5EF4-FFF2-40B4-BE49-F238E27FC236}">
                  <a16:creationId xmlns:a16="http://schemas.microsoft.com/office/drawing/2014/main" id="{00000000-0008-0000-0B00-0000ED0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CH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15240</xdr:colOff>
          <xdr:row>1</xdr:row>
          <xdr:rowOff>83820</xdr:rowOff>
        </xdr:from>
        <xdr:to>
          <xdr:col>13</xdr:col>
          <xdr:colOff>30480</xdr:colOff>
          <xdr:row>3</xdr:row>
          <xdr:rowOff>7620</xdr:rowOff>
        </xdr:to>
        <xdr:sp macro="" textlink="">
          <xdr:nvSpPr>
            <xdr:cNvPr id="1006" name="CommandButton6" hidden="1">
              <a:extLst>
                <a:ext uri="{63B3BB69-23CF-44E3-9099-C40C66FF867C}">
                  <a14:compatExt spid="_x0000_s1006"/>
                </a:ext>
                <a:ext uri="{FF2B5EF4-FFF2-40B4-BE49-F238E27FC236}">
                  <a16:creationId xmlns:a16="http://schemas.microsoft.com/office/drawing/2014/main" id="{00000000-0008-0000-0B00-0000EE03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18288" tIns="0" rIns="0" bIns="0" anchor="ctr" upright="1"/>
            <a:lstStyle/>
            <a:p>
              <a:pPr algn="l" rtl="0">
                <a:defRPr sz="1000"/>
              </a:pPr>
              <a:endParaRPr lang="fr-CH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38100</xdr:colOff>
          <xdr:row>1</xdr:row>
          <xdr:rowOff>76200</xdr:rowOff>
        </xdr:from>
        <xdr:to>
          <xdr:col>33</xdr:col>
          <xdr:colOff>45720</xdr:colOff>
          <xdr:row>3</xdr:row>
          <xdr:rowOff>15240</xdr:rowOff>
        </xdr:to>
        <xdr:sp macro="" textlink="">
          <xdr:nvSpPr>
            <xdr:cNvPr id="10246" name="CommandButton2" hidden="1">
              <a:extLst>
                <a:ext uri="{63B3BB69-23CF-44E3-9099-C40C66FF867C}">
                  <a14:compatExt spid="_x0000_s10246"/>
                </a:ext>
                <a:ext uri="{FF2B5EF4-FFF2-40B4-BE49-F238E27FC236}">
                  <a16:creationId xmlns:a16="http://schemas.microsoft.com/office/drawing/2014/main" id="{00000000-0008-0000-0B00-00000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endParaRPr lang="fr-CH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99060</xdr:colOff>
          <xdr:row>1</xdr:row>
          <xdr:rowOff>83820</xdr:rowOff>
        </xdr:from>
        <xdr:to>
          <xdr:col>37</xdr:col>
          <xdr:colOff>106680</xdr:colOff>
          <xdr:row>3</xdr:row>
          <xdr:rowOff>22860</xdr:rowOff>
        </xdr:to>
        <xdr:sp macro="" textlink="">
          <xdr:nvSpPr>
            <xdr:cNvPr id="10245" name="CommandButton3" hidden="1">
              <a:extLst>
                <a:ext uri="{63B3BB69-23CF-44E3-9099-C40C66FF867C}">
                  <a14:compatExt spid="_x0000_s10245"/>
                </a:ext>
                <a:ext uri="{FF2B5EF4-FFF2-40B4-BE49-F238E27FC236}">
                  <a16:creationId xmlns:a16="http://schemas.microsoft.com/office/drawing/2014/main" id="{00000000-0008-0000-0B00-00000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endParaRPr lang="fr-CH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7620</xdr:colOff>
          <xdr:row>1</xdr:row>
          <xdr:rowOff>76200</xdr:rowOff>
        </xdr:from>
        <xdr:to>
          <xdr:col>28</xdr:col>
          <xdr:colOff>15240</xdr:colOff>
          <xdr:row>3</xdr:row>
          <xdr:rowOff>15240</xdr:rowOff>
        </xdr:to>
        <xdr:sp macro="" textlink="">
          <xdr:nvSpPr>
            <xdr:cNvPr id="10244" name="CommandButton4" hidden="1">
              <a:extLst>
                <a:ext uri="{63B3BB69-23CF-44E3-9099-C40C66FF867C}">
                  <a14:compatExt spid="_x0000_s10244"/>
                </a:ext>
                <a:ext uri="{FF2B5EF4-FFF2-40B4-BE49-F238E27FC236}">
                  <a16:creationId xmlns:a16="http://schemas.microsoft.com/office/drawing/2014/main" id="{00000000-0008-0000-0B00-00000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endParaRPr lang="fr-CH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0</xdr:colOff>
          <xdr:row>1</xdr:row>
          <xdr:rowOff>83820</xdr:rowOff>
        </xdr:from>
        <xdr:to>
          <xdr:col>23</xdr:col>
          <xdr:colOff>15240</xdr:colOff>
          <xdr:row>3</xdr:row>
          <xdr:rowOff>22860</xdr:rowOff>
        </xdr:to>
        <xdr:sp macro="" textlink="">
          <xdr:nvSpPr>
            <xdr:cNvPr id="10243" name="CommandButton1" hidden="1">
              <a:extLst>
                <a:ext uri="{63B3BB69-23CF-44E3-9099-C40C66FF867C}">
                  <a14:compatExt spid="_x0000_s10243"/>
                </a:ext>
                <a:ext uri="{FF2B5EF4-FFF2-40B4-BE49-F238E27FC236}">
                  <a16:creationId xmlns:a16="http://schemas.microsoft.com/office/drawing/2014/main" id="{00000000-0008-0000-0B00-00000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endParaRPr lang="fr-CH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0</xdr:colOff>
          <xdr:row>1</xdr:row>
          <xdr:rowOff>83820</xdr:rowOff>
        </xdr:from>
        <xdr:to>
          <xdr:col>18</xdr:col>
          <xdr:colOff>15240</xdr:colOff>
          <xdr:row>3</xdr:row>
          <xdr:rowOff>22860</xdr:rowOff>
        </xdr:to>
        <xdr:sp macro="" textlink="">
          <xdr:nvSpPr>
            <xdr:cNvPr id="10242" name="CommandButton5" hidden="1">
              <a:extLst>
                <a:ext uri="{63B3BB69-23CF-44E3-9099-C40C66FF867C}">
                  <a14:compatExt spid="_x0000_s10242"/>
                </a:ext>
                <a:ext uri="{FF2B5EF4-FFF2-40B4-BE49-F238E27FC236}">
                  <a16:creationId xmlns:a16="http://schemas.microsoft.com/office/drawing/2014/main" id="{00000000-0008-0000-0B00-00000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endParaRPr lang="fr-CH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15240</xdr:colOff>
          <xdr:row>1</xdr:row>
          <xdr:rowOff>68580</xdr:rowOff>
        </xdr:from>
        <xdr:to>
          <xdr:col>13</xdr:col>
          <xdr:colOff>22860</xdr:colOff>
          <xdr:row>3</xdr:row>
          <xdr:rowOff>7620</xdr:rowOff>
        </xdr:to>
        <xdr:sp macro="" textlink="">
          <xdr:nvSpPr>
            <xdr:cNvPr id="10241" name="CommandButton6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B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endParaRPr lang="fr-CH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45720</xdr:colOff>
          <xdr:row>1</xdr:row>
          <xdr:rowOff>99060</xdr:rowOff>
        </xdr:from>
        <xdr:to>
          <xdr:col>33</xdr:col>
          <xdr:colOff>60960</xdr:colOff>
          <xdr:row>3</xdr:row>
          <xdr:rowOff>22860</xdr:rowOff>
        </xdr:to>
        <xdr:sp macro="" textlink="">
          <xdr:nvSpPr>
            <xdr:cNvPr id="10252" name="Button 12" hidden="1">
              <a:extLst>
                <a:ext uri="{63B3BB69-23CF-44E3-9099-C40C66FF867C}">
                  <a14:compatExt spid="_x0000_s10252"/>
                </a:ext>
                <a:ext uri="{FF2B5EF4-FFF2-40B4-BE49-F238E27FC236}">
                  <a16:creationId xmlns:a16="http://schemas.microsoft.com/office/drawing/2014/main" id="{00000000-0008-0000-0B00-00000C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121920</xdr:colOff>
          <xdr:row>1</xdr:row>
          <xdr:rowOff>106680</xdr:rowOff>
        </xdr:from>
        <xdr:to>
          <xdr:col>37</xdr:col>
          <xdr:colOff>137160</xdr:colOff>
          <xdr:row>3</xdr:row>
          <xdr:rowOff>30480</xdr:rowOff>
        </xdr:to>
        <xdr:sp macro="" textlink="">
          <xdr:nvSpPr>
            <xdr:cNvPr id="10251" name="Button 11" hidden="1">
              <a:extLst>
                <a:ext uri="{63B3BB69-23CF-44E3-9099-C40C66FF867C}">
                  <a14:compatExt spid="_x0000_s10251"/>
                </a:ext>
                <a:ext uri="{FF2B5EF4-FFF2-40B4-BE49-F238E27FC236}">
                  <a16:creationId xmlns:a16="http://schemas.microsoft.com/office/drawing/2014/main" id="{00000000-0008-0000-0B00-00000B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7620</xdr:colOff>
          <xdr:row>1</xdr:row>
          <xdr:rowOff>99060</xdr:rowOff>
        </xdr:from>
        <xdr:to>
          <xdr:col>28</xdr:col>
          <xdr:colOff>22860</xdr:colOff>
          <xdr:row>3</xdr:row>
          <xdr:rowOff>22860</xdr:rowOff>
        </xdr:to>
        <xdr:sp macro="" textlink="">
          <xdr:nvSpPr>
            <xdr:cNvPr id="10250" name="Button 10" hidden="1">
              <a:extLst>
                <a:ext uri="{63B3BB69-23CF-44E3-9099-C40C66FF867C}">
                  <a14:compatExt spid="_x0000_s10250"/>
                </a:ext>
                <a:ext uri="{FF2B5EF4-FFF2-40B4-BE49-F238E27FC236}">
                  <a16:creationId xmlns:a16="http://schemas.microsoft.com/office/drawing/2014/main" id="{00000000-0008-0000-0B00-00000A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</xdr:row>
          <xdr:rowOff>106680</xdr:rowOff>
        </xdr:from>
        <xdr:to>
          <xdr:col>23</xdr:col>
          <xdr:colOff>15240</xdr:colOff>
          <xdr:row>3</xdr:row>
          <xdr:rowOff>30480</xdr:rowOff>
        </xdr:to>
        <xdr:sp macro="" textlink="">
          <xdr:nvSpPr>
            <xdr:cNvPr id="10249" name="Button 9" hidden="1">
              <a:extLst>
                <a:ext uri="{63B3BB69-23CF-44E3-9099-C40C66FF867C}">
                  <a14:compatExt spid="_x0000_s10249"/>
                </a:ext>
                <a:ext uri="{FF2B5EF4-FFF2-40B4-BE49-F238E27FC236}">
                  <a16:creationId xmlns:a16="http://schemas.microsoft.com/office/drawing/2014/main" id="{00000000-0008-0000-0B00-000009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</xdr:row>
          <xdr:rowOff>106680</xdr:rowOff>
        </xdr:from>
        <xdr:to>
          <xdr:col>18</xdr:col>
          <xdr:colOff>15240</xdr:colOff>
          <xdr:row>3</xdr:row>
          <xdr:rowOff>30480</xdr:rowOff>
        </xdr:to>
        <xdr:sp macro="" textlink="">
          <xdr:nvSpPr>
            <xdr:cNvPr id="10248" name="Button 8" hidden="1">
              <a:extLst>
                <a:ext uri="{63B3BB69-23CF-44E3-9099-C40C66FF867C}">
                  <a14:compatExt spid="_x0000_s10248"/>
                </a:ext>
                <a:ext uri="{FF2B5EF4-FFF2-40B4-BE49-F238E27FC236}">
                  <a16:creationId xmlns:a16="http://schemas.microsoft.com/office/drawing/2014/main" id="{00000000-0008-0000-0B00-000008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15240</xdr:colOff>
          <xdr:row>1</xdr:row>
          <xdr:rowOff>83820</xdr:rowOff>
        </xdr:from>
        <xdr:to>
          <xdr:col>13</xdr:col>
          <xdr:colOff>30480</xdr:colOff>
          <xdr:row>3</xdr:row>
          <xdr:rowOff>7620</xdr:rowOff>
        </xdr:to>
        <xdr:sp macro="" textlink="">
          <xdr:nvSpPr>
            <xdr:cNvPr id="10247" name="Button 7" hidden="1">
              <a:extLst>
                <a:ext uri="{63B3BB69-23CF-44E3-9099-C40C66FF867C}">
                  <a14:compatExt spid="_x0000_s10247"/>
                </a:ext>
                <a:ext uri="{FF2B5EF4-FFF2-40B4-BE49-F238E27FC236}">
                  <a16:creationId xmlns:a16="http://schemas.microsoft.com/office/drawing/2014/main" id="{00000000-0008-0000-0B00-000007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45720</xdr:colOff>
          <xdr:row>1</xdr:row>
          <xdr:rowOff>99060</xdr:rowOff>
        </xdr:from>
        <xdr:to>
          <xdr:col>33</xdr:col>
          <xdr:colOff>60960</xdr:colOff>
          <xdr:row>3</xdr:row>
          <xdr:rowOff>22860</xdr:rowOff>
        </xdr:to>
        <xdr:sp macro="" textlink="">
          <xdr:nvSpPr>
            <xdr:cNvPr id="10258" name="Button 18" hidden="1">
              <a:extLst>
                <a:ext uri="{63B3BB69-23CF-44E3-9099-C40C66FF867C}">
                  <a14:compatExt spid="_x0000_s10258"/>
                </a:ext>
                <a:ext uri="{FF2B5EF4-FFF2-40B4-BE49-F238E27FC236}">
                  <a16:creationId xmlns:a16="http://schemas.microsoft.com/office/drawing/2014/main" id="{00000000-0008-0000-0B00-00001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121920</xdr:colOff>
          <xdr:row>1</xdr:row>
          <xdr:rowOff>106680</xdr:rowOff>
        </xdr:from>
        <xdr:to>
          <xdr:col>37</xdr:col>
          <xdr:colOff>137160</xdr:colOff>
          <xdr:row>3</xdr:row>
          <xdr:rowOff>30480</xdr:rowOff>
        </xdr:to>
        <xdr:sp macro="" textlink="">
          <xdr:nvSpPr>
            <xdr:cNvPr id="10257" name="Button 17" hidden="1">
              <a:extLst>
                <a:ext uri="{63B3BB69-23CF-44E3-9099-C40C66FF867C}">
                  <a14:compatExt spid="_x0000_s10257"/>
                </a:ext>
                <a:ext uri="{FF2B5EF4-FFF2-40B4-BE49-F238E27FC236}">
                  <a16:creationId xmlns:a16="http://schemas.microsoft.com/office/drawing/2014/main" id="{00000000-0008-0000-0B00-00001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7620</xdr:colOff>
          <xdr:row>1</xdr:row>
          <xdr:rowOff>99060</xdr:rowOff>
        </xdr:from>
        <xdr:to>
          <xdr:col>28</xdr:col>
          <xdr:colOff>22860</xdr:colOff>
          <xdr:row>3</xdr:row>
          <xdr:rowOff>22860</xdr:rowOff>
        </xdr:to>
        <xdr:sp macro="" textlink="">
          <xdr:nvSpPr>
            <xdr:cNvPr id="10256" name="Button 16" hidden="1">
              <a:extLst>
                <a:ext uri="{63B3BB69-23CF-44E3-9099-C40C66FF867C}">
                  <a14:compatExt spid="_x0000_s10256"/>
                </a:ext>
                <a:ext uri="{FF2B5EF4-FFF2-40B4-BE49-F238E27FC236}">
                  <a16:creationId xmlns:a16="http://schemas.microsoft.com/office/drawing/2014/main" id="{00000000-0008-0000-0B00-000010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</xdr:row>
          <xdr:rowOff>106680</xdr:rowOff>
        </xdr:from>
        <xdr:to>
          <xdr:col>23</xdr:col>
          <xdr:colOff>15240</xdr:colOff>
          <xdr:row>3</xdr:row>
          <xdr:rowOff>30480</xdr:rowOff>
        </xdr:to>
        <xdr:sp macro="" textlink="">
          <xdr:nvSpPr>
            <xdr:cNvPr id="10255" name="Button 15" hidden="1">
              <a:extLst>
                <a:ext uri="{63B3BB69-23CF-44E3-9099-C40C66FF867C}">
                  <a14:compatExt spid="_x0000_s10255"/>
                </a:ext>
                <a:ext uri="{FF2B5EF4-FFF2-40B4-BE49-F238E27FC236}">
                  <a16:creationId xmlns:a16="http://schemas.microsoft.com/office/drawing/2014/main" id="{00000000-0008-0000-0B00-00000F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</xdr:row>
          <xdr:rowOff>106680</xdr:rowOff>
        </xdr:from>
        <xdr:to>
          <xdr:col>18</xdr:col>
          <xdr:colOff>15240</xdr:colOff>
          <xdr:row>3</xdr:row>
          <xdr:rowOff>30480</xdr:rowOff>
        </xdr:to>
        <xdr:sp macro="" textlink="">
          <xdr:nvSpPr>
            <xdr:cNvPr id="10254" name="Button 14" hidden="1">
              <a:extLst>
                <a:ext uri="{63B3BB69-23CF-44E3-9099-C40C66FF867C}">
                  <a14:compatExt spid="_x0000_s10254"/>
                </a:ext>
                <a:ext uri="{FF2B5EF4-FFF2-40B4-BE49-F238E27FC236}">
                  <a16:creationId xmlns:a16="http://schemas.microsoft.com/office/drawing/2014/main" id="{00000000-0008-0000-0B00-00000E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15240</xdr:colOff>
          <xdr:row>1</xdr:row>
          <xdr:rowOff>83820</xdr:rowOff>
        </xdr:from>
        <xdr:to>
          <xdr:col>13</xdr:col>
          <xdr:colOff>30480</xdr:colOff>
          <xdr:row>3</xdr:row>
          <xdr:rowOff>7620</xdr:rowOff>
        </xdr:to>
        <xdr:sp macro="" textlink="">
          <xdr:nvSpPr>
            <xdr:cNvPr id="10253" name="Button 13" hidden="1">
              <a:extLst>
                <a:ext uri="{63B3BB69-23CF-44E3-9099-C40C66FF867C}">
                  <a14:compatExt spid="_x0000_s10253"/>
                </a:ext>
                <a:ext uri="{FF2B5EF4-FFF2-40B4-BE49-F238E27FC236}">
                  <a16:creationId xmlns:a16="http://schemas.microsoft.com/office/drawing/2014/main" id="{00000000-0008-0000-0B00-00000D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45720</xdr:colOff>
          <xdr:row>1</xdr:row>
          <xdr:rowOff>99060</xdr:rowOff>
        </xdr:from>
        <xdr:to>
          <xdr:col>33</xdr:col>
          <xdr:colOff>60960</xdr:colOff>
          <xdr:row>3</xdr:row>
          <xdr:rowOff>22860</xdr:rowOff>
        </xdr:to>
        <xdr:sp macro="" textlink="">
          <xdr:nvSpPr>
            <xdr:cNvPr id="10264" name="Button 24" hidden="1">
              <a:extLst>
                <a:ext uri="{63B3BB69-23CF-44E3-9099-C40C66FF867C}">
                  <a14:compatExt spid="_x0000_s10264"/>
                </a:ext>
                <a:ext uri="{FF2B5EF4-FFF2-40B4-BE49-F238E27FC236}">
                  <a16:creationId xmlns:a16="http://schemas.microsoft.com/office/drawing/2014/main" id="{00000000-0008-0000-0B00-000018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121920</xdr:colOff>
          <xdr:row>1</xdr:row>
          <xdr:rowOff>106680</xdr:rowOff>
        </xdr:from>
        <xdr:to>
          <xdr:col>37</xdr:col>
          <xdr:colOff>137160</xdr:colOff>
          <xdr:row>3</xdr:row>
          <xdr:rowOff>30480</xdr:rowOff>
        </xdr:to>
        <xdr:sp macro="" textlink="">
          <xdr:nvSpPr>
            <xdr:cNvPr id="10263" name="Button 23" hidden="1">
              <a:extLst>
                <a:ext uri="{63B3BB69-23CF-44E3-9099-C40C66FF867C}">
                  <a14:compatExt spid="_x0000_s10263"/>
                </a:ext>
                <a:ext uri="{FF2B5EF4-FFF2-40B4-BE49-F238E27FC236}">
                  <a16:creationId xmlns:a16="http://schemas.microsoft.com/office/drawing/2014/main" id="{00000000-0008-0000-0B00-000017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7620</xdr:colOff>
          <xdr:row>1</xdr:row>
          <xdr:rowOff>99060</xdr:rowOff>
        </xdr:from>
        <xdr:to>
          <xdr:col>28</xdr:col>
          <xdr:colOff>22860</xdr:colOff>
          <xdr:row>3</xdr:row>
          <xdr:rowOff>22860</xdr:rowOff>
        </xdr:to>
        <xdr:sp macro="" textlink="">
          <xdr:nvSpPr>
            <xdr:cNvPr id="10262" name="Button 22" hidden="1">
              <a:extLst>
                <a:ext uri="{63B3BB69-23CF-44E3-9099-C40C66FF867C}">
                  <a14:compatExt spid="_x0000_s10262"/>
                </a:ext>
                <a:ext uri="{FF2B5EF4-FFF2-40B4-BE49-F238E27FC236}">
                  <a16:creationId xmlns:a16="http://schemas.microsoft.com/office/drawing/2014/main" id="{00000000-0008-0000-0B00-00001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</xdr:row>
          <xdr:rowOff>106680</xdr:rowOff>
        </xdr:from>
        <xdr:to>
          <xdr:col>23</xdr:col>
          <xdr:colOff>15240</xdr:colOff>
          <xdr:row>3</xdr:row>
          <xdr:rowOff>30480</xdr:rowOff>
        </xdr:to>
        <xdr:sp macro="" textlink="">
          <xdr:nvSpPr>
            <xdr:cNvPr id="10261" name="Button 21" hidden="1">
              <a:extLst>
                <a:ext uri="{63B3BB69-23CF-44E3-9099-C40C66FF867C}">
                  <a14:compatExt spid="_x0000_s10261"/>
                </a:ext>
                <a:ext uri="{FF2B5EF4-FFF2-40B4-BE49-F238E27FC236}">
                  <a16:creationId xmlns:a16="http://schemas.microsoft.com/office/drawing/2014/main" id="{00000000-0008-0000-0B00-00001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</xdr:row>
          <xdr:rowOff>106680</xdr:rowOff>
        </xdr:from>
        <xdr:to>
          <xdr:col>18</xdr:col>
          <xdr:colOff>15240</xdr:colOff>
          <xdr:row>3</xdr:row>
          <xdr:rowOff>30480</xdr:rowOff>
        </xdr:to>
        <xdr:sp macro="" textlink="">
          <xdr:nvSpPr>
            <xdr:cNvPr id="10260" name="Button 20" hidden="1">
              <a:extLst>
                <a:ext uri="{63B3BB69-23CF-44E3-9099-C40C66FF867C}">
                  <a14:compatExt spid="_x0000_s10260"/>
                </a:ext>
                <a:ext uri="{FF2B5EF4-FFF2-40B4-BE49-F238E27FC236}">
                  <a16:creationId xmlns:a16="http://schemas.microsoft.com/office/drawing/2014/main" id="{00000000-0008-0000-0B00-00001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15240</xdr:colOff>
          <xdr:row>1</xdr:row>
          <xdr:rowOff>83820</xdr:rowOff>
        </xdr:from>
        <xdr:to>
          <xdr:col>13</xdr:col>
          <xdr:colOff>30480</xdr:colOff>
          <xdr:row>3</xdr:row>
          <xdr:rowOff>7620</xdr:rowOff>
        </xdr:to>
        <xdr:sp macro="" textlink="">
          <xdr:nvSpPr>
            <xdr:cNvPr id="10259" name="Button 19" hidden="1">
              <a:extLst>
                <a:ext uri="{63B3BB69-23CF-44E3-9099-C40C66FF867C}">
                  <a14:compatExt spid="_x0000_s10259"/>
                </a:ext>
                <a:ext uri="{FF2B5EF4-FFF2-40B4-BE49-F238E27FC236}">
                  <a16:creationId xmlns:a16="http://schemas.microsoft.com/office/drawing/2014/main" id="{00000000-0008-0000-0B00-00001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45720</xdr:colOff>
          <xdr:row>1</xdr:row>
          <xdr:rowOff>99060</xdr:rowOff>
        </xdr:from>
        <xdr:to>
          <xdr:col>33</xdr:col>
          <xdr:colOff>60960</xdr:colOff>
          <xdr:row>3</xdr:row>
          <xdr:rowOff>22860</xdr:rowOff>
        </xdr:to>
        <xdr:sp macro="" textlink="">
          <xdr:nvSpPr>
            <xdr:cNvPr id="10270" name="Button 30" hidden="1">
              <a:extLst>
                <a:ext uri="{63B3BB69-23CF-44E3-9099-C40C66FF867C}">
                  <a14:compatExt spid="_x0000_s10270"/>
                </a:ext>
                <a:ext uri="{FF2B5EF4-FFF2-40B4-BE49-F238E27FC236}">
                  <a16:creationId xmlns:a16="http://schemas.microsoft.com/office/drawing/2014/main" id="{00000000-0008-0000-0B00-00001E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121920</xdr:colOff>
          <xdr:row>1</xdr:row>
          <xdr:rowOff>106680</xdr:rowOff>
        </xdr:from>
        <xdr:to>
          <xdr:col>37</xdr:col>
          <xdr:colOff>137160</xdr:colOff>
          <xdr:row>3</xdr:row>
          <xdr:rowOff>30480</xdr:rowOff>
        </xdr:to>
        <xdr:sp macro="" textlink="">
          <xdr:nvSpPr>
            <xdr:cNvPr id="10269" name="Button 29" hidden="1">
              <a:extLst>
                <a:ext uri="{63B3BB69-23CF-44E3-9099-C40C66FF867C}">
                  <a14:compatExt spid="_x0000_s10269"/>
                </a:ext>
                <a:ext uri="{FF2B5EF4-FFF2-40B4-BE49-F238E27FC236}">
                  <a16:creationId xmlns:a16="http://schemas.microsoft.com/office/drawing/2014/main" id="{00000000-0008-0000-0B00-00001D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7620</xdr:colOff>
          <xdr:row>1</xdr:row>
          <xdr:rowOff>99060</xdr:rowOff>
        </xdr:from>
        <xdr:to>
          <xdr:col>28</xdr:col>
          <xdr:colOff>22860</xdr:colOff>
          <xdr:row>3</xdr:row>
          <xdr:rowOff>22860</xdr:rowOff>
        </xdr:to>
        <xdr:sp macro="" textlink="">
          <xdr:nvSpPr>
            <xdr:cNvPr id="10268" name="Button 28" hidden="1">
              <a:extLst>
                <a:ext uri="{63B3BB69-23CF-44E3-9099-C40C66FF867C}">
                  <a14:compatExt spid="_x0000_s10268"/>
                </a:ext>
                <a:ext uri="{FF2B5EF4-FFF2-40B4-BE49-F238E27FC236}">
                  <a16:creationId xmlns:a16="http://schemas.microsoft.com/office/drawing/2014/main" id="{00000000-0008-0000-0B00-00001C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</xdr:row>
          <xdr:rowOff>106680</xdr:rowOff>
        </xdr:from>
        <xdr:to>
          <xdr:col>23</xdr:col>
          <xdr:colOff>15240</xdr:colOff>
          <xdr:row>3</xdr:row>
          <xdr:rowOff>30480</xdr:rowOff>
        </xdr:to>
        <xdr:sp macro="" textlink="">
          <xdr:nvSpPr>
            <xdr:cNvPr id="10267" name="Button 27" hidden="1">
              <a:extLst>
                <a:ext uri="{63B3BB69-23CF-44E3-9099-C40C66FF867C}">
                  <a14:compatExt spid="_x0000_s10267"/>
                </a:ext>
                <a:ext uri="{FF2B5EF4-FFF2-40B4-BE49-F238E27FC236}">
                  <a16:creationId xmlns:a16="http://schemas.microsoft.com/office/drawing/2014/main" id="{00000000-0008-0000-0B00-00001B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</xdr:row>
          <xdr:rowOff>106680</xdr:rowOff>
        </xdr:from>
        <xdr:to>
          <xdr:col>18</xdr:col>
          <xdr:colOff>15240</xdr:colOff>
          <xdr:row>3</xdr:row>
          <xdr:rowOff>30480</xdr:rowOff>
        </xdr:to>
        <xdr:sp macro="" textlink="">
          <xdr:nvSpPr>
            <xdr:cNvPr id="10266" name="Button 26" hidden="1">
              <a:extLst>
                <a:ext uri="{63B3BB69-23CF-44E3-9099-C40C66FF867C}">
                  <a14:compatExt spid="_x0000_s10266"/>
                </a:ext>
                <a:ext uri="{FF2B5EF4-FFF2-40B4-BE49-F238E27FC236}">
                  <a16:creationId xmlns:a16="http://schemas.microsoft.com/office/drawing/2014/main" id="{00000000-0008-0000-0B00-00001A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15240</xdr:colOff>
          <xdr:row>1</xdr:row>
          <xdr:rowOff>83820</xdr:rowOff>
        </xdr:from>
        <xdr:to>
          <xdr:col>13</xdr:col>
          <xdr:colOff>30480</xdr:colOff>
          <xdr:row>3</xdr:row>
          <xdr:rowOff>7620</xdr:rowOff>
        </xdr:to>
        <xdr:sp macro="" textlink="">
          <xdr:nvSpPr>
            <xdr:cNvPr id="10265" name="Button 25" hidden="1">
              <a:extLst>
                <a:ext uri="{63B3BB69-23CF-44E3-9099-C40C66FF867C}">
                  <a14:compatExt spid="_x0000_s10265"/>
                </a:ext>
                <a:ext uri="{FF2B5EF4-FFF2-40B4-BE49-F238E27FC236}">
                  <a16:creationId xmlns:a16="http://schemas.microsoft.com/office/drawing/2014/main" id="{00000000-0008-0000-0B00-000019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45720</xdr:colOff>
          <xdr:row>1</xdr:row>
          <xdr:rowOff>99060</xdr:rowOff>
        </xdr:from>
        <xdr:to>
          <xdr:col>33</xdr:col>
          <xdr:colOff>60960</xdr:colOff>
          <xdr:row>3</xdr:row>
          <xdr:rowOff>22860</xdr:rowOff>
        </xdr:to>
        <xdr:sp macro="" textlink="">
          <xdr:nvSpPr>
            <xdr:cNvPr id="10276" name="Button 36" hidden="1">
              <a:extLst>
                <a:ext uri="{63B3BB69-23CF-44E3-9099-C40C66FF867C}">
                  <a14:compatExt spid="_x0000_s10276"/>
                </a:ext>
                <a:ext uri="{FF2B5EF4-FFF2-40B4-BE49-F238E27FC236}">
                  <a16:creationId xmlns:a16="http://schemas.microsoft.com/office/drawing/2014/main" id="{00000000-0008-0000-0B00-00002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121920</xdr:colOff>
          <xdr:row>1</xdr:row>
          <xdr:rowOff>106680</xdr:rowOff>
        </xdr:from>
        <xdr:to>
          <xdr:col>37</xdr:col>
          <xdr:colOff>137160</xdr:colOff>
          <xdr:row>3</xdr:row>
          <xdr:rowOff>30480</xdr:rowOff>
        </xdr:to>
        <xdr:sp macro="" textlink="">
          <xdr:nvSpPr>
            <xdr:cNvPr id="10275" name="Button 35" hidden="1">
              <a:extLst>
                <a:ext uri="{63B3BB69-23CF-44E3-9099-C40C66FF867C}">
                  <a14:compatExt spid="_x0000_s10275"/>
                </a:ext>
                <a:ext uri="{FF2B5EF4-FFF2-40B4-BE49-F238E27FC236}">
                  <a16:creationId xmlns:a16="http://schemas.microsoft.com/office/drawing/2014/main" id="{00000000-0008-0000-0B00-00002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7620</xdr:colOff>
          <xdr:row>1</xdr:row>
          <xdr:rowOff>99060</xdr:rowOff>
        </xdr:from>
        <xdr:to>
          <xdr:col>28</xdr:col>
          <xdr:colOff>22860</xdr:colOff>
          <xdr:row>3</xdr:row>
          <xdr:rowOff>22860</xdr:rowOff>
        </xdr:to>
        <xdr:sp macro="" textlink="">
          <xdr:nvSpPr>
            <xdr:cNvPr id="10274" name="Button 34" hidden="1">
              <a:extLst>
                <a:ext uri="{63B3BB69-23CF-44E3-9099-C40C66FF867C}">
                  <a14:compatExt spid="_x0000_s10274"/>
                </a:ext>
                <a:ext uri="{FF2B5EF4-FFF2-40B4-BE49-F238E27FC236}">
                  <a16:creationId xmlns:a16="http://schemas.microsoft.com/office/drawing/2014/main" id="{00000000-0008-0000-0B00-00002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</xdr:row>
          <xdr:rowOff>106680</xdr:rowOff>
        </xdr:from>
        <xdr:to>
          <xdr:col>23</xdr:col>
          <xdr:colOff>15240</xdr:colOff>
          <xdr:row>3</xdr:row>
          <xdr:rowOff>30480</xdr:rowOff>
        </xdr:to>
        <xdr:sp macro="" textlink="">
          <xdr:nvSpPr>
            <xdr:cNvPr id="10273" name="Button 33" hidden="1">
              <a:extLst>
                <a:ext uri="{63B3BB69-23CF-44E3-9099-C40C66FF867C}">
                  <a14:compatExt spid="_x0000_s10273"/>
                </a:ext>
                <a:ext uri="{FF2B5EF4-FFF2-40B4-BE49-F238E27FC236}">
                  <a16:creationId xmlns:a16="http://schemas.microsoft.com/office/drawing/2014/main" id="{00000000-0008-0000-0B00-00002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</xdr:row>
          <xdr:rowOff>106680</xdr:rowOff>
        </xdr:from>
        <xdr:to>
          <xdr:col>18</xdr:col>
          <xdr:colOff>15240</xdr:colOff>
          <xdr:row>3</xdr:row>
          <xdr:rowOff>30480</xdr:rowOff>
        </xdr:to>
        <xdr:sp macro="" textlink="">
          <xdr:nvSpPr>
            <xdr:cNvPr id="10272" name="Button 32" hidden="1">
              <a:extLst>
                <a:ext uri="{63B3BB69-23CF-44E3-9099-C40C66FF867C}">
                  <a14:compatExt spid="_x0000_s10272"/>
                </a:ext>
                <a:ext uri="{FF2B5EF4-FFF2-40B4-BE49-F238E27FC236}">
                  <a16:creationId xmlns:a16="http://schemas.microsoft.com/office/drawing/2014/main" id="{00000000-0008-0000-0B00-000020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15240</xdr:colOff>
          <xdr:row>1</xdr:row>
          <xdr:rowOff>83820</xdr:rowOff>
        </xdr:from>
        <xdr:to>
          <xdr:col>13</xdr:col>
          <xdr:colOff>30480</xdr:colOff>
          <xdr:row>3</xdr:row>
          <xdr:rowOff>7620</xdr:rowOff>
        </xdr:to>
        <xdr:sp macro="" textlink="">
          <xdr:nvSpPr>
            <xdr:cNvPr id="10271" name="Button 31" hidden="1">
              <a:extLst>
                <a:ext uri="{63B3BB69-23CF-44E3-9099-C40C66FF867C}">
                  <a14:compatExt spid="_x0000_s10271"/>
                </a:ext>
                <a:ext uri="{FF2B5EF4-FFF2-40B4-BE49-F238E27FC236}">
                  <a16:creationId xmlns:a16="http://schemas.microsoft.com/office/drawing/2014/main" id="{00000000-0008-0000-0B00-00001F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45720</xdr:colOff>
          <xdr:row>1</xdr:row>
          <xdr:rowOff>99060</xdr:rowOff>
        </xdr:from>
        <xdr:to>
          <xdr:col>33</xdr:col>
          <xdr:colOff>60960</xdr:colOff>
          <xdr:row>3</xdr:row>
          <xdr:rowOff>22860</xdr:rowOff>
        </xdr:to>
        <xdr:sp macro="" textlink="">
          <xdr:nvSpPr>
            <xdr:cNvPr id="10282" name="Button 42" hidden="1">
              <a:extLst>
                <a:ext uri="{63B3BB69-23CF-44E3-9099-C40C66FF867C}">
                  <a14:compatExt spid="_x0000_s10282"/>
                </a:ext>
                <a:ext uri="{FF2B5EF4-FFF2-40B4-BE49-F238E27FC236}">
                  <a16:creationId xmlns:a16="http://schemas.microsoft.com/office/drawing/2014/main" id="{00000000-0008-0000-0B00-00002A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121920</xdr:colOff>
          <xdr:row>1</xdr:row>
          <xdr:rowOff>106680</xdr:rowOff>
        </xdr:from>
        <xdr:to>
          <xdr:col>37</xdr:col>
          <xdr:colOff>137160</xdr:colOff>
          <xdr:row>3</xdr:row>
          <xdr:rowOff>30480</xdr:rowOff>
        </xdr:to>
        <xdr:sp macro="" textlink="">
          <xdr:nvSpPr>
            <xdr:cNvPr id="10281" name="Button 41" hidden="1">
              <a:extLst>
                <a:ext uri="{63B3BB69-23CF-44E3-9099-C40C66FF867C}">
                  <a14:compatExt spid="_x0000_s10281"/>
                </a:ext>
                <a:ext uri="{FF2B5EF4-FFF2-40B4-BE49-F238E27FC236}">
                  <a16:creationId xmlns:a16="http://schemas.microsoft.com/office/drawing/2014/main" id="{00000000-0008-0000-0B00-000029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7620</xdr:colOff>
          <xdr:row>1</xdr:row>
          <xdr:rowOff>99060</xdr:rowOff>
        </xdr:from>
        <xdr:to>
          <xdr:col>28</xdr:col>
          <xdr:colOff>22860</xdr:colOff>
          <xdr:row>3</xdr:row>
          <xdr:rowOff>22860</xdr:rowOff>
        </xdr:to>
        <xdr:sp macro="" textlink="">
          <xdr:nvSpPr>
            <xdr:cNvPr id="10280" name="Button 40" hidden="1">
              <a:extLst>
                <a:ext uri="{63B3BB69-23CF-44E3-9099-C40C66FF867C}">
                  <a14:compatExt spid="_x0000_s10280"/>
                </a:ext>
                <a:ext uri="{FF2B5EF4-FFF2-40B4-BE49-F238E27FC236}">
                  <a16:creationId xmlns:a16="http://schemas.microsoft.com/office/drawing/2014/main" id="{00000000-0008-0000-0B00-000028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</xdr:row>
          <xdr:rowOff>106680</xdr:rowOff>
        </xdr:from>
        <xdr:to>
          <xdr:col>23</xdr:col>
          <xdr:colOff>15240</xdr:colOff>
          <xdr:row>3</xdr:row>
          <xdr:rowOff>30480</xdr:rowOff>
        </xdr:to>
        <xdr:sp macro="" textlink="">
          <xdr:nvSpPr>
            <xdr:cNvPr id="10279" name="Button 39" hidden="1">
              <a:extLst>
                <a:ext uri="{63B3BB69-23CF-44E3-9099-C40C66FF867C}">
                  <a14:compatExt spid="_x0000_s10279"/>
                </a:ext>
                <a:ext uri="{FF2B5EF4-FFF2-40B4-BE49-F238E27FC236}">
                  <a16:creationId xmlns:a16="http://schemas.microsoft.com/office/drawing/2014/main" id="{00000000-0008-0000-0B00-000027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</xdr:row>
          <xdr:rowOff>106680</xdr:rowOff>
        </xdr:from>
        <xdr:to>
          <xdr:col>18</xdr:col>
          <xdr:colOff>15240</xdr:colOff>
          <xdr:row>3</xdr:row>
          <xdr:rowOff>30480</xdr:rowOff>
        </xdr:to>
        <xdr:sp macro="" textlink="">
          <xdr:nvSpPr>
            <xdr:cNvPr id="10278" name="Button 38" hidden="1">
              <a:extLst>
                <a:ext uri="{63B3BB69-23CF-44E3-9099-C40C66FF867C}">
                  <a14:compatExt spid="_x0000_s10278"/>
                </a:ext>
                <a:ext uri="{FF2B5EF4-FFF2-40B4-BE49-F238E27FC236}">
                  <a16:creationId xmlns:a16="http://schemas.microsoft.com/office/drawing/2014/main" id="{00000000-0008-0000-0B00-00002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15240</xdr:colOff>
          <xdr:row>1</xdr:row>
          <xdr:rowOff>83820</xdr:rowOff>
        </xdr:from>
        <xdr:to>
          <xdr:col>13</xdr:col>
          <xdr:colOff>30480</xdr:colOff>
          <xdr:row>3</xdr:row>
          <xdr:rowOff>7620</xdr:rowOff>
        </xdr:to>
        <xdr:sp macro="" textlink="">
          <xdr:nvSpPr>
            <xdr:cNvPr id="10277" name="Button 37" hidden="1">
              <a:extLst>
                <a:ext uri="{63B3BB69-23CF-44E3-9099-C40C66FF867C}">
                  <a14:compatExt spid="_x0000_s10277"/>
                </a:ext>
                <a:ext uri="{FF2B5EF4-FFF2-40B4-BE49-F238E27FC236}">
                  <a16:creationId xmlns:a16="http://schemas.microsoft.com/office/drawing/2014/main" id="{00000000-0008-0000-0B00-00002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45720</xdr:colOff>
          <xdr:row>1</xdr:row>
          <xdr:rowOff>99060</xdr:rowOff>
        </xdr:from>
        <xdr:to>
          <xdr:col>33</xdr:col>
          <xdr:colOff>60960</xdr:colOff>
          <xdr:row>3</xdr:row>
          <xdr:rowOff>22860</xdr:rowOff>
        </xdr:to>
        <xdr:sp macro="" textlink="">
          <xdr:nvSpPr>
            <xdr:cNvPr id="10288" name="Button 48" hidden="1">
              <a:extLst>
                <a:ext uri="{63B3BB69-23CF-44E3-9099-C40C66FF867C}">
                  <a14:compatExt spid="_x0000_s10288"/>
                </a:ext>
                <a:ext uri="{FF2B5EF4-FFF2-40B4-BE49-F238E27FC236}">
                  <a16:creationId xmlns:a16="http://schemas.microsoft.com/office/drawing/2014/main" id="{00000000-0008-0000-0B00-000030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121920</xdr:colOff>
          <xdr:row>1</xdr:row>
          <xdr:rowOff>106680</xdr:rowOff>
        </xdr:from>
        <xdr:to>
          <xdr:col>37</xdr:col>
          <xdr:colOff>137160</xdr:colOff>
          <xdr:row>3</xdr:row>
          <xdr:rowOff>30480</xdr:rowOff>
        </xdr:to>
        <xdr:sp macro="" textlink="">
          <xdr:nvSpPr>
            <xdr:cNvPr id="10287" name="Button 47" hidden="1">
              <a:extLst>
                <a:ext uri="{63B3BB69-23CF-44E3-9099-C40C66FF867C}">
                  <a14:compatExt spid="_x0000_s10287"/>
                </a:ext>
                <a:ext uri="{FF2B5EF4-FFF2-40B4-BE49-F238E27FC236}">
                  <a16:creationId xmlns:a16="http://schemas.microsoft.com/office/drawing/2014/main" id="{00000000-0008-0000-0B00-00002F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7620</xdr:colOff>
          <xdr:row>1</xdr:row>
          <xdr:rowOff>99060</xdr:rowOff>
        </xdr:from>
        <xdr:to>
          <xdr:col>28</xdr:col>
          <xdr:colOff>22860</xdr:colOff>
          <xdr:row>3</xdr:row>
          <xdr:rowOff>22860</xdr:rowOff>
        </xdr:to>
        <xdr:sp macro="" textlink="">
          <xdr:nvSpPr>
            <xdr:cNvPr id="10286" name="Button 46" hidden="1">
              <a:extLst>
                <a:ext uri="{63B3BB69-23CF-44E3-9099-C40C66FF867C}">
                  <a14:compatExt spid="_x0000_s10286"/>
                </a:ext>
                <a:ext uri="{FF2B5EF4-FFF2-40B4-BE49-F238E27FC236}">
                  <a16:creationId xmlns:a16="http://schemas.microsoft.com/office/drawing/2014/main" id="{00000000-0008-0000-0B00-00002E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</xdr:row>
          <xdr:rowOff>106680</xdr:rowOff>
        </xdr:from>
        <xdr:to>
          <xdr:col>23</xdr:col>
          <xdr:colOff>15240</xdr:colOff>
          <xdr:row>3</xdr:row>
          <xdr:rowOff>30480</xdr:rowOff>
        </xdr:to>
        <xdr:sp macro="" textlink="">
          <xdr:nvSpPr>
            <xdr:cNvPr id="10285" name="Button 45" hidden="1">
              <a:extLst>
                <a:ext uri="{63B3BB69-23CF-44E3-9099-C40C66FF867C}">
                  <a14:compatExt spid="_x0000_s10285"/>
                </a:ext>
                <a:ext uri="{FF2B5EF4-FFF2-40B4-BE49-F238E27FC236}">
                  <a16:creationId xmlns:a16="http://schemas.microsoft.com/office/drawing/2014/main" id="{00000000-0008-0000-0B00-00002D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</xdr:row>
          <xdr:rowOff>106680</xdr:rowOff>
        </xdr:from>
        <xdr:to>
          <xdr:col>18</xdr:col>
          <xdr:colOff>15240</xdr:colOff>
          <xdr:row>3</xdr:row>
          <xdr:rowOff>30480</xdr:rowOff>
        </xdr:to>
        <xdr:sp macro="" textlink="">
          <xdr:nvSpPr>
            <xdr:cNvPr id="10284" name="Button 44" hidden="1">
              <a:extLst>
                <a:ext uri="{63B3BB69-23CF-44E3-9099-C40C66FF867C}">
                  <a14:compatExt spid="_x0000_s10284"/>
                </a:ext>
                <a:ext uri="{FF2B5EF4-FFF2-40B4-BE49-F238E27FC236}">
                  <a16:creationId xmlns:a16="http://schemas.microsoft.com/office/drawing/2014/main" id="{00000000-0008-0000-0B00-00002C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15240</xdr:colOff>
          <xdr:row>1</xdr:row>
          <xdr:rowOff>83820</xdr:rowOff>
        </xdr:from>
        <xdr:to>
          <xdr:col>13</xdr:col>
          <xdr:colOff>30480</xdr:colOff>
          <xdr:row>3</xdr:row>
          <xdr:rowOff>7620</xdr:rowOff>
        </xdr:to>
        <xdr:sp macro="" textlink="">
          <xdr:nvSpPr>
            <xdr:cNvPr id="10283" name="Button 43" hidden="1">
              <a:extLst>
                <a:ext uri="{63B3BB69-23CF-44E3-9099-C40C66FF867C}">
                  <a14:compatExt spid="_x0000_s10283"/>
                </a:ext>
                <a:ext uri="{FF2B5EF4-FFF2-40B4-BE49-F238E27FC236}">
                  <a16:creationId xmlns:a16="http://schemas.microsoft.com/office/drawing/2014/main" id="{00000000-0008-0000-0B00-00002B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45720</xdr:colOff>
          <xdr:row>1</xdr:row>
          <xdr:rowOff>99060</xdr:rowOff>
        </xdr:from>
        <xdr:to>
          <xdr:col>33</xdr:col>
          <xdr:colOff>60960</xdr:colOff>
          <xdr:row>3</xdr:row>
          <xdr:rowOff>22860</xdr:rowOff>
        </xdr:to>
        <xdr:sp macro="" textlink="">
          <xdr:nvSpPr>
            <xdr:cNvPr id="10294" name="Button 54" hidden="1">
              <a:extLst>
                <a:ext uri="{63B3BB69-23CF-44E3-9099-C40C66FF867C}">
                  <a14:compatExt spid="_x0000_s10294"/>
                </a:ext>
                <a:ext uri="{FF2B5EF4-FFF2-40B4-BE49-F238E27FC236}">
                  <a16:creationId xmlns:a16="http://schemas.microsoft.com/office/drawing/2014/main" id="{00000000-0008-0000-0B00-00003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121920</xdr:colOff>
          <xdr:row>1</xdr:row>
          <xdr:rowOff>106680</xdr:rowOff>
        </xdr:from>
        <xdr:to>
          <xdr:col>37</xdr:col>
          <xdr:colOff>137160</xdr:colOff>
          <xdr:row>3</xdr:row>
          <xdr:rowOff>30480</xdr:rowOff>
        </xdr:to>
        <xdr:sp macro="" textlink="">
          <xdr:nvSpPr>
            <xdr:cNvPr id="10293" name="Button 53" hidden="1">
              <a:extLst>
                <a:ext uri="{63B3BB69-23CF-44E3-9099-C40C66FF867C}">
                  <a14:compatExt spid="_x0000_s10293"/>
                </a:ext>
                <a:ext uri="{FF2B5EF4-FFF2-40B4-BE49-F238E27FC236}">
                  <a16:creationId xmlns:a16="http://schemas.microsoft.com/office/drawing/2014/main" id="{00000000-0008-0000-0B00-00003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7620</xdr:colOff>
          <xdr:row>1</xdr:row>
          <xdr:rowOff>99060</xdr:rowOff>
        </xdr:from>
        <xdr:to>
          <xdr:col>28</xdr:col>
          <xdr:colOff>22860</xdr:colOff>
          <xdr:row>3</xdr:row>
          <xdr:rowOff>22860</xdr:rowOff>
        </xdr:to>
        <xdr:sp macro="" textlink="">
          <xdr:nvSpPr>
            <xdr:cNvPr id="10292" name="Button 52" hidden="1">
              <a:extLst>
                <a:ext uri="{63B3BB69-23CF-44E3-9099-C40C66FF867C}">
                  <a14:compatExt spid="_x0000_s10292"/>
                </a:ext>
                <a:ext uri="{FF2B5EF4-FFF2-40B4-BE49-F238E27FC236}">
                  <a16:creationId xmlns:a16="http://schemas.microsoft.com/office/drawing/2014/main" id="{00000000-0008-0000-0B00-00003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</xdr:row>
          <xdr:rowOff>106680</xdr:rowOff>
        </xdr:from>
        <xdr:to>
          <xdr:col>23</xdr:col>
          <xdr:colOff>15240</xdr:colOff>
          <xdr:row>3</xdr:row>
          <xdr:rowOff>30480</xdr:rowOff>
        </xdr:to>
        <xdr:sp macro="" textlink="">
          <xdr:nvSpPr>
            <xdr:cNvPr id="10291" name="Button 51" hidden="1">
              <a:extLst>
                <a:ext uri="{63B3BB69-23CF-44E3-9099-C40C66FF867C}">
                  <a14:compatExt spid="_x0000_s10291"/>
                </a:ext>
                <a:ext uri="{FF2B5EF4-FFF2-40B4-BE49-F238E27FC236}">
                  <a16:creationId xmlns:a16="http://schemas.microsoft.com/office/drawing/2014/main" id="{00000000-0008-0000-0B00-00003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</xdr:row>
          <xdr:rowOff>106680</xdr:rowOff>
        </xdr:from>
        <xdr:to>
          <xdr:col>18</xdr:col>
          <xdr:colOff>15240</xdr:colOff>
          <xdr:row>3</xdr:row>
          <xdr:rowOff>30480</xdr:rowOff>
        </xdr:to>
        <xdr:sp macro="" textlink="">
          <xdr:nvSpPr>
            <xdr:cNvPr id="10290" name="Button 50" hidden="1">
              <a:extLst>
                <a:ext uri="{63B3BB69-23CF-44E3-9099-C40C66FF867C}">
                  <a14:compatExt spid="_x0000_s10290"/>
                </a:ext>
                <a:ext uri="{FF2B5EF4-FFF2-40B4-BE49-F238E27FC236}">
                  <a16:creationId xmlns:a16="http://schemas.microsoft.com/office/drawing/2014/main" id="{00000000-0008-0000-0B00-00003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15240</xdr:colOff>
          <xdr:row>1</xdr:row>
          <xdr:rowOff>83820</xdr:rowOff>
        </xdr:from>
        <xdr:to>
          <xdr:col>13</xdr:col>
          <xdr:colOff>30480</xdr:colOff>
          <xdr:row>3</xdr:row>
          <xdr:rowOff>7620</xdr:rowOff>
        </xdr:to>
        <xdr:sp macro="" textlink="">
          <xdr:nvSpPr>
            <xdr:cNvPr id="10289" name="Button 49" hidden="1">
              <a:extLst>
                <a:ext uri="{63B3BB69-23CF-44E3-9099-C40C66FF867C}">
                  <a14:compatExt spid="_x0000_s10289"/>
                </a:ext>
                <a:ext uri="{FF2B5EF4-FFF2-40B4-BE49-F238E27FC236}">
                  <a16:creationId xmlns:a16="http://schemas.microsoft.com/office/drawing/2014/main" id="{00000000-0008-0000-0B00-00003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45720</xdr:colOff>
          <xdr:row>1</xdr:row>
          <xdr:rowOff>99060</xdr:rowOff>
        </xdr:from>
        <xdr:to>
          <xdr:col>33</xdr:col>
          <xdr:colOff>60960</xdr:colOff>
          <xdr:row>3</xdr:row>
          <xdr:rowOff>22860</xdr:rowOff>
        </xdr:to>
        <xdr:sp macro="" textlink="">
          <xdr:nvSpPr>
            <xdr:cNvPr id="10300" name="Button 60" hidden="1">
              <a:extLst>
                <a:ext uri="{63B3BB69-23CF-44E3-9099-C40C66FF867C}">
                  <a14:compatExt spid="_x0000_s10300"/>
                </a:ext>
                <a:ext uri="{FF2B5EF4-FFF2-40B4-BE49-F238E27FC236}">
                  <a16:creationId xmlns:a16="http://schemas.microsoft.com/office/drawing/2014/main" id="{00000000-0008-0000-0B00-00003C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121920</xdr:colOff>
          <xdr:row>1</xdr:row>
          <xdr:rowOff>106680</xdr:rowOff>
        </xdr:from>
        <xdr:to>
          <xdr:col>37</xdr:col>
          <xdr:colOff>137160</xdr:colOff>
          <xdr:row>3</xdr:row>
          <xdr:rowOff>30480</xdr:rowOff>
        </xdr:to>
        <xdr:sp macro="" textlink="">
          <xdr:nvSpPr>
            <xdr:cNvPr id="10299" name="Button 59" hidden="1">
              <a:extLst>
                <a:ext uri="{63B3BB69-23CF-44E3-9099-C40C66FF867C}">
                  <a14:compatExt spid="_x0000_s10299"/>
                </a:ext>
                <a:ext uri="{FF2B5EF4-FFF2-40B4-BE49-F238E27FC236}">
                  <a16:creationId xmlns:a16="http://schemas.microsoft.com/office/drawing/2014/main" id="{00000000-0008-0000-0B00-00003B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7620</xdr:colOff>
          <xdr:row>1</xdr:row>
          <xdr:rowOff>99060</xdr:rowOff>
        </xdr:from>
        <xdr:to>
          <xdr:col>28</xdr:col>
          <xdr:colOff>22860</xdr:colOff>
          <xdr:row>3</xdr:row>
          <xdr:rowOff>22860</xdr:rowOff>
        </xdr:to>
        <xdr:sp macro="" textlink="">
          <xdr:nvSpPr>
            <xdr:cNvPr id="10298" name="Button 58" hidden="1">
              <a:extLst>
                <a:ext uri="{63B3BB69-23CF-44E3-9099-C40C66FF867C}">
                  <a14:compatExt spid="_x0000_s10298"/>
                </a:ext>
                <a:ext uri="{FF2B5EF4-FFF2-40B4-BE49-F238E27FC236}">
                  <a16:creationId xmlns:a16="http://schemas.microsoft.com/office/drawing/2014/main" id="{00000000-0008-0000-0B00-00003A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</xdr:row>
          <xdr:rowOff>106680</xdr:rowOff>
        </xdr:from>
        <xdr:to>
          <xdr:col>23</xdr:col>
          <xdr:colOff>15240</xdr:colOff>
          <xdr:row>3</xdr:row>
          <xdr:rowOff>30480</xdr:rowOff>
        </xdr:to>
        <xdr:sp macro="" textlink="">
          <xdr:nvSpPr>
            <xdr:cNvPr id="10297" name="Button 57" hidden="1">
              <a:extLst>
                <a:ext uri="{63B3BB69-23CF-44E3-9099-C40C66FF867C}">
                  <a14:compatExt spid="_x0000_s10297"/>
                </a:ext>
                <a:ext uri="{FF2B5EF4-FFF2-40B4-BE49-F238E27FC236}">
                  <a16:creationId xmlns:a16="http://schemas.microsoft.com/office/drawing/2014/main" id="{00000000-0008-0000-0B00-000039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</xdr:row>
          <xdr:rowOff>106680</xdr:rowOff>
        </xdr:from>
        <xdr:to>
          <xdr:col>18</xdr:col>
          <xdr:colOff>15240</xdr:colOff>
          <xdr:row>3</xdr:row>
          <xdr:rowOff>30480</xdr:rowOff>
        </xdr:to>
        <xdr:sp macro="" textlink="">
          <xdr:nvSpPr>
            <xdr:cNvPr id="10296" name="Button 56" hidden="1">
              <a:extLst>
                <a:ext uri="{63B3BB69-23CF-44E3-9099-C40C66FF867C}">
                  <a14:compatExt spid="_x0000_s10296"/>
                </a:ext>
                <a:ext uri="{FF2B5EF4-FFF2-40B4-BE49-F238E27FC236}">
                  <a16:creationId xmlns:a16="http://schemas.microsoft.com/office/drawing/2014/main" id="{00000000-0008-0000-0B00-000038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15240</xdr:colOff>
          <xdr:row>1</xdr:row>
          <xdr:rowOff>83820</xdr:rowOff>
        </xdr:from>
        <xdr:to>
          <xdr:col>13</xdr:col>
          <xdr:colOff>30480</xdr:colOff>
          <xdr:row>3</xdr:row>
          <xdr:rowOff>7620</xdr:rowOff>
        </xdr:to>
        <xdr:sp macro="" textlink="">
          <xdr:nvSpPr>
            <xdr:cNvPr id="10295" name="Button 55" hidden="1">
              <a:extLst>
                <a:ext uri="{63B3BB69-23CF-44E3-9099-C40C66FF867C}">
                  <a14:compatExt spid="_x0000_s10295"/>
                </a:ext>
                <a:ext uri="{FF2B5EF4-FFF2-40B4-BE49-F238E27FC236}">
                  <a16:creationId xmlns:a16="http://schemas.microsoft.com/office/drawing/2014/main" id="{00000000-0008-0000-0B00-000037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45720</xdr:colOff>
          <xdr:row>1</xdr:row>
          <xdr:rowOff>99060</xdr:rowOff>
        </xdr:from>
        <xdr:to>
          <xdr:col>33</xdr:col>
          <xdr:colOff>60960</xdr:colOff>
          <xdr:row>3</xdr:row>
          <xdr:rowOff>22860</xdr:rowOff>
        </xdr:to>
        <xdr:sp macro="" textlink="">
          <xdr:nvSpPr>
            <xdr:cNvPr id="10306" name="Button 66" hidden="1">
              <a:extLst>
                <a:ext uri="{63B3BB69-23CF-44E3-9099-C40C66FF867C}">
                  <a14:compatExt spid="_x0000_s10306"/>
                </a:ext>
                <a:ext uri="{FF2B5EF4-FFF2-40B4-BE49-F238E27FC236}">
                  <a16:creationId xmlns:a16="http://schemas.microsoft.com/office/drawing/2014/main" id="{00000000-0008-0000-0B00-00004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121920</xdr:colOff>
          <xdr:row>1</xdr:row>
          <xdr:rowOff>106680</xdr:rowOff>
        </xdr:from>
        <xdr:to>
          <xdr:col>37</xdr:col>
          <xdr:colOff>137160</xdr:colOff>
          <xdr:row>3</xdr:row>
          <xdr:rowOff>30480</xdr:rowOff>
        </xdr:to>
        <xdr:sp macro="" textlink="">
          <xdr:nvSpPr>
            <xdr:cNvPr id="10305" name="Button 65" hidden="1">
              <a:extLst>
                <a:ext uri="{63B3BB69-23CF-44E3-9099-C40C66FF867C}">
                  <a14:compatExt spid="_x0000_s10305"/>
                </a:ext>
                <a:ext uri="{FF2B5EF4-FFF2-40B4-BE49-F238E27FC236}">
                  <a16:creationId xmlns:a16="http://schemas.microsoft.com/office/drawing/2014/main" id="{00000000-0008-0000-0B00-00004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7620</xdr:colOff>
          <xdr:row>1</xdr:row>
          <xdr:rowOff>99060</xdr:rowOff>
        </xdr:from>
        <xdr:to>
          <xdr:col>28</xdr:col>
          <xdr:colOff>22860</xdr:colOff>
          <xdr:row>3</xdr:row>
          <xdr:rowOff>22860</xdr:rowOff>
        </xdr:to>
        <xdr:sp macro="" textlink="">
          <xdr:nvSpPr>
            <xdr:cNvPr id="10304" name="Button 64" hidden="1">
              <a:extLst>
                <a:ext uri="{63B3BB69-23CF-44E3-9099-C40C66FF867C}">
                  <a14:compatExt spid="_x0000_s10304"/>
                </a:ext>
                <a:ext uri="{FF2B5EF4-FFF2-40B4-BE49-F238E27FC236}">
                  <a16:creationId xmlns:a16="http://schemas.microsoft.com/office/drawing/2014/main" id="{00000000-0008-0000-0B00-000040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</xdr:row>
          <xdr:rowOff>106680</xdr:rowOff>
        </xdr:from>
        <xdr:to>
          <xdr:col>23</xdr:col>
          <xdr:colOff>15240</xdr:colOff>
          <xdr:row>3</xdr:row>
          <xdr:rowOff>30480</xdr:rowOff>
        </xdr:to>
        <xdr:sp macro="" textlink="">
          <xdr:nvSpPr>
            <xdr:cNvPr id="10303" name="Button 63" hidden="1">
              <a:extLst>
                <a:ext uri="{63B3BB69-23CF-44E3-9099-C40C66FF867C}">
                  <a14:compatExt spid="_x0000_s10303"/>
                </a:ext>
                <a:ext uri="{FF2B5EF4-FFF2-40B4-BE49-F238E27FC236}">
                  <a16:creationId xmlns:a16="http://schemas.microsoft.com/office/drawing/2014/main" id="{00000000-0008-0000-0B00-00003F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</xdr:row>
          <xdr:rowOff>106680</xdr:rowOff>
        </xdr:from>
        <xdr:to>
          <xdr:col>18</xdr:col>
          <xdr:colOff>15240</xdr:colOff>
          <xdr:row>3</xdr:row>
          <xdr:rowOff>30480</xdr:rowOff>
        </xdr:to>
        <xdr:sp macro="" textlink="">
          <xdr:nvSpPr>
            <xdr:cNvPr id="10302" name="Button 62" hidden="1">
              <a:extLst>
                <a:ext uri="{63B3BB69-23CF-44E3-9099-C40C66FF867C}">
                  <a14:compatExt spid="_x0000_s10302"/>
                </a:ext>
                <a:ext uri="{FF2B5EF4-FFF2-40B4-BE49-F238E27FC236}">
                  <a16:creationId xmlns:a16="http://schemas.microsoft.com/office/drawing/2014/main" id="{00000000-0008-0000-0B00-00003E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15240</xdr:colOff>
          <xdr:row>1</xdr:row>
          <xdr:rowOff>83820</xdr:rowOff>
        </xdr:from>
        <xdr:to>
          <xdr:col>13</xdr:col>
          <xdr:colOff>30480</xdr:colOff>
          <xdr:row>3</xdr:row>
          <xdr:rowOff>7620</xdr:rowOff>
        </xdr:to>
        <xdr:sp macro="" textlink="">
          <xdr:nvSpPr>
            <xdr:cNvPr id="10301" name="Button 61" hidden="1">
              <a:extLst>
                <a:ext uri="{63B3BB69-23CF-44E3-9099-C40C66FF867C}">
                  <a14:compatExt spid="_x0000_s10301"/>
                </a:ext>
                <a:ext uri="{FF2B5EF4-FFF2-40B4-BE49-F238E27FC236}">
                  <a16:creationId xmlns:a16="http://schemas.microsoft.com/office/drawing/2014/main" id="{00000000-0008-0000-0B00-00003D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45720</xdr:colOff>
          <xdr:row>1</xdr:row>
          <xdr:rowOff>99060</xdr:rowOff>
        </xdr:from>
        <xdr:to>
          <xdr:col>33</xdr:col>
          <xdr:colOff>60960</xdr:colOff>
          <xdr:row>3</xdr:row>
          <xdr:rowOff>22860</xdr:rowOff>
        </xdr:to>
        <xdr:sp macro="" textlink="">
          <xdr:nvSpPr>
            <xdr:cNvPr id="10312" name="Button 72" hidden="1">
              <a:extLst>
                <a:ext uri="{63B3BB69-23CF-44E3-9099-C40C66FF867C}">
                  <a14:compatExt spid="_x0000_s10312"/>
                </a:ext>
                <a:ext uri="{FF2B5EF4-FFF2-40B4-BE49-F238E27FC236}">
                  <a16:creationId xmlns:a16="http://schemas.microsoft.com/office/drawing/2014/main" id="{00000000-0008-0000-0B00-000048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121920</xdr:colOff>
          <xdr:row>1</xdr:row>
          <xdr:rowOff>106680</xdr:rowOff>
        </xdr:from>
        <xdr:to>
          <xdr:col>37</xdr:col>
          <xdr:colOff>137160</xdr:colOff>
          <xdr:row>3</xdr:row>
          <xdr:rowOff>30480</xdr:rowOff>
        </xdr:to>
        <xdr:sp macro="" textlink="">
          <xdr:nvSpPr>
            <xdr:cNvPr id="10311" name="Button 71" hidden="1">
              <a:extLst>
                <a:ext uri="{63B3BB69-23CF-44E3-9099-C40C66FF867C}">
                  <a14:compatExt spid="_x0000_s10311"/>
                </a:ext>
                <a:ext uri="{FF2B5EF4-FFF2-40B4-BE49-F238E27FC236}">
                  <a16:creationId xmlns:a16="http://schemas.microsoft.com/office/drawing/2014/main" id="{00000000-0008-0000-0B00-000047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7620</xdr:colOff>
          <xdr:row>1</xdr:row>
          <xdr:rowOff>99060</xdr:rowOff>
        </xdr:from>
        <xdr:to>
          <xdr:col>28</xdr:col>
          <xdr:colOff>22860</xdr:colOff>
          <xdr:row>3</xdr:row>
          <xdr:rowOff>22860</xdr:rowOff>
        </xdr:to>
        <xdr:sp macro="" textlink="">
          <xdr:nvSpPr>
            <xdr:cNvPr id="10310" name="Button 70" hidden="1">
              <a:extLst>
                <a:ext uri="{63B3BB69-23CF-44E3-9099-C40C66FF867C}">
                  <a14:compatExt spid="_x0000_s10310"/>
                </a:ext>
                <a:ext uri="{FF2B5EF4-FFF2-40B4-BE49-F238E27FC236}">
                  <a16:creationId xmlns:a16="http://schemas.microsoft.com/office/drawing/2014/main" id="{00000000-0008-0000-0B00-00004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</xdr:row>
          <xdr:rowOff>106680</xdr:rowOff>
        </xdr:from>
        <xdr:to>
          <xdr:col>23</xdr:col>
          <xdr:colOff>15240</xdr:colOff>
          <xdr:row>3</xdr:row>
          <xdr:rowOff>30480</xdr:rowOff>
        </xdr:to>
        <xdr:sp macro="" textlink="">
          <xdr:nvSpPr>
            <xdr:cNvPr id="10309" name="Button 69" hidden="1">
              <a:extLst>
                <a:ext uri="{63B3BB69-23CF-44E3-9099-C40C66FF867C}">
                  <a14:compatExt spid="_x0000_s10309"/>
                </a:ext>
                <a:ext uri="{FF2B5EF4-FFF2-40B4-BE49-F238E27FC236}">
                  <a16:creationId xmlns:a16="http://schemas.microsoft.com/office/drawing/2014/main" id="{00000000-0008-0000-0B00-00004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</xdr:row>
          <xdr:rowOff>106680</xdr:rowOff>
        </xdr:from>
        <xdr:to>
          <xdr:col>18</xdr:col>
          <xdr:colOff>15240</xdr:colOff>
          <xdr:row>3</xdr:row>
          <xdr:rowOff>30480</xdr:rowOff>
        </xdr:to>
        <xdr:sp macro="" textlink="">
          <xdr:nvSpPr>
            <xdr:cNvPr id="10308" name="Button 68" hidden="1">
              <a:extLst>
                <a:ext uri="{63B3BB69-23CF-44E3-9099-C40C66FF867C}">
                  <a14:compatExt spid="_x0000_s10308"/>
                </a:ext>
                <a:ext uri="{FF2B5EF4-FFF2-40B4-BE49-F238E27FC236}">
                  <a16:creationId xmlns:a16="http://schemas.microsoft.com/office/drawing/2014/main" id="{00000000-0008-0000-0B00-00004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15240</xdr:colOff>
          <xdr:row>1</xdr:row>
          <xdr:rowOff>83820</xdr:rowOff>
        </xdr:from>
        <xdr:to>
          <xdr:col>13</xdr:col>
          <xdr:colOff>30480</xdr:colOff>
          <xdr:row>3</xdr:row>
          <xdr:rowOff>7620</xdr:rowOff>
        </xdr:to>
        <xdr:sp macro="" textlink="">
          <xdr:nvSpPr>
            <xdr:cNvPr id="10307" name="Button 67" hidden="1">
              <a:extLst>
                <a:ext uri="{63B3BB69-23CF-44E3-9099-C40C66FF867C}">
                  <a14:compatExt spid="_x0000_s10307"/>
                </a:ext>
                <a:ext uri="{FF2B5EF4-FFF2-40B4-BE49-F238E27FC236}">
                  <a16:creationId xmlns:a16="http://schemas.microsoft.com/office/drawing/2014/main" id="{00000000-0008-0000-0B00-00004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45720</xdr:colOff>
          <xdr:row>1</xdr:row>
          <xdr:rowOff>99060</xdr:rowOff>
        </xdr:from>
        <xdr:to>
          <xdr:col>33</xdr:col>
          <xdr:colOff>60960</xdr:colOff>
          <xdr:row>3</xdr:row>
          <xdr:rowOff>22860</xdr:rowOff>
        </xdr:to>
        <xdr:sp macro="" textlink="">
          <xdr:nvSpPr>
            <xdr:cNvPr id="10318" name="Button 78" hidden="1">
              <a:extLst>
                <a:ext uri="{63B3BB69-23CF-44E3-9099-C40C66FF867C}">
                  <a14:compatExt spid="_x0000_s10318"/>
                </a:ext>
                <a:ext uri="{FF2B5EF4-FFF2-40B4-BE49-F238E27FC236}">
                  <a16:creationId xmlns:a16="http://schemas.microsoft.com/office/drawing/2014/main" id="{00000000-0008-0000-0B00-00004E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121920</xdr:colOff>
          <xdr:row>1</xdr:row>
          <xdr:rowOff>106680</xdr:rowOff>
        </xdr:from>
        <xdr:to>
          <xdr:col>37</xdr:col>
          <xdr:colOff>137160</xdr:colOff>
          <xdr:row>3</xdr:row>
          <xdr:rowOff>30480</xdr:rowOff>
        </xdr:to>
        <xdr:sp macro="" textlink="">
          <xdr:nvSpPr>
            <xdr:cNvPr id="10317" name="Button 77" hidden="1">
              <a:extLst>
                <a:ext uri="{63B3BB69-23CF-44E3-9099-C40C66FF867C}">
                  <a14:compatExt spid="_x0000_s10317"/>
                </a:ext>
                <a:ext uri="{FF2B5EF4-FFF2-40B4-BE49-F238E27FC236}">
                  <a16:creationId xmlns:a16="http://schemas.microsoft.com/office/drawing/2014/main" id="{00000000-0008-0000-0B00-00004D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7620</xdr:colOff>
          <xdr:row>1</xdr:row>
          <xdr:rowOff>99060</xdr:rowOff>
        </xdr:from>
        <xdr:to>
          <xdr:col>28</xdr:col>
          <xdr:colOff>22860</xdr:colOff>
          <xdr:row>3</xdr:row>
          <xdr:rowOff>22860</xdr:rowOff>
        </xdr:to>
        <xdr:sp macro="" textlink="">
          <xdr:nvSpPr>
            <xdr:cNvPr id="10316" name="Button 76" hidden="1">
              <a:extLst>
                <a:ext uri="{63B3BB69-23CF-44E3-9099-C40C66FF867C}">
                  <a14:compatExt spid="_x0000_s10316"/>
                </a:ext>
                <a:ext uri="{FF2B5EF4-FFF2-40B4-BE49-F238E27FC236}">
                  <a16:creationId xmlns:a16="http://schemas.microsoft.com/office/drawing/2014/main" id="{00000000-0008-0000-0B00-00004C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</xdr:row>
          <xdr:rowOff>106680</xdr:rowOff>
        </xdr:from>
        <xdr:to>
          <xdr:col>23</xdr:col>
          <xdr:colOff>15240</xdr:colOff>
          <xdr:row>3</xdr:row>
          <xdr:rowOff>30480</xdr:rowOff>
        </xdr:to>
        <xdr:sp macro="" textlink="">
          <xdr:nvSpPr>
            <xdr:cNvPr id="10315" name="Button 75" hidden="1">
              <a:extLst>
                <a:ext uri="{63B3BB69-23CF-44E3-9099-C40C66FF867C}">
                  <a14:compatExt spid="_x0000_s10315"/>
                </a:ext>
                <a:ext uri="{FF2B5EF4-FFF2-40B4-BE49-F238E27FC236}">
                  <a16:creationId xmlns:a16="http://schemas.microsoft.com/office/drawing/2014/main" id="{00000000-0008-0000-0B00-00004B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</xdr:row>
          <xdr:rowOff>106680</xdr:rowOff>
        </xdr:from>
        <xdr:to>
          <xdr:col>18</xdr:col>
          <xdr:colOff>15240</xdr:colOff>
          <xdr:row>3</xdr:row>
          <xdr:rowOff>30480</xdr:rowOff>
        </xdr:to>
        <xdr:sp macro="" textlink="">
          <xdr:nvSpPr>
            <xdr:cNvPr id="10314" name="Button 74" hidden="1">
              <a:extLst>
                <a:ext uri="{63B3BB69-23CF-44E3-9099-C40C66FF867C}">
                  <a14:compatExt spid="_x0000_s10314"/>
                </a:ext>
                <a:ext uri="{FF2B5EF4-FFF2-40B4-BE49-F238E27FC236}">
                  <a16:creationId xmlns:a16="http://schemas.microsoft.com/office/drawing/2014/main" id="{00000000-0008-0000-0B00-00004A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15240</xdr:colOff>
          <xdr:row>1</xdr:row>
          <xdr:rowOff>83820</xdr:rowOff>
        </xdr:from>
        <xdr:to>
          <xdr:col>13</xdr:col>
          <xdr:colOff>30480</xdr:colOff>
          <xdr:row>3</xdr:row>
          <xdr:rowOff>7620</xdr:rowOff>
        </xdr:to>
        <xdr:sp macro="" textlink="">
          <xdr:nvSpPr>
            <xdr:cNvPr id="10313" name="Button 73" hidden="1">
              <a:extLst>
                <a:ext uri="{63B3BB69-23CF-44E3-9099-C40C66FF867C}">
                  <a14:compatExt spid="_x0000_s10313"/>
                </a:ext>
                <a:ext uri="{FF2B5EF4-FFF2-40B4-BE49-F238E27FC236}">
                  <a16:creationId xmlns:a16="http://schemas.microsoft.com/office/drawing/2014/main" id="{00000000-0008-0000-0B00-000049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84" Type="http://schemas.openxmlformats.org/officeDocument/2006/relationships/ctrlProp" Target="../ctrlProps/ctrlProp81.xml"/><Relationship Id="rId16" Type="http://schemas.openxmlformats.org/officeDocument/2006/relationships/ctrlProp" Target="../ctrlProps/ctrlProp13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5" Type="http://schemas.openxmlformats.org/officeDocument/2006/relationships/ctrlProp" Target="../ctrlProps/ctrlProp2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77" Type="http://schemas.openxmlformats.org/officeDocument/2006/relationships/ctrlProp" Target="../ctrlProps/ctrlProp74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83" Type="http://schemas.openxmlformats.org/officeDocument/2006/relationships/ctrlProp" Target="../ctrlProps/ctrlProp80.xml"/><Relationship Id="rId1" Type="http://schemas.openxmlformats.org/officeDocument/2006/relationships/printerSettings" Target="../printerSettings/printerSettings11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2" Type="http://schemas.openxmlformats.org/officeDocument/2006/relationships/drawing" Target="../drawings/drawing10.xml"/><Relationship Id="rId29" Type="http://schemas.openxmlformats.org/officeDocument/2006/relationships/ctrlProp" Target="../ctrlProps/ctrlProp26.xml"/><Relationship Id="rId24" Type="http://schemas.openxmlformats.org/officeDocument/2006/relationships/ctrlProp" Target="../ctrlProps/ctrlProp21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437A55-F490-46DD-B6C9-82169350A7D5}">
  <dimension ref="B3:K58"/>
  <sheetViews>
    <sheetView tabSelected="1" workbookViewId="0">
      <pane xSplit="5" ySplit="5" topLeftCell="I6" activePane="bottomRight" state="frozen"/>
      <selection pane="topRight" activeCell="F1" sqref="F1"/>
      <selection pane="bottomLeft" activeCell="A6" sqref="A6"/>
      <selection pane="bottomRight" activeCell="K18" sqref="K18"/>
    </sheetView>
  </sheetViews>
  <sheetFormatPr baseColWidth="10" defaultRowHeight="13.2" x14ac:dyDescent="0.25"/>
  <sheetData>
    <row r="3" spans="2:11" ht="13.8" thickBot="1" x14ac:dyDescent="0.3"/>
    <row r="4" spans="2:11" ht="13.8" thickBot="1" x14ac:dyDescent="0.3">
      <c r="B4" s="208" t="s">
        <v>87</v>
      </c>
      <c r="C4" s="209" t="s">
        <v>85</v>
      </c>
      <c r="D4" s="209" t="s">
        <v>18</v>
      </c>
      <c r="E4" s="209" t="s">
        <v>19</v>
      </c>
      <c r="F4" s="210" t="s">
        <v>20</v>
      </c>
    </row>
    <row r="5" spans="2:11" ht="13.8" thickBot="1" x14ac:dyDescent="0.3">
      <c r="B5" s="211" t="s">
        <v>14</v>
      </c>
      <c r="C5" s="212"/>
      <c r="D5" s="212"/>
      <c r="E5" s="212"/>
      <c r="F5" s="213"/>
      <c r="K5" s="221"/>
    </row>
    <row r="6" spans="2:11" x14ac:dyDescent="0.25">
      <c r="B6" s="216" t="s">
        <v>86</v>
      </c>
      <c r="C6" s="214"/>
      <c r="D6" s="207"/>
      <c r="E6" s="207"/>
      <c r="F6" s="207"/>
    </row>
    <row r="7" spans="2:11" x14ac:dyDescent="0.25">
      <c r="B7" s="217">
        <v>1</v>
      </c>
      <c r="C7" s="220">
        <f>SUMIF('Planning (4)'!$E$5,"1",'Planning (4)'!$R$11)</f>
        <v>0.70833333333333404</v>
      </c>
      <c r="D7" s="206"/>
      <c r="E7" s="206"/>
      <c r="F7" s="206"/>
    </row>
    <row r="8" spans="2:11" x14ac:dyDescent="0.25">
      <c r="B8" s="217">
        <v>2</v>
      </c>
      <c r="C8" s="220">
        <f>SUMIF('Planning (4)'!$E$5,"2",'Planning (4)'!$R$11)</f>
        <v>0</v>
      </c>
      <c r="D8" s="206"/>
      <c r="E8" s="206"/>
      <c r="F8" s="206"/>
    </row>
    <row r="9" spans="2:11" x14ac:dyDescent="0.25">
      <c r="B9" s="217">
        <v>3</v>
      </c>
      <c r="C9" s="220" t="e" cm="1">
        <f t="array" ref="C9">SUMIF(Semaine,"3",'Planning (4)'!R11)</f>
        <v>#VALUE!</v>
      </c>
      <c r="D9" s="206"/>
      <c r="E9" s="206"/>
      <c r="F9" s="206"/>
    </row>
    <row r="10" spans="2:11" x14ac:dyDescent="0.25">
      <c r="B10" s="217">
        <v>4</v>
      </c>
      <c r="C10" s="220"/>
      <c r="D10" s="206"/>
      <c r="E10" s="206"/>
      <c r="F10" s="206"/>
      <c r="H10" t="e" cm="1">
        <f t="array" ref="H10">Semaine</f>
        <v>#VALUE!</v>
      </c>
    </row>
    <row r="11" spans="2:11" x14ac:dyDescent="0.25">
      <c r="B11" s="217">
        <v>5</v>
      </c>
      <c r="C11" s="220"/>
      <c r="D11" s="206"/>
      <c r="E11" s="206"/>
      <c r="F11" s="206"/>
    </row>
    <row r="12" spans="2:11" x14ac:dyDescent="0.25">
      <c r="B12" s="217">
        <v>6</v>
      </c>
      <c r="C12" s="220"/>
      <c r="D12" s="206"/>
      <c r="E12" s="206"/>
      <c r="F12" s="206"/>
    </row>
    <row r="13" spans="2:11" x14ac:dyDescent="0.25">
      <c r="B13" s="217">
        <v>7</v>
      </c>
      <c r="C13" s="215"/>
      <c r="D13" s="206"/>
      <c r="E13" s="206"/>
      <c r="F13" s="206"/>
      <c r="H13" t="e">
        <f>test</f>
        <v>#NAME?</v>
      </c>
    </row>
    <row r="14" spans="2:11" x14ac:dyDescent="0.25">
      <c r="B14" s="217">
        <v>8</v>
      </c>
      <c r="C14" s="215"/>
      <c r="D14" s="206"/>
      <c r="E14" s="206"/>
      <c r="F14" s="206"/>
    </row>
    <row r="15" spans="2:11" x14ac:dyDescent="0.25">
      <c r="B15" s="217">
        <v>9</v>
      </c>
      <c r="C15" s="215"/>
      <c r="D15" s="206"/>
      <c r="E15" s="206"/>
      <c r="F15" s="206"/>
    </row>
    <row r="16" spans="2:11" x14ac:dyDescent="0.25">
      <c r="B16" s="217">
        <v>10</v>
      </c>
      <c r="C16" s="215"/>
      <c r="D16" s="206"/>
      <c r="E16" s="206"/>
      <c r="F16" s="206"/>
    </row>
    <row r="17" spans="2:6" x14ac:dyDescent="0.25">
      <c r="B17" s="217">
        <v>11</v>
      </c>
      <c r="C17" s="215"/>
      <c r="D17" s="206"/>
      <c r="E17" s="206"/>
      <c r="F17" s="206"/>
    </row>
    <row r="18" spans="2:6" x14ac:dyDescent="0.25">
      <c r="B18" s="217">
        <v>12</v>
      </c>
      <c r="C18" s="215"/>
      <c r="D18" s="206"/>
      <c r="E18" s="206"/>
      <c r="F18" s="206"/>
    </row>
    <row r="19" spans="2:6" x14ac:dyDescent="0.25">
      <c r="B19" s="217">
        <v>13</v>
      </c>
      <c r="C19" s="215"/>
      <c r="D19" s="206"/>
      <c r="E19" s="206"/>
      <c r="F19" s="206"/>
    </row>
    <row r="20" spans="2:6" x14ac:dyDescent="0.25">
      <c r="B20" s="217">
        <v>14</v>
      </c>
      <c r="C20" s="215"/>
      <c r="D20" s="206"/>
      <c r="E20" s="206"/>
      <c r="F20" s="206"/>
    </row>
    <row r="21" spans="2:6" x14ac:dyDescent="0.25">
      <c r="B21" s="217">
        <v>15</v>
      </c>
      <c r="C21" s="215"/>
      <c r="D21" s="206"/>
      <c r="E21" s="206"/>
      <c r="F21" s="206"/>
    </row>
    <row r="22" spans="2:6" x14ac:dyDescent="0.25">
      <c r="B22" s="217">
        <v>16</v>
      </c>
      <c r="C22" s="215"/>
      <c r="D22" s="206"/>
      <c r="E22" s="206"/>
      <c r="F22" s="206"/>
    </row>
    <row r="23" spans="2:6" x14ac:dyDescent="0.25">
      <c r="B23" s="217">
        <v>17</v>
      </c>
      <c r="C23" s="215"/>
      <c r="D23" s="206"/>
      <c r="E23" s="206"/>
      <c r="F23" s="206"/>
    </row>
    <row r="24" spans="2:6" x14ac:dyDescent="0.25">
      <c r="B24" s="217">
        <v>18</v>
      </c>
      <c r="C24" s="215"/>
      <c r="D24" s="206"/>
      <c r="E24" s="206"/>
      <c r="F24" s="206"/>
    </row>
    <row r="25" spans="2:6" x14ac:dyDescent="0.25">
      <c r="B25" s="217">
        <v>19</v>
      </c>
      <c r="C25" s="215"/>
      <c r="D25" s="206"/>
      <c r="E25" s="206"/>
      <c r="F25" s="206"/>
    </row>
    <row r="26" spans="2:6" x14ac:dyDescent="0.25">
      <c r="B26" s="217">
        <v>20</v>
      </c>
      <c r="C26" s="215"/>
      <c r="D26" s="206"/>
      <c r="E26" s="206"/>
      <c r="F26" s="206"/>
    </row>
    <row r="27" spans="2:6" x14ac:dyDescent="0.25">
      <c r="B27" s="217">
        <v>21</v>
      </c>
      <c r="C27" s="215"/>
      <c r="D27" s="206"/>
      <c r="E27" s="206"/>
      <c r="F27" s="206"/>
    </row>
    <row r="28" spans="2:6" x14ac:dyDescent="0.25">
      <c r="B28" s="217">
        <v>22</v>
      </c>
      <c r="C28" s="215"/>
      <c r="D28" s="206"/>
      <c r="E28" s="206"/>
      <c r="F28" s="206"/>
    </row>
    <row r="29" spans="2:6" x14ac:dyDescent="0.25">
      <c r="B29" s="217">
        <v>23</v>
      </c>
      <c r="C29" s="215"/>
      <c r="D29" s="206"/>
      <c r="E29" s="206"/>
      <c r="F29" s="206"/>
    </row>
    <row r="30" spans="2:6" x14ac:dyDescent="0.25">
      <c r="B30" s="217">
        <v>24</v>
      </c>
      <c r="C30" s="215"/>
      <c r="D30" s="206"/>
      <c r="E30" s="206"/>
      <c r="F30" s="206"/>
    </row>
    <row r="31" spans="2:6" x14ac:dyDescent="0.25">
      <c r="B31" s="217">
        <v>25</v>
      </c>
      <c r="C31" s="215"/>
      <c r="D31" s="206"/>
      <c r="E31" s="206"/>
      <c r="F31" s="206"/>
    </row>
    <row r="32" spans="2:6" x14ac:dyDescent="0.25">
      <c r="B32" s="217">
        <v>26</v>
      </c>
      <c r="C32" s="215"/>
      <c r="D32" s="206"/>
      <c r="E32" s="206"/>
      <c r="F32" s="206"/>
    </row>
    <row r="33" spans="2:6" x14ac:dyDescent="0.25">
      <c r="B33" s="217">
        <v>27</v>
      </c>
      <c r="C33" s="215"/>
      <c r="D33" s="206"/>
      <c r="E33" s="206"/>
      <c r="F33" s="206"/>
    </row>
    <row r="34" spans="2:6" x14ac:dyDescent="0.25">
      <c r="B34" s="217">
        <v>28</v>
      </c>
      <c r="C34" s="215"/>
      <c r="D34" s="206"/>
      <c r="E34" s="206"/>
      <c r="F34" s="206"/>
    </row>
    <row r="35" spans="2:6" x14ac:dyDescent="0.25">
      <c r="B35" s="217">
        <v>29</v>
      </c>
      <c r="C35" s="215"/>
      <c r="D35" s="206"/>
      <c r="E35" s="206"/>
      <c r="F35" s="206"/>
    </row>
    <row r="36" spans="2:6" x14ac:dyDescent="0.25">
      <c r="B36" s="217">
        <v>30</v>
      </c>
      <c r="C36" s="215"/>
      <c r="D36" s="206"/>
      <c r="E36" s="206"/>
      <c r="F36" s="206"/>
    </row>
    <row r="37" spans="2:6" x14ac:dyDescent="0.25">
      <c r="B37" s="217">
        <v>31</v>
      </c>
      <c r="C37" s="215"/>
      <c r="D37" s="206"/>
      <c r="E37" s="206"/>
      <c r="F37" s="206"/>
    </row>
    <row r="38" spans="2:6" x14ac:dyDescent="0.25">
      <c r="B38" s="217">
        <v>32</v>
      </c>
      <c r="C38" s="215"/>
      <c r="D38" s="206"/>
      <c r="E38" s="206"/>
      <c r="F38" s="206"/>
    </row>
    <row r="39" spans="2:6" x14ac:dyDescent="0.25">
      <c r="B39" s="217">
        <v>33</v>
      </c>
      <c r="C39" s="215"/>
      <c r="D39" s="206"/>
      <c r="E39" s="206"/>
      <c r="F39" s="206"/>
    </row>
    <row r="40" spans="2:6" x14ac:dyDescent="0.25">
      <c r="B40" s="217">
        <v>34</v>
      </c>
      <c r="C40" s="215"/>
      <c r="D40" s="206"/>
      <c r="E40" s="206"/>
      <c r="F40" s="206"/>
    </row>
    <row r="41" spans="2:6" x14ac:dyDescent="0.25">
      <c r="B41" s="217">
        <v>35</v>
      </c>
      <c r="C41" s="215"/>
      <c r="D41" s="206"/>
      <c r="E41" s="206"/>
      <c r="F41" s="206"/>
    </row>
    <row r="42" spans="2:6" x14ac:dyDescent="0.25">
      <c r="B42" s="217">
        <v>36</v>
      </c>
      <c r="C42" s="215"/>
      <c r="D42" s="206"/>
      <c r="E42" s="206"/>
      <c r="F42" s="206"/>
    </row>
    <row r="43" spans="2:6" x14ac:dyDescent="0.25">
      <c r="B43" s="217">
        <v>37</v>
      </c>
      <c r="C43" s="215"/>
      <c r="D43" s="206"/>
      <c r="E43" s="206"/>
      <c r="F43" s="206"/>
    </row>
    <row r="44" spans="2:6" x14ac:dyDescent="0.25">
      <c r="B44" s="217">
        <v>38</v>
      </c>
      <c r="C44" s="215"/>
      <c r="D44" s="206"/>
      <c r="E44" s="206"/>
      <c r="F44" s="206"/>
    </row>
    <row r="45" spans="2:6" x14ac:dyDescent="0.25">
      <c r="B45" s="217">
        <v>39</v>
      </c>
      <c r="C45" s="215"/>
      <c r="D45" s="206"/>
      <c r="E45" s="206"/>
      <c r="F45" s="206"/>
    </row>
    <row r="46" spans="2:6" x14ac:dyDescent="0.25">
      <c r="B46" s="217">
        <v>40</v>
      </c>
      <c r="C46" s="215"/>
      <c r="D46" s="206"/>
      <c r="E46" s="206"/>
      <c r="F46" s="206"/>
    </row>
    <row r="47" spans="2:6" x14ac:dyDescent="0.25">
      <c r="B47" s="217">
        <v>41</v>
      </c>
      <c r="C47" s="215"/>
      <c r="D47" s="206"/>
      <c r="E47" s="206"/>
      <c r="F47" s="206"/>
    </row>
    <row r="48" spans="2:6" x14ac:dyDescent="0.25">
      <c r="B48" s="217">
        <v>42</v>
      </c>
      <c r="C48" s="215"/>
      <c r="D48" s="206"/>
      <c r="E48" s="206"/>
      <c r="F48" s="206"/>
    </row>
    <row r="49" spans="2:6" x14ac:dyDescent="0.25">
      <c r="B49" s="217">
        <v>43</v>
      </c>
      <c r="C49" s="215"/>
      <c r="D49" s="206"/>
      <c r="E49" s="206"/>
      <c r="F49" s="206"/>
    </row>
    <row r="50" spans="2:6" x14ac:dyDescent="0.25">
      <c r="B50" s="217">
        <v>44</v>
      </c>
      <c r="C50" s="215"/>
      <c r="D50" s="206"/>
      <c r="E50" s="206"/>
      <c r="F50" s="206"/>
    </row>
    <row r="51" spans="2:6" x14ac:dyDescent="0.25">
      <c r="B51" s="217">
        <v>45</v>
      </c>
      <c r="C51" s="215"/>
      <c r="D51" s="206"/>
      <c r="E51" s="206"/>
      <c r="F51" s="206"/>
    </row>
    <row r="52" spans="2:6" x14ac:dyDescent="0.25">
      <c r="B52" s="217">
        <v>46</v>
      </c>
      <c r="C52" s="215"/>
      <c r="D52" s="206"/>
      <c r="E52" s="206"/>
      <c r="F52" s="206"/>
    </row>
    <row r="53" spans="2:6" x14ac:dyDescent="0.25">
      <c r="B53" s="217">
        <v>47</v>
      </c>
      <c r="C53" s="215"/>
      <c r="D53" s="206"/>
      <c r="E53" s="206"/>
      <c r="F53" s="206"/>
    </row>
    <row r="54" spans="2:6" x14ac:dyDescent="0.25">
      <c r="B54" s="217">
        <v>48</v>
      </c>
      <c r="C54" s="215"/>
      <c r="D54" s="206"/>
      <c r="E54" s="206"/>
      <c r="F54" s="206"/>
    </row>
    <row r="55" spans="2:6" x14ac:dyDescent="0.25">
      <c r="B55" s="217">
        <v>49</v>
      </c>
      <c r="C55" s="215"/>
      <c r="D55" s="206"/>
      <c r="E55" s="206"/>
      <c r="F55" s="206"/>
    </row>
    <row r="56" spans="2:6" x14ac:dyDescent="0.25">
      <c r="B56" s="217">
        <v>50</v>
      </c>
      <c r="C56" s="215"/>
      <c r="D56" s="206"/>
      <c r="E56" s="206"/>
      <c r="F56" s="206"/>
    </row>
    <row r="57" spans="2:6" x14ac:dyDescent="0.25">
      <c r="B57" s="217">
        <v>51</v>
      </c>
      <c r="C57" s="215"/>
      <c r="D57" s="206"/>
      <c r="E57" s="206"/>
      <c r="F57" s="206"/>
    </row>
    <row r="58" spans="2:6" ht="13.8" thickBot="1" x14ac:dyDescent="0.3">
      <c r="B58" s="218">
        <v>52</v>
      </c>
      <c r="C58" s="215"/>
      <c r="D58" s="206"/>
      <c r="E58" s="206"/>
      <c r="F58" s="206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F37"/>
  <sheetViews>
    <sheetView zoomScale="81" zoomScaleNormal="81" zoomScalePageLayoutView="90" workbookViewId="0">
      <selection activeCell="E6" sqref="E6"/>
    </sheetView>
  </sheetViews>
  <sheetFormatPr baseColWidth="10" defaultColWidth="0" defaultRowHeight="21" zeroHeight="1" x14ac:dyDescent="0.5"/>
  <cols>
    <col min="1" max="1" width="20.109375" style="1" customWidth="1"/>
    <col min="2" max="2" width="5.77734375" style="1" customWidth="1"/>
    <col min="3" max="3" width="8.44140625" style="1" customWidth="1"/>
    <col min="4" max="4" width="5.77734375" style="2" customWidth="1"/>
    <col min="5" max="5" width="5.77734375" style="3" customWidth="1"/>
    <col min="6" max="6" width="5.77734375" style="4" customWidth="1"/>
    <col min="7" max="7" width="5.77734375" style="3" customWidth="1"/>
    <col min="8" max="8" width="5.77734375" style="5" customWidth="1"/>
    <col min="9" max="9" width="5.77734375" style="3" customWidth="1"/>
    <col min="10" max="10" width="5.77734375" style="5" customWidth="1"/>
    <col min="11" max="11" width="5.77734375" style="3" customWidth="1"/>
    <col min="12" max="12" width="5.77734375" style="5" customWidth="1"/>
    <col min="13" max="13" width="5.77734375" style="3" customWidth="1"/>
    <col min="14" max="14" width="5.77734375" style="5" customWidth="1"/>
    <col min="15" max="17" width="5.77734375" style="3" customWidth="1"/>
    <col min="18" max="18" width="11.5546875" style="6" customWidth="1"/>
    <col min="19" max="21" width="11.44140625" style="1"/>
    <col min="22" max="22" width="12.21875" style="1" customWidth="1"/>
    <col min="23" max="27" width="11.44140625" style="1"/>
    <col min="28" max="32" width="11.5546875" style="1" hidden="1" customWidth="1"/>
    <col min="33" max="16384" width="11.44140625" style="1" hidden="1"/>
  </cols>
  <sheetData>
    <row r="1" spans="1:23" ht="41.25" customHeight="1" x14ac:dyDescent="0.5">
      <c r="A1" s="7"/>
      <c r="B1" s="8"/>
      <c r="C1" s="8"/>
      <c r="D1" s="9"/>
      <c r="E1" s="10"/>
      <c r="F1" s="11"/>
      <c r="G1" s="10"/>
      <c r="H1" s="12"/>
      <c r="I1" s="10"/>
      <c r="J1" s="12"/>
      <c r="K1" s="10"/>
      <c r="L1" s="12"/>
      <c r="M1" s="10"/>
      <c r="N1" s="12"/>
      <c r="O1" s="10"/>
      <c r="P1" s="10"/>
      <c r="Q1" s="10"/>
      <c r="R1" s="13"/>
    </row>
    <row r="2" spans="1:23" ht="22.5" customHeight="1" x14ac:dyDescent="0.4">
      <c r="A2" s="222" t="s">
        <v>0</v>
      </c>
      <c r="B2" s="222"/>
      <c r="C2" s="222"/>
      <c r="D2" s="222"/>
      <c r="E2" s="222"/>
      <c r="F2" s="222"/>
      <c r="G2" s="222"/>
      <c r="H2" s="222"/>
      <c r="I2" s="222"/>
      <c r="J2" s="222"/>
      <c r="K2" s="222"/>
      <c r="L2" s="222"/>
      <c r="M2" s="222"/>
      <c r="N2" s="222"/>
      <c r="O2" s="222"/>
      <c r="P2" s="222"/>
      <c r="Q2" s="222"/>
      <c r="R2" s="222"/>
    </row>
    <row r="3" spans="1:23" ht="9" customHeight="1" x14ac:dyDescent="0.4">
      <c r="A3" s="222"/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2"/>
      <c r="P3" s="222"/>
      <c r="Q3" s="222"/>
      <c r="R3" s="222"/>
    </row>
    <row r="4" spans="1:23" ht="8.25" customHeight="1" x14ac:dyDescent="0.4">
      <c r="A4" s="14"/>
      <c r="B4" s="14"/>
      <c r="C4" s="14"/>
      <c r="D4" s="15"/>
      <c r="E4" s="16"/>
      <c r="F4" s="17"/>
      <c r="G4" s="16"/>
      <c r="H4" s="18"/>
      <c r="I4" s="16"/>
      <c r="J4" s="18"/>
      <c r="K4" s="16"/>
      <c r="L4" s="18"/>
      <c r="M4" s="16"/>
      <c r="N4" s="18"/>
      <c r="O4" s="16"/>
      <c r="P4" s="16"/>
      <c r="Q4" s="16"/>
      <c r="R4" s="19"/>
    </row>
    <row r="5" spans="1:23" s="29" customFormat="1" ht="21.75" customHeight="1" x14ac:dyDescent="0.5">
      <c r="A5" s="20" t="s">
        <v>1</v>
      </c>
      <c r="B5" s="21"/>
      <c r="C5" s="21"/>
      <c r="D5" s="22"/>
      <c r="E5" s="23">
        <v>3</v>
      </c>
      <c r="F5" s="24"/>
      <c r="G5" s="25" t="s">
        <v>2</v>
      </c>
      <c r="H5" s="223">
        <v>45369</v>
      </c>
      <c r="I5" s="223"/>
      <c r="J5" s="223"/>
      <c r="K5" s="26" t="s">
        <v>3</v>
      </c>
      <c r="L5" s="223">
        <v>45375</v>
      </c>
      <c r="M5" s="223"/>
      <c r="N5" s="223"/>
      <c r="O5" s="27"/>
      <c r="P5" s="25"/>
      <c r="Q5" s="25"/>
      <c r="R5" s="28"/>
      <c r="T5" s="30"/>
    </row>
    <row r="6" spans="1:23" ht="10.5" customHeight="1" x14ac:dyDescent="0.4">
      <c r="A6" s="14"/>
      <c r="B6" s="14"/>
      <c r="C6" s="14"/>
      <c r="D6" s="15"/>
      <c r="E6" s="16"/>
      <c r="F6" s="17"/>
      <c r="G6" s="16"/>
      <c r="H6" s="31"/>
      <c r="I6" s="16"/>
      <c r="J6" s="18"/>
      <c r="K6" s="16"/>
      <c r="L6" s="18"/>
      <c r="M6" s="16"/>
      <c r="N6" s="18"/>
      <c r="O6" s="16"/>
      <c r="P6" s="16"/>
      <c r="Q6" s="16"/>
      <c r="R6" s="19"/>
    </row>
    <row r="7" spans="1:23" ht="18" customHeight="1" x14ac:dyDescent="0.4">
      <c r="A7" s="32" t="s">
        <v>4</v>
      </c>
      <c r="B7" s="33" t="s">
        <v>5</v>
      </c>
      <c r="C7" s="34" t="s">
        <v>6</v>
      </c>
      <c r="D7" s="224" t="s">
        <v>7</v>
      </c>
      <c r="E7" s="224"/>
      <c r="F7" s="224" t="s">
        <v>8</v>
      </c>
      <c r="G7" s="224"/>
      <c r="H7" s="224" t="s">
        <v>9</v>
      </c>
      <c r="I7" s="224"/>
      <c r="J7" s="225" t="s">
        <v>10</v>
      </c>
      <c r="K7" s="225"/>
      <c r="L7" s="225" t="s">
        <v>11</v>
      </c>
      <c r="M7" s="225"/>
      <c r="N7" s="226" t="s">
        <v>12</v>
      </c>
      <c r="O7" s="226"/>
      <c r="P7" s="227" t="s">
        <v>13</v>
      </c>
      <c r="Q7" s="227"/>
      <c r="R7" s="35" t="s">
        <v>14</v>
      </c>
      <c r="T7" s="36"/>
      <c r="U7" s="36"/>
    </row>
    <row r="8" spans="1:23" ht="14.25" customHeight="1" x14ac:dyDescent="0.4">
      <c r="A8" s="37"/>
      <c r="B8" s="38"/>
      <c r="C8" s="38"/>
      <c r="D8" s="39" t="s">
        <v>15</v>
      </c>
      <c r="E8" s="40" t="s">
        <v>16</v>
      </c>
      <c r="F8" s="39" t="s">
        <v>15</v>
      </c>
      <c r="G8" s="40" t="s">
        <v>16</v>
      </c>
      <c r="H8" s="39" t="s">
        <v>15</v>
      </c>
      <c r="I8" s="40" t="s">
        <v>16</v>
      </c>
      <c r="J8" s="39" t="s">
        <v>15</v>
      </c>
      <c r="K8" s="40" t="s">
        <v>16</v>
      </c>
      <c r="L8" s="41" t="s">
        <v>15</v>
      </c>
      <c r="M8" s="42" t="s">
        <v>16</v>
      </c>
      <c r="N8" s="41" t="s">
        <v>15</v>
      </c>
      <c r="O8" s="42" t="s">
        <v>16</v>
      </c>
      <c r="P8" s="41" t="s">
        <v>15</v>
      </c>
      <c r="Q8" s="42" t="s">
        <v>16</v>
      </c>
      <c r="R8" s="43"/>
    </row>
    <row r="9" spans="1:23" ht="6.75" customHeight="1" x14ac:dyDescent="0.4">
      <c r="A9" s="14"/>
      <c r="B9" s="14"/>
      <c r="C9" s="14"/>
      <c r="D9" s="15"/>
      <c r="E9" s="16"/>
      <c r="F9" s="17"/>
      <c r="G9" s="16"/>
      <c r="H9" s="18"/>
      <c r="I9" s="16"/>
      <c r="J9" s="44"/>
      <c r="K9" s="16"/>
      <c r="L9" s="45"/>
      <c r="M9" s="45"/>
      <c r="N9" s="18"/>
      <c r="O9" s="16"/>
      <c r="P9" s="18"/>
      <c r="Q9" s="16"/>
      <c r="R9" s="46"/>
    </row>
    <row r="10" spans="1:23" s="55" customFormat="1" ht="22.5" customHeight="1" x14ac:dyDescent="0.4">
      <c r="A10" s="47" t="s">
        <v>17</v>
      </c>
      <c r="B10" s="48">
        <v>100</v>
      </c>
      <c r="C10" s="49">
        <f t="shared" ref="C10:C26" si="0">IF(ISBLANK(B10),"",42/24/100*B10)</f>
        <v>1.7500000000000002</v>
      </c>
      <c r="D10" s="50"/>
      <c r="E10" s="51" t="str">
        <f>IF(A10="","",IF(COUNTIF(D10,"&gt;0")=1,IF(D10="","",IF(INDEX(Barème!$B$2:$CV$2,1,D10)="","hors code",INDEX(Barème!$B$2:$CV$2,1,D10))),""))</f>
        <v/>
      </c>
      <c r="F10" s="52"/>
      <c r="G10" s="51" t="str">
        <f>IF(A10="","",IF(COUNTIF(F10,"&gt;0")=1,IF(F10="","",IF(INDEX(Barème!$B$2:$CV$2,1,F10)="","hors code",INDEX(Barème!$B$2:$CV$2,1,F10))),""))</f>
        <v/>
      </c>
      <c r="H10" s="52"/>
      <c r="I10" s="51" t="str">
        <f>IF(A10="","",IF(COUNTIF(H10,"&gt;0")=1,IF(H10="","",IF(INDEX(Barème!$B$2:$CV$2,1,H10)="","hors code",INDEX(Barème!$B$2:$CV$2,1,H10))),""))</f>
        <v/>
      </c>
      <c r="J10" s="52"/>
      <c r="K10" s="51" t="str">
        <f>IF(A10="","",IF(COUNTIF(J10,"&gt;0")=1,IF(J10="","",IF(INDEX(Barème!$B$2:$CV$2,1,J10)="","hors code",INDEX(Barème!$B$2:$CV$2,1,J10))),""))</f>
        <v/>
      </c>
      <c r="L10" s="52"/>
      <c r="M10" s="51" t="str">
        <f>IF(A10="","",IF(COUNTIF(L10,"&gt;0")=1,IF(L10="","",IF(INDEX(Barème!$B$2:$CV$2,1,L10)="","hors code",INDEX(Barème!$B$2:$CV$2,1,L10))),""))</f>
        <v/>
      </c>
      <c r="N10" s="53"/>
      <c r="O10" s="51" t="str">
        <f>IF(A10="","",IF(COUNTIF(N10,"&gt;0")=1,IF(N10="","",IF(INDEX(Barème!$B$2:$CV$2,1,N10)="","hors code",INDEX(Barème!$B$2:$CV$2,1,N10))),""))</f>
        <v/>
      </c>
      <c r="P10" s="53"/>
      <c r="Q10" s="51" t="str">
        <f>IF(A10="","",IF(COUNTIF(P10,"&gt;0")=1,IF(P10="","",IF(INDEX(Barème!$B$2:$CV$2,1,P10)="","hors code",INDEX(Barème!$B$2:$CV$2,1,P10))),""))</f>
        <v/>
      </c>
      <c r="R10" s="54" t="str">
        <f t="shared" ref="R10:R26" si="1">IF(SUM(Q10,O10,M10,K10,I10,G10,E10)=0,"",SUM(Q10,O10,M10,K10,I10,G10,E10))</f>
        <v/>
      </c>
      <c r="S10" s="1"/>
      <c r="T10" s="36"/>
    </row>
    <row r="11" spans="1:23" s="55" customFormat="1" ht="22.5" customHeight="1" x14ac:dyDescent="0.4">
      <c r="A11" s="56" t="s">
        <v>85</v>
      </c>
      <c r="B11" s="57">
        <v>30</v>
      </c>
      <c r="C11" s="49">
        <f t="shared" si="0"/>
        <v>0.52500000000000002</v>
      </c>
      <c r="D11" s="58"/>
      <c r="E11" s="59" t="str">
        <f>IF(A11="","",IF(COUNTIF(D11,"&gt;0")=1,IF(D11="","",IF(INDEX(Barème!$B$2:$CV$2,1,D11)="","hors code",INDEX(Barème!$B$2:$CV$2,1,D11))),""))</f>
        <v/>
      </c>
      <c r="F11" s="60"/>
      <c r="G11" s="59" t="str">
        <f>IF(A11="","",IF(COUNTIF(F11,"&gt;0")=1,IF(F11="","",IF(INDEX(Barème!$B$2:$CV$2,1,F11)="","hors code",INDEX(Barème!$B$2:$CV$2,1,F11))),""))</f>
        <v/>
      </c>
      <c r="H11" s="61"/>
      <c r="I11" s="59" t="str">
        <f>IF(A11="","",IF(COUNTIF(H11,"&gt;0")=1,IF(H11="","",IF(INDEX(Barème!$B$2:$CV$2,1,H11)="","hors code",INDEX(Barème!$B$2:$CV$2,1,H11))),""))</f>
        <v/>
      </c>
      <c r="J11" s="61">
        <v>6</v>
      </c>
      <c r="K11" s="59">
        <f>IF(A11="","",IF(COUNTIF(J11,"&gt;0")=1,IF(J11="","",IF(INDEX(Barème!$B$2:$CV$2,1,J11)="","hors code",INDEX(Barème!$B$2:$CV$2,1,J11))),""))</f>
        <v>0.35416666666666702</v>
      </c>
      <c r="L11" s="61"/>
      <c r="M11" s="59" t="str">
        <f>IF(A11="","",IF(COUNTIF(L11,"&gt;0")=1,IF(L11="","",IF(INDEX(Barème!$B$2:$CV$2,1,L11)="","hors code",INDEX(Barème!$B$2:$CV$2,1,L11))),""))</f>
        <v/>
      </c>
      <c r="N11" s="61">
        <v>6</v>
      </c>
      <c r="O11" s="59">
        <f>IF(A11="","",IF(COUNTIF(N11,"&gt;0")=1,IF(N11="","",IF(INDEX(Barème!$B$2:$CV$2,1,N11)="","hors code",INDEX(Barème!$B$2:$CV$2,1,N11))),""))</f>
        <v>0.35416666666666702</v>
      </c>
      <c r="P11" s="61"/>
      <c r="Q11" s="59" t="str">
        <f>IF(A11="","",IF(COUNTIF(P11,"&gt;0")=1,IF(P11="","",IF(INDEX(Barème!$B$2:$CV$2,1,P11)="","hors code",INDEX(Barème!$B$2:$CV$2,1,P11))),""))</f>
        <v/>
      </c>
      <c r="R11" s="54">
        <f t="shared" si="1"/>
        <v>0.70833333333333404</v>
      </c>
      <c r="T11" s="36"/>
    </row>
    <row r="12" spans="1:23" s="55" customFormat="1" ht="22.5" customHeight="1" x14ac:dyDescent="0.4">
      <c r="A12" s="62" t="s">
        <v>18</v>
      </c>
      <c r="B12" s="63">
        <v>40</v>
      </c>
      <c r="C12" s="49">
        <f t="shared" si="0"/>
        <v>0.70000000000000007</v>
      </c>
      <c r="D12" s="58"/>
      <c r="E12" s="59" t="str">
        <f>IF(A12="","",IF(COUNTIF(D12,"&gt;0")=1,IF(D12="","",IF(INDEX(Barème!$B$2:$CV$2,1,D12)="","hors code",INDEX(Barème!$B$2:$CV$2,1,D12))),""))</f>
        <v/>
      </c>
      <c r="F12" s="60"/>
      <c r="G12" s="59" t="str">
        <f>IF(A12="","",IF(COUNTIF(F12,"&gt;0")=1,IF(F12="","",IF(INDEX(Barème!$B$2:$CV$2,1,F12)="","hors code",INDEX(Barème!$B$2:$CV$2,1,F12))),""))</f>
        <v/>
      </c>
      <c r="H12" s="61">
        <v>6</v>
      </c>
      <c r="I12" s="59">
        <f>IF(A12="","",IF(COUNTIF(H12,"&gt;0")=1,IF(H12="","",IF(INDEX(Barème!$B$2:$CV$2,1,H12)="","hors code",INDEX(Barème!$B$2:$CV$2,1,H12))),""))</f>
        <v>0.35416666666666702</v>
      </c>
      <c r="J12" s="61"/>
      <c r="K12" s="59" t="str">
        <f>IF(A12="","",IF(COUNTIF(J12,"&gt;0")=1,IF(J12="","",IF(INDEX(Barème!$B$2:$CV$2,1,J12)="","hors code",INDEX(Barème!$B$2:$CV$2,1,J12))),""))</f>
        <v/>
      </c>
      <c r="L12" s="61"/>
      <c r="M12" s="59" t="str">
        <f>IF(A12="","",IF(COUNTIF(L12,"&gt;0")=1,IF(L12="","",IF(INDEX(Barème!$B$2:$CV$2,1,L12)="","hors code",INDEX(Barème!$B$2:$CV$2,1,L12))),""))</f>
        <v/>
      </c>
      <c r="N12" s="60"/>
      <c r="O12" s="59" t="str">
        <f>IF(A12="","",IF(COUNTIF(N12,"&gt;0")=1,IF(N12="","",IF(INDEX(Barème!$B$2:$CV$2,1,N12)="","hors code",INDEX(Barème!$B$2:$CV$2,1,N12))),""))</f>
        <v/>
      </c>
      <c r="P12" s="60">
        <v>15</v>
      </c>
      <c r="Q12" s="59">
        <f>IF(A12="","",IF(COUNTIF(P12,"&gt;0")=1,IF(P12="","",IF(INDEX(Barème!$B$2:$CV$2,1,P12)="","hors code",INDEX(Barème!$B$2:$CV$2,1,P12))),""))</f>
        <v>0.35416666666666702</v>
      </c>
      <c r="R12" s="54">
        <f t="shared" si="1"/>
        <v>0.70833333333333404</v>
      </c>
      <c r="T12" s="36"/>
    </row>
    <row r="13" spans="1:23" s="55" customFormat="1" ht="22.5" customHeight="1" x14ac:dyDescent="0.45">
      <c r="A13" s="64" t="s">
        <v>19</v>
      </c>
      <c r="B13" s="63"/>
      <c r="C13" s="49" t="str">
        <f t="shared" si="0"/>
        <v/>
      </c>
      <c r="D13" s="58"/>
      <c r="E13" s="59" t="str">
        <f>IF(A13="","",IF(COUNTIF(D13,"&gt;0")=1,IF(D13="","",IF(INDEX(Barème!$B$2:$CV$2,1,D13)="","hors code",INDEX(Barème!$B$2:$CV$2,1,D13))),""))</f>
        <v/>
      </c>
      <c r="F13" s="60"/>
      <c r="G13" s="59" t="str">
        <f>IF(A13="","",IF(COUNTIF(F13,"&gt;0")=1,IF(F13="","",IF(INDEX(Barème!$B$2:$CV$2,1,F13)="","hors code",INDEX(Barème!$B$2:$CV$2,1,F13))),""))</f>
        <v/>
      </c>
      <c r="H13" s="61"/>
      <c r="I13" s="59" t="str">
        <f>IF(A13="","",IF(COUNTIF(H13,"&gt;0")=1,IF(H13="","",IF(INDEX(Barème!$B$2:$CV$2,1,H13)="","hors code",INDEX(Barème!$B$2:$CV$2,1,H13))),""))</f>
        <v/>
      </c>
      <c r="J13" s="61"/>
      <c r="K13" s="59" t="str">
        <f>IF(A13="","",IF(COUNTIF(J13,"&gt;0")=1,IF(J13="","",IF(INDEX(Barème!$B$2:$CV$2,1,J13)="","hors code",INDEX(Barème!$B$2:$CV$2,1,J13))),""))</f>
        <v/>
      </c>
      <c r="L13" s="61"/>
      <c r="M13" s="59" t="str">
        <f>IF(A13="","",IF(COUNTIF(L13,"&gt;0")=1,IF(L13="","",IF(INDEX(Barème!$B$2:$CV$2,1,L13)="","hors code",INDEX(Barème!$B$2:$CV$2,1,L13))),""))</f>
        <v/>
      </c>
      <c r="N13" s="61"/>
      <c r="O13" s="59" t="str">
        <f>IF(A13="","",IF(COUNTIF(N13,"&gt;0")=1,IF(N13="","",IF(INDEX(Barème!$B$2:$CV$2,1,N13)="","hors code",INDEX(Barème!$B$2:$CV$2,1,N13))),""))</f>
        <v/>
      </c>
      <c r="P13" s="61">
        <v>5</v>
      </c>
      <c r="Q13" s="59">
        <f>IF(A13="","",IF(COUNTIF(P13,"&gt;0")=1,IF(P13="","",IF(INDEX(Barème!$B$2:$CV$2,1,P13)="","hors code",INDEX(Barème!$B$2:$CV$2,1,P13))),""))</f>
        <v>0.33333333333333298</v>
      </c>
      <c r="R13" s="54">
        <f t="shared" si="1"/>
        <v>0.33333333333333298</v>
      </c>
      <c r="T13" s="36"/>
      <c r="U13" s="65"/>
      <c r="V13" s="66"/>
      <c r="W13" s="67"/>
    </row>
    <row r="14" spans="1:23" s="55" customFormat="1" ht="22.5" customHeight="1" x14ac:dyDescent="0.4">
      <c r="A14" s="56" t="s">
        <v>20</v>
      </c>
      <c r="B14" s="68">
        <v>55</v>
      </c>
      <c r="C14" s="49">
        <f t="shared" si="0"/>
        <v>0.96250000000000013</v>
      </c>
      <c r="D14" s="58"/>
      <c r="E14" s="59" t="str">
        <f>IF(A14="","",IF(COUNTIF(D14,"&gt;0")=1,IF(D14="","",IF(INDEX(Barème!$B$2:$CV$2,1,D14)="","hors code",INDEX(Barème!$B$2:$CV$2,1,D14))),""))</f>
        <v/>
      </c>
      <c r="F14" s="60"/>
      <c r="G14" s="59" t="str">
        <f>IF(A14="","",IF(COUNTIF(F14,"&gt;0")=1,IF(F14="","",IF(INDEX(Barème!$B$2:$CV$2,1,F14)="","hors code",INDEX(Barème!$B$2:$CV$2,1,F14))),""))</f>
        <v/>
      </c>
      <c r="H14" s="61">
        <v>15</v>
      </c>
      <c r="I14" s="59">
        <f>IF(A14="","",IF(COUNTIF(H14,"&gt;0")=1,IF(H14="","",IF(INDEX(Barème!$B$2:$CV$2,1,H14)="","hors code",INDEX(Barème!$B$2:$CV$2,1,H14))),""))</f>
        <v>0.35416666666666702</v>
      </c>
      <c r="J14" s="61">
        <v>15</v>
      </c>
      <c r="K14" s="59">
        <f>IF(A14="","",IF(COUNTIF(J14,"&gt;0")=1,IF(J14="","",IF(INDEX(Barème!$B$2:$CV$2,1,J14)="","hors code",INDEX(Barème!$B$2:$CV$2,1,J14))),""))</f>
        <v>0.35416666666666702</v>
      </c>
      <c r="L14" s="61"/>
      <c r="M14" s="59" t="str">
        <f>IF(A14="","",IF(COUNTIF(L14,"&gt;0")=1,IF(L14="","",IF(INDEX(Barème!$B$2:$CV$2,1,L14)="","hors code",INDEX(Barème!$B$2:$CV$2,1,L14))),""))</f>
        <v/>
      </c>
      <c r="N14" s="61">
        <v>15</v>
      </c>
      <c r="O14" s="59">
        <f>IF(A14="","",IF(COUNTIF(N14,"&gt;0")=1,IF(N14="","",IF(INDEX(Barème!$B$2:$CV$2,1,N14)="","hors code",INDEX(Barème!$B$2:$CV$2,1,N14))),""))</f>
        <v>0.35416666666666702</v>
      </c>
      <c r="P14" s="61"/>
      <c r="Q14" s="59" t="str">
        <f>IF(A14="","",IF(COUNTIF(P14,"&gt;0")=1,IF(P14="","",IF(INDEX(Barème!$B$2:$CV$2,1,P14)="","hors code",INDEX(Barème!$B$2:$CV$2,1,P14))),""))</f>
        <v/>
      </c>
      <c r="R14" s="54">
        <f t="shared" si="1"/>
        <v>1.0625000000000011</v>
      </c>
      <c r="T14" s="36"/>
    </row>
    <row r="15" spans="1:23" s="55" customFormat="1" ht="22.5" customHeight="1" x14ac:dyDescent="0.4">
      <c r="A15" s="69"/>
      <c r="B15" s="68"/>
      <c r="C15" s="49" t="str">
        <f t="shared" si="0"/>
        <v/>
      </c>
      <c r="D15" s="58"/>
      <c r="E15" s="59" t="str">
        <f>IF(A15="","",IF(COUNTIF(D15,"&gt;0")=1,IF(D15="","",IF(INDEX(Barème!$B$2:$CV$2,1,D15)="","hors code",INDEX(Barème!$B$2:$CV$2,1,D15))),""))</f>
        <v/>
      </c>
      <c r="F15" s="60"/>
      <c r="G15" s="59" t="str">
        <f>IF(A15="","",IF(COUNTIF(F15,"&gt;0")=1,IF(F15="","",IF(INDEX(Barème!$B$2:$CV$2,1,F15)="","hors code",INDEX(Barème!$B$2:$CV$2,1,F15))),""))</f>
        <v/>
      </c>
      <c r="H15" s="61"/>
      <c r="I15" s="59" t="str">
        <f>IF(A15="","",IF(COUNTIF(H15,"&gt;0")=1,IF(H15="","",IF(INDEX(Barème!$B$2:$CV$2,1,H15)="","hors code",INDEX(Barème!$B$2:$CV$2,1,H15))),""))</f>
        <v/>
      </c>
      <c r="J15" s="61"/>
      <c r="K15" s="59" t="str">
        <f>IF(A15="","",IF(COUNTIF(J15,"&gt;0")=1,IF(J15="","",IF(INDEX(Barème!$B$2:$CV$2,1,J15)="","hors code",INDEX(Barème!$B$2:$CV$2,1,J15))),""))</f>
        <v/>
      </c>
      <c r="L15" s="61"/>
      <c r="M15" s="59" t="str">
        <f>IF(A15="","",IF(COUNTIF(L15,"&gt;0")=1,IF(L15="","",IF(INDEX(Barème!$B$2:$CV$2,1,L15)="","hors code",INDEX(Barème!$B$2:$CV$2,1,L15))),""))</f>
        <v/>
      </c>
      <c r="N15" s="61"/>
      <c r="O15" s="59" t="str">
        <f>IF(A15="","",IF(COUNTIF(N15,"&gt;0")=1,IF(N15="","",IF(INDEX(Barème!$B$2:$CV$2,1,N15)="","hors code",INDEX(Barème!$B$2:$CV$2,1,N15))),""))</f>
        <v/>
      </c>
      <c r="P15" s="61"/>
      <c r="Q15" s="59" t="str">
        <f>IF(A15="","",IF(COUNTIF(P15,"&gt;0")=1,IF(P15="","",IF(INDEX(Barème!$B$2:$CV$2,1,P15)="","hors code",INDEX(Barème!$B$2:$CV$2,1,P15))),""))</f>
        <v/>
      </c>
      <c r="R15" s="54" t="str">
        <f t="shared" si="1"/>
        <v/>
      </c>
      <c r="T15" s="36"/>
    </row>
    <row r="16" spans="1:23" s="55" customFormat="1" ht="22.5" customHeight="1" x14ac:dyDescent="0.4">
      <c r="A16" s="64"/>
      <c r="B16" s="63"/>
      <c r="C16" s="49" t="str">
        <f t="shared" si="0"/>
        <v/>
      </c>
      <c r="D16" s="58"/>
      <c r="E16" s="59" t="str">
        <f>IF(A16="","",IF(COUNTIF(D16,"&gt;0")=1,IF(D16="","",IF(INDEX(Barème!$B$2:$CV$2,1,D16)="","hors code",INDEX(Barème!$B$2:$CV$2,1,D16))),""))</f>
        <v/>
      </c>
      <c r="F16" s="60"/>
      <c r="G16" s="59" t="str">
        <f>IF(A16="","",IF(COUNTIF(F16,"&gt;0")=1,IF(F16="","",IF(INDEX(Barème!$B$2:$CV$2,1,F16)="","hors code",INDEX(Barème!$B$2:$CV$2,1,F16))),""))</f>
        <v/>
      </c>
      <c r="H16" s="61"/>
      <c r="I16" s="59" t="str">
        <f>IF(A16="","",IF(COUNTIF(H16,"&gt;0")=1,IF(H16="","",IF(INDEX(Barème!$B$2:$CV$2,1,H16)="","hors code",INDEX(Barème!$B$2:$CV$2,1,H16))),""))</f>
        <v/>
      </c>
      <c r="J16" s="61"/>
      <c r="K16" s="59" t="str">
        <f>IF(A16="","",IF(COUNTIF(J16,"&gt;0")=1,IF(J16="","",IF(INDEX(Barème!$B$2:$CV$2,1,J16)="","hors code",INDEX(Barème!$B$2:$CV$2,1,J16))),""))</f>
        <v/>
      </c>
      <c r="L16" s="61"/>
      <c r="M16" s="59" t="str">
        <f>IF(A16="","",IF(COUNTIF(L16,"&gt;0")=1,IF(L16="","",IF(INDEX(Barème!$B$2:$CV$2,1,L16)="","hors code",INDEX(Barème!$B$2:$CV$2,1,L16))),""))</f>
        <v/>
      </c>
      <c r="N16" s="61"/>
      <c r="O16" s="59" t="str">
        <f>IF(A16="","",IF(COUNTIF(N16,"&gt;0")=1,IF(N16="","",IF(INDEX(Barème!$B$2:$CV$2,1,N16)="","hors code",INDEX(Barème!$B$2:$CV$2,1,N16))),""))</f>
        <v/>
      </c>
      <c r="P16" s="61"/>
      <c r="Q16" s="59" t="str">
        <f>IF(A16="","",IF(COUNTIF(P16,"&gt;0")=1,IF(P16="","",IF(INDEX(Barème!$B$2:$CV$2,1,P16)="","hors code",INDEX(Barème!$B$2:$CV$2,1,P16))),""))</f>
        <v/>
      </c>
      <c r="R16" s="54" t="str">
        <f t="shared" si="1"/>
        <v/>
      </c>
      <c r="T16" s="36"/>
      <c r="W16" s="70"/>
    </row>
    <row r="17" spans="1:31" s="55" customFormat="1" ht="22.5" customHeight="1" x14ac:dyDescent="0.4">
      <c r="A17" s="64"/>
      <c r="B17" s="68"/>
      <c r="C17" s="49" t="str">
        <f t="shared" si="0"/>
        <v/>
      </c>
      <c r="D17" s="71"/>
      <c r="E17" s="59" t="str">
        <f>IF(A17="","",IF(COUNTIF(D17,"&gt;0")=1,IF(D17="","",IF(INDEX(Barème!$B$2:$CV$2,1,D17)="","hors code",INDEX(Barème!$B$2:$CV$2,1,D17))),""))</f>
        <v/>
      </c>
      <c r="F17" s="60"/>
      <c r="G17" s="59" t="str">
        <f>IF(A17="","",IF(COUNTIF(F17,"&gt;0")=1,IF(F17="","",IF(INDEX(Barème!$B$2:$CV$2,1,F17)="","hors code",INDEX(Barème!$B$2:$CV$2,1,F17))),""))</f>
        <v/>
      </c>
      <c r="H17" s="61"/>
      <c r="I17" s="59" t="str">
        <f>IF(A17="","",IF(COUNTIF(H17,"&gt;0")=1,IF(H17="","",IF(INDEX(Barème!$B$2:$CV$2,1,H17)="","hors code",INDEX(Barème!$B$2:$CV$2,1,H17))),""))</f>
        <v/>
      </c>
      <c r="J17" s="61"/>
      <c r="K17" s="59" t="str">
        <f>IF(A17="","",IF(COUNTIF(J17,"&gt;0")=1,IF(J17="","",IF(INDEX(Barème!$B$2:$CV$2,1,J17)="","hors code",INDEX(Barème!$B$2:$CV$2,1,J17))),""))</f>
        <v/>
      </c>
      <c r="L17" s="61"/>
      <c r="M17" s="59" t="str">
        <f>IF(A17="","",IF(COUNTIF(L17,"&gt;0")=1,IF(L17="","",IF(INDEX(Barème!$B$2:$CV$2,1,L17)="","hors code",INDEX(Barème!$B$2:$CV$2,1,L17))),""))</f>
        <v/>
      </c>
      <c r="N17" s="61"/>
      <c r="O17" s="59" t="str">
        <f>IF(A17="","",IF(COUNTIF(N17,"&gt;0")=1,IF(N17="","",IF(INDEX(Barème!$B$2:$CV$2,1,N17)="","hors code",INDEX(Barème!$B$2:$CV$2,1,N17))),""))</f>
        <v/>
      </c>
      <c r="P17" s="61"/>
      <c r="Q17" s="59" t="str">
        <f>IF(A17="","",IF(COUNTIF(P17,"&gt;0")=1,IF(P17="","",IF(INDEX(Barème!$B$2:$CV$2,1,P17)="","hors code",INDEX(Barème!$B$2:$CV$2,1,P17))),""))</f>
        <v/>
      </c>
      <c r="R17" s="54" t="str">
        <f t="shared" si="1"/>
        <v/>
      </c>
      <c r="T17" s="36"/>
    </row>
    <row r="18" spans="1:31" s="55" customFormat="1" ht="22.5" customHeight="1" x14ac:dyDescent="0.4">
      <c r="A18" s="62"/>
      <c r="B18" s="68"/>
      <c r="C18" s="49" t="str">
        <f t="shared" si="0"/>
        <v/>
      </c>
      <c r="D18" s="58"/>
      <c r="E18" s="59" t="str">
        <f>IF(A18="","",IF(COUNTIF(D18,"&gt;0")=1,IF(D18="","",IF(INDEX(Barème!$B$2:$CV$2,1,D18)="","hors code",INDEX(Barème!$B$2:$CV$2,1,D18))),""))</f>
        <v/>
      </c>
      <c r="F18" s="60"/>
      <c r="G18" s="59" t="str">
        <f>IF(A18="","",IF(COUNTIF(F18,"&gt;0")=1,IF(F18="","",IF(INDEX(Barème!$B$2:$CV$2,1,F18)="","hors code",INDEX(Barème!$B$2:$CV$2,1,F18))),""))</f>
        <v/>
      </c>
      <c r="H18" s="61"/>
      <c r="I18" s="59" t="str">
        <f>IF(A18="","",IF(COUNTIF(H18,"&gt;0")=1,IF(H18="","",IF(INDEX(Barème!$B$2:$CV$2,1,H18)="","hors code",INDEX(Barème!$B$2:$CV$2,1,H18))),""))</f>
        <v/>
      </c>
      <c r="J18" s="61"/>
      <c r="K18" s="59" t="str">
        <f>IF(A18="","",IF(COUNTIF(J18,"&gt;0")=1,IF(J18="","",IF(INDEX(Barème!$B$2:$CV$2,1,J18)="","hors code",INDEX(Barème!$B$2:$CV$2,1,J18))),""))</f>
        <v/>
      </c>
      <c r="L18" s="61"/>
      <c r="M18" s="59" t="str">
        <f>IF(A18="","",IF(COUNTIF(L18,"&gt;0")=1,IF(L18="","",IF(INDEX(Barème!$B$2:$CV$2,1,L18)="","hors code",INDEX(Barème!$B$2:$CV$2,1,L18))),""))</f>
        <v/>
      </c>
      <c r="N18" s="61"/>
      <c r="O18" s="59" t="str">
        <f>IF(A18="","",IF(COUNTIF(N18,"&gt;0")=1,IF(N18="","",IF(INDEX(Barème!$B$2:$CV$2,1,N18)="","hors code",INDEX(Barème!$B$2:$CV$2,1,N18))),""))</f>
        <v/>
      </c>
      <c r="P18" s="61"/>
      <c r="Q18" s="59" t="str">
        <f>IF(A18="","",IF(COUNTIF(P18,"&gt;0")=1,IF(P18="","",IF(INDEX(Barème!$B$2:$CV$2,1,P18)="","hors code",INDEX(Barème!$B$2:$CV$2,1,P18))),""))</f>
        <v/>
      </c>
      <c r="R18" s="54" t="str">
        <f t="shared" si="1"/>
        <v/>
      </c>
      <c r="T18" s="36"/>
    </row>
    <row r="19" spans="1:31" s="55" customFormat="1" ht="22.5" customHeight="1" x14ac:dyDescent="0.4">
      <c r="A19" s="56"/>
      <c r="B19" s="68"/>
      <c r="C19" s="49" t="str">
        <f t="shared" si="0"/>
        <v/>
      </c>
      <c r="D19" s="58"/>
      <c r="E19" s="59" t="str">
        <f>IF(A19="","",IF(COUNTIF(D19,"&gt;0")=1,IF(D19="","",IF(INDEX(Barème!$B$2:$CV$2,1,D19)="","hors code",INDEX(Barème!$B$2:$CV$2,1,D19))),""))</f>
        <v/>
      </c>
      <c r="F19" s="61"/>
      <c r="G19" s="59" t="str">
        <f>IF(A19="","",IF(COUNTIF(F19,"&gt;0")=1,IF(F19="","",IF(INDEX(Barème!$B$2:$CV$2,1,F19)="","hors code",INDEX(Barème!$B$2:$CV$2,1,F19))),""))</f>
        <v/>
      </c>
      <c r="H19" s="61"/>
      <c r="I19" s="59" t="str">
        <f>IF(A19="","",IF(COUNTIF(H19,"&gt;0")=1,IF(H19="","",IF(INDEX(Barème!$B$2:$CV$2,1,H19)="","hors code",INDEX(Barème!$B$2:$CV$2,1,H19))),""))</f>
        <v/>
      </c>
      <c r="J19" s="61"/>
      <c r="K19" s="59" t="str">
        <f>IF(A19="","",IF(COUNTIF(J19,"&gt;0")=1,IF(J19="","",IF(INDEX(Barème!$B$2:$CV$2,1,J19)="","hors code",INDEX(Barème!$B$2:$CV$2,1,J19))),""))</f>
        <v/>
      </c>
      <c r="L19" s="61"/>
      <c r="M19" s="59" t="str">
        <f>IF(A19="","",IF(COUNTIF(L19,"&gt;0")=1,IF(L19="","",IF(INDEX(Barème!$B$2:$CV$2,1,L19)="","hors code",INDEX(Barème!$B$2:$CV$2,1,L19))),""))</f>
        <v/>
      </c>
      <c r="N19" s="61"/>
      <c r="O19" s="59" t="str">
        <f>IF(A19="","",IF(COUNTIF(N19,"&gt;0")=1,IF(N19="","",IF(INDEX(Barème!$B$2:$CV$2,1,N19)="","hors code",INDEX(Barème!$B$2:$CV$2,1,N19))),""))</f>
        <v/>
      </c>
      <c r="P19" s="61"/>
      <c r="Q19" s="59" t="str">
        <f>IF(A19="","",IF(COUNTIF(P19,"&gt;0")=1,IF(P19="","",IF(INDEX(Barème!$B$2:$CV$2,1,P19)="","hors code",INDEX(Barème!$B$2:$CV$2,1,P19))),""))</f>
        <v/>
      </c>
      <c r="R19" s="54" t="str">
        <f t="shared" si="1"/>
        <v/>
      </c>
      <c r="T19" s="36"/>
      <c r="AA19" s="55" t="s">
        <v>21</v>
      </c>
      <c r="AE19" s="72"/>
    </row>
    <row r="20" spans="1:31" s="55" customFormat="1" ht="22.5" customHeight="1" x14ac:dyDescent="0.4">
      <c r="A20" s="73"/>
      <c r="B20" s="68"/>
      <c r="C20" s="49" t="str">
        <f t="shared" si="0"/>
        <v/>
      </c>
      <c r="D20" s="58"/>
      <c r="E20" s="59" t="str">
        <f>IF(A20="","",IF(COUNTIF(D20,"&gt;0")=1,IF(D20="","",IF(INDEX(Barème!$B$2:$CV$2,1,D20)="","hors code",INDEX(Barème!$B$2:$CV$2,1,D20))),""))</f>
        <v/>
      </c>
      <c r="F20" s="60"/>
      <c r="G20" s="59" t="str">
        <f>IF(A20="","",IF(COUNTIF(F20,"&gt;0")=1,IF(F20="","",IF(INDEX(Barème!$B$2:$CV$2,1,F20)="","hors code",INDEX(Barème!$B$2:$CV$2,1,F20))),""))</f>
        <v/>
      </c>
      <c r="H20" s="61"/>
      <c r="I20" s="59" t="str">
        <f>IF(A20="","",IF(COUNTIF(H20,"&gt;0")=1,IF(H20="","",IF(INDEX(Barème!$B$2:$CV$2,1,H20)="","hors code",INDEX(Barème!$B$2:$CV$2,1,H20))),""))</f>
        <v/>
      </c>
      <c r="J20" s="61"/>
      <c r="K20" s="59" t="str">
        <f>IF(A20="","",IF(COUNTIF(J20,"&gt;0")=1,IF(J20="","",IF(INDEX(Barème!$B$2:$CV$2,1,J20)="","hors code",INDEX(Barème!$B$2:$CV$2,1,J20))),""))</f>
        <v/>
      </c>
      <c r="L20" s="61"/>
      <c r="M20" s="59" t="str">
        <f>IF(A20="","",IF(COUNTIF(L20,"&gt;0")=1,IF(L20="","",IF(INDEX(Barème!$B$2:$CV$2,1,L20)="","hors code",INDEX(Barème!$B$2:$CV$2,1,L20))),""))</f>
        <v/>
      </c>
      <c r="N20" s="61"/>
      <c r="O20" s="59" t="str">
        <f>IF(A20="","",IF(COUNTIF(N20,"&gt;0")=1,IF(N20="","",IF(INDEX(Barème!$B$2:$CV$2,1,N20)="","hors code",INDEX(Barème!$B$2:$CV$2,1,N20))),""))</f>
        <v/>
      </c>
      <c r="P20" s="61"/>
      <c r="Q20" s="59" t="str">
        <f>IF(A20="","",IF(COUNTIF(P20,"&gt;0")=1,IF(P20="","",IF(INDEX(Barème!$B$2:$CV$2,1,P20)="","hors code",INDEX(Barème!$B$2:$CV$2,1,P20))),""))</f>
        <v/>
      </c>
      <c r="R20" s="54" t="str">
        <f t="shared" si="1"/>
        <v/>
      </c>
      <c r="T20" s="36"/>
    </row>
    <row r="21" spans="1:31" s="55" customFormat="1" ht="22.5" customHeight="1" x14ac:dyDescent="0.4">
      <c r="A21" s="64"/>
      <c r="B21" s="68"/>
      <c r="C21" s="49" t="str">
        <f t="shared" si="0"/>
        <v/>
      </c>
      <c r="D21" s="58"/>
      <c r="E21" s="59" t="str">
        <f>IF(A21="","",IF(COUNTIF(D21,"&gt;0")=1,IF(D21="","",IF(INDEX(Barème!$B$2:$CV$2,1,D21)="","hors code",INDEX(Barème!$B$2:$CV$2,1,D21))),""))</f>
        <v/>
      </c>
      <c r="F21" s="60"/>
      <c r="G21" s="59" t="str">
        <f>IF(A21="","",IF(COUNTIF(F21,"&gt;0")=1,IF(F21="","",IF(INDEX(Barème!$B$2:$CV$2,1,F21)="","hors code",INDEX(Barème!$B$2:$CV$2,1,F21))),""))</f>
        <v/>
      </c>
      <c r="H21" s="61"/>
      <c r="I21" s="59" t="str">
        <f>IF(A21="","",IF(COUNTIF(H21,"&gt;0")=1,IF(H21="","",IF(INDEX(Barème!$B$2:$CV$2,1,H21)="","hors code",INDEX(Barème!$B$2:$CV$2,1,H21))),""))</f>
        <v/>
      </c>
      <c r="J21" s="61"/>
      <c r="K21" s="59" t="str">
        <f>IF(A21="","",IF(COUNTIF(J21,"&gt;0")=1,IF(J21="","",IF(INDEX(Barème!$B$2:$CV$2,1,J21)="","hors code",INDEX(Barème!$B$2:$CV$2,1,J21))),""))</f>
        <v/>
      </c>
      <c r="L21" s="61"/>
      <c r="M21" s="59" t="str">
        <f>IF(A21="","",IF(COUNTIF(L21,"&gt;0")=1,IF(L21="","",IF(INDEX(Barème!$B$2:$CV$2,1,L21)="","hors code",INDEX(Barème!$B$2:$CV$2,1,L21))),""))</f>
        <v/>
      </c>
      <c r="N21" s="60"/>
      <c r="O21" s="59" t="str">
        <f>IF(A21="","",IF(COUNTIF(N21,"&gt;0")=1,IF(N21="","",IF(INDEX(Barème!$B$2:$CV$2,1,N21)="","hors code",INDEX(Barème!$B$2:$CV$2,1,N21))),""))</f>
        <v/>
      </c>
      <c r="P21" s="60"/>
      <c r="Q21" s="59" t="str">
        <f>IF(A21="","",IF(COUNTIF(P21,"&gt;0")=1,IF(P21="","",IF(INDEX(Barème!$B$2:$CV$2,1,P21)="","hors code",INDEX(Barème!$B$2:$CV$2,1,P21))),""))</f>
        <v/>
      </c>
      <c r="R21" s="54" t="str">
        <f t="shared" si="1"/>
        <v/>
      </c>
      <c r="T21" s="36"/>
    </row>
    <row r="22" spans="1:31" s="55" customFormat="1" ht="22.5" customHeight="1" x14ac:dyDescent="0.4">
      <c r="A22" s="64"/>
      <c r="B22" s="68"/>
      <c r="C22" s="49" t="str">
        <f t="shared" si="0"/>
        <v/>
      </c>
      <c r="D22" s="58"/>
      <c r="E22" s="59" t="str">
        <f>IF(A22="","",IF(COUNTIF(D22,"&gt;0")=1,IF(D22="","",IF(INDEX(Barème!$B$2:$CV$2,1,D22)="","hors code",INDEX(Barème!$B$2:$CV$2,1,D22))),""))</f>
        <v/>
      </c>
      <c r="F22" s="60"/>
      <c r="G22" s="59" t="str">
        <f>IF(A22="","",IF(COUNTIF(F22,"&gt;0")=1,IF(F22="","",IF(INDEX(Barème!$B$2:$CV$2,1,F22)="","hors code",INDEX(Barème!$B$2:$CV$2,1,F22))),""))</f>
        <v/>
      </c>
      <c r="H22" s="61"/>
      <c r="I22" s="59" t="str">
        <f>IF(A22="","",IF(COUNTIF(H22,"&gt;0")=1,IF(H22="","",IF(INDEX(Barème!$B$2:$CV$2,1,H22)="","hors code",INDEX(Barème!$B$2:$CV$2,1,H22))),""))</f>
        <v/>
      </c>
      <c r="J22" s="61"/>
      <c r="K22" s="59" t="str">
        <f>IF(A22="","",IF(COUNTIF(J22,"&gt;0")=1,IF(J22="","",IF(INDEX(Barème!$B$2:$CV$2,1,J22)="","hors code",INDEX(Barème!$B$2:$CV$2,1,J22))),""))</f>
        <v/>
      </c>
      <c r="L22" s="61"/>
      <c r="M22" s="59" t="str">
        <f>IF(A22="","",IF(COUNTIF(L22,"&gt;0")=1,IF(L22="","",IF(INDEX(Barème!$B$2:$CV$2,1,L22)="","hors code",INDEX(Barème!$B$2:$CV$2,1,L22))),""))</f>
        <v/>
      </c>
      <c r="N22" s="61"/>
      <c r="O22" s="59" t="str">
        <f>IF(A22="","",IF(COUNTIF(N22,"&gt;0")=1,IF(N22="","",IF(INDEX(Barème!$B$2:$CV$2,1,N22)="","hors code",INDEX(Barème!$B$2:$CV$2,1,N22))),""))</f>
        <v/>
      </c>
      <c r="P22" s="61"/>
      <c r="Q22" s="59" t="str">
        <f>IF(A22="","",IF(COUNTIF(P22,"&gt;0")=1,IF(P22="","",IF(INDEX(Barème!$B$2:$CV$2,1,P22)="","hors code",INDEX(Barème!$B$2:$CV$2,1,P22))),""))</f>
        <v/>
      </c>
      <c r="R22" s="54" t="str">
        <f t="shared" si="1"/>
        <v/>
      </c>
      <c r="T22" s="36"/>
      <c r="X22" s="55" t="s">
        <v>21</v>
      </c>
    </row>
    <row r="23" spans="1:31" s="55" customFormat="1" ht="22.5" customHeight="1" x14ac:dyDescent="0.4">
      <c r="A23" s="64"/>
      <c r="B23" s="68"/>
      <c r="C23" s="49" t="str">
        <f t="shared" si="0"/>
        <v/>
      </c>
      <c r="D23" s="58"/>
      <c r="E23" s="59" t="str">
        <f>IF(A23="","",IF(COUNTIF(D23,"&gt;0")=1,IF(D23="","",IF(INDEX(Barème!$B$2:$CV$2,1,D23)="","hors code",INDEX(Barème!$B$2:$CV$2,1,D23))),""))</f>
        <v/>
      </c>
      <c r="F23" s="60"/>
      <c r="G23" s="59" t="str">
        <f>IF(A23="","",IF(COUNTIF(F23,"&gt;0")=1,IF(F23="","",IF(INDEX(Barème!$B$2:$CV$2,1,F23)="","hors code",INDEX(Barème!$B$2:$CV$2,1,F23))),""))</f>
        <v/>
      </c>
      <c r="H23" s="61"/>
      <c r="I23" s="59" t="str">
        <f>IF(A23="","",IF(COUNTIF(H23,"&gt;0")=1,IF(H23="","",IF(INDEX(Barème!$B$2:$CV$2,1,H23)="","hors code",INDEX(Barème!$B$2:$CV$2,1,H23))),""))</f>
        <v/>
      </c>
      <c r="J23" s="61"/>
      <c r="K23" s="59" t="str">
        <f>IF(A23="","",IF(COUNTIF(J23,"&gt;0")=1,IF(J23="","",IF(INDEX(Barème!$B$2:$CV$2,1,J23)="","hors code",INDEX(Barème!$B$2:$CV$2,1,J23))),""))</f>
        <v/>
      </c>
      <c r="L23" s="60"/>
      <c r="M23" s="59" t="str">
        <f>IF(A23="","",IF(COUNTIF(L23,"&gt;0")=1,IF(L23="","",IF(INDEX(Barème!$B$2:$CV$2,1,L23)="","hors code",INDEX(Barème!$B$2:$CV$2,1,L23))),""))</f>
        <v/>
      </c>
      <c r="N23" s="61"/>
      <c r="O23" s="59" t="str">
        <f>IF(A23="","",IF(COUNTIF(N23,"&gt;0")=1,IF(N23="","",IF(INDEX(Barème!$B$2:$CV$2,1,N23)="","hors code",INDEX(Barème!$B$2:$CV$2,1,N23))),""))</f>
        <v/>
      </c>
      <c r="P23" s="61"/>
      <c r="Q23" s="59" t="str">
        <f>IF(A23="","",IF(COUNTIF(P23,"&gt;0")=1,IF(P23="","",IF(INDEX(Barème!$B$2:$CV$2,1,P23)="","hors code",INDEX(Barème!$B$2:$CV$2,1,P23))),""))</f>
        <v/>
      </c>
      <c r="R23" s="54" t="str">
        <f t="shared" si="1"/>
        <v/>
      </c>
      <c r="T23" s="36"/>
    </row>
    <row r="24" spans="1:31" s="55" customFormat="1" ht="22.5" customHeight="1" x14ac:dyDescent="0.4">
      <c r="A24" s="56"/>
      <c r="B24" s="68"/>
      <c r="C24" s="49" t="str">
        <f t="shared" si="0"/>
        <v/>
      </c>
      <c r="D24" s="58"/>
      <c r="E24" s="59" t="str">
        <f>IF(A24="","",IF(COUNTIF(D24,"&gt;0")=1,IF(D24="","",IF(INDEX(Barème!$B$2:$CV$2,1,D24)="","hors code",INDEX(Barème!$B$2:$CV$2,1,D24))),""))</f>
        <v/>
      </c>
      <c r="F24" s="60"/>
      <c r="G24" s="59" t="str">
        <f>IF(A24="","",IF(COUNTIF(F24,"&gt;0")=1,IF(F24="","",IF(INDEX(Barème!$B$2:$CV$2,1,F24)="","hors code",INDEX(Barème!$B$2:$CV$2,1,F24))),""))</f>
        <v/>
      </c>
      <c r="H24" s="61"/>
      <c r="I24" s="59" t="str">
        <f>IF(A24="","",IF(COUNTIF(H24,"&gt;0")=1,IF(H24="","",IF(INDEX(Barème!$B$2:$CV$2,1,H24)="","hors code",INDEX(Barème!$B$2:$CV$2,1,H24))),""))</f>
        <v/>
      </c>
      <c r="J24" s="61"/>
      <c r="K24" s="59" t="str">
        <f>IF(A24="","",IF(COUNTIF(J24,"&gt;0")=1,IF(J24="","",IF(INDEX(Barème!$B$2:$CV$2,1,J24)="","hors code",INDEX(Barème!$B$2:$CV$2,1,J24))),""))</f>
        <v/>
      </c>
      <c r="L24" s="61"/>
      <c r="M24" s="59" t="str">
        <f>IF(A24="","",IF(COUNTIF(L24,"&gt;0")=1,IF(L24="","",IF(INDEX(Barème!$B$2:$CV$2,1,L24)="","hors code",INDEX(Barème!$B$2:$CV$2,1,L24))),""))</f>
        <v/>
      </c>
      <c r="N24" s="61"/>
      <c r="O24" s="59" t="str">
        <f>IF(A24="","",IF(COUNTIF(N24,"&gt;0")=1,IF(N24="","",IF(INDEX(Barème!$B$2:$CV$2,1,N24)="","hors code",INDEX(Barème!$B$2:$CV$2,1,N24))),""))</f>
        <v/>
      </c>
      <c r="P24" s="61"/>
      <c r="Q24" s="59" t="str">
        <f>IF(A24="","",IF(COUNTIF(P24,"&gt;0")=1,IF(P24="","",IF(INDEX(Barème!$B$2:$CV$2,1,P24)="","hors code",INDEX(Barème!$B$2:$CV$2,1,P24))),""))</f>
        <v/>
      </c>
      <c r="R24" s="54" t="str">
        <f t="shared" si="1"/>
        <v/>
      </c>
    </row>
    <row r="25" spans="1:31" s="55" customFormat="1" ht="22.5" customHeight="1" x14ac:dyDescent="0.4">
      <c r="A25" s="64"/>
      <c r="B25" s="68"/>
      <c r="C25" s="49" t="str">
        <f t="shared" si="0"/>
        <v/>
      </c>
      <c r="D25" s="58"/>
      <c r="E25" s="59" t="str">
        <f>IF(A25="","",IF(COUNTIF(D25,"&gt;0")=1,IF(D25="","",IF(INDEX(Barème!$B$2:$CV$2,1,D25)="","hors code",INDEX(Barème!$B$2:$CV$2,1,D25))),""))</f>
        <v/>
      </c>
      <c r="F25" s="60"/>
      <c r="G25" s="59" t="str">
        <f>IF(A25="","",IF(COUNTIF(F25,"&gt;0")=1,IF(F25="","",IF(INDEX(Barème!$B$2:$CV$2,1,F25)="","hors code",INDEX(Barème!$B$2:$CV$2,1,F25))),""))</f>
        <v/>
      </c>
      <c r="H25" s="61"/>
      <c r="I25" s="59" t="str">
        <f>IF(A25="","",IF(COUNTIF(H25,"&gt;0")=1,IF(H25="","",IF(INDEX(Barème!$B$2:$CV$2,1,H25)="","hors code",INDEX(Barème!$B$2:$CV$2,1,H25))),""))</f>
        <v/>
      </c>
      <c r="J25" s="61"/>
      <c r="K25" s="59" t="str">
        <f>IF(A25="","",IF(COUNTIF(J25,"&gt;0")=1,IF(J25="","",IF(INDEX(Barème!$B$2:$CV$2,1,J25)="","hors code",INDEX(Barème!$B$2:$CV$2,1,J25))),""))</f>
        <v/>
      </c>
      <c r="L25" s="61"/>
      <c r="M25" s="59" t="str">
        <f>IF(A25="","",IF(COUNTIF(L25,"&gt;0")=1,IF(L25="","",IF(INDEX(Barème!$B$2:$CV$2,1,L25)="","hors code",INDEX(Barème!$B$2:$CV$2,1,L25))),""))</f>
        <v/>
      </c>
      <c r="N25" s="61"/>
      <c r="O25" s="59" t="str">
        <f>IF(A25="","",IF(COUNTIF(N25,"&gt;0")=1,IF(N25="","",IF(INDEX(Barème!$B$2:$CV$2,1,N25)="","hors code",INDEX(Barème!$B$2:$CV$2,1,N25))),""))</f>
        <v/>
      </c>
      <c r="P25" s="61"/>
      <c r="Q25" s="59" t="str">
        <f>IF(A25="","",IF(COUNTIF(P25,"&gt;0")=1,IF(P25="","",IF(INDEX(Barème!$B$2:$CV$2,1,P25)="","hors code",INDEX(Barème!$B$2:$CV$2,1,P25))),""))</f>
        <v/>
      </c>
      <c r="R25" s="54" t="str">
        <f t="shared" si="1"/>
        <v/>
      </c>
    </row>
    <row r="26" spans="1:31" s="55" customFormat="1" ht="22.5" customHeight="1" x14ac:dyDescent="0.4">
      <c r="A26" s="64" t="s">
        <v>22</v>
      </c>
      <c r="B26" s="74"/>
      <c r="C26" s="49" t="str">
        <f t="shared" si="0"/>
        <v/>
      </c>
      <c r="D26" s="58"/>
      <c r="E26" s="59" t="str">
        <f>IF(A26="","",IF(COUNTIF(D26,"&gt;0")=1,IF(D26="","",IF(INDEX(Barème!$B$2:$CV$2,1,D26)="","hors code",INDEX(Barème!$B$2:$CV$2,1,D26))),""))</f>
        <v/>
      </c>
      <c r="F26" s="60"/>
      <c r="G26" s="59" t="str">
        <f>IF(A26="","",IF(COUNTIF(F26,"&gt;0")=1,IF(F26="","",IF(INDEX(Barème!$B$2:$CV$2,1,F26)="","hors code",INDEX(Barème!$B$2:$CV$2,1,F26))),""))</f>
        <v/>
      </c>
      <c r="H26" s="61"/>
      <c r="I26" s="59" t="str">
        <f>IF(A26="","",IF(COUNTIF(H26,"&gt;0")=1,IF(H26="","",IF(INDEX(Barème!$B$2:$CV$2,1,H26)="","hors code",INDEX(Barème!$B$2:$CV$2,1,H26))),""))</f>
        <v/>
      </c>
      <c r="J26" s="61"/>
      <c r="K26" s="59" t="str">
        <f>IF(A26="","",IF(COUNTIF(J26,"&gt;0")=1,IF(J26="","",IF(INDEX(Barème!$B$2:$CV$2,1,J26)="","hors code",INDEX(Barème!$B$2:$CV$2,1,J26))),""))</f>
        <v/>
      </c>
      <c r="L26" s="61"/>
      <c r="M26" s="59" t="str">
        <f>IF(A26="","",IF(COUNTIF(L26,"&gt;0")=1,IF(L26="","",IF(INDEX(Barème!$B$2:$CV$2,1,L26)="","hors code",INDEX(Barème!$B$2:$CV$2,1,L26))),""))</f>
        <v/>
      </c>
      <c r="N26" s="61"/>
      <c r="O26" s="59" t="str">
        <f>IF(A26="","",IF(COUNTIF(N26,"&gt;0")=1,IF(N26="","",IF(INDEX(Barème!$B$2:$CV$2,1,N26)="","hors code",INDEX(Barème!$B$2:$CV$2,1,N26))),""))</f>
        <v/>
      </c>
      <c r="P26" s="61"/>
      <c r="Q26" s="59" t="str">
        <f>IF(A26="","",IF(COUNTIF(P26,"&gt;0")=1,IF(P26="","",IF(INDEX(Barème!$B$2:$CV$2,1,P26)="","hors code",INDEX(Barème!$B$2:$CV$2,1,P26))),""))</f>
        <v/>
      </c>
      <c r="R26" s="54" t="str">
        <f t="shared" si="1"/>
        <v/>
      </c>
    </row>
    <row r="27" spans="1:31" s="55" customFormat="1" ht="22.5" customHeight="1" x14ac:dyDescent="0.4">
      <c r="A27" s="75" t="s">
        <v>23</v>
      </c>
      <c r="B27" s="76"/>
      <c r="C27" s="76"/>
      <c r="D27" s="228">
        <f>SUM(E10:E26)</f>
        <v>0</v>
      </c>
      <c r="E27" s="228"/>
      <c r="F27" s="228">
        <f>SUM(G10:G26)</f>
        <v>0</v>
      </c>
      <c r="G27" s="228"/>
      <c r="H27" s="228">
        <f>SUM(I10:I26)</f>
        <v>0.70833333333333404</v>
      </c>
      <c r="I27" s="228"/>
      <c r="J27" s="228">
        <f>SUM(K10:K26)</f>
        <v>0.70833333333333404</v>
      </c>
      <c r="K27" s="228"/>
      <c r="L27" s="228">
        <f>SUM(M10:M26)</f>
        <v>0</v>
      </c>
      <c r="M27" s="228"/>
      <c r="N27" s="228">
        <f>SUM(O10:O26)</f>
        <v>0.70833333333333404</v>
      </c>
      <c r="O27" s="228"/>
      <c r="P27" s="228">
        <f>SUM(Q10:Q26)</f>
        <v>0.6875</v>
      </c>
      <c r="Q27" s="228"/>
      <c r="R27" s="77">
        <f>SUM(R10:R26)</f>
        <v>2.8125000000000022</v>
      </c>
    </row>
    <row r="28" spans="1:31" s="55" customFormat="1" ht="9.75" customHeight="1" x14ac:dyDescent="0.4">
      <c r="A28" s="78"/>
      <c r="B28" s="78"/>
      <c r="C28" s="78"/>
      <c r="D28" s="79"/>
      <c r="E28" s="80" t="str">
        <f>IF(A28="","",IF(COUNTIF(D28,"&gt;0")=1,IF(D28="","",IF(INDEX(Barème!$B$2:$AA$2,1,D28)="","hors code",INDEX(Barème!$B$2:$AA$2,1,D28))),""))</f>
        <v/>
      </c>
      <c r="F28" s="81"/>
      <c r="G28" s="80" t="str">
        <f>IF(A28="","",IF(COUNTIF(F28,"&gt;0")=1,IF(F28="","",IF(INDEX(Barème!$B$2:$AA$2,1,F28)="","hors code",INDEX(Barème!$B$2:$AA$2,1,F28))),""))</f>
        <v/>
      </c>
      <c r="H28" s="82"/>
      <c r="I28" s="80" t="str">
        <f>IF(A28="","",IF(COUNTIF(H28,"&gt;0")=1,IF(H28="","",IF(INDEX(Barème!$B$2:$AA$2,1,H28)="","hors code",INDEX(Barème!$B$2:$AA$2,1,H28))),""))</f>
        <v/>
      </c>
      <c r="J28" s="82"/>
      <c r="K28" s="80" t="str">
        <f>IF(A28="","",IF(COUNTIF(J28,"&gt;0")=1,IF(J28="","",IF(INDEX(Barème!$B$2:$AA$2,1,J28)="","hors code",INDEX(Barème!$B$2:$AA$2,1,J28))),""))</f>
        <v/>
      </c>
      <c r="L28" s="82"/>
      <c r="M28" s="80" t="str">
        <f>IF(A28="","",IF(COUNTIF(L28,"&gt;0")=1,IF(L28="","",IF(INDEX(Barème!$B$2:$AA$2,1,L28)="","hors code",INDEX(Barème!$B$2:$AA$2,1,L28))),""))</f>
        <v/>
      </c>
      <c r="N28" s="82"/>
      <c r="O28" s="80" t="str">
        <f>IF(A28="","",IF(COUNTIF(N28,"&gt;0")=1,IF(N28="","",IF(INDEX(Barème!$B$2:$AA$2,1,N28)="","hors code",INDEX(Barème!$B$2:$AA$2,1,N28))),""))</f>
        <v/>
      </c>
      <c r="P28" s="80"/>
      <c r="Q28" s="80"/>
      <c r="R28" s="83" t="str">
        <f>IF(SUM(O28,M28,K28,I28,G28,E28)=0,"",SUM(O28,M28,K28,I28,G28,E28))</f>
        <v/>
      </c>
    </row>
    <row r="29" spans="1:31" s="55" customFormat="1" ht="18.600000000000001" x14ac:dyDescent="0.4">
      <c r="A29" s="78"/>
      <c r="B29" s="78"/>
      <c r="C29" s="78"/>
      <c r="D29" s="79"/>
      <c r="E29" s="80"/>
      <c r="F29" s="81"/>
      <c r="G29" s="80"/>
      <c r="H29" s="82"/>
      <c r="I29" s="80"/>
      <c r="J29" s="82"/>
      <c r="K29" s="80"/>
      <c r="L29" s="82"/>
      <c r="M29" s="80"/>
      <c r="N29" s="82"/>
      <c r="O29" s="80"/>
      <c r="P29" s="80"/>
      <c r="Q29" s="80"/>
      <c r="R29" s="83"/>
    </row>
    <row r="30" spans="1:31" s="55" customFormat="1" ht="18.600000000000001" x14ac:dyDescent="0.4">
      <c r="A30" s="78"/>
      <c r="B30" s="78"/>
      <c r="C30" s="78"/>
      <c r="D30" s="79"/>
      <c r="E30" s="80"/>
      <c r="F30" s="81"/>
      <c r="G30" s="80"/>
      <c r="H30" s="82"/>
      <c r="I30" s="80"/>
      <c r="J30" s="82"/>
      <c r="K30" s="80"/>
      <c r="L30" s="82"/>
      <c r="M30" s="80"/>
      <c r="N30" s="82"/>
      <c r="O30" s="80"/>
      <c r="P30" s="80"/>
      <c r="Q30" s="80"/>
      <c r="R30" s="83"/>
    </row>
    <row r="31" spans="1:31" s="55" customFormat="1" ht="18.600000000000001" x14ac:dyDescent="0.4">
      <c r="A31" s="78"/>
      <c r="B31" s="78"/>
      <c r="C31" s="78"/>
      <c r="D31" s="79"/>
      <c r="E31" s="80"/>
      <c r="F31" s="81"/>
      <c r="G31" s="80"/>
      <c r="H31" s="82"/>
      <c r="I31" s="80"/>
      <c r="J31" s="82"/>
      <c r="K31" s="80"/>
      <c r="L31" s="82"/>
      <c r="M31" s="80"/>
      <c r="N31" s="82"/>
      <c r="O31" s="80"/>
      <c r="P31" s="80"/>
      <c r="Q31" s="80"/>
      <c r="R31" s="83"/>
    </row>
    <row r="32" spans="1:31" s="55" customFormat="1" ht="18.600000000000001" x14ac:dyDescent="0.4">
      <c r="A32" s="78"/>
      <c r="B32" s="78"/>
      <c r="C32" s="78"/>
      <c r="D32" s="79"/>
      <c r="E32" s="80"/>
      <c r="F32" s="81"/>
      <c r="G32" s="80"/>
      <c r="H32" s="82"/>
      <c r="I32" s="80"/>
      <c r="J32" s="82"/>
      <c r="K32" s="80"/>
      <c r="L32" s="82"/>
      <c r="M32" s="80"/>
      <c r="N32" s="82"/>
      <c r="O32" s="80"/>
      <c r="P32" s="80"/>
      <c r="Q32" s="80"/>
      <c r="R32" s="83"/>
    </row>
    <row r="33" spans="1:18" s="55" customFormat="1" ht="12" customHeight="1" x14ac:dyDescent="0.4">
      <c r="A33" s="84"/>
      <c r="B33" s="84"/>
      <c r="C33" s="84"/>
      <c r="D33" s="84"/>
      <c r="E33" s="84"/>
      <c r="F33" s="84"/>
      <c r="G33" s="84"/>
      <c r="H33" s="84"/>
      <c r="I33" s="84"/>
      <c r="J33" s="84"/>
      <c r="K33" s="84"/>
      <c r="L33" s="84"/>
      <c r="M33" s="84"/>
      <c r="N33" s="84"/>
      <c r="O33" s="84"/>
      <c r="P33" s="84"/>
      <c r="Q33" s="84"/>
      <c r="R33" s="84"/>
    </row>
    <row r="34" spans="1:18" ht="32.4" x14ac:dyDescent="0.4">
      <c r="A34" s="84"/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</row>
    <row r="35" spans="1:18" ht="32.4" x14ac:dyDescent="0.4">
      <c r="A35" s="84"/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</row>
    <row r="36" spans="1:18" ht="24" customHeight="1" x14ac:dyDescent="0.4">
      <c r="A36" s="84"/>
      <c r="B36" s="84"/>
      <c r="C36" s="84"/>
      <c r="D36" s="84"/>
      <c r="E36" s="84"/>
      <c r="F36" s="84"/>
      <c r="G36" s="84"/>
      <c r="H36" s="84"/>
      <c r="I36" s="84"/>
      <c r="J36" s="84"/>
      <c r="K36" s="84"/>
      <c r="L36" s="84"/>
      <c r="M36" s="84"/>
      <c r="N36" s="84"/>
      <c r="O36" s="84"/>
      <c r="P36" s="84"/>
      <c r="Q36" s="84"/>
      <c r="R36" s="84"/>
    </row>
    <row r="37" spans="1:18" ht="18.600000000000001" x14ac:dyDescent="0.4">
      <c r="A37" s="78"/>
      <c r="B37" s="78"/>
      <c r="C37" s="78"/>
      <c r="D37" s="79"/>
      <c r="E37" s="80" t="str">
        <f>IF(A37="","",IF(COUNTIF(D37,"&gt;0")=1,IF(D37="","",IF(INDEX(Barème!$B$2:$AA$2,1,D37)="","hors code",INDEX(Barème!$B$2:$AA$2,1,D37))),""))</f>
        <v/>
      </c>
      <c r="F37" s="81"/>
      <c r="G37" s="80" t="str">
        <f>IF(A37="","",IF(COUNTIF(F37,"&gt;0")=1,IF(F37="","",IF(INDEX(Barème!$B$2:$AA$2,1,F37)="","hors code",INDEX(Barème!$B$2:$AA$2,1,F37))),""))</f>
        <v/>
      </c>
      <c r="H37" s="82"/>
      <c r="I37" s="80" t="str">
        <f>IF(A37="","",IF(COUNTIF(H37,"&gt;0")=1,IF(H37="","",IF(INDEX(Barème!$B$2:$AA$2,1,H37)="","hors code",INDEX(Barème!$B$2:$AA$2,1,H37))),""))</f>
        <v/>
      </c>
      <c r="J37" s="82"/>
      <c r="K37" s="80" t="str">
        <f>IF(A37="","",IF(COUNTIF(J37,"&gt;0")=1,IF(J37="","",IF(INDEX(Barème!$B$2:$AA$2,1,J37)="","hors code",INDEX(Barème!$B$2:$AA$2,1,J37))),""))</f>
        <v/>
      </c>
      <c r="L37" s="82"/>
      <c r="M37" s="80" t="str">
        <f>IF(A37="","",IF(COUNTIF(L37,"&gt;0")=1,IF(L37="","",IF(INDEX(Barème!$B$2:$AA$2,1,L37)="","hors code",INDEX(Barème!$B$2:$AA$2,1,L37))),""))</f>
        <v/>
      </c>
      <c r="N37" s="82"/>
      <c r="O37" s="80" t="str">
        <f>IF(A37="","",IF(COUNTIF(N37,"&gt;0")=1,IF(N37="","",IF(INDEX(Barème!$B$2:$AA$2,1,N37)="","hors code",INDEX(Barème!$B$2:$AA$2,1,N37))),""))</f>
        <v/>
      </c>
      <c r="P37" s="80"/>
      <c r="Q37" s="80"/>
      <c r="R37" s="83" t="str">
        <f>IF(SUM(O37,M37,K37,I37,G37,E37)=0,"",SUM(O37,M37,K37,I37,G37,E37))</f>
        <v/>
      </c>
    </row>
  </sheetData>
  <mergeCells count="17">
    <mergeCell ref="N27:O27"/>
    <mergeCell ref="P27:Q27"/>
    <mergeCell ref="D27:E27"/>
    <mergeCell ref="F27:G27"/>
    <mergeCell ref="H27:I27"/>
    <mergeCell ref="J27:K27"/>
    <mergeCell ref="L27:M27"/>
    <mergeCell ref="A2:R3"/>
    <mergeCell ref="H5:J5"/>
    <mergeCell ref="L5:N5"/>
    <mergeCell ref="D7:E7"/>
    <mergeCell ref="F7:G7"/>
    <mergeCell ref="H7:I7"/>
    <mergeCell ref="J7:K7"/>
    <mergeCell ref="L7:M7"/>
    <mergeCell ref="N7:O7"/>
    <mergeCell ref="P7:Q7"/>
  </mergeCells>
  <conditionalFormatting sqref="R26">
    <cfRule type="cellIs" dxfId="166" priority="2" operator="greaterThan">
      <formula>$C$26</formula>
    </cfRule>
  </conditionalFormatting>
  <conditionalFormatting sqref="R25">
    <cfRule type="cellIs" dxfId="165" priority="3" operator="greaterThan">
      <formula>$C$25</formula>
    </cfRule>
  </conditionalFormatting>
  <conditionalFormatting sqref="R24">
    <cfRule type="cellIs" dxfId="164" priority="4" operator="greaterThan">
      <formula>$C$24</formula>
    </cfRule>
  </conditionalFormatting>
  <conditionalFormatting sqref="R23">
    <cfRule type="cellIs" dxfId="163" priority="5" operator="greaterThan">
      <formula>$C$23</formula>
    </cfRule>
  </conditionalFormatting>
  <conditionalFormatting sqref="R22">
    <cfRule type="cellIs" dxfId="162" priority="6" operator="greaterThan">
      <formula>$C$22</formula>
    </cfRule>
  </conditionalFormatting>
  <conditionalFormatting sqref="R21">
    <cfRule type="cellIs" dxfId="161" priority="7" operator="greaterThan">
      <formula>$C$21</formula>
    </cfRule>
  </conditionalFormatting>
  <conditionalFormatting sqref="R20">
    <cfRule type="cellIs" dxfId="160" priority="8" operator="greaterThan">
      <formula>$C$20</formula>
    </cfRule>
  </conditionalFormatting>
  <conditionalFormatting sqref="R19">
    <cfRule type="cellIs" dxfId="159" priority="9" operator="greaterThan">
      <formula>$C$19</formula>
    </cfRule>
  </conditionalFormatting>
  <conditionalFormatting sqref="R18">
    <cfRule type="cellIs" dxfId="158" priority="10" operator="greaterThan">
      <formula>$C$18</formula>
    </cfRule>
  </conditionalFormatting>
  <conditionalFormatting sqref="R17">
    <cfRule type="cellIs" dxfId="157" priority="11" operator="greaterThan">
      <formula>$C$17</formula>
    </cfRule>
  </conditionalFormatting>
  <conditionalFormatting sqref="R16">
    <cfRule type="cellIs" dxfId="156" priority="12" operator="greaterThan">
      <formula>$C$16</formula>
    </cfRule>
  </conditionalFormatting>
  <conditionalFormatting sqref="R15">
    <cfRule type="cellIs" dxfId="155" priority="13" operator="greaterThan">
      <formula>$C$15</formula>
    </cfRule>
  </conditionalFormatting>
  <conditionalFormatting sqref="R14">
    <cfRule type="cellIs" dxfId="154" priority="14" operator="greaterThan">
      <formula>$C$14</formula>
    </cfRule>
  </conditionalFormatting>
  <conditionalFormatting sqref="R13">
    <cfRule type="cellIs" dxfId="153" priority="15" operator="greaterThan">
      <formula>$C$13</formula>
    </cfRule>
  </conditionalFormatting>
  <conditionalFormatting sqref="R12">
    <cfRule type="cellIs" dxfId="152" priority="16" operator="greaterThan">
      <formula>$C$12</formula>
    </cfRule>
  </conditionalFormatting>
  <conditionalFormatting sqref="R11">
    <cfRule type="cellIs" dxfId="151" priority="17" operator="greaterThan">
      <formula>$C$11</formula>
    </cfRule>
  </conditionalFormatting>
  <conditionalFormatting sqref="R10">
    <cfRule type="cellIs" dxfId="150" priority="18" operator="greaterThan">
      <formula>$C$10</formula>
    </cfRule>
  </conditionalFormatting>
  <pageMargins left="0.35416666666666702" right="0.27569444444444402" top="0.15763888888888899" bottom="0" header="0.511811023622047" footer="0.511811023622047"/>
  <pageSetup paperSize="9"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F37"/>
  <sheetViews>
    <sheetView zoomScale="81" zoomScaleNormal="81" zoomScalePageLayoutView="90" workbookViewId="0">
      <selection activeCell="S22" sqref="S22"/>
    </sheetView>
  </sheetViews>
  <sheetFormatPr baseColWidth="10" defaultColWidth="0" defaultRowHeight="21" zeroHeight="1" x14ac:dyDescent="0.5"/>
  <cols>
    <col min="1" max="1" width="20.109375" style="1" customWidth="1"/>
    <col min="2" max="2" width="5.77734375" style="1" customWidth="1"/>
    <col min="3" max="3" width="8.44140625" style="1" customWidth="1"/>
    <col min="4" max="4" width="5.77734375" style="2" customWidth="1"/>
    <col min="5" max="5" width="5.77734375" style="3" customWidth="1"/>
    <col min="6" max="6" width="5.77734375" style="4" customWidth="1"/>
    <col min="7" max="7" width="5.77734375" style="3" customWidth="1"/>
    <col min="8" max="8" width="5.77734375" style="5" customWidth="1"/>
    <col min="9" max="9" width="5.77734375" style="3" customWidth="1"/>
    <col min="10" max="10" width="5.77734375" style="5" customWidth="1"/>
    <col min="11" max="11" width="5.77734375" style="3" customWidth="1"/>
    <col min="12" max="12" width="5.77734375" style="5" customWidth="1"/>
    <col min="13" max="13" width="5.77734375" style="3" customWidth="1"/>
    <col min="14" max="14" width="5.77734375" style="5" customWidth="1"/>
    <col min="15" max="17" width="5.77734375" style="3" customWidth="1"/>
    <col min="18" max="18" width="11.5546875" style="6" customWidth="1"/>
    <col min="19" max="21" width="11.44140625" style="1"/>
    <col min="22" max="22" width="12.21875" style="1" customWidth="1"/>
    <col min="23" max="27" width="11.44140625" style="1"/>
    <col min="28" max="32" width="11.5546875" style="1" hidden="1" customWidth="1"/>
    <col min="33" max="16384" width="11.44140625" style="1" hidden="1"/>
  </cols>
  <sheetData>
    <row r="1" spans="1:23" ht="41.25" customHeight="1" x14ac:dyDescent="0.5">
      <c r="A1" s="7"/>
      <c r="B1" s="8"/>
      <c r="C1" s="8"/>
      <c r="D1" s="9"/>
      <c r="E1" s="10"/>
      <c r="F1" s="11"/>
      <c r="G1" s="10"/>
      <c r="H1" s="12"/>
      <c r="I1" s="10"/>
      <c r="J1" s="12"/>
      <c r="K1" s="10"/>
      <c r="L1" s="12"/>
      <c r="M1" s="10"/>
      <c r="N1" s="12"/>
      <c r="O1" s="10"/>
      <c r="P1" s="10"/>
      <c r="Q1" s="10"/>
      <c r="R1" s="13"/>
    </row>
    <row r="2" spans="1:23" ht="22.5" customHeight="1" x14ac:dyDescent="0.4">
      <c r="A2" s="222" t="s">
        <v>0</v>
      </c>
      <c r="B2" s="222"/>
      <c r="C2" s="222"/>
      <c r="D2" s="222"/>
      <c r="E2" s="222"/>
      <c r="F2" s="222"/>
      <c r="G2" s="222"/>
      <c r="H2" s="222"/>
      <c r="I2" s="222"/>
      <c r="J2" s="222"/>
      <c r="K2" s="222"/>
      <c r="L2" s="222"/>
      <c r="M2" s="222"/>
      <c r="N2" s="222"/>
      <c r="O2" s="222"/>
      <c r="P2" s="222"/>
      <c r="Q2" s="222"/>
      <c r="R2" s="222"/>
    </row>
    <row r="3" spans="1:23" ht="9" customHeight="1" x14ac:dyDescent="0.4">
      <c r="A3" s="222"/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2"/>
      <c r="P3" s="222"/>
      <c r="Q3" s="222"/>
      <c r="R3" s="222"/>
    </row>
    <row r="4" spans="1:23" ht="8.25" customHeight="1" x14ac:dyDescent="0.4">
      <c r="A4" s="14"/>
      <c r="B4" s="14"/>
      <c r="C4" s="14"/>
      <c r="D4" s="15"/>
      <c r="E4" s="16"/>
      <c r="F4" s="17"/>
      <c r="G4" s="16"/>
      <c r="H4" s="18"/>
      <c r="I4" s="16"/>
      <c r="J4" s="18"/>
      <c r="K4" s="16"/>
      <c r="L4" s="18"/>
      <c r="M4" s="16"/>
      <c r="N4" s="18"/>
      <c r="O4" s="16"/>
      <c r="P4" s="16"/>
      <c r="Q4" s="16"/>
      <c r="R4" s="19"/>
    </row>
    <row r="5" spans="1:23" s="29" customFormat="1" ht="21.75" customHeight="1" x14ac:dyDescent="0.5">
      <c r="A5" s="20" t="s">
        <v>1</v>
      </c>
      <c r="B5" s="21"/>
      <c r="C5" s="21"/>
      <c r="D5" s="22"/>
      <c r="E5" s="23">
        <v>49</v>
      </c>
      <c r="F5" s="24"/>
      <c r="G5" s="25" t="s">
        <v>2</v>
      </c>
      <c r="H5" s="223">
        <v>45376</v>
      </c>
      <c r="I5" s="223"/>
      <c r="J5" s="223"/>
      <c r="K5" s="26" t="s">
        <v>3</v>
      </c>
      <c r="L5" s="223">
        <v>45382</v>
      </c>
      <c r="M5" s="223"/>
      <c r="N5" s="223"/>
      <c r="O5" s="27"/>
      <c r="P5" s="25"/>
      <c r="Q5" s="25"/>
      <c r="R5" s="28"/>
      <c r="T5" s="30"/>
    </row>
    <row r="6" spans="1:23" ht="10.5" customHeight="1" x14ac:dyDescent="0.4">
      <c r="A6" s="14"/>
      <c r="B6" s="14"/>
      <c r="C6" s="14"/>
      <c r="D6" s="15"/>
      <c r="E6" s="16"/>
      <c r="F6" s="17"/>
      <c r="G6" s="16"/>
      <c r="H6" s="31"/>
      <c r="I6" s="16"/>
      <c r="J6" s="18"/>
      <c r="K6" s="16"/>
      <c r="L6" s="18"/>
      <c r="M6" s="16"/>
      <c r="N6" s="18"/>
      <c r="O6" s="16"/>
      <c r="P6" s="16"/>
      <c r="Q6" s="16"/>
      <c r="R6" s="19"/>
    </row>
    <row r="7" spans="1:23" ht="18" customHeight="1" x14ac:dyDescent="0.4">
      <c r="A7" s="32" t="s">
        <v>4</v>
      </c>
      <c r="B7" s="33" t="s">
        <v>5</v>
      </c>
      <c r="C7" s="34" t="s">
        <v>6</v>
      </c>
      <c r="D7" s="224" t="s">
        <v>7</v>
      </c>
      <c r="E7" s="224"/>
      <c r="F7" s="224" t="s">
        <v>8</v>
      </c>
      <c r="G7" s="224"/>
      <c r="H7" s="224" t="s">
        <v>9</v>
      </c>
      <c r="I7" s="224"/>
      <c r="J7" s="225" t="s">
        <v>10</v>
      </c>
      <c r="K7" s="225"/>
      <c r="L7" s="225" t="s">
        <v>11</v>
      </c>
      <c r="M7" s="225"/>
      <c r="N7" s="226" t="s">
        <v>12</v>
      </c>
      <c r="O7" s="226"/>
      <c r="P7" s="227" t="s">
        <v>13</v>
      </c>
      <c r="Q7" s="227"/>
      <c r="R7" s="35" t="s">
        <v>14</v>
      </c>
      <c r="T7" s="36"/>
      <c r="U7" s="36"/>
    </row>
    <row r="8" spans="1:23" ht="14.25" customHeight="1" x14ac:dyDescent="0.4">
      <c r="A8" s="37"/>
      <c r="B8" s="38"/>
      <c r="C8" s="38"/>
      <c r="D8" s="39" t="s">
        <v>15</v>
      </c>
      <c r="E8" s="40" t="s">
        <v>16</v>
      </c>
      <c r="F8" s="39" t="s">
        <v>15</v>
      </c>
      <c r="G8" s="40" t="s">
        <v>16</v>
      </c>
      <c r="H8" s="39" t="s">
        <v>15</v>
      </c>
      <c r="I8" s="40" t="s">
        <v>16</v>
      </c>
      <c r="J8" s="39" t="s">
        <v>15</v>
      </c>
      <c r="K8" s="40" t="s">
        <v>16</v>
      </c>
      <c r="L8" s="41" t="s">
        <v>15</v>
      </c>
      <c r="M8" s="42" t="s">
        <v>16</v>
      </c>
      <c r="N8" s="41" t="s">
        <v>15</v>
      </c>
      <c r="O8" s="42" t="s">
        <v>16</v>
      </c>
      <c r="P8" s="41" t="s">
        <v>15</v>
      </c>
      <c r="Q8" s="42" t="s">
        <v>16</v>
      </c>
      <c r="R8" s="43"/>
    </row>
    <row r="9" spans="1:23" ht="6.75" customHeight="1" x14ac:dyDescent="0.4">
      <c r="A9" s="14"/>
      <c r="B9" s="14"/>
      <c r="C9" s="14"/>
      <c r="D9" s="15"/>
      <c r="E9" s="16"/>
      <c r="F9" s="17"/>
      <c r="G9" s="16"/>
      <c r="H9" s="18"/>
      <c r="I9" s="16"/>
      <c r="J9" s="44"/>
      <c r="K9" s="16"/>
      <c r="L9" s="45"/>
      <c r="M9" s="45"/>
      <c r="N9" s="18"/>
      <c r="O9" s="16"/>
      <c r="P9" s="18"/>
      <c r="Q9" s="16"/>
      <c r="R9" s="46"/>
    </row>
    <row r="10" spans="1:23" s="55" customFormat="1" ht="22.5" customHeight="1" x14ac:dyDescent="0.4">
      <c r="A10" s="47" t="s">
        <v>17</v>
      </c>
      <c r="B10" s="48">
        <v>100</v>
      </c>
      <c r="C10" s="49">
        <f t="shared" ref="C10:C26" si="0">IF(ISBLANK(B10),"",42/24/100*B10)</f>
        <v>1.7500000000000002</v>
      </c>
      <c r="D10" s="50"/>
      <c r="E10" s="51" t="str">
        <f>IF(A10="","",IF(COUNTIF(D10,"&gt;0")=1,IF(D10="","",IF(INDEX(Barème!$B$2:$CV$2,1,D10)="","hors code",INDEX(Barème!$B$2:$CV$2,1,D10))),""))</f>
        <v/>
      </c>
      <c r="F10" s="52"/>
      <c r="G10" s="51" t="str">
        <f>IF(A10="","",IF(COUNTIF(F10,"&gt;0")=1,IF(F10="","",IF(INDEX(Barème!$B$2:$CV$2,1,F10)="","hors code",INDEX(Barème!$B$2:$CV$2,1,F10))),""))</f>
        <v/>
      </c>
      <c r="H10" s="52"/>
      <c r="I10" s="51" t="str">
        <f>IF(A10="","",IF(COUNTIF(H10,"&gt;0")=1,IF(H10="","",IF(INDEX(Barème!$B$2:$CV$2,1,H10)="","hors code",INDEX(Barème!$B$2:$CV$2,1,H10))),""))</f>
        <v/>
      </c>
      <c r="J10" s="52"/>
      <c r="K10" s="51" t="str">
        <f>IF(A10="","",IF(COUNTIF(J10,"&gt;0")=1,IF(J10="","",IF(INDEX(Barème!$B$2:$CV$2,1,J10)="","hors code",INDEX(Barème!$B$2:$CV$2,1,J10))),""))</f>
        <v/>
      </c>
      <c r="L10" s="52"/>
      <c r="M10" s="51" t="str">
        <f>IF(A10="","",IF(COUNTIF(L10,"&gt;0")=1,IF(L10="","",IF(INDEX(Barème!$B$2:$CV$2,1,L10)="","hors code",INDEX(Barème!$B$2:$CV$2,1,L10))),""))</f>
        <v/>
      </c>
      <c r="N10" s="53"/>
      <c r="O10" s="51" t="str">
        <f>IF(A10="","",IF(COUNTIF(N10,"&gt;0")=1,IF(N10="","",IF(INDEX(Barème!$B$2:$CV$2,1,N10)="","hors code",INDEX(Barème!$B$2:$CV$2,1,N10))),""))</f>
        <v/>
      </c>
      <c r="P10" s="53"/>
      <c r="Q10" s="51" t="str">
        <f>IF(A10="","",IF(COUNTIF(P10,"&gt;0")=1,IF(P10="","",IF(INDEX(Barème!$B$2:$CV$2,1,P10)="","hors code",INDEX(Barème!$B$2:$CV$2,1,P10))),""))</f>
        <v/>
      </c>
      <c r="R10" s="54" t="str">
        <f t="shared" ref="R10:R26" si="1">IF(SUM(Q10,O10,M10,K10,I10,G10,E10)=0,"",SUM(Q10,O10,M10,K10,I10,G10,E10))</f>
        <v/>
      </c>
      <c r="S10" s="1"/>
      <c r="T10" s="36"/>
    </row>
    <row r="11" spans="1:23" s="55" customFormat="1" ht="22.5" customHeight="1" x14ac:dyDescent="0.4">
      <c r="A11" s="56" t="s">
        <v>85</v>
      </c>
      <c r="B11" s="57">
        <v>30</v>
      </c>
      <c r="C11" s="49">
        <f t="shared" si="0"/>
        <v>0.52500000000000002</v>
      </c>
      <c r="D11" s="58"/>
      <c r="E11" s="59" t="str">
        <f>IF(A11="","",IF(COUNTIF(D11,"&gt;0")=1,IF(D11="","",IF(INDEX(Barème!$B$2:$CV$2,1,D11)="","hors code",INDEX(Barème!$B$2:$CV$2,1,D11))),""))</f>
        <v/>
      </c>
      <c r="F11" s="60"/>
      <c r="G11" s="59" t="str">
        <f>IF(A11="","",IF(COUNTIF(F11,"&gt;0")=1,IF(F11="","",IF(INDEX(Barème!$B$2:$CV$2,1,F11)="","hors code",INDEX(Barème!$B$2:$CV$2,1,F11))),""))</f>
        <v/>
      </c>
      <c r="H11" s="61"/>
      <c r="I11" s="59" t="str">
        <f>IF(A11="","",IF(COUNTIF(H11,"&gt;0")=1,IF(H11="","",IF(INDEX(Barème!$B$2:$CV$2,1,H11)="","hors code",INDEX(Barème!$B$2:$CV$2,1,H11))),""))</f>
        <v/>
      </c>
      <c r="J11" s="61">
        <v>6</v>
      </c>
      <c r="K11" s="59">
        <f>IF(A11="","",IF(COUNTIF(J11,"&gt;0")=1,IF(J11="","",IF(INDEX(Barème!$B$2:$CV$2,1,J11)="","hors code",INDEX(Barème!$B$2:$CV$2,1,J11))),""))</f>
        <v>0.35416666666666702</v>
      </c>
      <c r="L11" s="61"/>
      <c r="M11" s="59" t="str">
        <f>IF(A11="","",IF(COUNTIF(L11,"&gt;0")=1,IF(L11="","",IF(INDEX(Barème!$B$2:$CV$2,1,L11)="","hors code",INDEX(Barème!$B$2:$CV$2,1,L11))),""))</f>
        <v/>
      </c>
      <c r="N11" s="61"/>
      <c r="O11" s="59" t="str">
        <f>IF(A11="","",IF(COUNTIF(N11,"&gt;0")=1,IF(N11="","",IF(INDEX(Barème!$B$2:$CV$2,1,N11)="","hors code",INDEX(Barème!$B$2:$CV$2,1,N11))),""))</f>
        <v/>
      </c>
      <c r="P11" s="61"/>
      <c r="Q11" s="59" t="str">
        <f>IF(A11="","",IF(COUNTIF(P11,"&gt;0")=1,IF(P11="","",IF(INDEX(Barème!$B$2:$CV$2,1,P11)="","hors code",INDEX(Barème!$B$2:$CV$2,1,P11))),""))</f>
        <v/>
      </c>
      <c r="R11" s="54">
        <f t="shared" si="1"/>
        <v>0.35416666666666702</v>
      </c>
      <c r="T11" s="36"/>
    </row>
    <row r="12" spans="1:23" s="55" customFormat="1" ht="22.5" customHeight="1" x14ac:dyDescent="0.4">
      <c r="A12" s="62" t="s">
        <v>18</v>
      </c>
      <c r="B12" s="63">
        <v>40</v>
      </c>
      <c r="C12" s="49">
        <f t="shared" si="0"/>
        <v>0.70000000000000007</v>
      </c>
      <c r="D12" s="58"/>
      <c r="E12" s="59" t="str">
        <f>IF(A12="","",IF(COUNTIF(D12,"&gt;0")=1,IF(D12="","",IF(INDEX(Barème!$B$2:$CV$2,1,D12)="","hors code",INDEX(Barème!$B$2:$CV$2,1,D12))),""))</f>
        <v/>
      </c>
      <c r="F12" s="60"/>
      <c r="G12" s="59" t="str">
        <f>IF(A12="","",IF(COUNTIF(F12,"&gt;0")=1,IF(F12="","",IF(INDEX(Barème!$B$2:$CV$2,1,F12)="","hors code",INDEX(Barème!$B$2:$CV$2,1,F12))),""))</f>
        <v/>
      </c>
      <c r="H12" s="61">
        <v>6</v>
      </c>
      <c r="I12" s="59">
        <f>IF(A12="","",IF(COUNTIF(H12,"&gt;0")=1,IF(H12="","",IF(INDEX(Barème!$B$2:$CV$2,1,H12)="","hors code",INDEX(Barème!$B$2:$CV$2,1,H12))),""))</f>
        <v>0.35416666666666702</v>
      </c>
      <c r="J12" s="61"/>
      <c r="K12" s="59" t="str">
        <f>IF(A12="","",IF(COUNTIF(J12,"&gt;0")=1,IF(J12="","",IF(INDEX(Barème!$B$2:$CV$2,1,J12)="","hors code",INDEX(Barème!$B$2:$CV$2,1,J12))),""))</f>
        <v/>
      </c>
      <c r="L12" s="61"/>
      <c r="M12" s="59" t="str">
        <f>IF(A12="","",IF(COUNTIF(L12,"&gt;0")=1,IF(L12="","",IF(INDEX(Barème!$B$2:$CV$2,1,L12)="","hors code",INDEX(Barème!$B$2:$CV$2,1,L12))),""))</f>
        <v/>
      </c>
      <c r="N12" s="60"/>
      <c r="O12" s="59" t="str">
        <f>IF(A12="","",IF(COUNTIF(N12,"&gt;0")=1,IF(N12="","",IF(INDEX(Barème!$B$2:$CV$2,1,N12)="","hors code",INDEX(Barème!$B$2:$CV$2,1,N12))),""))</f>
        <v/>
      </c>
      <c r="P12" s="60">
        <v>6</v>
      </c>
      <c r="Q12" s="59">
        <f>IF(A12="","",IF(COUNTIF(P12,"&gt;0")=1,IF(P12="","",IF(INDEX(Barème!$B$2:$CV$2,1,P12)="","hors code",INDEX(Barème!$B$2:$CV$2,1,P12))),""))</f>
        <v>0.35416666666666702</v>
      </c>
      <c r="R12" s="54">
        <f t="shared" si="1"/>
        <v>0.70833333333333404</v>
      </c>
      <c r="T12" s="36"/>
    </row>
    <row r="13" spans="1:23" s="55" customFormat="1" ht="22.5" customHeight="1" x14ac:dyDescent="0.45">
      <c r="A13" s="64" t="s">
        <v>19</v>
      </c>
      <c r="B13" s="63"/>
      <c r="C13" s="49" t="str">
        <f t="shared" si="0"/>
        <v/>
      </c>
      <c r="D13" s="58"/>
      <c r="E13" s="59" t="str">
        <f>IF(A13="","",IF(COUNTIF(D13,"&gt;0")=1,IF(D13="","",IF(INDEX(Barème!$B$2:$CV$2,1,D13)="","hors code",INDEX(Barème!$B$2:$CV$2,1,D13))),""))</f>
        <v/>
      </c>
      <c r="F13" s="60"/>
      <c r="G13" s="59" t="str">
        <f>IF(A13="","",IF(COUNTIF(F13,"&gt;0")=1,IF(F13="","",IF(INDEX(Barème!$B$2:$CV$2,1,F13)="","hors code",INDEX(Barème!$B$2:$CV$2,1,F13))),""))</f>
        <v/>
      </c>
      <c r="H13" s="61"/>
      <c r="I13" s="59" t="str">
        <f>IF(A13="","",IF(COUNTIF(H13,"&gt;0")=1,IF(H13="","",IF(INDEX(Barème!$B$2:$CV$2,1,H13)="","hors code",INDEX(Barème!$B$2:$CV$2,1,H13))),""))</f>
        <v/>
      </c>
      <c r="J13" s="61"/>
      <c r="K13" s="59" t="str">
        <f>IF(A13="","",IF(COUNTIF(J13,"&gt;0")=1,IF(J13="","",IF(INDEX(Barème!$B$2:$CV$2,1,J13)="","hors code",INDEX(Barème!$B$2:$CV$2,1,J13))),""))</f>
        <v/>
      </c>
      <c r="L13" s="61"/>
      <c r="M13" s="59" t="str">
        <f>IF(A13="","",IF(COUNTIF(L13,"&gt;0")=1,IF(L13="","",IF(INDEX(Barème!$B$2:$CV$2,1,L13)="","hors code",INDEX(Barème!$B$2:$CV$2,1,L13))),""))</f>
        <v/>
      </c>
      <c r="N13" s="61"/>
      <c r="O13" s="59" t="str">
        <f>IF(A13="","",IF(COUNTIF(N13,"&gt;0")=1,IF(N13="","",IF(INDEX(Barème!$B$2:$CV$2,1,N13)="","hors code",INDEX(Barème!$B$2:$CV$2,1,N13))),""))</f>
        <v/>
      </c>
      <c r="P13" s="61"/>
      <c r="Q13" s="59" t="str">
        <f>IF(A13="","",IF(COUNTIF(P13,"&gt;0")=1,IF(P13="","",IF(INDEX(Barème!$B$2:$CV$2,1,P13)="","hors code",INDEX(Barème!$B$2:$CV$2,1,P13))),""))</f>
        <v/>
      </c>
      <c r="R13" s="54" t="str">
        <f t="shared" si="1"/>
        <v/>
      </c>
      <c r="T13" s="36"/>
      <c r="U13" s="65"/>
      <c r="V13" s="66"/>
      <c r="W13" s="67"/>
    </row>
    <row r="14" spans="1:23" s="55" customFormat="1" ht="22.5" customHeight="1" x14ac:dyDescent="0.4">
      <c r="A14" s="56" t="s">
        <v>20</v>
      </c>
      <c r="B14" s="68">
        <v>55</v>
      </c>
      <c r="C14" s="49">
        <f t="shared" si="0"/>
        <v>0.96250000000000013</v>
      </c>
      <c r="D14" s="58"/>
      <c r="E14" s="59" t="str">
        <f>IF(A14="","",IF(COUNTIF(D14,"&gt;0")=1,IF(D14="","",IF(INDEX(Barème!$B$2:$CV$2,1,D14)="","hors code",INDEX(Barème!$B$2:$CV$2,1,D14))),""))</f>
        <v/>
      </c>
      <c r="F14" s="60"/>
      <c r="G14" s="59" t="str">
        <f>IF(A14="","",IF(COUNTIF(F14,"&gt;0")=1,IF(F14="","",IF(INDEX(Barème!$B$2:$CV$2,1,F14)="","hors code",INDEX(Barème!$B$2:$CV$2,1,F14))),""))</f>
        <v/>
      </c>
      <c r="H14" s="61">
        <v>15</v>
      </c>
      <c r="I14" s="59">
        <f>IF(A14="","",IF(COUNTIF(H14,"&gt;0")=1,IF(H14="","",IF(INDEX(Barème!$B$2:$CV$2,1,H14)="","hors code",INDEX(Barème!$B$2:$CV$2,1,H14))),""))</f>
        <v>0.35416666666666702</v>
      </c>
      <c r="J14" s="61">
        <v>15</v>
      </c>
      <c r="K14" s="59">
        <f>IF(A14="","",IF(COUNTIF(J14,"&gt;0")=1,IF(J14="","",IF(INDEX(Barème!$B$2:$CV$2,1,J14)="","hors code",INDEX(Barème!$B$2:$CV$2,1,J14))),""))</f>
        <v>0.35416666666666702</v>
      </c>
      <c r="L14" s="61"/>
      <c r="M14" s="59" t="str">
        <f>IF(A14="","",IF(COUNTIF(L14,"&gt;0")=1,IF(L14="","",IF(INDEX(Barème!$B$2:$CV$2,1,L14)="","hors code",INDEX(Barème!$B$2:$CV$2,1,L14))),""))</f>
        <v/>
      </c>
      <c r="N14" s="61">
        <v>15</v>
      </c>
      <c r="O14" s="59">
        <f>IF(A14="","",IF(COUNTIF(N14,"&gt;0")=1,IF(N14="","",IF(INDEX(Barème!$B$2:$CV$2,1,N14)="","hors code",INDEX(Barème!$B$2:$CV$2,1,N14))),""))</f>
        <v>0.35416666666666702</v>
      </c>
      <c r="P14" s="61"/>
      <c r="Q14" s="59" t="str">
        <f>IF(A14="","",IF(COUNTIF(P14,"&gt;0")=1,IF(P14="","",IF(INDEX(Barème!$B$2:$CV$2,1,P14)="","hors code",INDEX(Barème!$B$2:$CV$2,1,P14))),""))</f>
        <v/>
      </c>
      <c r="R14" s="54">
        <f t="shared" si="1"/>
        <v>1.0625000000000011</v>
      </c>
      <c r="T14" s="36"/>
    </row>
    <row r="15" spans="1:23" s="55" customFormat="1" ht="22.5" customHeight="1" x14ac:dyDescent="0.4">
      <c r="A15" s="69"/>
      <c r="B15" s="68"/>
      <c r="C15" s="49" t="str">
        <f t="shared" si="0"/>
        <v/>
      </c>
      <c r="D15" s="58"/>
      <c r="E15" s="59" t="str">
        <f>IF(A15="","",IF(COUNTIF(D15,"&gt;0")=1,IF(D15="","",IF(INDEX(Barème!$B$2:$CV$2,1,D15)="","hors code",INDEX(Barème!$B$2:$CV$2,1,D15))),""))</f>
        <v/>
      </c>
      <c r="F15" s="60"/>
      <c r="G15" s="59" t="str">
        <f>IF(A15="","",IF(COUNTIF(F15,"&gt;0")=1,IF(F15="","",IF(INDEX(Barème!$B$2:$CV$2,1,F15)="","hors code",INDEX(Barème!$B$2:$CV$2,1,F15))),""))</f>
        <v/>
      </c>
      <c r="H15" s="61"/>
      <c r="I15" s="59" t="str">
        <f>IF(A15="","",IF(COUNTIF(H15,"&gt;0")=1,IF(H15="","",IF(INDEX(Barème!$B$2:$CV$2,1,H15)="","hors code",INDEX(Barème!$B$2:$CV$2,1,H15))),""))</f>
        <v/>
      </c>
      <c r="J15" s="61"/>
      <c r="K15" s="59" t="str">
        <f>IF(A15="","",IF(COUNTIF(J15,"&gt;0")=1,IF(J15="","",IF(INDEX(Barème!$B$2:$CV$2,1,J15)="","hors code",INDEX(Barème!$B$2:$CV$2,1,J15))),""))</f>
        <v/>
      </c>
      <c r="L15" s="61"/>
      <c r="M15" s="59" t="str">
        <f>IF(A15="","",IF(COUNTIF(L15,"&gt;0")=1,IF(L15="","",IF(INDEX(Barème!$B$2:$CV$2,1,L15)="","hors code",INDEX(Barème!$B$2:$CV$2,1,L15))),""))</f>
        <v/>
      </c>
      <c r="N15" s="61"/>
      <c r="O15" s="59" t="str">
        <f>IF(A15="","",IF(COUNTIF(N15,"&gt;0")=1,IF(N15="","",IF(INDEX(Barème!$B$2:$CV$2,1,N15)="","hors code",INDEX(Barème!$B$2:$CV$2,1,N15))),""))</f>
        <v/>
      </c>
      <c r="P15" s="61"/>
      <c r="Q15" s="59" t="str">
        <f>IF(A15="","",IF(COUNTIF(P15,"&gt;0")=1,IF(P15="","",IF(INDEX(Barème!$B$2:$CV$2,1,P15)="","hors code",INDEX(Barème!$B$2:$CV$2,1,P15))),""))</f>
        <v/>
      </c>
      <c r="R15" s="54" t="str">
        <f t="shared" si="1"/>
        <v/>
      </c>
      <c r="T15" s="36"/>
    </row>
    <row r="16" spans="1:23" s="55" customFormat="1" ht="22.5" customHeight="1" x14ac:dyDescent="0.4">
      <c r="A16" s="64"/>
      <c r="B16" s="63"/>
      <c r="C16" s="49" t="str">
        <f t="shared" si="0"/>
        <v/>
      </c>
      <c r="D16" s="58"/>
      <c r="E16" s="59" t="str">
        <f>IF(A16="","",IF(COUNTIF(D16,"&gt;0")=1,IF(D16="","",IF(INDEX(Barème!$B$2:$CV$2,1,D16)="","hors code",INDEX(Barème!$B$2:$CV$2,1,D16))),""))</f>
        <v/>
      </c>
      <c r="F16" s="60"/>
      <c r="G16" s="59" t="str">
        <f>IF(A16="","",IF(COUNTIF(F16,"&gt;0")=1,IF(F16="","",IF(INDEX(Barème!$B$2:$CV$2,1,F16)="","hors code",INDEX(Barème!$B$2:$CV$2,1,F16))),""))</f>
        <v/>
      </c>
      <c r="H16" s="61"/>
      <c r="I16" s="59" t="str">
        <f>IF(A16="","",IF(COUNTIF(H16,"&gt;0")=1,IF(H16="","",IF(INDEX(Barème!$B$2:$CV$2,1,H16)="","hors code",INDEX(Barème!$B$2:$CV$2,1,H16))),""))</f>
        <v/>
      </c>
      <c r="J16" s="61"/>
      <c r="K16" s="59" t="str">
        <f>IF(A16="","",IF(COUNTIF(J16,"&gt;0")=1,IF(J16="","",IF(INDEX(Barème!$B$2:$CV$2,1,J16)="","hors code",INDEX(Barème!$B$2:$CV$2,1,J16))),""))</f>
        <v/>
      </c>
      <c r="L16" s="61"/>
      <c r="M16" s="59" t="str">
        <f>IF(A16="","",IF(COUNTIF(L16,"&gt;0")=1,IF(L16="","",IF(INDEX(Barème!$B$2:$CV$2,1,L16)="","hors code",INDEX(Barème!$B$2:$CV$2,1,L16))),""))</f>
        <v/>
      </c>
      <c r="N16" s="61"/>
      <c r="O16" s="59" t="str">
        <f>IF(A16="","",IF(COUNTIF(N16,"&gt;0")=1,IF(N16="","",IF(INDEX(Barème!$B$2:$CV$2,1,N16)="","hors code",INDEX(Barème!$B$2:$CV$2,1,N16))),""))</f>
        <v/>
      </c>
      <c r="P16" s="61"/>
      <c r="Q16" s="59" t="str">
        <f>IF(A16="","",IF(COUNTIF(P16,"&gt;0")=1,IF(P16="","",IF(INDEX(Barème!$B$2:$CV$2,1,P16)="","hors code",INDEX(Barème!$B$2:$CV$2,1,P16))),""))</f>
        <v/>
      </c>
      <c r="R16" s="54" t="str">
        <f t="shared" si="1"/>
        <v/>
      </c>
      <c r="T16" s="36"/>
      <c r="W16" s="70"/>
    </row>
    <row r="17" spans="1:31" s="55" customFormat="1" ht="22.5" customHeight="1" x14ac:dyDescent="0.4">
      <c r="A17" s="64"/>
      <c r="B17" s="68"/>
      <c r="C17" s="49" t="str">
        <f t="shared" si="0"/>
        <v/>
      </c>
      <c r="D17" s="71"/>
      <c r="E17" s="59" t="str">
        <f>IF(A17="","",IF(COUNTIF(D17,"&gt;0")=1,IF(D17="","",IF(INDEX(Barème!$B$2:$CV$2,1,D17)="","hors code",INDEX(Barème!$B$2:$CV$2,1,D17))),""))</f>
        <v/>
      </c>
      <c r="F17" s="60"/>
      <c r="G17" s="59" t="str">
        <f>IF(A17="","",IF(COUNTIF(F17,"&gt;0")=1,IF(F17="","",IF(INDEX(Barème!$B$2:$CV$2,1,F17)="","hors code",INDEX(Barème!$B$2:$CV$2,1,F17))),""))</f>
        <v/>
      </c>
      <c r="H17" s="61"/>
      <c r="I17" s="59" t="str">
        <f>IF(A17="","",IF(COUNTIF(H17,"&gt;0")=1,IF(H17="","",IF(INDEX(Barème!$B$2:$CV$2,1,H17)="","hors code",INDEX(Barème!$B$2:$CV$2,1,H17))),""))</f>
        <v/>
      </c>
      <c r="J17" s="61"/>
      <c r="K17" s="59" t="str">
        <f>IF(A17="","",IF(COUNTIF(J17,"&gt;0")=1,IF(J17="","",IF(INDEX(Barème!$B$2:$CV$2,1,J17)="","hors code",INDEX(Barème!$B$2:$CV$2,1,J17))),""))</f>
        <v/>
      </c>
      <c r="L17" s="61"/>
      <c r="M17" s="59" t="str">
        <f>IF(A17="","",IF(COUNTIF(L17,"&gt;0")=1,IF(L17="","",IF(INDEX(Barème!$B$2:$CV$2,1,L17)="","hors code",INDEX(Barème!$B$2:$CV$2,1,L17))),""))</f>
        <v/>
      </c>
      <c r="N17" s="61"/>
      <c r="O17" s="59" t="str">
        <f>IF(A17="","",IF(COUNTIF(N17,"&gt;0")=1,IF(N17="","",IF(INDEX(Barème!$B$2:$CV$2,1,N17)="","hors code",INDEX(Barème!$B$2:$CV$2,1,N17))),""))</f>
        <v/>
      </c>
      <c r="P17" s="61"/>
      <c r="Q17" s="59" t="str">
        <f>IF(A17="","",IF(COUNTIF(P17,"&gt;0")=1,IF(P17="","",IF(INDEX(Barème!$B$2:$CV$2,1,P17)="","hors code",INDEX(Barème!$B$2:$CV$2,1,P17))),""))</f>
        <v/>
      </c>
      <c r="R17" s="54" t="str">
        <f t="shared" si="1"/>
        <v/>
      </c>
      <c r="T17" s="36"/>
    </row>
    <row r="18" spans="1:31" s="55" customFormat="1" ht="22.5" customHeight="1" x14ac:dyDescent="0.4">
      <c r="A18" s="62"/>
      <c r="B18" s="68"/>
      <c r="C18" s="49" t="str">
        <f t="shared" si="0"/>
        <v/>
      </c>
      <c r="D18" s="58"/>
      <c r="E18" s="59" t="str">
        <f>IF(A18="","",IF(COUNTIF(D18,"&gt;0")=1,IF(D18="","",IF(INDEX(Barème!$B$2:$CV$2,1,D18)="","hors code",INDEX(Barème!$B$2:$CV$2,1,D18))),""))</f>
        <v/>
      </c>
      <c r="F18" s="60"/>
      <c r="G18" s="59" t="str">
        <f>IF(A18="","",IF(COUNTIF(F18,"&gt;0")=1,IF(F18="","",IF(INDEX(Barème!$B$2:$CV$2,1,F18)="","hors code",INDEX(Barème!$B$2:$CV$2,1,F18))),""))</f>
        <v/>
      </c>
      <c r="H18" s="61"/>
      <c r="I18" s="59" t="str">
        <f>IF(A18="","",IF(COUNTIF(H18,"&gt;0")=1,IF(H18="","",IF(INDEX(Barème!$B$2:$CV$2,1,H18)="","hors code",INDEX(Barème!$B$2:$CV$2,1,H18))),""))</f>
        <v/>
      </c>
      <c r="J18" s="61"/>
      <c r="K18" s="59" t="str">
        <f>IF(A18="","",IF(COUNTIF(J18,"&gt;0")=1,IF(J18="","",IF(INDEX(Barème!$B$2:$CV$2,1,J18)="","hors code",INDEX(Barème!$B$2:$CV$2,1,J18))),""))</f>
        <v/>
      </c>
      <c r="L18" s="61"/>
      <c r="M18" s="59" t="str">
        <f>IF(A18="","",IF(COUNTIF(L18,"&gt;0")=1,IF(L18="","",IF(INDEX(Barème!$B$2:$CV$2,1,L18)="","hors code",INDEX(Barème!$B$2:$CV$2,1,L18))),""))</f>
        <v/>
      </c>
      <c r="N18" s="61"/>
      <c r="O18" s="59" t="str">
        <f>IF(A18="","",IF(COUNTIF(N18,"&gt;0")=1,IF(N18="","",IF(INDEX(Barème!$B$2:$CV$2,1,N18)="","hors code",INDEX(Barème!$B$2:$CV$2,1,N18))),""))</f>
        <v/>
      </c>
      <c r="P18" s="61"/>
      <c r="Q18" s="59" t="str">
        <f>IF(A18="","",IF(COUNTIF(P18,"&gt;0")=1,IF(P18="","",IF(INDEX(Barème!$B$2:$CV$2,1,P18)="","hors code",INDEX(Barème!$B$2:$CV$2,1,P18))),""))</f>
        <v/>
      </c>
      <c r="R18" s="54" t="str">
        <f t="shared" si="1"/>
        <v/>
      </c>
      <c r="T18" s="36"/>
    </row>
    <row r="19" spans="1:31" s="55" customFormat="1" ht="22.5" customHeight="1" x14ac:dyDescent="0.4">
      <c r="A19" s="56"/>
      <c r="B19" s="68"/>
      <c r="C19" s="49" t="str">
        <f t="shared" si="0"/>
        <v/>
      </c>
      <c r="D19" s="58"/>
      <c r="E19" s="59" t="str">
        <f>IF(A19="","",IF(COUNTIF(D19,"&gt;0")=1,IF(D19="","",IF(INDEX(Barème!$B$2:$CV$2,1,D19)="","hors code",INDEX(Barème!$B$2:$CV$2,1,D19))),""))</f>
        <v/>
      </c>
      <c r="F19" s="61"/>
      <c r="G19" s="59" t="str">
        <f>IF(A19="","",IF(COUNTIF(F19,"&gt;0")=1,IF(F19="","",IF(INDEX(Barème!$B$2:$CV$2,1,F19)="","hors code",INDEX(Barème!$B$2:$CV$2,1,F19))),""))</f>
        <v/>
      </c>
      <c r="H19" s="61"/>
      <c r="I19" s="59" t="str">
        <f>IF(A19="","",IF(COUNTIF(H19,"&gt;0")=1,IF(H19="","",IF(INDEX(Barème!$B$2:$CV$2,1,H19)="","hors code",INDEX(Barème!$B$2:$CV$2,1,H19))),""))</f>
        <v/>
      </c>
      <c r="J19" s="61"/>
      <c r="K19" s="59" t="str">
        <f>IF(A19="","",IF(COUNTIF(J19,"&gt;0")=1,IF(J19="","",IF(INDEX(Barème!$B$2:$CV$2,1,J19)="","hors code",INDEX(Barème!$B$2:$CV$2,1,J19))),""))</f>
        <v/>
      </c>
      <c r="L19" s="61"/>
      <c r="M19" s="59" t="str">
        <f>IF(A19="","",IF(COUNTIF(L19,"&gt;0")=1,IF(L19="","",IF(INDEX(Barème!$B$2:$CV$2,1,L19)="","hors code",INDEX(Barème!$B$2:$CV$2,1,L19))),""))</f>
        <v/>
      </c>
      <c r="N19" s="61"/>
      <c r="O19" s="59" t="str">
        <f>IF(A19="","",IF(COUNTIF(N19,"&gt;0")=1,IF(N19="","",IF(INDEX(Barème!$B$2:$CV$2,1,N19)="","hors code",INDEX(Barème!$B$2:$CV$2,1,N19))),""))</f>
        <v/>
      </c>
      <c r="P19" s="61"/>
      <c r="Q19" s="59" t="str">
        <f>IF(A19="","",IF(COUNTIF(P19,"&gt;0")=1,IF(P19="","",IF(INDEX(Barème!$B$2:$CV$2,1,P19)="","hors code",INDEX(Barème!$B$2:$CV$2,1,P19))),""))</f>
        <v/>
      </c>
      <c r="R19" s="54" t="str">
        <f t="shared" si="1"/>
        <v/>
      </c>
      <c r="T19" s="36"/>
      <c r="AA19" s="55" t="s">
        <v>21</v>
      </c>
      <c r="AE19" s="72"/>
    </row>
    <row r="20" spans="1:31" s="55" customFormat="1" ht="22.5" customHeight="1" x14ac:dyDescent="0.4">
      <c r="A20" s="73"/>
      <c r="B20" s="68"/>
      <c r="C20" s="49" t="str">
        <f t="shared" si="0"/>
        <v/>
      </c>
      <c r="D20" s="58"/>
      <c r="E20" s="59" t="str">
        <f>IF(A20="","",IF(COUNTIF(D20,"&gt;0")=1,IF(D20="","",IF(INDEX(Barème!$B$2:$CV$2,1,D20)="","hors code",INDEX(Barème!$B$2:$CV$2,1,D20))),""))</f>
        <v/>
      </c>
      <c r="F20" s="60"/>
      <c r="G20" s="59" t="str">
        <f>IF(A20="","",IF(COUNTIF(F20,"&gt;0")=1,IF(F20="","",IF(INDEX(Barème!$B$2:$CV$2,1,F20)="","hors code",INDEX(Barème!$B$2:$CV$2,1,F20))),""))</f>
        <v/>
      </c>
      <c r="H20" s="61"/>
      <c r="I20" s="59" t="str">
        <f>IF(A20="","",IF(COUNTIF(H20,"&gt;0")=1,IF(H20="","",IF(INDEX(Barème!$B$2:$CV$2,1,H20)="","hors code",INDEX(Barème!$B$2:$CV$2,1,H20))),""))</f>
        <v/>
      </c>
      <c r="J20" s="61"/>
      <c r="K20" s="59" t="str">
        <f>IF(A20="","",IF(COUNTIF(J20,"&gt;0")=1,IF(J20="","",IF(INDEX(Barème!$B$2:$CV$2,1,J20)="","hors code",INDEX(Barème!$B$2:$CV$2,1,J20))),""))</f>
        <v/>
      </c>
      <c r="L20" s="61"/>
      <c r="M20" s="59" t="str">
        <f>IF(A20="","",IF(COUNTIF(L20,"&gt;0")=1,IF(L20="","",IF(INDEX(Barème!$B$2:$CV$2,1,L20)="","hors code",INDEX(Barème!$B$2:$CV$2,1,L20))),""))</f>
        <v/>
      </c>
      <c r="N20" s="61"/>
      <c r="O20" s="59" t="str">
        <f>IF(A20="","",IF(COUNTIF(N20,"&gt;0")=1,IF(N20="","",IF(INDEX(Barème!$B$2:$CV$2,1,N20)="","hors code",INDEX(Barème!$B$2:$CV$2,1,N20))),""))</f>
        <v/>
      </c>
      <c r="P20" s="61"/>
      <c r="Q20" s="59" t="str">
        <f>IF(A20="","",IF(COUNTIF(P20,"&gt;0")=1,IF(P20="","",IF(INDEX(Barème!$B$2:$CV$2,1,P20)="","hors code",INDEX(Barème!$B$2:$CV$2,1,P20))),""))</f>
        <v/>
      </c>
      <c r="R20" s="54" t="str">
        <f t="shared" si="1"/>
        <v/>
      </c>
      <c r="T20" s="36"/>
    </row>
    <row r="21" spans="1:31" s="55" customFormat="1" ht="22.5" customHeight="1" x14ac:dyDescent="0.4">
      <c r="A21" s="64"/>
      <c r="B21" s="68"/>
      <c r="C21" s="49" t="str">
        <f t="shared" si="0"/>
        <v/>
      </c>
      <c r="D21" s="58"/>
      <c r="E21" s="59" t="str">
        <f>IF(A21="","",IF(COUNTIF(D21,"&gt;0")=1,IF(D21="","",IF(INDEX(Barème!$B$2:$CV$2,1,D21)="","hors code",INDEX(Barème!$B$2:$CV$2,1,D21))),""))</f>
        <v/>
      </c>
      <c r="F21" s="60"/>
      <c r="G21" s="59" t="str">
        <f>IF(A21="","",IF(COUNTIF(F21,"&gt;0")=1,IF(F21="","",IF(INDEX(Barème!$B$2:$CV$2,1,F21)="","hors code",INDEX(Barème!$B$2:$CV$2,1,F21))),""))</f>
        <v/>
      </c>
      <c r="H21" s="61"/>
      <c r="I21" s="59" t="str">
        <f>IF(A21="","",IF(COUNTIF(H21,"&gt;0")=1,IF(H21="","",IF(INDEX(Barème!$B$2:$CV$2,1,H21)="","hors code",INDEX(Barème!$B$2:$CV$2,1,H21))),""))</f>
        <v/>
      </c>
      <c r="J21" s="61"/>
      <c r="K21" s="59" t="str">
        <f>IF(A21="","",IF(COUNTIF(J21,"&gt;0")=1,IF(J21="","",IF(INDEX(Barème!$B$2:$CV$2,1,J21)="","hors code",INDEX(Barème!$B$2:$CV$2,1,J21))),""))</f>
        <v/>
      </c>
      <c r="L21" s="61"/>
      <c r="M21" s="59" t="str">
        <f>IF(A21="","",IF(COUNTIF(L21,"&gt;0")=1,IF(L21="","",IF(INDEX(Barème!$B$2:$CV$2,1,L21)="","hors code",INDEX(Barème!$B$2:$CV$2,1,L21))),""))</f>
        <v/>
      </c>
      <c r="N21" s="60"/>
      <c r="O21" s="59" t="str">
        <f>IF(A21="","",IF(COUNTIF(N21,"&gt;0")=1,IF(N21="","",IF(INDEX(Barème!$B$2:$CV$2,1,N21)="","hors code",INDEX(Barème!$B$2:$CV$2,1,N21))),""))</f>
        <v/>
      </c>
      <c r="P21" s="60"/>
      <c r="Q21" s="59" t="str">
        <f>IF(A21="","",IF(COUNTIF(P21,"&gt;0")=1,IF(P21="","",IF(INDEX(Barème!$B$2:$CV$2,1,P21)="","hors code",INDEX(Barème!$B$2:$CV$2,1,P21))),""))</f>
        <v/>
      </c>
      <c r="R21" s="54" t="str">
        <f t="shared" si="1"/>
        <v/>
      </c>
      <c r="T21" s="36"/>
    </row>
    <row r="22" spans="1:31" s="55" customFormat="1" ht="22.5" customHeight="1" x14ac:dyDescent="0.4">
      <c r="A22" s="64"/>
      <c r="B22" s="68"/>
      <c r="C22" s="49" t="str">
        <f t="shared" si="0"/>
        <v/>
      </c>
      <c r="D22" s="58"/>
      <c r="E22" s="59" t="str">
        <f>IF(A22="","",IF(COUNTIF(D22,"&gt;0")=1,IF(D22="","",IF(INDEX(Barème!$B$2:$CV$2,1,D22)="","hors code",INDEX(Barème!$B$2:$CV$2,1,D22))),""))</f>
        <v/>
      </c>
      <c r="F22" s="60"/>
      <c r="G22" s="59" t="str">
        <f>IF(A22="","",IF(COUNTIF(F22,"&gt;0")=1,IF(F22="","",IF(INDEX(Barème!$B$2:$CV$2,1,F22)="","hors code",INDEX(Barème!$B$2:$CV$2,1,F22))),""))</f>
        <v/>
      </c>
      <c r="H22" s="61"/>
      <c r="I22" s="59" t="str">
        <f>IF(A22="","",IF(COUNTIF(H22,"&gt;0")=1,IF(H22="","",IF(INDEX(Barème!$B$2:$CV$2,1,H22)="","hors code",INDEX(Barème!$B$2:$CV$2,1,H22))),""))</f>
        <v/>
      </c>
      <c r="J22" s="61"/>
      <c r="K22" s="59" t="str">
        <f>IF(A22="","",IF(COUNTIF(J22,"&gt;0")=1,IF(J22="","",IF(INDEX(Barème!$B$2:$CV$2,1,J22)="","hors code",INDEX(Barème!$B$2:$CV$2,1,J22))),""))</f>
        <v/>
      </c>
      <c r="L22" s="61"/>
      <c r="M22" s="59" t="str">
        <f>IF(A22="","",IF(COUNTIF(L22,"&gt;0")=1,IF(L22="","",IF(INDEX(Barème!$B$2:$CV$2,1,L22)="","hors code",INDEX(Barème!$B$2:$CV$2,1,L22))),""))</f>
        <v/>
      </c>
      <c r="N22" s="61"/>
      <c r="O22" s="59" t="str">
        <f>IF(A22="","",IF(COUNTIF(N22,"&gt;0")=1,IF(N22="","",IF(INDEX(Barème!$B$2:$CV$2,1,N22)="","hors code",INDEX(Barème!$B$2:$CV$2,1,N22))),""))</f>
        <v/>
      </c>
      <c r="P22" s="61"/>
      <c r="Q22" s="59" t="str">
        <f>IF(A22="","",IF(COUNTIF(P22,"&gt;0")=1,IF(P22="","",IF(INDEX(Barème!$B$2:$CV$2,1,P22)="","hors code",INDEX(Barème!$B$2:$CV$2,1,P22))),""))</f>
        <v/>
      </c>
      <c r="R22" s="54" t="str">
        <f t="shared" si="1"/>
        <v/>
      </c>
      <c r="T22" s="36"/>
      <c r="X22" s="55" t="s">
        <v>21</v>
      </c>
    </row>
    <row r="23" spans="1:31" s="55" customFormat="1" ht="22.5" customHeight="1" x14ac:dyDescent="0.4">
      <c r="A23" s="64"/>
      <c r="B23" s="68"/>
      <c r="C23" s="49" t="str">
        <f t="shared" si="0"/>
        <v/>
      </c>
      <c r="D23" s="58"/>
      <c r="E23" s="59" t="str">
        <f>IF(A23="","",IF(COUNTIF(D23,"&gt;0")=1,IF(D23="","",IF(INDEX(Barème!$B$2:$CV$2,1,D23)="","hors code",INDEX(Barème!$B$2:$CV$2,1,D23))),""))</f>
        <v/>
      </c>
      <c r="F23" s="60"/>
      <c r="G23" s="59" t="str">
        <f>IF(A23="","",IF(COUNTIF(F23,"&gt;0")=1,IF(F23="","",IF(INDEX(Barème!$B$2:$CV$2,1,F23)="","hors code",INDEX(Barème!$B$2:$CV$2,1,F23))),""))</f>
        <v/>
      </c>
      <c r="H23" s="61"/>
      <c r="I23" s="59" t="str">
        <f>IF(A23="","",IF(COUNTIF(H23,"&gt;0")=1,IF(H23="","",IF(INDEX(Barème!$B$2:$CV$2,1,H23)="","hors code",INDEX(Barème!$B$2:$CV$2,1,H23))),""))</f>
        <v/>
      </c>
      <c r="J23" s="61"/>
      <c r="K23" s="59" t="str">
        <f>IF(A23="","",IF(COUNTIF(J23,"&gt;0")=1,IF(J23="","",IF(INDEX(Barème!$B$2:$CV$2,1,J23)="","hors code",INDEX(Barème!$B$2:$CV$2,1,J23))),""))</f>
        <v/>
      </c>
      <c r="L23" s="60"/>
      <c r="M23" s="59" t="str">
        <f>IF(A23="","",IF(COUNTIF(L23,"&gt;0")=1,IF(L23="","",IF(INDEX(Barème!$B$2:$CV$2,1,L23)="","hors code",INDEX(Barème!$B$2:$CV$2,1,L23))),""))</f>
        <v/>
      </c>
      <c r="N23" s="61"/>
      <c r="O23" s="59" t="str">
        <f>IF(A23="","",IF(COUNTIF(N23,"&gt;0")=1,IF(N23="","",IF(INDEX(Barème!$B$2:$CV$2,1,N23)="","hors code",INDEX(Barème!$B$2:$CV$2,1,N23))),""))</f>
        <v/>
      </c>
      <c r="P23" s="61"/>
      <c r="Q23" s="59" t="str">
        <f>IF(A23="","",IF(COUNTIF(P23,"&gt;0")=1,IF(P23="","",IF(INDEX(Barème!$B$2:$CV$2,1,P23)="","hors code",INDEX(Barème!$B$2:$CV$2,1,P23))),""))</f>
        <v/>
      </c>
      <c r="R23" s="54" t="str">
        <f t="shared" si="1"/>
        <v/>
      </c>
      <c r="T23" s="36"/>
    </row>
    <row r="24" spans="1:31" s="55" customFormat="1" ht="22.5" customHeight="1" x14ac:dyDescent="0.4">
      <c r="A24" s="56"/>
      <c r="B24" s="68"/>
      <c r="C24" s="49" t="str">
        <f t="shared" si="0"/>
        <v/>
      </c>
      <c r="D24" s="58"/>
      <c r="E24" s="59" t="str">
        <f>IF(A24="","",IF(COUNTIF(D24,"&gt;0")=1,IF(D24="","",IF(INDEX(Barème!$B$2:$CV$2,1,D24)="","hors code",INDEX(Barème!$B$2:$CV$2,1,D24))),""))</f>
        <v/>
      </c>
      <c r="F24" s="60"/>
      <c r="G24" s="59" t="str">
        <f>IF(A24="","",IF(COUNTIF(F24,"&gt;0")=1,IF(F24="","",IF(INDEX(Barème!$B$2:$CV$2,1,F24)="","hors code",INDEX(Barème!$B$2:$CV$2,1,F24))),""))</f>
        <v/>
      </c>
      <c r="H24" s="61"/>
      <c r="I24" s="59" t="str">
        <f>IF(A24="","",IF(COUNTIF(H24,"&gt;0")=1,IF(H24="","",IF(INDEX(Barème!$B$2:$CV$2,1,H24)="","hors code",INDEX(Barème!$B$2:$CV$2,1,H24))),""))</f>
        <v/>
      </c>
      <c r="J24" s="61"/>
      <c r="K24" s="59" t="str">
        <f>IF(A24="","",IF(COUNTIF(J24,"&gt;0")=1,IF(J24="","",IF(INDEX(Barème!$B$2:$CV$2,1,J24)="","hors code",INDEX(Barème!$B$2:$CV$2,1,J24))),""))</f>
        <v/>
      </c>
      <c r="L24" s="61"/>
      <c r="M24" s="59" t="str">
        <f>IF(A24="","",IF(COUNTIF(L24,"&gt;0")=1,IF(L24="","",IF(INDEX(Barème!$B$2:$CV$2,1,L24)="","hors code",INDEX(Barème!$B$2:$CV$2,1,L24))),""))</f>
        <v/>
      </c>
      <c r="N24" s="61"/>
      <c r="O24" s="59" t="str">
        <f>IF(A24="","",IF(COUNTIF(N24,"&gt;0")=1,IF(N24="","",IF(INDEX(Barème!$B$2:$CV$2,1,N24)="","hors code",INDEX(Barème!$B$2:$CV$2,1,N24))),""))</f>
        <v/>
      </c>
      <c r="P24" s="61"/>
      <c r="Q24" s="59" t="str">
        <f>IF(A24="","",IF(COUNTIF(P24,"&gt;0")=1,IF(P24="","",IF(INDEX(Barème!$B$2:$CV$2,1,P24)="","hors code",INDEX(Barème!$B$2:$CV$2,1,P24))),""))</f>
        <v/>
      </c>
      <c r="R24" s="54" t="str">
        <f t="shared" si="1"/>
        <v/>
      </c>
    </row>
    <row r="25" spans="1:31" s="55" customFormat="1" ht="22.5" customHeight="1" x14ac:dyDescent="0.4">
      <c r="A25" s="64"/>
      <c r="B25" s="68"/>
      <c r="C25" s="49" t="str">
        <f t="shared" si="0"/>
        <v/>
      </c>
      <c r="D25" s="58"/>
      <c r="E25" s="59" t="str">
        <f>IF(A25="","",IF(COUNTIF(D25,"&gt;0")=1,IF(D25="","",IF(INDEX(Barème!$B$2:$CV$2,1,D25)="","hors code",INDEX(Barème!$B$2:$CV$2,1,D25))),""))</f>
        <v/>
      </c>
      <c r="F25" s="60"/>
      <c r="G25" s="59" t="str">
        <f>IF(A25="","",IF(COUNTIF(F25,"&gt;0")=1,IF(F25="","",IF(INDEX(Barème!$B$2:$CV$2,1,F25)="","hors code",INDEX(Barème!$B$2:$CV$2,1,F25))),""))</f>
        <v/>
      </c>
      <c r="H25" s="61"/>
      <c r="I25" s="59" t="str">
        <f>IF(A25="","",IF(COUNTIF(H25,"&gt;0")=1,IF(H25="","",IF(INDEX(Barème!$B$2:$CV$2,1,H25)="","hors code",INDEX(Barème!$B$2:$CV$2,1,H25))),""))</f>
        <v/>
      </c>
      <c r="J25" s="61"/>
      <c r="K25" s="59" t="str">
        <f>IF(A25="","",IF(COUNTIF(J25,"&gt;0")=1,IF(J25="","",IF(INDEX(Barème!$B$2:$CV$2,1,J25)="","hors code",INDEX(Barème!$B$2:$CV$2,1,J25))),""))</f>
        <v/>
      </c>
      <c r="L25" s="61"/>
      <c r="M25" s="59" t="str">
        <f>IF(A25="","",IF(COUNTIF(L25,"&gt;0")=1,IF(L25="","",IF(INDEX(Barème!$B$2:$CV$2,1,L25)="","hors code",INDEX(Barème!$B$2:$CV$2,1,L25))),""))</f>
        <v/>
      </c>
      <c r="N25" s="61"/>
      <c r="O25" s="59" t="str">
        <f>IF(A25="","",IF(COUNTIF(N25,"&gt;0")=1,IF(N25="","",IF(INDEX(Barème!$B$2:$CV$2,1,N25)="","hors code",INDEX(Barème!$B$2:$CV$2,1,N25))),""))</f>
        <v/>
      </c>
      <c r="P25" s="61"/>
      <c r="Q25" s="59" t="str">
        <f>IF(A25="","",IF(COUNTIF(P25,"&gt;0")=1,IF(P25="","",IF(INDEX(Barème!$B$2:$CV$2,1,P25)="","hors code",INDEX(Barème!$B$2:$CV$2,1,P25))),""))</f>
        <v/>
      </c>
      <c r="R25" s="54" t="str">
        <f t="shared" si="1"/>
        <v/>
      </c>
    </row>
    <row r="26" spans="1:31" s="55" customFormat="1" ht="22.5" customHeight="1" x14ac:dyDescent="0.4">
      <c r="A26" s="64" t="s">
        <v>22</v>
      </c>
      <c r="B26" s="74"/>
      <c r="C26" s="49" t="str">
        <f t="shared" si="0"/>
        <v/>
      </c>
      <c r="D26" s="58"/>
      <c r="E26" s="59" t="str">
        <f>IF(A26="","",IF(COUNTIF(D26,"&gt;0")=1,IF(D26="","",IF(INDEX(Barème!$B$2:$CV$2,1,D26)="","hors code",INDEX(Barème!$B$2:$CV$2,1,D26))),""))</f>
        <v/>
      </c>
      <c r="F26" s="60"/>
      <c r="G26" s="59" t="str">
        <f>IF(A26="","",IF(COUNTIF(F26,"&gt;0")=1,IF(F26="","",IF(INDEX(Barème!$B$2:$CV$2,1,F26)="","hors code",INDEX(Barème!$B$2:$CV$2,1,F26))),""))</f>
        <v/>
      </c>
      <c r="H26" s="61"/>
      <c r="I26" s="59" t="str">
        <f>IF(A26="","",IF(COUNTIF(H26,"&gt;0")=1,IF(H26="","",IF(INDEX(Barème!$B$2:$CV$2,1,H26)="","hors code",INDEX(Barème!$B$2:$CV$2,1,H26))),""))</f>
        <v/>
      </c>
      <c r="J26" s="61"/>
      <c r="K26" s="59" t="str">
        <f>IF(A26="","",IF(COUNTIF(J26,"&gt;0")=1,IF(J26="","",IF(INDEX(Barème!$B$2:$CV$2,1,J26)="","hors code",INDEX(Barème!$B$2:$CV$2,1,J26))),""))</f>
        <v/>
      </c>
      <c r="L26" s="61"/>
      <c r="M26" s="59" t="str">
        <f>IF(A26="","",IF(COUNTIF(L26,"&gt;0")=1,IF(L26="","",IF(INDEX(Barème!$B$2:$CV$2,1,L26)="","hors code",INDEX(Barème!$B$2:$CV$2,1,L26))),""))</f>
        <v/>
      </c>
      <c r="N26" s="61"/>
      <c r="O26" s="59" t="str">
        <f>IF(A26="","",IF(COUNTIF(N26,"&gt;0")=1,IF(N26="","",IF(INDEX(Barème!$B$2:$CV$2,1,N26)="","hors code",INDEX(Barème!$B$2:$CV$2,1,N26))),""))</f>
        <v/>
      </c>
      <c r="P26" s="61"/>
      <c r="Q26" s="59" t="str">
        <f>IF(A26="","",IF(COUNTIF(P26,"&gt;0")=1,IF(P26="","",IF(INDEX(Barème!$B$2:$CV$2,1,P26)="","hors code",INDEX(Barème!$B$2:$CV$2,1,P26))),""))</f>
        <v/>
      </c>
      <c r="R26" s="54" t="str">
        <f t="shared" si="1"/>
        <v/>
      </c>
    </row>
    <row r="27" spans="1:31" s="55" customFormat="1" ht="22.5" customHeight="1" x14ac:dyDescent="0.4">
      <c r="A27" s="75" t="s">
        <v>23</v>
      </c>
      <c r="B27" s="76"/>
      <c r="C27" s="76"/>
      <c r="D27" s="228">
        <f>SUM(E10:E26)</f>
        <v>0</v>
      </c>
      <c r="E27" s="228"/>
      <c r="F27" s="228">
        <f>SUM(G10:G26)</f>
        <v>0</v>
      </c>
      <c r="G27" s="228"/>
      <c r="H27" s="228">
        <f>SUM(I10:I26)</f>
        <v>0.70833333333333404</v>
      </c>
      <c r="I27" s="228"/>
      <c r="J27" s="228">
        <f>SUM(K10:K26)</f>
        <v>0.70833333333333404</v>
      </c>
      <c r="K27" s="228"/>
      <c r="L27" s="228">
        <f>SUM(M10:M26)</f>
        <v>0</v>
      </c>
      <c r="M27" s="228"/>
      <c r="N27" s="228">
        <f>SUM(O10:O26)</f>
        <v>0.35416666666666702</v>
      </c>
      <c r="O27" s="228"/>
      <c r="P27" s="228">
        <f>SUM(Q10:Q26)</f>
        <v>0.35416666666666702</v>
      </c>
      <c r="Q27" s="228"/>
      <c r="R27" s="77">
        <f>SUM(R10:R26)</f>
        <v>2.1250000000000022</v>
      </c>
    </row>
    <row r="28" spans="1:31" s="55" customFormat="1" ht="9.75" customHeight="1" x14ac:dyDescent="0.4">
      <c r="A28" s="78"/>
      <c r="B28" s="78"/>
      <c r="C28" s="78"/>
      <c r="D28" s="79"/>
      <c r="E28" s="80" t="str">
        <f>IF(A28="","",IF(COUNTIF(D28,"&gt;0")=1,IF(D28="","",IF(INDEX(Barème!$B$2:$AA$2,1,D28)="","hors code",INDEX(Barème!$B$2:$AA$2,1,D28))),""))</f>
        <v/>
      </c>
      <c r="F28" s="81"/>
      <c r="G28" s="80" t="str">
        <f>IF(A28="","",IF(COUNTIF(F28,"&gt;0")=1,IF(F28="","",IF(INDEX(Barème!$B$2:$AA$2,1,F28)="","hors code",INDEX(Barème!$B$2:$AA$2,1,F28))),""))</f>
        <v/>
      </c>
      <c r="H28" s="82"/>
      <c r="I28" s="80" t="str">
        <f>IF(A28="","",IF(COUNTIF(H28,"&gt;0")=1,IF(H28="","",IF(INDEX(Barème!$B$2:$AA$2,1,H28)="","hors code",INDEX(Barème!$B$2:$AA$2,1,H28))),""))</f>
        <v/>
      </c>
      <c r="J28" s="82"/>
      <c r="K28" s="80" t="str">
        <f>IF(A28="","",IF(COUNTIF(J28,"&gt;0")=1,IF(J28="","",IF(INDEX(Barème!$B$2:$AA$2,1,J28)="","hors code",INDEX(Barème!$B$2:$AA$2,1,J28))),""))</f>
        <v/>
      </c>
      <c r="L28" s="82"/>
      <c r="M28" s="80" t="str">
        <f>IF(A28="","",IF(COUNTIF(L28,"&gt;0")=1,IF(L28="","",IF(INDEX(Barème!$B$2:$AA$2,1,L28)="","hors code",INDEX(Barème!$B$2:$AA$2,1,L28))),""))</f>
        <v/>
      </c>
      <c r="N28" s="82"/>
      <c r="O28" s="80" t="str">
        <f>IF(A28="","",IF(COUNTIF(N28,"&gt;0")=1,IF(N28="","",IF(INDEX(Barème!$B$2:$AA$2,1,N28)="","hors code",INDEX(Barème!$B$2:$AA$2,1,N28))),""))</f>
        <v/>
      </c>
      <c r="P28" s="80"/>
      <c r="Q28" s="80"/>
      <c r="R28" s="83" t="str">
        <f>IF(SUM(O28,M28,K28,I28,G28,E28)=0,"",SUM(O28,M28,K28,I28,G28,E28))</f>
        <v/>
      </c>
    </row>
    <row r="29" spans="1:31" s="55" customFormat="1" ht="18.600000000000001" x14ac:dyDescent="0.4">
      <c r="A29" s="78"/>
      <c r="B29" s="78"/>
      <c r="C29" s="78"/>
      <c r="D29" s="79"/>
      <c r="E29" s="80"/>
      <c r="F29" s="81"/>
      <c r="G29" s="80"/>
      <c r="H29" s="82"/>
      <c r="I29" s="80"/>
      <c r="J29" s="82"/>
      <c r="K29" s="80"/>
      <c r="L29" s="82"/>
      <c r="M29" s="80"/>
      <c r="N29" s="82"/>
      <c r="O29" s="80"/>
      <c r="P29" s="80"/>
      <c r="Q29" s="80"/>
      <c r="R29" s="83"/>
    </row>
    <row r="30" spans="1:31" s="55" customFormat="1" ht="18.600000000000001" x14ac:dyDescent="0.4">
      <c r="A30" s="78"/>
      <c r="B30" s="78"/>
      <c r="C30" s="78"/>
      <c r="D30" s="79"/>
      <c r="E30" s="80"/>
      <c r="F30" s="81"/>
      <c r="G30" s="80"/>
      <c r="H30" s="82"/>
      <c r="I30" s="80"/>
      <c r="J30" s="82"/>
      <c r="K30" s="80"/>
      <c r="L30" s="82"/>
      <c r="M30" s="80"/>
      <c r="N30" s="82"/>
      <c r="O30" s="80"/>
      <c r="P30" s="80"/>
      <c r="Q30" s="80"/>
      <c r="R30" s="83"/>
    </row>
    <row r="31" spans="1:31" s="55" customFormat="1" ht="18.600000000000001" x14ac:dyDescent="0.4">
      <c r="A31" s="78"/>
      <c r="B31" s="78"/>
      <c r="C31" s="78"/>
      <c r="D31" s="79"/>
      <c r="E31" s="80"/>
      <c r="F31" s="81"/>
      <c r="G31" s="80"/>
      <c r="H31" s="82"/>
      <c r="I31" s="80"/>
      <c r="J31" s="82"/>
      <c r="K31" s="80"/>
      <c r="L31" s="82"/>
      <c r="M31" s="80"/>
      <c r="N31" s="82"/>
      <c r="O31" s="80"/>
      <c r="P31" s="80"/>
      <c r="Q31" s="80"/>
      <c r="R31" s="83"/>
    </row>
    <row r="32" spans="1:31" s="55" customFormat="1" ht="18.600000000000001" x14ac:dyDescent="0.4">
      <c r="A32" s="78"/>
      <c r="B32" s="78"/>
      <c r="C32" s="78"/>
      <c r="D32" s="79"/>
      <c r="E32" s="80"/>
      <c r="F32" s="81"/>
      <c r="G32" s="80"/>
      <c r="H32" s="82"/>
      <c r="I32" s="80"/>
      <c r="J32" s="82"/>
      <c r="K32" s="80"/>
      <c r="L32" s="82"/>
      <c r="M32" s="80"/>
      <c r="N32" s="82"/>
      <c r="O32" s="80"/>
      <c r="P32" s="80"/>
      <c r="Q32" s="80"/>
      <c r="R32" s="83"/>
    </row>
    <row r="33" spans="1:18" s="55" customFormat="1" ht="12" customHeight="1" x14ac:dyDescent="0.4">
      <c r="A33" s="84"/>
      <c r="B33" s="84"/>
      <c r="C33" s="84"/>
      <c r="D33" s="84"/>
      <c r="E33" s="84"/>
      <c r="F33" s="84"/>
      <c r="G33" s="84"/>
      <c r="H33" s="84"/>
      <c r="I33" s="84"/>
      <c r="J33" s="84"/>
      <c r="K33" s="84"/>
      <c r="L33" s="84"/>
      <c r="M33" s="84"/>
      <c r="N33" s="84"/>
      <c r="O33" s="84"/>
      <c r="P33" s="84"/>
      <c r="Q33" s="84"/>
      <c r="R33" s="84"/>
    </row>
    <row r="34" spans="1:18" ht="32.4" x14ac:dyDescent="0.4">
      <c r="A34" s="84"/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</row>
    <row r="35" spans="1:18" ht="32.4" x14ac:dyDescent="0.4">
      <c r="A35" s="84"/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</row>
    <row r="36" spans="1:18" ht="24" customHeight="1" x14ac:dyDescent="0.4">
      <c r="A36" s="84"/>
      <c r="B36" s="84"/>
      <c r="C36" s="84"/>
      <c r="D36" s="84"/>
      <c r="E36" s="84"/>
      <c r="F36" s="84"/>
      <c r="G36" s="84"/>
      <c r="H36" s="84"/>
      <c r="I36" s="84"/>
      <c r="J36" s="84"/>
      <c r="K36" s="84"/>
      <c r="L36" s="84"/>
      <c r="M36" s="84"/>
      <c r="N36" s="84"/>
      <c r="O36" s="84"/>
      <c r="P36" s="84"/>
      <c r="Q36" s="84"/>
      <c r="R36" s="84"/>
    </row>
    <row r="37" spans="1:18" ht="18.600000000000001" x14ac:dyDescent="0.4">
      <c r="A37" s="78"/>
      <c r="B37" s="78"/>
      <c r="C37" s="78"/>
      <c r="D37" s="79"/>
      <c r="E37" s="80" t="str">
        <f>IF(A37="","",IF(COUNTIF(D37,"&gt;0")=1,IF(D37="","",IF(INDEX(Barème!$B$2:$AA$2,1,D37)="","hors code",INDEX(Barème!$B$2:$AA$2,1,D37))),""))</f>
        <v/>
      </c>
      <c r="F37" s="81"/>
      <c r="G37" s="80" t="str">
        <f>IF(A37="","",IF(COUNTIF(F37,"&gt;0")=1,IF(F37="","",IF(INDEX(Barème!$B$2:$AA$2,1,F37)="","hors code",INDEX(Barème!$B$2:$AA$2,1,F37))),""))</f>
        <v/>
      </c>
      <c r="H37" s="82"/>
      <c r="I37" s="80" t="str">
        <f>IF(A37="","",IF(COUNTIF(H37,"&gt;0")=1,IF(H37="","",IF(INDEX(Barème!$B$2:$AA$2,1,H37)="","hors code",INDEX(Barème!$B$2:$AA$2,1,H37))),""))</f>
        <v/>
      </c>
      <c r="J37" s="82"/>
      <c r="K37" s="80" t="str">
        <f>IF(A37="","",IF(COUNTIF(J37,"&gt;0")=1,IF(J37="","",IF(INDEX(Barème!$B$2:$AA$2,1,J37)="","hors code",INDEX(Barème!$B$2:$AA$2,1,J37))),""))</f>
        <v/>
      </c>
      <c r="L37" s="82"/>
      <c r="M37" s="80" t="str">
        <f>IF(A37="","",IF(COUNTIF(L37,"&gt;0")=1,IF(L37="","",IF(INDEX(Barème!$B$2:$AA$2,1,L37)="","hors code",INDEX(Barème!$B$2:$AA$2,1,L37))),""))</f>
        <v/>
      </c>
      <c r="N37" s="82"/>
      <c r="O37" s="80" t="str">
        <f>IF(A37="","",IF(COUNTIF(N37,"&gt;0")=1,IF(N37="","",IF(INDEX(Barème!$B$2:$AA$2,1,N37)="","hors code",INDEX(Barème!$B$2:$AA$2,1,N37))),""))</f>
        <v/>
      </c>
      <c r="P37" s="80"/>
      <c r="Q37" s="80"/>
      <c r="R37" s="83" t="str">
        <f>IF(SUM(O37,M37,K37,I37,G37,E37)=0,"",SUM(O37,M37,K37,I37,G37,E37))</f>
        <v/>
      </c>
    </row>
  </sheetData>
  <mergeCells count="17">
    <mergeCell ref="N27:O27"/>
    <mergeCell ref="P27:Q27"/>
    <mergeCell ref="D27:E27"/>
    <mergeCell ref="F27:G27"/>
    <mergeCell ref="H27:I27"/>
    <mergeCell ref="J27:K27"/>
    <mergeCell ref="L27:M27"/>
    <mergeCell ref="A2:R3"/>
    <mergeCell ref="H5:J5"/>
    <mergeCell ref="L5:N5"/>
    <mergeCell ref="D7:E7"/>
    <mergeCell ref="F7:G7"/>
    <mergeCell ref="H7:I7"/>
    <mergeCell ref="J7:K7"/>
    <mergeCell ref="L7:M7"/>
    <mergeCell ref="N7:O7"/>
    <mergeCell ref="P7:Q7"/>
  </mergeCells>
  <conditionalFormatting sqref="R26">
    <cfRule type="cellIs" dxfId="149" priority="2" operator="greaterThan">
      <formula>$C$26</formula>
    </cfRule>
  </conditionalFormatting>
  <conditionalFormatting sqref="R25">
    <cfRule type="cellIs" dxfId="148" priority="3" operator="greaterThan">
      <formula>$C$25</formula>
    </cfRule>
  </conditionalFormatting>
  <conditionalFormatting sqref="R24">
    <cfRule type="cellIs" dxfId="147" priority="4" operator="greaterThan">
      <formula>$C$24</formula>
    </cfRule>
  </conditionalFormatting>
  <conditionalFormatting sqref="R23">
    <cfRule type="cellIs" dxfId="146" priority="5" operator="greaterThan">
      <formula>$C$23</formula>
    </cfRule>
  </conditionalFormatting>
  <conditionalFormatting sqref="R22">
    <cfRule type="cellIs" dxfId="145" priority="6" operator="greaterThan">
      <formula>$C$22</formula>
    </cfRule>
  </conditionalFormatting>
  <conditionalFormatting sqref="R21">
    <cfRule type="cellIs" dxfId="144" priority="7" operator="greaterThan">
      <formula>$C$21</formula>
    </cfRule>
  </conditionalFormatting>
  <conditionalFormatting sqref="R20">
    <cfRule type="cellIs" dxfId="143" priority="8" operator="greaterThan">
      <formula>$C$20</formula>
    </cfRule>
  </conditionalFormatting>
  <conditionalFormatting sqref="R19">
    <cfRule type="cellIs" dxfId="142" priority="9" operator="greaterThan">
      <formula>$C$19</formula>
    </cfRule>
  </conditionalFormatting>
  <conditionalFormatting sqref="R18">
    <cfRule type="cellIs" dxfId="141" priority="10" operator="greaterThan">
      <formula>$C$18</formula>
    </cfRule>
  </conditionalFormatting>
  <conditionalFormatting sqref="R17">
    <cfRule type="cellIs" dxfId="140" priority="11" operator="greaterThan">
      <formula>$C$17</formula>
    </cfRule>
  </conditionalFormatting>
  <conditionalFormatting sqref="R16">
    <cfRule type="cellIs" dxfId="139" priority="12" operator="greaterThan">
      <formula>$C$16</formula>
    </cfRule>
  </conditionalFormatting>
  <conditionalFormatting sqref="R15">
    <cfRule type="cellIs" dxfId="138" priority="13" operator="greaterThan">
      <formula>$C$15</formula>
    </cfRule>
  </conditionalFormatting>
  <conditionalFormatting sqref="R14">
    <cfRule type="cellIs" dxfId="137" priority="14" operator="greaterThan">
      <formula>$C$14</formula>
    </cfRule>
  </conditionalFormatting>
  <conditionalFormatting sqref="R13">
    <cfRule type="cellIs" dxfId="136" priority="15" operator="greaterThan">
      <formula>$C$13</formula>
    </cfRule>
  </conditionalFormatting>
  <conditionalFormatting sqref="R12">
    <cfRule type="cellIs" dxfId="135" priority="16" operator="greaterThan">
      <formula>$C$12</formula>
    </cfRule>
  </conditionalFormatting>
  <conditionalFormatting sqref="R11">
    <cfRule type="cellIs" dxfId="134" priority="17" operator="greaterThan">
      <formula>$C$11</formula>
    </cfRule>
  </conditionalFormatting>
  <conditionalFormatting sqref="R10">
    <cfRule type="cellIs" dxfId="133" priority="18" operator="greaterThan">
      <formula>$C$10</formula>
    </cfRule>
  </conditionalFormatting>
  <pageMargins left="0.35416666666666702" right="0.27569444444444402" top="0.15763888888888899" bottom="0" header="0.511811023622047" footer="0.511811023622047"/>
  <pageSetup paperSize="9" scale="8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F37"/>
  <sheetViews>
    <sheetView zoomScale="81" zoomScaleNormal="81" zoomScalePageLayoutView="90" workbookViewId="0">
      <selection activeCell="E5" sqref="E5"/>
    </sheetView>
  </sheetViews>
  <sheetFormatPr baseColWidth="10" defaultColWidth="0" defaultRowHeight="21" zeroHeight="1" x14ac:dyDescent="0.5"/>
  <cols>
    <col min="1" max="1" width="20.109375" style="1" customWidth="1"/>
    <col min="2" max="2" width="5.77734375" style="1" customWidth="1"/>
    <col min="3" max="3" width="8.44140625" style="1" customWidth="1"/>
    <col min="4" max="4" width="5.77734375" style="2" customWidth="1"/>
    <col min="5" max="5" width="5.77734375" style="3" customWidth="1"/>
    <col min="6" max="6" width="5.77734375" style="4" customWidth="1"/>
    <col min="7" max="7" width="5.77734375" style="3" customWidth="1"/>
    <col min="8" max="8" width="5.77734375" style="5" customWidth="1"/>
    <col min="9" max="9" width="5.77734375" style="3" customWidth="1"/>
    <col min="10" max="10" width="5.77734375" style="5" customWidth="1"/>
    <col min="11" max="11" width="5.77734375" style="3" customWidth="1"/>
    <col min="12" max="12" width="5.77734375" style="5" customWidth="1"/>
    <col min="13" max="13" width="5.77734375" style="3" customWidth="1"/>
    <col min="14" max="14" width="5.77734375" style="5" customWidth="1"/>
    <col min="15" max="17" width="5.77734375" style="3" customWidth="1"/>
    <col min="18" max="18" width="11.5546875" style="6" customWidth="1"/>
    <col min="19" max="21" width="11.44140625" style="1"/>
    <col min="22" max="22" width="12.21875" style="1" customWidth="1"/>
    <col min="23" max="27" width="11.44140625" style="1"/>
    <col min="28" max="32" width="11.5546875" style="1" hidden="1" customWidth="1"/>
    <col min="33" max="16384" width="11.44140625" style="1" hidden="1"/>
  </cols>
  <sheetData>
    <row r="1" spans="1:23" ht="41.25" customHeight="1" x14ac:dyDescent="0.5">
      <c r="A1" s="7"/>
      <c r="B1" s="8"/>
      <c r="C1" s="8"/>
      <c r="D1" s="9"/>
      <c r="E1" s="10"/>
      <c r="F1" s="11"/>
      <c r="G1" s="10"/>
      <c r="H1" s="12"/>
      <c r="I1" s="10"/>
      <c r="J1" s="12"/>
      <c r="K1" s="10"/>
      <c r="L1" s="12"/>
      <c r="M1" s="10"/>
      <c r="N1" s="12"/>
      <c r="O1" s="10"/>
      <c r="P1" s="10"/>
      <c r="Q1" s="10"/>
      <c r="R1" s="13"/>
    </row>
    <row r="2" spans="1:23" ht="22.5" customHeight="1" x14ac:dyDescent="0.4">
      <c r="A2" s="222" t="s">
        <v>0</v>
      </c>
      <c r="B2" s="222"/>
      <c r="C2" s="222"/>
      <c r="D2" s="222"/>
      <c r="E2" s="222"/>
      <c r="F2" s="222"/>
      <c r="G2" s="222"/>
      <c r="H2" s="222"/>
      <c r="I2" s="222"/>
      <c r="J2" s="222"/>
      <c r="K2" s="222"/>
      <c r="L2" s="222"/>
      <c r="M2" s="222"/>
      <c r="N2" s="222"/>
      <c r="O2" s="222"/>
      <c r="P2" s="222"/>
      <c r="Q2" s="222"/>
      <c r="R2" s="222"/>
    </row>
    <row r="3" spans="1:23" ht="9" customHeight="1" x14ac:dyDescent="0.4">
      <c r="A3" s="222"/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2"/>
      <c r="P3" s="222"/>
      <c r="Q3" s="222"/>
      <c r="R3" s="222"/>
    </row>
    <row r="4" spans="1:23" ht="8.25" customHeight="1" x14ac:dyDescent="0.4">
      <c r="A4" s="14"/>
      <c r="B4" s="14"/>
      <c r="C4" s="14"/>
      <c r="D4" s="15"/>
      <c r="E4" s="16"/>
      <c r="F4" s="17"/>
      <c r="G4" s="16"/>
      <c r="H4" s="18"/>
      <c r="I4" s="16"/>
      <c r="J4" s="18"/>
      <c r="K4" s="16"/>
      <c r="L4" s="18"/>
      <c r="M4" s="16"/>
      <c r="N4" s="18"/>
      <c r="O4" s="16"/>
      <c r="P4" s="16"/>
      <c r="Q4" s="16"/>
      <c r="R4" s="19"/>
    </row>
    <row r="5" spans="1:23" s="29" customFormat="1" ht="21.75" customHeight="1" x14ac:dyDescent="0.5">
      <c r="A5" s="20" t="s">
        <v>1</v>
      </c>
      <c r="B5" s="21"/>
      <c r="C5" s="21"/>
      <c r="D5" s="22"/>
      <c r="E5" s="23">
        <v>50</v>
      </c>
      <c r="F5" s="24"/>
      <c r="G5" s="25" t="s">
        <v>2</v>
      </c>
      <c r="H5" s="223">
        <v>45327</v>
      </c>
      <c r="I5" s="223"/>
      <c r="J5" s="223"/>
      <c r="K5" s="26" t="s">
        <v>3</v>
      </c>
      <c r="L5" s="223">
        <v>45333</v>
      </c>
      <c r="M5" s="223"/>
      <c r="N5" s="223"/>
      <c r="O5" s="27"/>
      <c r="P5" s="25"/>
      <c r="Q5" s="25"/>
      <c r="R5" s="28"/>
      <c r="T5" s="30"/>
    </row>
    <row r="6" spans="1:23" ht="10.5" customHeight="1" x14ac:dyDescent="0.4">
      <c r="A6" s="14"/>
      <c r="B6" s="14"/>
      <c r="C6" s="14"/>
      <c r="D6" s="15"/>
      <c r="E6" s="16"/>
      <c r="F6" s="17"/>
      <c r="G6" s="16"/>
      <c r="H6" s="31"/>
      <c r="I6" s="16"/>
      <c r="J6" s="18"/>
      <c r="K6" s="16"/>
      <c r="L6" s="18"/>
      <c r="M6" s="16"/>
      <c r="N6" s="18"/>
      <c r="O6" s="16"/>
      <c r="P6" s="16"/>
      <c r="Q6" s="16"/>
      <c r="R6" s="19"/>
    </row>
    <row r="7" spans="1:23" ht="18" customHeight="1" x14ac:dyDescent="0.4">
      <c r="A7" s="32" t="s">
        <v>4</v>
      </c>
      <c r="B7" s="33" t="s">
        <v>5</v>
      </c>
      <c r="C7" s="34" t="s">
        <v>6</v>
      </c>
      <c r="D7" s="224" t="s">
        <v>7</v>
      </c>
      <c r="E7" s="224"/>
      <c r="F7" s="224" t="s">
        <v>8</v>
      </c>
      <c r="G7" s="224"/>
      <c r="H7" s="224" t="s">
        <v>9</v>
      </c>
      <c r="I7" s="224"/>
      <c r="J7" s="225" t="s">
        <v>10</v>
      </c>
      <c r="K7" s="225"/>
      <c r="L7" s="225" t="s">
        <v>11</v>
      </c>
      <c r="M7" s="225"/>
      <c r="N7" s="226" t="s">
        <v>12</v>
      </c>
      <c r="O7" s="226"/>
      <c r="P7" s="227" t="s">
        <v>13</v>
      </c>
      <c r="Q7" s="227"/>
      <c r="R7" s="35" t="s">
        <v>14</v>
      </c>
      <c r="T7" s="36"/>
      <c r="U7" s="36"/>
    </row>
    <row r="8" spans="1:23" ht="14.25" customHeight="1" x14ac:dyDescent="0.4">
      <c r="A8" s="37"/>
      <c r="B8" s="38"/>
      <c r="C8" s="38"/>
      <c r="D8" s="39" t="s">
        <v>15</v>
      </c>
      <c r="E8" s="40" t="s">
        <v>16</v>
      </c>
      <c r="F8" s="39" t="s">
        <v>15</v>
      </c>
      <c r="G8" s="40" t="s">
        <v>16</v>
      </c>
      <c r="H8" s="39" t="s">
        <v>15</v>
      </c>
      <c r="I8" s="40" t="s">
        <v>16</v>
      </c>
      <c r="J8" s="39" t="s">
        <v>15</v>
      </c>
      <c r="K8" s="40" t="s">
        <v>16</v>
      </c>
      <c r="L8" s="41" t="s">
        <v>15</v>
      </c>
      <c r="M8" s="42" t="s">
        <v>16</v>
      </c>
      <c r="N8" s="41" t="s">
        <v>15</v>
      </c>
      <c r="O8" s="42" t="s">
        <v>16</v>
      </c>
      <c r="P8" s="41" t="s">
        <v>15</v>
      </c>
      <c r="Q8" s="42" t="s">
        <v>16</v>
      </c>
      <c r="R8" s="43"/>
    </row>
    <row r="9" spans="1:23" ht="6.75" customHeight="1" x14ac:dyDescent="0.4">
      <c r="A9" s="14"/>
      <c r="B9" s="14"/>
      <c r="C9" s="14"/>
      <c r="D9" s="15"/>
      <c r="E9" s="16"/>
      <c r="F9" s="17"/>
      <c r="G9" s="16"/>
      <c r="H9" s="18"/>
      <c r="I9" s="16"/>
      <c r="J9" s="44"/>
      <c r="K9" s="16"/>
      <c r="L9" s="45"/>
      <c r="M9" s="45"/>
      <c r="N9" s="18"/>
      <c r="O9" s="16"/>
      <c r="P9" s="18"/>
      <c r="Q9" s="16"/>
      <c r="R9" s="46"/>
    </row>
    <row r="10" spans="1:23" s="55" customFormat="1" ht="22.5" customHeight="1" x14ac:dyDescent="0.4">
      <c r="A10" s="47" t="s">
        <v>17</v>
      </c>
      <c r="B10" s="48">
        <v>100</v>
      </c>
      <c r="C10" s="49">
        <f t="shared" ref="C10:C26" si="0">IF(ISBLANK(B10),"",42/24/100*B10)</f>
        <v>1.7500000000000002</v>
      </c>
      <c r="D10" s="50"/>
      <c r="E10" s="51" t="str">
        <f>IF(A10="","",IF(COUNTIF(D10,"&gt;0")=1,IF(D10="","",IF(INDEX(Barème!$B$2:$CV$2,1,D10)="","hors code",INDEX(Barème!$B$2:$CV$2,1,D10))),""))</f>
        <v/>
      </c>
      <c r="F10" s="52"/>
      <c r="G10" s="51" t="str">
        <f>IF(A10="","",IF(COUNTIF(F10,"&gt;0")=1,IF(F10="","",IF(INDEX(Barème!$B$2:$CV$2,1,F10)="","hors code",INDEX(Barème!$B$2:$CV$2,1,F10))),""))</f>
        <v/>
      </c>
      <c r="H10" s="52"/>
      <c r="I10" s="51" t="str">
        <f>IF(A10="","",IF(COUNTIF(H10,"&gt;0")=1,IF(H10="","",IF(INDEX(Barème!$B$2:$CV$2,1,H10)="","hors code",INDEX(Barème!$B$2:$CV$2,1,H10))),""))</f>
        <v/>
      </c>
      <c r="J10" s="52"/>
      <c r="K10" s="51" t="str">
        <f>IF(A10="","",IF(COUNTIF(J10,"&gt;0")=1,IF(J10="","",IF(INDEX(Barème!$B$2:$CV$2,1,J10)="","hors code",INDEX(Barème!$B$2:$CV$2,1,J10))),""))</f>
        <v/>
      </c>
      <c r="L10" s="52"/>
      <c r="M10" s="51" t="str">
        <f>IF(A10="","",IF(COUNTIF(L10,"&gt;0")=1,IF(L10="","",IF(INDEX(Barème!$B$2:$CV$2,1,L10)="","hors code",INDEX(Barème!$B$2:$CV$2,1,L10))),""))</f>
        <v/>
      </c>
      <c r="N10" s="53"/>
      <c r="O10" s="51" t="str">
        <f>IF(A10="","",IF(COUNTIF(N10,"&gt;0")=1,IF(N10="","",IF(INDEX(Barème!$B$2:$CV$2,1,N10)="","hors code",INDEX(Barème!$B$2:$CV$2,1,N10))),""))</f>
        <v/>
      </c>
      <c r="P10" s="53"/>
      <c r="Q10" s="51" t="str">
        <f>IF(A10="","",IF(COUNTIF(P10,"&gt;0")=1,IF(P10="","",IF(INDEX(Barème!$B$2:$CV$2,1,P10)="","hors code",INDEX(Barème!$B$2:$CV$2,1,P10))),""))</f>
        <v/>
      </c>
      <c r="R10" s="54" t="str">
        <f t="shared" ref="R10:R26" si="1">IF(SUM(Q10,O10,M10,K10,I10,G10,E10)=0,"",SUM(Q10,O10,M10,K10,I10,G10,E10))</f>
        <v/>
      </c>
      <c r="S10" s="1"/>
      <c r="T10" s="36"/>
    </row>
    <row r="11" spans="1:23" s="55" customFormat="1" ht="22.5" customHeight="1" x14ac:dyDescent="0.4">
      <c r="A11" s="56" t="s">
        <v>84</v>
      </c>
      <c r="B11" s="57">
        <v>30</v>
      </c>
      <c r="C11" s="49">
        <f t="shared" si="0"/>
        <v>0.52500000000000002</v>
      </c>
      <c r="D11" s="58"/>
      <c r="E11" s="59" t="str">
        <f>IF(A11="","",IF(COUNTIF(D11,"&gt;0")=1,IF(D11="","",IF(INDEX(Barème!$B$2:$CV$2,1,D11)="","hors code",INDEX(Barème!$B$2:$CV$2,1,D11))),""))</f>
        <v/>
      </c>
      <c r="F11" s="60"/>
      <c r="G11" s="59" t="str">
        <f>IF(A11="","",IF(COUNTIF(F11,"&gt;0")=1,IF(F11="","",IF(INDEX(Barème!$B$2:$CV$2,1,F11)="","hors code",INDEX(Barème!$B$2:$CV$2,1,F11))),""))</f>
        <v/>
      </c>
      <c r="H11" s="61"/>
      <c r="I11" s="59" t="str">
        <f>IF(A11="","",IF(COUNTIF(H11,"&gt;0")=1,IF(H11="","",IF(INDEX(Barème!$B$2:$CV$2,1,H11)="","hors code",INDEX(Barème!$B$2:$CV$2,1,H11))),""))</f>
        <v/>
      </c>
      <c r="J11" s="61">
        <v>6</v>
      </c>
      <c r="K11" s="59">
        <f>IF(A11="","",IF(COUNTIF(J11,"&gt;0")=1,IF(J11="","",IF(INDEX(Barème!$B$2:$CV$2,1,J11)="","hors code",INDEX(Barème!$B$2:$CV$2,1,J11))),""))</f>
        <v>0.35416666666666702</v>
      </c>
      <c r="L11" s="61"/>
      <c r="M11" s="59" t="str">
        <f>IF(A11="","",IF(COUNTIF(L11,"&gt;0")=1,IF(L11="","",IF(INDEX(Barème!$B$2:$CV$2,1,L11)="","hors code",INDEX(Barème!$B$2:$CV$2,1,L11))),""))</f>
        <v/>
      </c>
      <c r="N11" s="61"/>
      <c r="O11" s="59" t="str">
        <f>IF(A11="","",IF(COUNTIF(N11,"&gt;0")=1,IF(N11="","",IF(INDEX(Barème!$B$2:$CV$2,1,N11)="","hors code",INDEX(Barème!$B$2:$CV$2,1,N11))),""))</f>
        <v/>
      </c>
      <c r="P11" s="61"/>
      <c r="Q11" s="59" t="str">
        <f>IF(A11="","",IF(COUNTIF(P11,"&gt;0")=1,IF(P11="","",IF(INDEX(Barème!$B$2:$CV$2,1,P11)="","hors code",INDEX(Barème!$B$2:$CV$2,1,P11))),""))</f>
        <v/>
      </c>
      <c r="R11" s="54">
        <f t="shared" si="1"/>
        <v>0.35416666666666702</v>
      </c>
      <c r="T11" s="36"/>
    </row>
    <row r="12" spans="1:23" s="55" customFormat="1" ht="22.5" customHeight="1" x14ac:dyDescent="0.4">
      <c r="A12" s="62" t="s">
        <v>18</v>
      </c>
      <c r="B12" s="63">
        <v>40</v>
      </c>
      <c r="C12" s="49">
        <f t="shared" si="0"/>
        <v>0.70000000000000007</v>
      </c>
      <c r="D12" s="58"/>
      <c r="E12" s="59" t="str">
        <f>IF(A12="","",IF(COUNTIF(D12,"&gt;0")=1,IF(D12="","",IF(INDEX(Barème!$B$2:$CV$2,1,D12)="","hors code",INDEX(Barème!$B$2:$CV$2,1,D12))),""))</f>
        <v/>
      </c>
      <c r="F12" s="60"/>
      <c r="G12" s="59" t="str">
        <f>IF(A12="","",IF(COUNTIF(F12,"&gt;0")=1,IF(F12="","",IF(INDEX(Barème!$B$2:$CV$2,1,F12)="","hors code",INDEX(Barème!$B$2:$CV$2,1,F12))),""))</f>
        <v/>
      </c>
      <c r="H12" s="61">
        <v>6</v>
      </c>
      <c r="I12" s="59">
        <f>IF(A12="","",IF(COUNTIF(H12,"&gt;0")=1,IF(H12="","",IF(INDEX(Barème!$B$2:$CV$2,1,H12)="","hors code",INDEX(Barème!$B$2:$CV$2,1,H12))),""))</f>
        <v>0.35416666666666702</v>
      </c>
      <c r="J12" s="61"/>
      <c r="K12" s="59" t="str">
        <f>IF(A12="","",IF(COUNTIF(J12,"&gt;0")=1,IF(J12="","",IF(INDEX(Barème!$B$2:$CV$2,1,J12)="","hors code",INDEX(Barème!$B$2:$CV$2,1,J12))),""))</f>
        <v/>
      </c>
      <c r="L12" s="61"/>
      <c r="M12" s="59" t="str">
        <f>IF(A12="","",IF(COUNTIF(L12,"&gt;0")=1,IF(L12="","",IF(INDEX(Barème!$B$2:$CV$2,1,L12)="","hors code",INDEX(Barème!$B$2:$CV$2,1,L12))),""))</f>
        <v/>
      </c>
      <c r="N12" s="60"/>
      <c r="O12" s="59" t="str">
        <f>IF(A12="","",IF(COUNTIF(N12,"&gt;0")=1,IF(N12="","",IF(INDEX(Barème!$B$2:$CV$2,1,N12)="","hors code",INDEX(Barème!$B$2:$CV$2,1,N12))),""))</f>
        <v/>
      </c>
      <c r="P12" s="60" t="s">
        <v>48</v>
      </c>
      <c r="Q12" s="59" t="str">
        <f>IF(A12="","",IF(COUNTIF(P12,"&gt;0")=1,IF(P12="","",IF(INDEX(Barème!$B$2:$CV$2,1,P12)="","hors code",INDEX(Barème!$B$2:$CV$2,1,P12))),""))</f>
        <v/>
      </c>
      <c r="R12" s="54">
        <f t="shared" si="1"/>
        <v>0.35416666666666702</v>
      </c>
      <c r="T12" s="36"/>
    </row>
    <row r="13" spans="1:23" s="55" customFormat="1" ht="22.5" customHeight="1" x14ac:dyDescent="0.45">
      <c r="A13" s="64" t="s">
        <v>19</v>
      </c>
      <c r="B13" s="63"/>
      <c r="C13" s="49" t="str">
        <f t="shared" si="0"/>
        <v/>
      </c>
      <c r="D13" s="58"/>
      <c r="E13" s="59" t="str">
        <f>IF(A13="","",IF(COUNTIF(D13,"&gt;0")=1,IF(D13="","",IF(INDEX(Barème!$B$2:$CV$2,1,D13)="","hors code",INDEX(Barème!$B$2:$CV$2,1,D13))),""))</f>
        <v/>
      </c>
      <c r="F13" s="60"/>
      <c r="G13" s="59" t="str">
        <f>IF(A13="","",IF(COUNTIF(F13,"&gt;0")=1,IF(F13="","",IF(INDEX(Barème!$B$2:$CV$2,1,F13)="","hors code",INDEX(Barème!$B$2:$CV$2,1,F13))),""))</f>
        <v/>
      </c>
      <c r="H13" s="61"/>
      <c r="I13" s="59" t="str">
        <f>IF(A13="","",IF(COUNTIF(H13,"&gt;0")=1,IF(H13="","",IF(INDEX(Barème!$B$2:$CV$2,1,H13)="","hors code",INDEX(Barème!$B$2:$CV$2,1,H13))),""))</f>
        <v/>
      </c>
      <c r="J13" s="61"/>
      <c r="K13" s="59" t="str">
        <f>IF(A13="","",IF(COUNTIF(J13,"&gt;0")=1,IF(J13="","",IF(INDEX(Barème!$B$2:$CV$2,1,J13)="","hors code",INDEX(Barème!$B$2:$CV$2,1,J13))),""))</f>
        <v/>
      </c>
      <c r="L13" s="61"/>
      <c r="M13" s="59" t="str">
        <f>IF(A13="","",IF(COUNTIF(L13,"&gt;0")=1,IF(L13="","",IF(INDEX(Barème!$B$2:$CV$2,1,L13)="","hors code",INDEX(Barème!$B$2:$CV$2,1,L13))),""))</f>
        <v/>
      </c>
      <c r="N13" s="61">
        <v>6</v>
      </c>
      <c r="O13" s="59">
        <f>IF(A13="","",IF(COUNTIF(N13,"&gt;0")=1,IF(N13="","",IF(INDEX(Barème!$B$2:$CV$2,1,N13)="","hors code",INDEX(Barème!$B$2:$CV$2,1,N13))),""))</f>
        <v>0.35416666666666702</v>
      </c>
      <c r="P13" s="61"/>
      <c r="Q13" s="59" t="str">
        <f>IF(A13="","",IF(COUNTIF(P13,"&gt;0")=1,IF(P13="","",IF(INDEX(Barème!$B$2:$CV$2,1,P13)="","hors code",INDEX(Barème!$B$2:$CV$2,1,P13))),""))</f>
        <v/>
      </c>
      <c r="R13" s="54">
        <f t="shared" si="1"/>
        <v>0.35416666666666702</v>
      </c>
      <c r="T13" s="36"/>
      <c r="U13" s="65"/>
      <c r="V13" s="66"/>
      <c r="W13" s="67"/>
    </row>
    <row r="14" spans="1:23" s="55" customFormat="1" ht="22.5" customHeight="1" x14ac:dyDescent="0.4">
      <c r="A14" s="56" t="s">
        <v>20</v>
      </c>
      <c r="B14" s="68">
        <v>55</v>
      </c>
      <c r="C14" s="49">
        <f t="shared" si="0"/>
        <v>0.96250000000000013</v>
      </c>
      <c r="D14" s="58"/>
      <c r="E14" s="59" t="str">
        <f>IF(A14="","",IF(COUNTIF(D14,"&gt;0")=1,IF(D14="","",IF(INDEX(Barème!$B$2:$CV$2,1,D14)="","hors code",INDEX(Barème!$B$2:$CV$2,1,D14))),""))</f>
        <v/>
      </c>
      <c r="F14" s="60"/>
      <c r="G14" s="59" t="str">
        <f>IF(A14="","",IF(COUNTIF(F14,"&gt;0")=1,IF(F14="","",IF(INDEX(Barème!$B$2:$CV$2,1,F14)="","hors code",INDEX(Barème!$B$2:$CV$2,1,F14))),""))</f>
        <v/>
      </c>
      <c r="H14" s="61">
        <v>15</v>
      </c>
      <c r="I14" s="59">
        <f>IF(A14="","",IF(COUNTIF(H14,"&gt;0")=1,IF(H14="","",IF(INDEX(Barème!$B$2:$CV$2,1,H14)="","hors code",INDEX(Barème!$B$2:$CV$2,1,H14))),""))</f>
        <v>0.35416666666666702</v>
      </c>
      <c r="J14" s="61">
        <v>15</v>
      </c>
      <c r="K14" s="59">
        <f>IF(A14="","",IF(COUNTIF(J14,"&gt;0")=1,IF(J14="","",IF(INDEX(Barème!$B$2:$CV$2,1,J14)="","hors code",INDEX(Barème!$B$2:$CV$2,1,J14))),""))</f>
        <v>0.35416666666666702</v>
      </c>
      <c r="L14" s="61">
        <v>13</v>
      </c>
      <c r="M14" s="59">
        <f>IF(A14="","",IF(COUNTIF(L14,"&gt;0")=1,IF(L14="","",IF(INDEX(Barème!$B$2:$CV$2,1,L14)="","hors code",INDEX(Barème!$B$2:$CV$2,1,L14))),""))</f>
        <v>0.30208333333333298</v>
      </c>
      <c r="N14" s="61"/>
      <c r="O14" s="59" t="str">
        <f>IF(A14="","",IF(COUNTIF(N14,"&gt;0")=1,IF(N14="","",IF(INDEX(Barème!$B$2:$CV$2,1,N14)="","hors code",INDEX(Barème!$B$2:$CV$2,1,N14))),""))</f>
        <v/>
      </c>
      <c r="P14" s="61">
        <v>14</v>
      </c>
      <c r="Q14" s="59">
        <f>IF(A14="","",IF(COUNTIF(P14,"&gt;0")=1,IF(P14="","",IF(INDEX(Barème!$B$2:$CV$2,1,P14)="","hors code",INDEX(Barème!$B$2:$CV$2,1,P14))),""))</f>
        <v>0.33333333333333298</v>
      </c>
      <c r="R14" s="54">
        <f t="shared" si="1"/>
        <v>1.34375</v>
      </c>
      <c r="T14" s="36"/>
    </row>
    <row r="15" spans="1:23" s="55" customFormat="1" ht="22.5" customHeight="1" x14ac:dyDescent="0.4">
      <c r="A15" s="69"/>
      <c r="B15" s="68"/>
      <c r="C15" s="49" t="str">
        <f t="shared" si="0"/>
        <v/>
      </c>
      <c r="D15" s="58"/>
      <c r="E15" s="59" t="str">
        <f>IF(A15="","",IF(COUNTIF(D15,"&gt;0")=1,IF(D15="","",IF(INDEX(Barème!$B$2:$CV$2,1,D15)="","hors code",INDEX(Barème!$B$2:$CV$2,1,D15))),""))</f>
        <v/>
      </c>
      <c r="F15" s="60"/>
      <c r="G15" s="59" t="str">
        <f>IF(A15="","",IF(COUNTIF(F15,"&gt;0")=1,IF(F15="","",IF(INDEX(Barème!$B$2:$CV$2,1,F15)="","hors code",INDEX(Barème!$B$2:$CV$2,1,F15))),""))</f>
        <v/>
      </c>
      <c r="H15" s="61"/>
      <c r="I15" s="59" t="str">
        <f>IF(A15="","",IF(COUNTIF(H15,"&gt;0")=1,IF(H15="","",IF(INDEX(Barème!$B$2:$CV$2,1,H15)="","hors code",INDEX(Barème!$B$2:$CV$2,1,H15))),""))</f>
        <v/>
      </c>
      <c r="J15" s="61"/>
      <c r="K15" s="59" t="str">
        <f>IF(A15="","",IF(COUNTIF(J15,"&gt;0")=1,IF(J15="","",IF(INDEX(Barème!$B$2:$CV$2,1,J15)="","hors code",INDEX(Barème!$B$2:$CV$2,1,J15))),""))</f>
        <v/>
      </c>
      <c r="L15" s="61"/>
      <c r="M15" s="59" t="str">
        <f>IF(A15="","",IF(COUNTIF(L15,"&gt;0")=1,IF(L15="","",IF(INDEX(Barème!$B$2:$CV$2,1,L15)="","hors code",INDEX(Barème!$B$2:$CV$2,1,L15))),""))</f>
        <v/>
      </c>
      <c r="N15" s="61"/>
      <c r="O15" s="59" t="str">
        <f>IF(A15="","",IF(COUNTIF(N15,"&gt;0")=1,IF(N15="","",IF(INDEX(Barème!$B$2:$CV$2,1,N15)="","hors code",INDEX(Barème!$B$2:$CV$2,1,N15))),""))</f>
        <v/>
      </c>
      <c r="P15" s="61"/>
      <c r="Q15" s="59" t="str">
        <f>IF(A15="","",IF(COUNTIF(P15,"&gt;0")=1,IF(P15="","",IF(INDEX(Barème!$B$2:$CV$2,1,P15)="","hors code",INDEX(Barème!$B$2:$CV$2,1,P15))),""))</f>
        <v/>
      </c>
      <c r="R15" s="54" t="str">
        <f t="shared" si="1"/>
        <v/>
      </c>
      <c r="T15" s="36"/>
    </row>
    <row r="16" spans="1:23" s="55" customFormat="1" ht="22.5" customHeight="1" x14ac:dyDescent="0.4">
      <c r="A16" s="64"/>
      <c r="B16" s="63"/>
      <c r="C16" s="49" t="str">
        <f t="shared" si="0"/>
        <v/>
      </c>
      <c r="D16" s="58"/>
      <c r="E16" s="59" t="str">
        <f>IF(A16="","",IF(COUNTIF(D16,"&gt;0")=1,IF(D16="","",IF(INDEX(Barème!$B$2:$CV$2,1,D16)="","hors code",INDEX(Barème!$B$2:$CV$2,1,D16))),""))</f>
        <v/>
      </c>
      <c r="F16" s="60"/>
      <c r="G16" s="59" t="str">
        <f>IF(A16="","",IF(COUNTIF(F16,"&gt;0")=1,IF(F16="","",IF(INDEX(Barème!$B$2:$CV$2,1,F16)="","hors code",INDEX(Barème!$B$2:$CV$2,1,F16))),""))</f>
        <v/>
      </c>
      <c r="H16" s="61"/>
      <c r="I16" s="59" t="str">
        <f>IF(A16="","",IF(COUNTIF(H16,"&gt;0")=1,IF(H16="","",IF(INDEX(Barème!$B$2:$CV$2,1,H16)="","hors code",INDEX(Barème!$B$2:$CV$2,1,H16))),""))</f>
        <v/>
      </c>
      <c r="J16" s="61"/>
      <c r="K16" s="59" t="str">
        <f>IF(A16="","",IF(COUNTIF(J16,"&gt;0")=1,IF(J16="","",IF(INDEX(Barème!$B$2:$CV$2,1,J16)="","hors code",INDEX(Barème!$B$2:$CV$2,1,J16))),""))</f>
        <v/>
      </c>
      <c r="L16" s="61"/>
      <c r="M16" s="59" t="str">
        <f>IF(A16="","",IF(COUNTIF(L16,"&gt;0")=1,IF(L16="","",IF(INDEX(Barème!$B$2:$CV$2,1,L16)="","hors code",INDEX(Barème!$B$2:$CV$2,1,L16))),""))</f>
        <v/>
      </c>
      <c r="N16" s="61"/>
      <c r="O16" s="59" t="str">
        <f>IF(A16="","",IF(COUNTIF(N16,"&gt;0")=1,IF(N16="","",IF(INDEX(Barème!$B$2:$CV$2,1,N16)="","hors code",INDEX(Barème!$B$2:$CV$2,1,N16))),""))</f>
        <v/>
      </c>
      <c r="P16" s="61"/>
      <c r="Q16" s="59" t="str">
        <f>IF(A16="","",IF(COUNTIF(P16,"&gt;0")=1,IF(P16="","",IF(INDEX(Barème!$B$2:$CV$2,1,P16)="","hors code",INDEX(Barème!$B$2:$CV$2,1,P16))),""))</f>
        <v/>
      </c>
      <c r="R16" s="54" t="str">
        <f t="shared" si="1"/>
        <v/>
      </c>
      <c r="T16" s="36"/>
      <c r="W16" s="70"/>
    </row>
    <row r="17" spans="1:31" s="55" customFormat="1" ht="22.5" customHeight="1" x14ac:dyDescent="0.4">
      <c r="A17" s="64"/>
      <c r="B17" s="68"/>
      <c r="C17" s="49" t="str">
        <f t="shared" si="0"/>
        <v/>
      </c>
      <c r="D17" s="71"/>
      <c r="E17" s="59" t="str">
        <f>IF(A17="","",IF(COUNTIF(D17,"&gt;0")=1,IF(D17="","",IF(INDEX(Barème!$B$2:$CV$2,1,D17)="","hors code",INDEX(Barème!$B$2:$CV$2,1,D17))),""))</f>
        <v/>
      </c>
      <c r="F17" s="60"/>
      <c r="G17" s="59" t="str">
        <f>IF(A17="","",IF(COUNTIF(F17,"&gt;0")=1,IF(F17="","",IF(INDEX(Barème!$B$2:$CV$2,1,F17)="","hors code",INDEX(Barème!$B$2:$CV$2,1,F17))),""))</f>
        <v/>
      </c>
      <c r="H17" s="61"/>
      <c r="I17" s="59" t="str">
        <f>IF(A17="","",IF(COUNTIF(H17,"&gt;0")=1,IF(H17="","",IF(INDEX(Barème!$B$2:$CV$2,1,H17)="","hors code",INDEX(Barème!$B$2:$CV$2,1,H17))),""))</f>
        <v/>
      </c>
      <c r="J17" s="61"/>
      <c r="K17" s="59" t="str">
        <f>IF(A17="","",IF(COUNTIF(J17,"&gt;0")=1,IF(J17="","",IF(INDEX(Barème!$B$2:$CV$2,1,J17)="","hors code",INDEX(Barème!$B$2:$CV$2,1,J17))),""))</f>
        <v/>
      </c>
      <c r="L17" s="61"/>
      <c r="M17" s="59" t="str">
        <f>IF(A17="","",IF(COUNTIF(L17,"&gt;0")=1,IF(L17="","",IF(INDEX(Barème!$B$2:$CV$2,1,L17)="","hors code",INDEX(Barème!$B$2:$CV$2,1,L17))),""))</f>
        <v/>
      </c>
      <c r="N17" s="61"/>
      <c r="O17" s="59" t="str">
        <f>IF(A17="","",IF(COUNTIF(N17,"&gt;0")=1,IF(N17="","",IF(INDEX(Barème!$B$2:$CV$2,1,N17)="","hors code",INDEX(Barème!$B$2:$CV$2,1,N17))),""))</f>
        <v/>
      </c>
      <c r="P17" s="61"/>
      <c r="Q17" s="59" t="str">
        <f>IF(A17="","",IF(COUNTIF(P17,"&gt;0")=1,IF(P17="","",IF(INDEX(Barème!$B$2:$CV$2,1,P17)="","hors code",INDEX(Barème!$B$2:$CV$2,1,P17))),""))</f>
        <v/>
      </c>
      <c r="R17" s="54" t="str">
        <f t="shared" si="1"/>
        <v/>
      </c>
      <c r="T17" s="36"/>
    </row>
    <row r="18" spans="1:31" s="55" customFormat="1" ht="22.5" customHeight="1" x14ac:dyDescent="0.4">
      <c r="A18" s="62"/>
      <c r="B18" s="68"/>
      <c r="C18" s="49" t="str">
        <f t="shared" si="0"/>
        <v/>
      </c>
      <c r="D18" s="58"/>
      <c r="E18" s="59" t="str">
        <f>IF(A18="","",IF(COUNTIF(D18,"&gt;0")=1,IF(D18="","",IF(INDEX(Barème!$B$2:$CV$2,1,D18)="","hors code",INDEX(Barème!$B$2:$CV$2,1,D18))),""))</f>
        <v/>
      </c>
      <c r="F18" s="60"/>
      <c r="G18" s="59" t="str">
        <f>IF(A18="","",IF(COUNTIF(F18,"&gt;0")=1,IF(F18="","",IF(INDEX(Barème!$B$2:$CV$2,1,F18)="","hors code",INDEX(Barème!$B$2:$CV$2,1,F18))),""))</f>
        <v/>
      </c>
      <c r="H18" s="61"/>
      <c r="I18" s="59" t="str">
        <f>IF(A18="","",IF(COUNTIF(H18,"&gt;0")=1,IF(H18="","",IF(INDEX(Barème!$B$2:$CV$2,1,H18)="","hors code",INDEX(Barème!$B$2:$CV$2,1,H18))),""))</f>
        <v/>
      </c>
      <c r="J18" s="61"/>
      <c r="K18" s="59" t="str">
        <f>IF(A18="","",IF(COUNTIF(J18,"&gt;0")=1,IF(J18="","",IF(INDEX(Barème!$B$2:$CV$2,1,J18)="","hors code",INDEX(Barème!$B$2:$CV$2,1,J18))),""))</f>
        <v/>
      </c>
      <c r="L18" s="61"/>
      <c r="M18" s="59" t="str">
        <f>IF(A18="","",IF(COUNTIF(L18,"&gt;0")=1,IF(L18="","",IF(INDEX(Barème!$B$2:$CV$2,1,L18)="","hors code",INDEX(Barème!$B$2:$CV$2,1,L18))),""))</f>
        <v/>
      </c>
      <c r="N18" s="61"/>
      <c r="O18" s="59" t="str">
        <f>IF(A18="","",IF(COUNTIF(N18,"&gt;0")=1,IF(N18="","",IF(INDEX(Barème!$B$2:$CV$2,1,N18)="","hors code",INDEX(Barème!$B$2:$CV$2,1,N18))),""))</f>
        <v/>
      </c>
      <c r="P18" s="61"/>
      <c r="Q18" s="59" t="str">
        <f>IF(A18="","",IF(COUNTIF(P18,"&gt;0")=1,IF(P18="","",IF(INDEX(Barème!$B$2:$CV$2,1,P18)="","hors code",INDEX(Barème!$B$2:$CV$2,1,P18))),""))</f>
        <v/>
      </c>
      <c r="R18" s="54" t="str">
        <f t="shared" si="1"/>
        <v/>
      </c>
      <c r="T18" s="36"/>
    </row>
    <row r="19" spans="1:31" s="55" customFormat="1" ht="22.5" customHeight="1" x14ac:dyDescent="0.4">
      <c r="A19" s="56"/>
      <c r="B19" s="68"/>
      <c r="C19" s="49" t="str">
        <f t="shared" si="0"/>
        <v/>
      </c>
      <c r="D19" s="58"/>
      <c r="E19" s="59" t="str">
        <f>IF(A19="","",IF(COUNTIF(D19,"&gt;0")=1,IF(D19="","",IF(INDEX(Barème!$B$2:$CV$2,1,D19)="","hors code",INDEX(Barème!$B$2:$CV$2,1,D19))),""))</f>
        <v/>
      </c>
      <c r="F19" s="61"/>
      <c r="G19" s="59" t="str">
        <f>IF(A19="","",IF(COUNTIF(F19,"&gt;0")=1,IF(F19="","",IF(INDEX(Barème!$B$2:$CV$2,1,F19)="","hors code",INDEX(Barème!$B$2:$CV$2,1,F19))),""))</f>
        <v/>
      </c>
      <c r="H19" s="61"/>
      <c r="I19" s="59" t="str">
        <f>IF(A19="","",IF(COUNTIF(H19,"&gt;0")=1,IF(H19="","",IF(INDEX(Barème!$B$2:$CV$2,1,H19)="","hors code",INDEX(Barème!$B$2:$CV$2,1,H19))),""))</f>
        <v/>
      </c>
      <c r="J19" s="61"/>
      <c r="K19" s="59" t="str">
        <f>IF(A19="","",IF(COUNTIF(J19,"&gt;0")=1,IF(J19="","",IF(INDEX(Barème!$B$2:$CV$2,1,J19)="","hors code",INDEX(Barème!$B$2:$CV$2,1,J19))),""))</f>
        <v/>
      </c>
      <c r="L19" s="61"/>
      <c r="M19" s="59" t="str">
        <f>IF(A19="","",IF(COUNTIF(L19,"&gt;0")=1,IF(L19="","",IF(INDEX(Barème!$B$2:$CV$2,1,L19)="","hors code",INDEX(Barème!$B$2:$CV$2,1,L19))),""))</f>
        <v/>
      </c>
      <c r="N19" s="61"/>
      <c r="O19" s="59" t="str">
        <f>IF(A19="","",IF(COUNTIF(N19,"&gt;0")=1,IF(N19="","",IF(INDEX(Barème!$B$2:$CV$2,1,N19)="","hors code",INDEX(Barème!$B$2:$CV$2,1,N19))),""))</f>
        <v/>
      </c>
      <c r="P19" s="61"/>
      <c r="Q19" s="59" t="str">
        <f>IF(A19="","",IF(COUNTIF(P19,"&gt;0")=1,IF(P19="","",IF(INDEX(Barème!$B$2:$CV$2,1,P19)="","hors code",INDEX(Barème!$B$2:$CV$2,1,P19))),""))</f>
        <v/>
      </c>
      <c r="R19" s="54" t="str">
        <f t="shared" si="1"/>
        <v/>
      </c>
      <c r="T19" s="36"/>
      <c r="AA19" s="55" t="s">
        <v>21</v>
      </c>
      <c r="AE19" s="72"/>
    </row>
    <row r="20" spans="1:31" s="55" customFormat="1" ht="22.5" customHeight="1" x14ac:dyDescent="0.4">
      <c r="A20" s="73"/>
      <c r="B20" s="68"/>
      <c r="C20" s="49" t="str">
        <f t="shared" si="0"/>
        <v/>
      </c>
      <c r="D20" s="58"/>
      <c r="E20" s="59" t="str">
        <f>IF(A20="","",IF(COUNTIF(D20,"&gt;0")=1,IF(D20="","",IF(INDEX(Barème!$B$2:$CV$2,1,D20)="","hors code",INDEX(Barème!$B$2:$CV$2,1,D20))),""))</f>
        <v/>
      </c>
      <c r="F20" s="60"/>
      <c r="G20" s="59" t="str">
        <f>IF(A20="","",IF(COUNTIF(F20,"&gt;0")=1,IF(F20="","",IF(INDEX(Barème!$B$2:$CV$2,1,F20)="","hors code",INDEX(Barème!$B$2:$CV$2,1,F20))),""))</f>
        <v/>
      </c>
      <c r="H20" s="61"/>
      <c r="I20" s="59" t="str">
        <f>IF(A20="","",IF(COUNTIF(H20,"&gt;0")=1,IF(H20="","",IF(INDEX(Barème!$B$2:$CV$2,1,H20)="","hors code",INDEX(Barème!$B$2:$CV$2,1,H20))),""))</f>
        <v/>
      </c>
      <c r="J20" s="61"/>
      <c r="K20" s="59" t="str">
        <f>IF(A20="","",IF(COUNTIF(J20,"&gt;0")=1,IF(J20="","",IF(INDEX(Barème!$B$2:$CV$2,1,J20)="","hors code",INDEX(Barème!$B$2:$CV$2,1,J20))),""))</f>
        <v/>
      </c>
      <c r="L20" s="61"/>
      <c r="M20" s="59" t="str">
        <f>IF(A20="","",IF(COUNTIF(L20,"&gt;0")=1,IF(L20="","",IF(INDEX(Barème!$B$2:$CV$2,1,L20)="","hors code",INDEX(Barème!$B$2:$CV$2,1,L20))),""))</f>
        <v/>
      </c>
      <c r="N20" s="61"/>
      <c r="O20" s="59" t="str">
        <f>IF(A20="","",IF(COUNTIF(N20,"&gt;0")=1,IF(N20="","",IF(INDEX(Barème!$B$2:$CV$2,1,N20)="","hors code",INDEX(Barème!$B$2:$CV$2,1,N20))),""))</f>
        <v/>
      </c>
      <c r="P20" s="61"/>
      <c r="Q20" s="59" t="str">
        <f>IF(A20="","",IF(COUNTIF(P20,"&gt;0")=1,IF(P20="","",IF(INDEX(Barème!$B$2:$CV$2,1,P20)="","hors code",INDEX(Barème!$B$2:$CV$2,1,P20))),""))</f>
        <v/>
      </c>
      <c r="R20" s="54" t="str">
        <f t="shared" si="1"/>
        <v/>
      </c>
      <c r="T20" s="36"/>
    </row>
    <row r="21" spans="1:31" s="55" customFormat="1" ht="22.5" customHeight="1" x14ac:dyDescent="0.4">
      <c r="A21" s="64"/>
      <c r="B21" s="68"/>
      <c r="C21" s="49" t="str">
        <f t="shared" si="0"/>
        <v/>
      </c>
      <c r="D21" s="58"/>
      <c r="E21" s="59" t="str">
        <f>IF(A21="","",IF(COUNTIF(D21,"&gt;0")=1,IF(D21="","",IF(INDEX(Barème!$B$2:$CV$2,1,D21)="","hors code",INDEX(Barème!$B$2:$CV$2,1,D21))),""))</f>
        <v/>
      </c>
      <c r="F21" s="60"/>
      <c r="G21" s="59" t="str">
        <f>IF(A21="","",IF(COUNTIF(F21,"&gt;0")=1,IF(F21="","",IF(INDEX(Barème!$B$2:$CV$2,1,F21)="","hors code",INDEX(Barème!$B$2:$CV$2,1,F21))),""))</f>
        <v/>
      </c>
      <c r="H21" s="61"/>
      <c r="I21" s="59" t="str">
        <f>IF(A21="","",IF(COUNTIF(H21,"&gt;0")=1,IF(H21="","",IF(INDEX(Barème!$B$2:$CV$2,1,H21)="","hors code",INDEX(Barème!$B$2:$CV$2,1,H21))),""))</f>
        <v/>
      </c>
      <c r="J21" s="61"/>
      <c r="K21" s="59" t="str">
        <f>IF(A21="","",IF(COUNTIF(J21,"&gt;0")=1,IF(J21="","",IF(INDEX(Barème!$B$2:$CV$2,1,J21)="","hors code",INDEX(Barème!$B$2:$CV$2,1,J21))),""))</f>
        <v/>
      </c>
      <c r="L21" s="61"/>
      <c r="M21" s="59" t="str">
        <f>IF(A21="","",IF(COUNTIF(L21,"&gt;0")=1,IF(L21="","",IF(INDEX(Barème!$B$2:$CV$2,1,L21)="","hors code",INDEX(Barème!$B$2:$CV$2,1,L21))),""))</f>
        <v/>
      </c>
      <c r="N21" s="60"/>
      <c r="O21" s="59" t="str">
        <f>IF(A21="","",IF(COUNTIF(N21,"&gt;0")=1,IF(N21="","",IF(INDEX(Barème!$B$2:$CV$2,1,N21)="","hors code",INDEX(Barème!$B$2:$CV$2,1,N21))),""))</f>
        <v/>
      </c>
      <c r="P21" s="60"/>
      <c r="Q21" s="59" t="str">
        <f>IF(A21="","",IF(COUNTIF(P21,"&gt;0")=1,IF(P21="","",IF(INDEX(Barème!$B$2:$CV$2,1,P21)="","hors code",INDEX(Barème!$B$2:$CV$2,1,P21))),""))</f>
        <v/>
      </c>
      <c r="R21" s="54" t="str">
        <f t="shared" si="1"/>
        <v/>
      </c>
      <c r="T21" s="36"/>
    </row>
    <row r="22" spans="1:31" s="55" customFormat="1" ht="22.5" customHeight="1" x14ac:dyDescent="0.4">
      <c r="A22" s="64"/>
      <c r="B22" s="68"/>
      <c r="C22" s="49" t="str">
        <f t="shared" si="0"/>
        <v/>
      </c>
      <c r="D22" s="58"/>
      <c r="E22" s="59" t="str">
        <f>IF(A22="","",IF(COUNTIF(D22,"&gt;0")=1,IF(D22="","",IF(INDEX(Barème!$B$2:$CV$2,1,D22)="","hors code",INDEX(Barème!$B$2:$CV$2,1,D22))),""))</f>
        <v/>
      </c>
      <c r="F22" s="60"/>
      <c r="G22" s="59" t="str">
        <f>IF(A22="","",IF(COUNTIF(F22,"&gt;0")=1,IF(F22="","",IF(INDEX(Barème!$B$2:$CV$2,1,F22)="","hors code",INDEX(Barème!$B$2:$CV$2,1,F22))),""))</f>
        <v/>
      </c>
      <c r="H22" s="61"/>
      <c r="I22" s="59" t="str">
        <f>IF(A22="","",IF(COUNTIF(H22,"&gt;0")=1,IF(H22="","",IF(INDEX(Barème!$B$2:$CV$2,1,H22)="","hors code",INDEX(Barème!$B$2:$CV$2,1,H22))),""))</f>
        <v/>
      </c>
      <c r="J22" s="61"/>
      <c r="K22" s="59" t="str">
        <f>IF(A22="","",IF(COUNTIF(J22,"&gt;0")=1,IF(J22="","",IF(INDEX(Barème!$B$2:$CV$2,1,J22)="","hors code",INDEX(Barème!$B$2:$CV$2,1,J22))),""))</f>
        <v/>
      </c>
      <c r="L22" s="61"/>
      <c r="M22" s="59" t="str">
        <f>IF(A22="","",IF(COUNTIF(L22,"&gt;0")=1,IF(L22="","",IF(INDEX(Barème!$B$2:$CV$2,1,L22)="","hors code",INDEX(Barème!$B$2:$CV$2,1,L22))),""))</f>
        <v/>
      </c>
      <c r="N22" s="61"/>
      <c r="O22" s="59" t="str">
        <f>IF(A22="","",IF(COUNTIF(N22,"&gt;0")=1,IF(N22="","",IF(INDEX(Barème!$B$2:$CV$2,1,N22)="","hors code",INDEX(Barème!$B$2:$CV$2,1,N22))),""))</f>
        <v/>
      </c>
      <c r="P22" s="61"/>
      <c r="Q22" s="59" t="str">
        <f>IF(A22="","",IF(COUNTIF(P22,"&gt;0")=1,IF(P22="","",IF(INDEX(Barème!$B$2:$CV$2,1,P22)="","hors code",INDEX(Barème!$B$2:$CV$2,1,P22))),""))</f>
        <v/>
      </c>
      <c r="R22" s="54" t="str">
        <f t="shared" si="1"/>
        <v/>
      </c>
      <c r="T22" s="36"/>
      <c r="X22" s="55" t="s">
        <v>21</v>
      </c>
    </row>
    <row r="23" spans="1:31" s="55" customFormat="1" ht="22.5" customHeight="1" x14ac:dyDescent="0.4">
      <c r="A23" s="64"/>
      <c r="B23" s="68"/>
      <c r="C23" s="49" t="str">
        <f t="shared" si="0"/>
        <v/>
      </c>
      <c r="D23" s="58"/>
      <c r="E23" s="59" t="str">
        <f>IF(A23="","",IF(COUNTIF(D23,"&gt;0")=1,IF(D23="","",IF(INDEX(Barème!$B$2:$CV$2,1,D23)="","hors code",INDEX(Barème!$B$2:$CV$2,1,D23))),""))</f>
        <v/>
      </c>
      <c r="F23" s="60"/>
      <c r="G23" s="59" t="str">
        <f>IF(A23="","",IF(COUNTIF(F23,"&gt;0")=1,IF(F23="","",IF(INDEX(Barème!$B$2:$CV$2,1,F23)="","hors code",INDEX(Barème!$B$2:$CV$2,1,F23))),""))</f>
        <v/>
      </c>
      <c r="H23" s="61"/>
      <c r="I23" s="59" t="str">
        <f>IF(A23="","",IF(COUNTIF(H23,"&gt;0")=1,IF(H23="","",IF(INDEX(Barème!$B$2:$CV$2,1,H23)="","hors code",INDEX(Barème!$B$2:$CV$2,1,H23))),""))</f>
        <v/>
      </c>
      <c r="J23" s="61"/>
      <c r="K23" s="59" t="str">
        <f>IF(A23="","",IF(COUNTIF(J23,"&gt;0")=1,IF(J23="","",IF(INDEX(Barème!$B$2:$CV$2,1,J23)="","hors code",INDEX(Barème!$B$2:$CV$2,1,J23))),""))</f>
        <v/>
      </c>
      <c r="L23" s="60"/>
      <c r="M23" s="59" t="str">
        <f>IF(A23="","",IF(COUNTIF(L23,"&gt;0")=1,IF(L23="","",IF(INDEX(Barème!$B$2:$CV$2,1,L23)="","hors code",INDEX(Barème!$B$2:$CV$2,1,L23))),""))</f>
        <v/>
      </c>
      <c r="N23" s="61"/>
      <c r="O23" s="59" t="str">
        <f>IF(A23="","",IF(COUNTIF(N23,"&gt;0")=1,IF(N23="","",IF(INDEX(Barème!$B$2:$CV$2,1,N23)="","hors code",INDEX(Barème!$B$2:$CV$2,1,N23))),""))</f>
        <v/>
      </c>
      <c r="P23" s="61"/>
      <c r="Q23" s="59" t="str">
        <f>IF(A23="","",IF(COUNTIF(P23,"&gt;0")=1,IF(P23="","",IF(INDEX(Barème!$B$2:$CV$2,1,P23)="","hors code",INDEX(Barème!$B$2:$CV$2,1,P23))),""))</f>
        <v/>
      </c>
      <c r="R23" s="54" t="str">
        <f t="shared" si="1"/>
        <v/>
      </c>
      <c r="T23" s="36"/>
    </row>
    <row r="24" spans="1:31" s="55" customFormat="1" ht="22.5" customHeight="1" x14ac:dyDescent="0.4">
      <c r="A24" s="56"/>
      <c r="B24" s="68"/>
      <c r="C24" s="49" t="str">
        <f t="shared" si="0"/>
        <v/>
      </c>
      <c r="D24" s="58"/>
      <c r="E24" s="59" t="str">
        <f>IF(A24="","",IF(COUNTIF(D24,"&gt;0")=1,IF(D24="","",IF(INDEX(Barème!$B$2:$CV$2,1,D24)="","hors code",INDEX(Barème!$B$2:$CV$2,1,D24))),""))</f>
        <v/>
      </c>
      <c r="F24" s="60"/>
      <c r="G24" s="59" t="str">
        <f>IF(A24="","",IF(COUNTIF(F24,"&gt;0")=1,IF(F24="","",IF(INDEX(Barème!$B$2:$CV$2,1,F24)="","hors code",INDEX(Barème!$B$2:$CV$2,1,F24))),""))</f>
        <v/>
      </c>
      <c r="H24" s="61"/>
      <c r="I24" s="59" t="str">
        <f>IF(A24="","",IF(COUNTIF(H24,"&gt;0")=1,IF(H24="","",IF(INDEX(Barème!$B$2:$CV$2,1,H24)="","hors code",INDEX(Barème!$B$2:$CV$2,1,H24))),""))</f>
        <v/>
      </c>
      <c r="J24" s="61"/>
      <c r="K24" s="59" t="str">
        <f>IF(A24="","",IF(COUNTIF(J24,"&gt;0")=1,IF(J24="","",IF(INDEX(Barème!$B$2:$CV$2,1,J24)="","hors code",INDEX(Barème!$B$2:$CV$2,1,J24))),""))</f>
        <v/>
      </c>
      <c r="L24" s="61"/>
      <c r="M24" s="59" t="str">
        <f>IF(A24="","",IF(COUNTIF(L24,"&gt;0")=1,IF(L24="","",IF(INDEX(Barème!$B$2:$CV$2,1,L24)="","hors code",INDEX(Barème!$B$2:$CV$2,1,L24))),""))</f>
        <v/>
      </c>
      <c r="N24" s="61"/>
      <c r="O24" s="59" t="str">
        <f>IF(A24="","",IF(COUNTIF(N24,"&gt;0")=1,IF(N24="","",IF(INDEX(Barème!$B$2:$CV$2,1,N24)="","hors code",INDEX(Barème!$B$2:$CV$2,1,N24))),""))</f>
        <v/>
      </c>
      <c r="P24" s="61"/>
      <c r="Q24" s="59" t="str">
        <f>IF(A24="","",IF(COUNTIF(P24,"&gt;0")=1,IF(P24="","",IF(INDEX(Barème!$B$2:$CV$2,1,P24)="","hors code",INDEX(Barème!$B$2:$CV$2,1,P24))),""))</f>
        <v/>
      </c>
      <c r="R24" s="54" t="str">
        <f t="shared" si="1"/>
        <v/>
      </c>
    </row>
    <row r="25" spans="1:31" s="55" customFormat="1" ht="22.5" customHeight="1" x14ac:dyDescent="0.4">
      <c r="A25" s="64"/>
      <c r="B25" s="68"/>
      <c r="C25" s="49" t="str">
        <f t="shared" si="0"/>
        <v/>
      </c>
      <c r="D25" s="58"/>
      <c r="E25" s="59" t="str">
        <f>IF(A25="","",IF(COUNTIF(D25,"&gt;0")=1,IF(D25="","",IF(INDEX(Barème!$B$2:$CV$2,1,D25)="","hors code",INDEX(Barème!$B$2:$CV$2,1,D25))),""))</f>
        <v/>
      </c>
      <c r="F25" s="60"/>
      <c r="G25" s="59" t="str">
        <f>IF(A25="","",IF(COUNTIF(F25,"&gt;0")=1,IF(F25="","",IF(INDEX(Barème!$B$2:$CV$2,1,F25)="","hors code",INDEX(Barème!$B$2:$CV$2,1,F25))),""))</f>
        <v/>
      </c>
      <c r="H25" s="61"/>
      <c r="I25" s="59" t="str">
        <f>IF(A25="","",IF(COUNTIF(H25,"&gt;0")=1,IF(H25="","",IF(INDEX(Barème!$B$2:$CV$2,1,H25)="","hors code",INDEX(Barème!$B$2:$CV$2,1,H25))),""))</f>
        <v/>
      </c>
      <c r="J25" s="61"/>
      <c r="K25" s="59" t="str">
        <f>IF(A25="","",IF(COUNTIF(J25,"&gt;0")=1,IF(J25="","",IF(INDEX(Barème!$B$2:$CV$2,1,J25)="","hors code",INDEX(Barème!$B$2:$CV$2,1,J25))),""))</f>
        <v/>
      </c>
      <c r="L25" s="61"/>
      <c r="M25" s="59" t="str">
        <f>IF(A25="","",IF(COUNTIF(L25,"&gt;0")=1,IF(L25="","",IF(INDEX(Barème!$B$2:$CV$2,1,L25)="","hors code",INDEX(Barème!$B$2:$CV$2,1,L25))),""))</f>
        <v/>
      </c>
      <c r="N25" s="61"/>
      <c r="O25" s="59" t="str">
        <f>IF(A25="","",IF(COUNTIF(N25,"&gt;0")=1,IF(N25="","",IF(INDEX(Barème!$B$2:$CV$2,1,N25)="","hors code",INDEX(Barème!$B$2:$CV$2,1,N25))),""))</f>
        <v/>
      </c>
      <c r="P25" s="61"/>
      <c r="Q25" s="59" t="str">
        <f>IF(A25="","",IF(COUNTIF(P25,"&gt;0")=1,IF(P25="","",IF(INDEX(Barème!$B$2:$CV$2,1,P25)="","hors code",INDEX(Barème!$B$2:$CV$2,1,P25))),""))</f>
        <v/>
      </c>
      <c r="R25" s="54" t="str">
        <f t="shared" si="1"/>
        <v/>
      </c>
    </row>
    <row r="26" spans="1:31" s="55" customFormat="1" ht="22.5" customHeight="1" x14ac:dyDescent="0.4">
      <c r="A26" s="64" t="s">
        <v>22</v>
      </c>
      <c r="B26" s="74"/>
      <c r="C26" s="49" t="str">
        <f t="shared" si="0"/>
        <v/>
      </c>
      <c r="D26" s="58"/>
      <c r="E26" s="59" t="str">
        <f>IF(A26="","",IF(COUNTIF(D26,"&gt;0")=1,IF(D26="","",IF(INDEX(Barème!$B$2:$CV$2,1,D26)="","hors code",INDEX(Barème!$B$2:$CV$2,1,D26))),""))</f>
        <v/>
      </c>
      <c r="F26" s="60"/>
      <c r="G26" s="59" t="str">
        <f>IF(A26="","",IF(COUNTIF(F26,"&gt;0")=1,IF(F26="","",IF(INDEX(Barème!$B$2:$CV$2,1,F26)="","hors code",INDEX(Barème!$B$2:$CV$2,1,F26))),""))</f>
        <v/>
      </c>
      <c r="H26" s="61"/>
      <c r="I26" s="59" t="str">
        <f>IF(A26="","",IF(COUNTIF(H26,"&gt;0")=1,IF(H26="","",IF(INDEX(Barème!$B$2:$CV$2,1,H26)="","hors code",INDEX(Barème!$B$2:$CV$2,1,H26))),""))</f>
        <v/>
      </c>
      <c r="J26" s="61"/>
      <c r="K26" s="59" t="str">
        <f>IF(A26="","",IF(COUNTIF(J26,"&gt;0")=1,IF(J26="","",IF(INDEX(Barème!$B$2:$CV$2,1,J26)="","hors code",INDEX(Barème!$B$2:$CV$2,1,J26))),""))</f>
        <v/>
      </c>
      <c r="L26" s="61"/>
      <c r="M26" s="59" t="str">
        <f>IF(A26="","",IF(COUNTIF(L26,"&gt;0")=1,IF(L26="","",IF(INDEX(Barème!$B$2:$CV$2,1,L26)="","hors code",INDEX(Barème!$B$2:$CV$2,1,L26))),""))</f>
        <v/>
      </c>
      <c r="N26" s="61"/>
      <c r="O26" s="59" t="str">
        <f>IF(A26="","",IF(COUNTIF(N26,"&gt;0")=1,IF(N26="","",IF(INDEX(Barème!$B$2:$CV$2,1,N26)="","hors code",INDEX(Barème!$B$2:$CV$2,1,N26))),""))</f>
        <v/>
      </c>
      <c r="P26" s="61"/>
      <c r="Q26" s="59" t="str">
        <f>IF(A26="","",IF(COUNTIF(P26,"&gt;0")=1,IF(P26="","",IF(INDEX(Barème!$B$2:$CV$2,1,P26)="","hors code",INDEX(Barème!$B$2:$CV$2,1,P26))),""))</f>
        <v/>
      </c>
      <c r="R26" s="54" t="str">
        <f t="shared" si="1"/>
        <v/>
      </c>
    </row>
    <row r="27" spans="1:31" s="55" customFormat="1" ht="22.5" customHeight="1" x14ac:dyDescent="0.4">
      <c r="A27" s="75" t="s">
        <v>23</v>
      </c>
      <c r="B27" s="76"/>
      <c r="C27" s="76"/>
      <c r="D27" s="228">
        <f>SUM(E10:E26)</f>
        <v>0</v>
      </c>
      <c r="E27" s="228"/>
      <c r="F27" s="228">
        <f>SUM(G10:G26)</f>
        <v>0</v>
      </c>
      <c r="G27" s="228"/>
      <c r="H27" s="228">
        <f>SUM(I10:I26)</f>
        <v>0.70833333333333404</v>
      </c>
      <c r="I27" s="228"/>
      <c r="J27" s="228">
        <f>SUM(K10:K26)</f>
        <v>0.70833333333333404</v>
      </c>
      <c r="K27" s="228"/>
      <c r="L27" s="228">
        <f>SUM(M10:M26)</f>
        <v>0.30208333333333298</v>
      </c>
      <c r="M27" s="228"/>
      <c r="N27" s="228">
        <f>SUM(O10:O26)</f>
        <v>0.35416666666666702</v>
      </c>
      <c r="O27" s="228"/>
      <c r="P27" s="228">
        <f>SUM(Q10:Q26)</f>
        <v>0.33333333333333298</v>
      </c>
      <c r="Q27" s="228"/>
      <c r="R27" s="77">
        <f>SUM(R10:R26)</f>
        <v>2.4062500000000009</v>
      </c>
    </row>
    <row r="28" spans="1:31" s="55" customFormat="1" ht="9.75" customHeight="1" x14ac:dyDescent="0.4">
      <c r="A28" s="78"/>
      <c r="B28" s="78"/>
      <c r="C28" s="78"/>
      <c r="D28" s="79"/>
      <c r="E28" s="80" t="str">
        <f>IF(A28="","",IF(COUNTIF(D28,"&gt;0")=1,IF(D28="","",IF(INDEX(Barème!$B$2:$AA$2,1,D28)="","hors code",INDEX(Barème!$B$2:$AA$2,1,D28))),""))</f>
        <v/>
      </c>
      <c r="F28" s="81"/>
      <c r="G28" s="80" t="str">
        <f>IF(A28="","",IF(COUNTIF(F28,"&gt;0")=1,IF(F28="","",IF(INDEX(Barème!$B$2:$AA$2,1,F28)="","hors code",INDEX(Barème!$B$2:$AA$2,1,F28))),""))</f>
        <v/>
      </c>
      <c r="H28" s="82"/>
      <c r="I28" s="80" t="str">
        <f>IF(A28="","",IF(COUNTIF(H28,"&gt;0")=1,IF(H28="","",IF(INDEX(Barème!$B$2:$AA$2,1,H28)="","hors code",INDEX(Barème!$B$2:$AA$2,1,H28))),""))</f>
        <v/>
      </c>
      <c r="J28" s="82"/>
      <c r="K28" s="80" t="str">
        <f>IF(A28="","",IF(COUNTIF(J28,"&gt;0")=1,IF(J28="","",IF(INDEX(Barème!$B$2:$AA$2,1,J28)="","hors code",INDEX(Barème!$B$2:$AA$2,1,J28))),""))</f>
        <v/>
      </c>
      <c r="L28" s="82"/>
      <c r="M28" s="80" t="str">
        <f>IF(A28="","",IF(COUNTIF(L28,"&gt;0")=1,IF(L28="","",IF(INDEX(Barème!$B$2:$AA$2,1,L28)="","hors code",INDEX(Barème!$B$2:$AA$2,1,L28))),""))</f>
        <v/>
      </c>
      <c r="N28" s="82"/>
      <c r="O28" s="80" t="str">
        <f>IF(A28="","",IF(COUNTIF(N28,"&gt;0")=1,IF(N28="","",IF(INDEX(Barème!$B$2:$AA$2,1,N28)="","hors code",INDEX(Barème!$B$2:$AA$2,1,N28))),""))</f>
        <v/>
      </c>
      <c r="P28" s="80"/>
      <c r="Q28" s="80"/>
      <c r="R28" s="83" t="str">
        <f>IF(SUM(O28,M28,K28,I28,G28,E28)=0,"",SUM(O28,M28,K28,I28,G28,E28))</f>
        <v/>
      </c>
    </row>
    <row r="29" spans="1:31" s="55" customFormat="1" ht="18.600000000000001" x14ac:dyDescent="0.4">
      <c r="A29" s="78"/>
      <c r="B29" s="78"/>
      <c r="C29" s="78"/>
      <c r="D29" s="79"/>
      <c r="E29" s="80"/>
      <c r="F29" s="81"/>
      <c r="G29" s="80"/>
      <c r="H29" s="82"/>
      <c r="I29" s="80"/>
      <c r="J29" s="82"/>
      <c r="K29" s="80"/>
      <c r="L29" s="82"/>
      <c r="M29" s="80"/>
      <c r="N29" s="82"/>
      <c r="O29" s="80"/>
      <c r="P29" s="80"/>
      <c r="Q29" s="80"/>
      <c r="R29" s="83"/>
    </row>
    <row r="30" spans="1:31" s="55" customFormat="1" ht="18.600000000000001" x14ac:dyDescent="0.4">
      <c r="A30" s="78"/>
      <c r="B30" s="78"/>
      <c r="C30" s="78"/>
      <c r="D30" s="79"/>
      <c r="E30" s="80"/>
      <c r="F30" s="81"/>
      <c r="G30" s="80"/>
      <c r="H30" s="82"/>
      <c r="I30" s="80"/>
      <c r="J30" s="82"/>
      <c r="K30" s="80"/>
      <c r="L30" s="82"/>
      <c r="M30" s="80"/>
      <c r="N30" s="82"/>
      <c r="O30" s="80"/>
      <c r="P30" s="80"/>
      <c r="Q30" s="80"/>
      <c r="R30" s="83"/>
    </row>
    <row r="31" spans="1:31" s="55" customFormat="1" ht="18.600000000000001" x14ac:dyDescent="0.4">
      <c r="A31" s="78"/>
      <c r="B31" s="78"/>
      <c r="C31" s="78"/>
      <c r="D31" s="79"/>
      <c r="E31" s="80"/>
      <c r="F31" s="81"/>
      <c r="G31" s="80"/>
      <c r="H31" s="82"/>
      <c r="I31" s="80"/>
      <c r="J31" s="82"/>
      <c r="K31" s="80"/>
      <c r="L31" s="82"/>
      <c r="M31" s="80"/>
      <c r="N31" s="82"/>
      <c r="O31" s="80"/>
      <c r="P31" s="80"/>
      <c r="Q31" s="80"/>
      <c r="R31" s="83"/>
    </row>
    <row r="32" spans="1:31" s="55" customFormat="1" ht="18.600000000000001" x14ac:dyDescent="0.4">
      <c r="A32" s="78"/>
      <c r="B32" s="78"/>
      <c r="C32" s="78"/>
      <c r="D32" s="79"/>
      <c r="E32" s="80"/>
      <c r="F32" s="81"/>
      <c r="G32" s="80"/>
      <c r="H32" s="82"/>
      <c r="I32" s="80"/>
      <c r="J32" s="82"/>
      <c r="K32" s="80"/>
      <c r="L32" s="82"/>
      <c r="M32" s="80"/>
      <c r="N32" s="82"/>
      <c r="O32" s="80"/>
      <c r="P32" s="80"/>
      <c r="Q32" s="80"/>
      <c r="R32" s="83"/>
    </row>
    <row r="33" spans="1:18" s="55" customFormat="1" ht="12" customHeight="1" x14ac:dyDescent="0.4">
      <c r="A33" s="84"/>
      <c r="B33" s="84"/>
      <c r="C33" s="84"/>
      <c r="D33" s="84"/>
      <c r="E33" s="84"/>
      <c r="F33" s="84"/>
      <c r="G33" s="84"/>
      <c r="H33" s="84"/>
      <c r="I33" s="84"/>
      <c r="J33" s="84"/>
      <c r="K33" s="84"/>
      <c r="L33" s="84"/>
      <c r="M33" s="84"/>
      <c r="N33" s="84"/>
      <c r="O33" s="84"/>
      <c r="P33" s="84"/>
      <c r="Q33" s="84"/>
      <c r="R33" s="84"/>
    </row>
    <row r="34" spans="1:18" ht="32.4" x14ac:dyDescent="0.4">
      <c r="A34" s="84"/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</row>
    <row r="35" spans="1:18" ht="32.4" x14ac:dyDescent="0.4">
      <c r="A35" s="84"/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</row>
    <row r="36" spans="1:18" ht="24" customHeight="1" x14ac:dyDescent="0.4">
      <c r="A36" s="84"/>
      <c r="B36" s="84"/>
      <c r="C36" s="84"/>
      <c r="D36" s="84"/>
      <c r="E36" s="84"/>
      <c r="F36" s="84"/>
      <c r="G36" s="84"/>
      <c r="H36" s="84"/>
      <c r="I36" s="84"/>
      <c r="J36" s="84"/>
      <c r="K36" s="84"/>
      <c r="L36" s="84"/>
      <c r="M36" s="84"/>
      <c r="N36" s="84"/>
      <c r="O36" s="84"/>
      <c r="P36" s="84"/>
      <c r="Q36" s="84"/>
      <c r="R36" s="84"/>
    </row>
    <row r="37" spans="1:18" ht="18.600000000000001" x14ac:dyDescent="0.4">
      <c r="A37" s="78"/>
      <c r="B37" s="78"/>
      <c r="C37" s="78"/>
      <c r="D37" s="79"/>
      <c r="E37" s="80" t="str">
        <f>IF(A37="","",IF(COUNTIF(D37,"&gt;0")=1,IF(D37="","",IF(INDEX(Barème!$B$2:$AA$2,1,D37)="","hors code",INDEX(Barème!$B$2:$AA$2,1,D37))),""))</f>
        <v/>
      </c>
      <c r="F37" s="81"/>
      <c r="G37" s="80" t="str">
        <f>IF(A37="","",IF(COUNTIF(F37,"&gt;0")=1,IF(F37="","",IF(INDEX(Barème!$B$2:$AA$2,1,F37)="","hors code",INDEX(Barème!$B$2:$AA$2,1,F37))),""))</f>
        <v/>
      </c>
      <c r="H37" s="82"/>
      <c r="I37" s="80" t="str">
        <f>IF(A37="","",IF(COUNTIF(H37,"&gt;0")=1,IF(H37="","",IF(INDEX(Barème!$B$2:$AA$2,1,H37)="","hors code",INDEX(Barème!$B$2:$AA$2,1,H37))),""))</f>
        <v/>
      </c>
      <c r="J37" s="82"/>
      <c r="K37" s="80" t="str">
        <f>IF(A37="","",IF(COUNTIF(J37,"&gt;0")=1,IF(J37="","",IF(INDEX(Barème!$B$2:$AA$2,1,J37)="","hors code",INDEX(Barème!$B$2:$AA$2,1,J37))),""))</f>
        <v/>
      </c>
      <c r="L37" s="82"/>
      <c r="M37" s="80" t="str">
        <f>IF(A37="","",IF(COUNTIF(L37,"&gt;0")=1,IF(L37="","",IF(INDEX(Barème!$B$2:$AA$2,1,L37)="","hors code",INDEX(Barème!$B$2:$AA$2,1,L37))),""))</f>
        <v/>
      </c>
      <c r="N37" s="82"/>
      <c r="O37" s="80" t="str">
        <f>IF(A37="","",IF(COUNTIF(N37,"&gt;0")=1,IF(N37="","",IF(INDEX(Barème!$B$2:$AA$2,1,N37)="","hors code",INDEX(Barème!$B$2:$AA$2,1,N37))),""))</f>
        <v/>
      </c>
      <c r="P37" s="80"/>
      <c r="Q37" s="80"/>
      <c r="R37" s="83" t="str">
        <f>IF(SUM(O37,M37,K37,I37,G37,E37)=0,"",SUM(O37,M37,K37,I37,G37,E37))</f>
        <v/>
      </c>
    </row>
  </sheetData>
  <mergeCells count="17">
    <mergeCell ref="N27:O27"/>
    <mergeCell ref="P27:Q27"/>
    <mergeCell ref="D27:E27"/>
    <mergeCell ref="F27:G27"/>
    <mergeCell ref="H27:I27"/>
    <mergeCell ref="J27:K27"/>
    <mergeCell ref="L27:M27"/>
    <mergeCell ref="A2:R3"/>
    <mergeCell ref="H5:J5"/>
    <mergeCell ref="L5:N5"/>
    <mergeCell ref="D7:E7"/>
    <mergeCell ref="F7:G7"/>
    <mergeCell ref="H7:I7"/>
    <mergeCell ref="J7:K7"/>
    <mergeCell ref="L7:M7"/>
    <mergeCell ref="N7:O7"/>
    <mergeCell ref="P7:Q7"/>
  </mergeCells>
  <conditionalFormatting sqref="R26">
    <cfRule type="cellIs" dxfId="132" priority="2" operator="greaterThan">
      <formula>$C$26</formula>
    </cfRule>
  </conditionalFormatting>
  <conditionalFormatting sqref="R25">
    <cfRule type="cellIs" dxfId="131" priority="3" operator="greaterThan">
      <formula>$C$25</formula>
    </cfRule>
  </conditionalFormatting>
  <conditionalFormatting sqref="R24">
    <cfRule type="cellIs" dxfId="130" priority="4" operator="greaterThan">
      <formula>$C$24</formula>
    </cfRule>
  </conditionalFormatting>
  <conditionalFormatting sqref="R23">
    <cfRule type="cellIs" dxfId="129" priority="5" operator="greaterThan">
      <formula>$C$23</formula>
    </cfRule>
  </conditionalFormatting>
  <conditionalFormatting sqref="R22">
    <cfRule type="cellIs" dxfId="128" priority="6" operator="greaterThan">
      <formula>$C$22</formula>
    </cfRule>
  </conditionalFormatting>
  <conditionalFormatting sqref="R21">
    <cfRule type="cellIs" dxfId="127" priority="7" operator="greaterThan">
      <formula>$C$21</formula>
    </cfRule>
  </conditionalFormatting>
  <conditionalFormatting sqref="R20">
    <cfRule type="cellIs" dxfId="126" priority="8" operator="greaterThan">
      <formula>$C$20</formula>
    </cfRule>
  </conditionalFormatting>
  <conditionalFormatting sqref="R19">
    <cfRule type="cellIs" dxfId="125" priority="9" operator="greaterThan">
      <formula>$C$19</formula>
    </cfRule>
  </conditionalFormatting>
  <conditionalFormatting sqref="R18">
    <cfRule type="cellIs" dxfId="124" priority="10" operator="greaterThan">
      <formula>$C$18</formula>
    </cfRule>
  </conditionalFormatting>
  <conditionalFormatting sqref="R17">
    <cfRule type="cellIs" dxfId="123" priority="11" operator="greaterThan">
      <formula>$C$17</formula>
    </cfRule>
  </conditionalFormatting>
  <conditionalFormatting sqref="R16">
    <cfRule type="cellIs" dxfId="122" priority="12" operator="greaterThan">
      <formula>$C$16</formula>
    </cfRule>
  </conditionalFormatting>
  <conditionalFormatting sqref="R15">
    <cfRule type="cellIs" dxfId="121" priority="13" operator="greaterThan">
      <formula>$C$15</formula>
    </cfRule>
  </conditionalFormatting>
  <conditionalFormatting sqref="R14">
    <cfRule type="cellIs" dxfId="120" priority="14" operator="greaterThan">
      <formula>$C$14</formula>
    </cfRule>
  </conditionalFormatting>
  <conditionalFormatting sqref="R13">
    <cfRule type="cellIs" dxfId="119" priority="15" operator="greaterThan">
      <formula>$C$13</formula>
    </cfRule>
  </conditionalFormatting>
  <conditionalFormatting sqref="R12">
    <cfRule type="cellIs" dxfId="118" priority="16" operator="greaterThan">
      <formula>$C$12</formula>
    </cfRule>
  </conditionalFormatting>
  <conditionalFormatting sqref="R11">
    <cfRule type="cellIs" dxfId="117" priority="17" operator="greaterThan">
      <formula>$C$11</formula>
    </cfRule>
  </conditionalFormatting>
  <conditionalFormatting sqref="R10">
    <cfRule type="cellIs" dxfId="116" priority="18" operator="greaterThan">
      <formula>$C$10</formula>
    </cfRule>
  </conditionalFormatting>
  <pageMargins left="0.35416666666666702" right="0.27569444444444402" top="0.15763888888888899" bottom="0" header="0.511811023622047" footer="0.511811023622047"/>
  <pageSetup paperSize="9" scale="8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F37"/>
  <sheetViews>
    <sheetView zoomScale="81" zoomScaleNormal="81" zoomScalePageLayoutView="90" workbookViewId="0">
      <selection activeCell="T19" sqref="T19"/>
    </sheetView>
  </sheetViews>
  <sheetFormatPr baseColWidth="10" defaultColWidth="0" defaultRowHeight="21" zeroHeight="1" x14ac:dyDescent="0.5"/>
  <cols>
    <col min="1" max="1" width="20.109375" style="1" customWidth="1"/>
    <col min="2" max="2" width="5.77734375" style="1" customWidth="1"/>
    <col min="3" max="3" width="8.44140625" style="1" customWidth="1"/>
    <col min="4" max="4" width="5.77734375" style="2" customWidth="1"/>
    <col min="5" max="5" width="5.77734375" style="3" customWidth="1"/>
    <col min="6" max="6" width="5.77734375" style="4" customWidth="1"/>
    <col min="7" max="7" width="5.77734375" style="3" customWidth="1"/>
    <col min="8" max="8" width="5.77734375" style="5" customWidth="1"/>
    <col min="9" max="9" width="5.77734375" style="3" customWidth="1"/>
    <col min="10" max="10" width="5.77734375" style="5" customWidth="1"/>
    <col min="11" max="11" width="5.77734375" style="3" customWidth="1"/>
    <col min="12" max="12" width="5.77734375" style="5" customWidth="1"/>
    <col min="13" max="13" width="5.77734375" style="3" customWidth="1"/>
    <col min="14" max="14" width="5.77734375" style="5" customWidth="1"/>
    <col min="15" max="17" width="5.77734375" style="3" customWidth="1"/>
    <col min="18" max="18" width="11.5546875" style="6" customWidth="1"/>
    <col min="19" max="21" width="11.44140625" style="1"/>
    <col min="22" max="22" width="12.21875" style="1" customWidth="1"/>
    <col min="23" max="27" width="11.44140625" style="1"/>
    <col min="28" max="32" width="11.5546875" style="1" hidden="1" customWidth="1"/>
    <col min="33" max="16384" width="11.44140625" style="1" hidden="1"/>
  </cols>
  <sheetData>
    <row r="1" spans="1:23" ht="41.25" customHeight="1" x14ac:dyDescent="0.5">
      <c r="A1" s="7"/>
      <c r="B1" s="8"/>
      <c r="C1" s="8"/>
      <c r="D1" s="9"/>
      <c r="E1" s="10"/>
      <c r="F1" s="11"/>
      <c r="G1" s="10"/>
      <c r="H1" s="12"/>
      <c r="I1" s="10"/>
      <c r="J1" s="12"/>
      <c r="K1" s="10"/>
      <c r="L1" s="12"/>
      <c r="M1" s="10"/>
      <c r="N1" s="12"/>
      <c r="O1" s="10"/>
      <c r="P1" s="10"/>
      <c r="Q1" s="10"/>
      <c r="R1" s="13"/>
    </row>
    <row r="2" spans="1:23" ht="22.5" customHeight="1" x14ac:dyDescent="0.4">
      <c r="A2" s="222" t="s">
        <v>0</v>
      </c>
      <c r="B2" s="222"/>
      <c r="C2" s="222"/>
      <c r="D2" s="222"/>
      <c r="E2" s="222"/>
      <c r="F2" s="222"/>
      <c r="G2" s="222"/>
      <c r="H2" s="222"/>
      <c r="I2" s="222"/>
      <c r="J2" s="222"/>
      <c r="K2" s="222"/>
      <c r="L2" s="222"/>
      <c r="M2" s="222"/>
      <c r="N2" s="222"/>
      <c r="O2" s="222"/>
      <c r="P2" s="222"/>
      <c r="Q2" s="222"/>
      <c r="R2" s="222"/>
    </row>
    <row r="3" spans="1:23" ht="9" customHeight="1" x14ac:dyDescent="0.4">
      <c r="A3" s="222"/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2"/>
      <c r="P3" s="222"/>
      <c r="Q3" s="222"/>
      <c r="R3" s="222"/>
    </row>
    <row r="4" spans="1:23" ht="8.25" customHeight="1" thickBot="1" x14ac:dyDescent="0.45">
      <c r="A4" s="14"/>
      <c r="B4" s="14"/>
      <c r="C4" s="14"/>
      <c r="D4" s="15"/>
      <c r="E4" s="16"/>
      <c r="F4" s="17"/>
      <c r="G4" s="16"/>
      <c r="H4" s="18"/>
      <c r="I4" s="16"/>
      <c r="J4" s="18"/>
      <c r="K4" s="16"/>
      <c r="L4" s="18"/>
      <c r="M4" s="16"/>
      <c r="N4" s="18"/>
      <c r="O4" s="16"/>
      <c r="P4" s="16"/>
      <c r="Q4" s="16"/>
      <c r="R4" s="19"/>
    </row>
    <row r="5" spans="1:23" s="29" customFormat="1" ht="21.75" customHeight="1" thickBot="1" x14ac:dyDescent="0.55000000000000004">
      <c r="A5" s="229" t="s">
        <v>1</v>
      </c>
      <c r="B5" s="230"/>
      <c r="C5" s="230"/>
      <c r="D5" s="230"/>
      <c r="E5" s="23">
        <v>1</v>
      </c>
      <c r="F5" s="24"/>
      <c r="G5" s="25" t="s">
        <v>2</v>
      </c>
      <c r="H5" s="223">
        <v>45334</v>
      </c>
      <c r="I5" s="223"/>
      <c r="J5" s="223"/>
      <c r="K5" s="26" t="s">
        <v>3</v>
      </c>
      <c r="L5" s="223">
        <v>45340</v>
      </c>
      <c r="M5" s="223"/>
      <c r="N5" s="223"/>
      <c r="O5" s="27"/>
      <c r="P5" s="25"/>
      <c r="Q5" s="25"/>
      <c r="R5" s="28"/>
      <c r="T5" s="30"/>
    </row>
    <row r="6" spans="1:23" ht="10.5" customHeight="1" thickBot="1" x14ac:dyDescent="0.45">
      <c r="A6" s="14"/>
      <c r="B6" s="14"/>
      <c r="C6" s="14"/>
      <c r="D6" s="15"/>
      <c r="E6" s="16"/>
      <c r="F6" s="17"/>
      <c r="G6" s="16"/>
      <c r="H6" s="31"/>
      <c r="I6" s="16"/>
      <c r="J6" s="18"/>
      <c r="K6" s="16"/>
      <c r="L6" s="18"/>
      <c r="M6" s="16"/>
      <c r="N6" s="18"/>
      <c r="O6" s="16"/>
      <c r="P6" s="16"/>
      <c r="Q6" s="16"/>
      <c r="R6" s="19"/>
    </row>
    <row r="7" spans="1:23" ht="18" customHeight="1" x14ac:dyDescent="0.4">
      <c r="A7" s="32" t="s">
        <v>4</v>
      </c>
      <c r="B7" s="33" t="s">
        <v>5</v>
      </c>
      <c r="C7" s="34" t="s">
        <v>6</v>
      </c>
      <c r="D7" s="224" t="s">
        <v>7</v>
      </c>
      <c r="E7" s="224"/>
      <c r="F7" s="224" t="s">
        <v>8</v>
      </c>
      <c r="G7" s="224"/>
      <c r="H7" s="224" t="s">
        <v>9</v>
      </c>
      <c r="I7" s="224"/>
      <c r="J7" s="225" t="s">
        <v>10</v>
      </c>
      <c r="K7" s="225"/>
      <c r="L7" s="225" t="s">
        <v>11</v>
      </c>
      <c r="M7" s="225"/>
      <c r="N7" s="226" t="s">
        <v>12</v>
      </c>
      <c r="O7" s="226"/>
      <c r="P7" s="227" t="s">
        <v>13</v>
      </c>
      <c r="Q7" s="227"/>
      <c r="R7" s="35" t="s">
        <v>14</v>
      </c>
      <c r="T7" s="36"/>
      <c r="U7" s="36"/>
    </row>
    <row r="8" spans="1:23" ht="14.25" customHeight="1" x14ac:dyDescent="0.4">
      <c r="A8" s="37"/>
      <c r="B8" s="38"/>
      <c r="C8" s="38"/>
      <c r="D8" s="39" t="s">
        <v>15</v>
      </c>
      <c r="E8" s="40" t="s">
        <v>16</v>
      </c>
      <c r="F8" s="39" t="s">
        <v>15</v>
      </c>
      <c r="G8" s="40" t="s">
        <v>16</v>
      </c>
      <c r="H8" s="39" t="s">
        <v>15</v>
      </c>
      <c r="I8" s="40" t="s">
        <v>16</v>
      </c>
      <c r="J8" s="39" t="s">
        <v>15</v>
      </c>
      <c r="K8" s="40" t="s">
        <v>16</v>
      </c>
      <c r="L8" s="41" t="s">
        <v>15</v>
      </c>
      <c r="M8" s="42" t="s">
        <v>16</v>
      </c>
      <c r="N8" s="41" t="s">
        <v>15</v>
      </c>
      <c r="O8" s="42" t="s">
        <v>16</v>
      </c>
      <c r="P8" s="41" t="s">
        <v>15</v>
      </c>
      <c r="Q8" s="42" t="s">
        <v>16</v>
      </c>
      <c r="R8" s="43"/>
    </row>
    <row r="9" spans="1:23" ht="6.75" customHeight="1" x14ac:dyDescent="0.4">
      <c r="A9" s="14"/>
      <c r="B9" s="14"/>
      <c r="C9" s="14"/>
      <c r="D9" s="15"/>
      <c r="E9" s="16"/>
      <c r="F9" s="17"/>
      <c r="G9" s="16"/>
      <c r="H9" s="18"/>
      <c r="I9" s="16"/>
      <c r="J9" s="44"/>
      <c r="K9" s="16"/>
      <c r="L9" s="45"/>
      <c r="M9" s="45"/>
      <c r="N9" s="18"/>
      <c r="O9" s="16"/>
      <c r="P9" s="18"/>
      <c r="Q9" s="16"/>
      <c r="R9" s="46"/>
    </row>
    <row r="10" spans="1:23" s="55" customFormat="1" ht="22.5" customHeight="1" x14ac:dyDescent="0.4">
      <c r="A10" s="47" t="s">
        <v>17</v>
      </c>
      <c r="B10" s="48">
        <v>100</v>
      </c>
      <c r="C10" s="49">
        <f t="shared" ref="C10:C26" si="0">IF(ISBLANK(B10),"",42/24/100*B10)</f>
        <v>1.7500000000000002</v>
      </c>
      <c r="D10" s="50"/>
      <c r="E10" s="51" t="str">
        <f>IF(A10="","",IF(COUNTIF(D10,"&gt;0")=1,IF(D10="","",IF(INDEX(Barème!$B$2:$CV$2,1,D10)="","hors code",INDEX(Barème!$B$2:$CV$2,1,D10))),""))</f>
        <v/>
      </c>
      <c r="F10" s="52"/>
      <c r="G10" s="51" t="str">
        <f>IF(A10="","",IF(COUNTIF(F10,"&gt;0")=1,IF(F10="","",IF(INDEX(Barème!$B$2:$CV$2,1,F10)="","hors code",INDEX(Barème!$B$2:$CV$2,1,F10))),""))</f>
        <v/>
      </c>
      <c r="H10" s="52"/>
      <c r="I10" s="51" t="str">
        <f>IF(A10="","",IF(COUNTIF(H10,"&gt;0")=1,IF(H10="","",IF(INDEX(Barème!$B$2:$CV$2,1,H10)="","hors code",INDEX(Barème!$B$2:$CV$2,1,H10))),""))</f>
        <v/>
      </c>
      <c r="J10" s="52"/>
      <c r="K10" s="51" t="str">
        <f>IF(A10="","",IF(COUNTIF(J10,"&gt;0")=1,IF(J10="","",IF(INDEX(Barème!$B$2:$CV$2,1,J10)="","hors code",INDEX(Barème!$B$2:$CV$2,1,J10))),""))</f>
        <v/>
      </c>
      <c r="L10" s="52"/>
      <c r="M10" s="51" t="str">
        <f>IF(A10="","",IF(COUNTIF(L10,"&gt;0")=1,IF(L10="","",IF(INDEX(Barème!$B$2:$CV$2,1,L10)="","hors code",INDEX(Barème!$B$2:$CV$2,1,L10))),""))</f>
        <v/>
      </c>
      <c r="N10" s="53"/>
      <c r="O10" s="51" t="str">
        <f>IF(A10="","",IF(COUNTIF(N10,"&gt;0")=1,IF(N10="","",IF(INDEX(Barème!$B$2:$CV$2,1,N10)="","hors code",INDEX(Barème!$B$2:$CV$2,1,N10))),""))</f>
        <v/>
      </c>
      <c r="P10" s="53"/>
      <c r="Q10" s="51" t="str">
        <f>IF(A10="","",IF(COUNTIF(P10,"&gt;0")=1,IF(P10="","",IF(INDEX(Barème!$B$2:$CV$2,1,P10)="","hors code",INDEX(Barème!$B$2:$CV$2,1,P10))),""))</f>
        <v/>
      </c>
      <c r="R10" s="54" t="str">
        <f t="shared" ref="R10:R26" si="1">IF(SUM(Q10,O10,M10,K10,I10,G10,E10)=0,"",SUM(Q10,O10,M10,K10,I10,G10,E10))</f>
        <v/>
      </c>
      <c r="S10" s="1"/>
      <c r="T10" s="36"/>
    </row>
    <row r="11" spans="1:23" s="55" customFormat="1" ht="22.5" customHeight="1" x14ac:dyDescent="0.4">
      <c r="A11" s="56" t="s">
        <v>84</v>
      </c>
      <c r="B11" s="57">
        <v>30</v>
      </c>
      <c r="C11" s="49">
        <f t="shared" si="0"/>
        <v>0.52500000000000002</v>
      </c>
      <c r="D11" s="58"/>
      <c r="E11" s="59" t="str">
        <f>IF(A11="","",IF(COUNTIF(D11,"&gt;0")=1,IF(D11="","",IF(INDEX(Barème!$B$2:$CV$2,1,D11)="","hors code",INDEX(Barème!$B$2:$CV$2,1,D11))),""))</f>
        <v/>
      </c>
      <c r="F11" s="60"/>
      <c r="G11" s="59" t="str">
        <f>IF(A11="","",IF(COUNTIF(F11,"&gt;0")=1,IF(F11="","",IF(INDEX(Barème!$B$2:$CV$2,1,F11)="","hors code",INDEX(Barème!$B$2:$CV$2,1,F11))),""))</f>
        <v/>
      </c>
      <c r="H11" s="61"/>
      <c r="I11" s="59" t="str">
        <f>IF(A11="","",IF(COUNTIF(H11,"&gt;0")=1,IF(H11="","",IF(INDEX(Barème!$B$2:$CV$2,1,H11)="","hors code",INDEX(Barème!$B$2:$CV$2,1,H11))),""))</f>
        <v/>
      </c>
      <c r="J11" s="61">
        <v>6</v>
      </c>
      <c r="K11" s="59">
        <f>IF(A11="","",IF(COUNTIF(J11,"&gt;0")=1,IF(J11="","",IF(INDEX(Barème!$B$2:$CV$2,1,J11)="","hors code",INDEX(Barème!$B$2:$CV$2,1,J11))),""))</f>
        <v>0.35416666666666702</v>
      </c>
      <c r="L11" s="61"/>
      <c r="M11" s="59" t="str">
        <f>IF(A11="","",IF(COUNTIF(L11,"&gt;0")=1,IF(L11="","",IF(INDEX(Barème!$B$2:$CV$2,1,L11)="","hors code",INDEX(Barème!$B$2:$CV$2,1,L11))),""))</f>
        <v/>
      </c>
      <c r="N11" s="61">
        <v>15</v>
      </c>
      <c r="O11" s="59">
        <f>IF(A11="","",IF(COUNTIF(N11,"&gt;0")=1,IF(N11="","",IF(INDEX(Barème!$B$2:$CV$2,1,N11)="","hors code",INDEX(Barème!$B$2:$CV$2,1,N11))),""))</f>
        <v>0.35416666666666702</v>
      </c>
      <c r="P11" s="61"/>
      <c r="Q11" s="59" t="str">
        <f>IF(A11="","",IF(COUNTIF(P11,"&gt;0")=1,IF(P11="","",IF(INDEX(Barème!$B$2:$CV$2,1,P11)="","hors code",INDEX(Barème!$B$2:$CV$2,1,P11))),""))</f>
        <v/>
      </c>
      <c r="R11" s="54">
        <f t="shared" si="1"/>
        <v>0.70833333333333404</v>
      </c>
      <c r="T11" s="36"/>
    </row>
    <row r="12" spans="1:23" s="55" customFormat="1" ht="22.5" customHeight="1" x14ac:dyDescent="0.4">
      <c r="A12" s="62" t="s">
        <v>18</v>
      </c>
      <c r="B12" s="63">
        <v>40</v>
      </c>
      <c r="C12" s="49">
        <f t="shared" si="0"/>
        <v>0.70000000000000007</v>
      </c>
      <c r="D12" s="58" t="s">
        <v>48</v>
      </c>
      <c r="E12" s="59" t="str">
        <f>IF(A12="","",IF(COUNTIF(D12,"&gt;0")=1,IF(D12="","",IF(INDEX(Barème!$B$2:$CV$2,1,D12)="","hors code",INDEX(Barème!$B$2:$CV$2,1,D12))),""))</f>
        <v/>
      </c>
      <c r="F12" s="60" t="s">
        <v>48</v>
      </c>
      <c r="G12" s="59" t="str">
        <f>IF(A12="","",IF(COUNTIF(F12,"&gt;0")=1,IF(F12="","",IF(INDEX(Barème!$B$2:$CV$2,1,F12)="","hors code",INDEX(Barème!$B$2:$CV$2,1,F12))),""))</f>
        <v/>
      </c>
      <c r="H12" s="61" t="s">
        <v>48</v>
      </c>
      <c r="I12" s="59" t="str">
        <f>IF(A12="","",IF(COUNTIF(H12,"&gt;0")=1,IF(H12="","",IF(INDEX(Barème!$B$2:$CV$2,1,H12)="","hors code",INDEX(Barème!$B$2:$CV$2,1,H12))),""))</f>
        <v/>
      </c>
      <c r="J12" s="61" t="s">
        <v>48</v>
      </c>
      <c r="K12" s="59" t="str">
        <f>IF(A12="","",IF(COUNTIF(J12,"&gt;0")=1,IF(J12="","",IF(INDEX(Barème!$B$2:$CV$2,1,J12)="","hors code",INDEX(Barème!$B$2:$CV$2,1,J12))),""))</f>
        <v/>
      </c>
      <c r="L12" s="61" t="s">
        <v>48</v>
      </c>
      <c r="M12" s="59" t="str">
        <f>IF(A12="","",IF(COUNTIF(L12,"&gt;0")=1,IF(L12="","",IF(INDEX(Barème!$B$2:$CV$2,1,L12)="","hors code",INDEX(Barème!$B$2:$CV$2,1,L12))),""))</f>
        <v/>
      </c>
      <c r="N12" s="60" t="s">
        <v>48</v>
      </c>
      <c r="O12" s="59" t="str">
        <f>IF(A12="","",IF(COUNTIF(N12,"&gt;0")=1,IF(N12="","",IF(INDEX(Barème!$B$2:$CV$2,1,N12)="","hors code",INDEX(Barème!$B$2:$CV$2,1,N12))),""))</f>
        <v/>
      </c>
      <c r="P12" s="60">
        <v>15</v>
      </c>
      <c r="Q12" s="59">
        <f>IF(A12="","",IF(COUNTIF(P12,"&gt;0")=1,IF(P12="","",IF(INDEX(Barème!$B$2:$CV$2,1,P12)="","hors code",INDEX(Barème!$B$2:$CV$2,1,P12))),""))</f>
        <v>0.35416666666666702</v>
      </c>
      <c r="R12" s="54">
        <f t="shared" si="1"/>
        <v>0.35416666666666702</v>
      </c>
      <c r="T12" s="36"/>
    </row>
    <row r="13" spans="1:23" s="55" customFormat="1" ht="22.5" customHeight="1" x14ac:dyDescent="0.45">
      <c r="A13" s="64" t="s">
        <v>19</v>
      </c>
      <c r="B13" s="63"/>
      <c r="C13" s="49" t="str">
        <f t="shared" si="0"/>
        <v/>
      </c>
      <c r="D13" s="58"/>
      <c r="E13" s="59" t="str">
        <f>IF(A13="","",IF(COUNTIF(D13,"&gt;0")=1,IF(D13="","",IF(INDEX(Barème!$B$2:$CV$2,1,D13)="","hors code",INDEX(Barème!$B$2:$CV$2,1,D13))),""))</f>
        <v/>
      </c>
      <c r="F13" s="60"/>
      <c r="G13" s="59" t="str">
        <f>IF(A13="","",IF(COUNTIF(F13,"&gt;0")=1,IF(F13="","",IF(INDEX(Barème!$B$2:$CV$2,1,F13)="","hors code",INDEX(Barème!$B$2:$CV$2,1,F13))),""))</f>
        <v/>
      </c>
      <c r="H13" s="61">
        <v>5</v>
      </c>
      <c r="I13" s="59">
        <f>IF(A13="","",IF(COUNTIF(H13,"&gt;0")=1,IF(H13="","",IF(INDEX(Barème!$B$2:$CV$2,1,H13)="","hors code",INDEX(Barème!$B$2:$CV$2,1,H13))),""))</f>
        <v>0.33333333333333298</v>
      </c>
      <c r="J13" s="61"/>
      <c r="K13" s="59" t="str">
        <f>IF(A13="","",IF(COUNTIF(J13,"&gt;0")=1,IF(J13="","",IF(INDEX(Barème!$B$2:$CV$2,1,J13)="","hors code",INDEX(Barème!$B$2:$CV$2,1,J13))),""))</f>
        <v/>
      </c>
      <c r="L13" s="61"/>
      <c r="M13" s="59" t="str">
        <f>IF(A13="","",IF(COUNTIF(L13,"&gt;0")=1,IF(L13="","",IF(INDEX(Barème!$B$2:$CV$2,1,L13)="","hors code",INDEX(Barème!$B$2:$CV$2,1,L13))),""))</f>
        <v/>
      </c>
      <c r="N13" s="61"/>
      <c r="O13" s="59" t="str">
        <f>IF(A13="","",IF(COUNTIF(N13,"&gt;0")=1,IF(N13="","",IF(INDEX(Barème!$B$2:$CV$2,1,N13)="","hors code",INDEX(Barème!$B$2:$CV$2,1,N13))),""))</f>
        <v/>
      </c>
      <c r="P13" s="61"/>
      <c r="Q13" s="59" t="str">
        <f>IF(A13="","",IF(COUNTIF(P13,"&gt;0")=1,IF(P13="","",IF(INDEX(Barème!$B$2:$CV$2,1,P13)="","hors code",INDEX(Barème!$B$2:$CV$2,1,P13))),""))</f>
        <v/>
      </c>
      <c r="R13" s="54">
        <f t="shared" si="1"/>
        <v>0.33333333333333298</v>
      </c>
      <c r="T13" s="36"/>
      <c r="U13" s="65"/>
      <c r="V13" s="66"/>
      <c r="W13" s="67"/>
    </row>
    <row r="14" spans="1:23" s="55" customFormat="1" ht="22.5" customHeight="1" x14ac:dyDescent="0.4">
      <c r="A14" s="56" t="s">
        <v>20</v>
      </c>
      <c r="B14" s="68">
        <v>55</v>
      </c>
      <c r="C14" s="49">
        <f t="shared" si="0"/>
        <v>0.96250000000000013</v>
      </c>
      <c r="D14" s="58"/>
      <c r="E14" s="59" t="str">
        <f>IF(A14="","",IF(COUNTIF(D14,"&gt;0")=1,IF(D14="","",IF(INDEX(Barème!$B$2:$CV$2,1,D14)="","hors code",INDEX(Barème!$B$2:$CV$2,1,D14))),""))</f>
        <v/>
      </c>
      <c r="F14" s="60"/>
      <c r="G14" s="59" t="str">
        <f>IF(A14="","",IF(COUNTIF(F14,"&gt;0")=1,IF(F14="","",IF(INDEX(Barème!$B$2:$CV$2,1,F14)="","hors code",INDEX(Barème!$B$2:$CV$2,1,F14))),""))</f>
        <v/>
      </c>
      <c r="H14" s="61">
        <v>15</v>
      </c>
      <c r="I14" s="59">
        <f>IF(A14="","",IF(COUNTIF(H14,"&gt;0")=1,IF(H14="","",IF(INDEX(Barème!$B$2:$CV$2,1,H14)="","hors code",INDEX(Barème!$B$2:$CV$2,1,H14))),""))</f>
        <v>0.35416666666666702</v>
      </c>
      <c r="J14" s="61">
        <v>15</v>
      </c>
      <c r="K14" s="59">
        <f>IF(A14="","",IF(COUNTIF(J14,"&gt;0")=1,IF(J14="","",IF(INDEX(Barème!$B$2:$CV$2,1,J14)="","hors code",INDEX(Barème!$B$2:$CV$2,1,J14))),""))</f>
        <v>0.35416666666666702</v>
      </c>
      <c r="L14" s="61">
        <v>15</v>
      </c>
      <c r="M14" s="59">
        <f>IF(A14="","",IF(COUNTIF(L14,"&gt;0")=1,IF(L14="","",IF(INDEX(Barème!$B$2:$CV$2,1,L14)="","hors code",INDEX(Barème!$B$2:$CV$2,1,L14))),""))</f>
        <v>0.35416666666666702</v>
      </c>
      <c r="N14" s="61"/>
      <c r="O14" s="59" t="str">
        <f>IF(A14="","",IF(COUNTIF(N14,"&gt;0")=1,IF(N14="","",IF(INDEX(Barème!$B$2:$CV$2,1,N14)="","hors code",INDEX(Barème!$B$2:$CV$2,1,N14))),""))</f>
        <v/>
      </c>
      <c r="P14" s="61"/>
      <c r="Q14" s="59" t="str">
        <f>IF(A14="","",IF(COUNTIF(P14,"&gt;0")=1,IF(P14="","",IF(INDEX(Barème!$B$2:$CV$2,1,P14)="","hors code",INDEX(Barème!$B$2:$CV$2,1,P14))),""))</f>
        <v/>
      </c>
      <c r="R14" s="54">
        <f t="shared" si="1"/>
        <v>1.0625000000000011</v>
      </c>
      <c r="T14" s="36"/>
    </row>
    <row r="15" spans="1:23" s="55" customFormat="1" ht="22.5" customHeight="1" x14ac:dyDescent="0.4">
      <c r="A15" s="69"/>
      <c r="B15" s="68"/>
      <c r="C15" s="49" t="str">
        <f t="shared" si="0"/>
        <v/>
      </c>
      <c r="D15" s="58"/>
      <c r="E15" s="59" t="str">
        <f>IF(A15="","",IF(COUNTIF(D15,"&gt;0")=1,IF(D15="","",IF(INDEX(Barème!$B$2:$CV$2,1,D15)="","hors code",INDEX(Barème!$B$2:$CV$2,1,D15))),""))</f>
        <v/>
      </c>
      <c r="F15" s="60"/>
      <c r="G15" s="59" t="str">
        <f>IF(A15="","",IF(COUNTIF(F15,"&gt;0")=1,IF(F15="","",IF(INDEX(Barème!$B$2:$CV$2,1,F15)="","hors code",INDEX(Barème!$B$2:$CV$2,1,F15))),""))</f>
        <v/>
      </c>
      <c r="H15" s="61"/>
      <c r="I15" s="59" t="str">
        <f>IF(A15="","",IF(COUNTIF(H15,"&gt;0")=1,IF(H15="","",IF(INDEX(Barème!$B$2:$CV$2,1,H15)="","hors code",INDEX(Barème!$B$2:$CV$2,1,H15))),""))</f>
        <v/>
      </c>
      <c r="J15" s="61"/>
      <c r="K15" s="59" t="str">
        <f>IF(A15="","",IF(COUNTIF(J15,"&gt;0")=1,IF(J15="","",IF(INDEX(Barème!$B$2:$CV$2,1,J15)="","hors code",INDEX(Barème!$B$2:$CV$2,1,J15))),""))</f>
        <v/>
      </c>
      <c r="L15" s="61"/>
      <c r="M15" s="59" t="str">
        <f>IF(A15="","",IF(COUNTIF(L15,"&gt;0")=1,IF(L15="","",IF(INDEX(Barème!$B$2:$CV$2,1,L15)="","hors code",INDEX(Barème!$B$2:$CV$2,1,L15))),""))</f>
        <v/>
      </c>
      <c r="N15" s="61"/>
      <c r="O15" s="59" t="str">
        <f>IF(A15="","",IF(COUNTIF(N15,"&gt;0")=1,IF(N15="","",IF(INDEX(Barème!$B$2:$CV$2,1,N15)="","hors code",INDEX(Barème!$B$2:$CV$2,1,N15))),""))</f>
        <v/>
      </c>
      <c r="P15" s="61"/>
      <c r="Q15" s="59" t="str">
        <f>IF(A15="","",IF(COUNTIF(P15,"&gt;0")=1,IF(P15="","",IF(INDEX(Barème!$B$2:$CV$2,1,P15)="","hors code",INDEX(Barème!$B$2:$CV$2,1,P15))),""))</f>
        <v/>
      </c>
      <c r="R15" s="54" t="str">
        <f t="shared" si="1"/>
        <v/>
      </c>
      <c r="T15" s="219"/>
    </row>
    <row r="16" spans="1:23" s="55" customFormat="1" ht="22.5" customHeight="1" x14ac:dyDescent="0.4">
      <c r="A16" s="64"/>
      <c r="B16" s="63"/>
      <c r="C16" s="49" t="str">
        <f t="shared" si="0"/>
        <v/>
      </c>
      <c r="D16" s="58"/>
      <c r="E16" s="59" t="str">
        <f>IF(A16="","",IF(COUNTIF(D16,"&gt;0")=1,IF(D16="","",IF(INDEX(Barème!$B$2:$CV$2,1,D16)="","hors code",INDEX(Barème!$B$2:$CV$2,1,D16))),""))</f>
        <v/>
      </c>
      <c r="F16" s="60"/>
      <c r="G16" s="59" t="str">
        <f>IF(A16="","",IF(COUNTIF(F16,"&gt;0")=1,IF(F16="","",IF(INDEX(Barème!$B$2:$CV$2,1,F16)="","hors code",INDEX(Barème!$B$2:$CV$2,1,F16))),""))</f>
        <v/>
      </c>
      <c r="H16" s="61"/>
      <c r="I16" s="59" t="str">
        <f>IF(A16="","",IF(COUNTIF(H16,"&gt;0")=1,IF(H16="","",IF(INDEX(Barème!$B$2:$CV$2,1,H16)="","hors code",INDEX(Barème!$B$2:$CV$2,1,H16))),""))</f>
        <v/>
      </c>
      <c r="J16" s="61"/>
      <c r="K16" s="59" t="str">
        <f>IF(A16="","",IF(COUNTIF(J16,"&gt;0")=1,IF(J16="","",IF(INDEX(Barème!$B$2:$CV$2,1,J16)="","hors code",INDEX(Barème!$B$2:$CV$2,1,J16))),""))</f>
        <v/>
      </c>
      <c r="L16" s="61"/>
      <c r="M16" s="59" t="str">
        <f>IF(A16="","",IF(COUNTIF(L16,"&gt;0")=1,IF(L16="","",IF(INDEX(Barème!$B$2:$CV$2,1,L16)="","hors code",INDEX(Barème!$B$2:$CV$2,1,L16))),""))</f>
        <v/>
      </c>
      <c r="N16" s="61"/>
      <c r="O16" s="59" t="str">
        <f>IF(A16="","",IF(COUNTIF(N16,"&gt;0")=1,IF(N16="","",IF(INDEX(Barème!$B$2:$CV$2,1,N16)="","hors code",INDEX(Barème!$B$2:$CV$2,1,N16))),""))</f>
        <v/>
      </c>
      <c r="P16" s="61"/>
      <c r="Q16" s="59" t="str">
        <f>IF(A16="","",IF(COUNTIF(P16,"&gt;0")=1,IF(P16="","",IF(INDEX(Barème!$B$2:$CV$2,1,P16)="","hors code",INDEX(Barème!$B$2:$CV$2,1,P16))),""))</f>
        <v/>
      </c>
      <c r="R16" s="54" t="str">
        <f t="shared" si="1"/>
        <v/>
      </c>
      <c r="T16" s="36"/>
      <c r="W16" s="70"/>
    </row>
    <row r="17" spans="1:31" s="55" customFormat="1" ht="22.5" customHeight="1" x14ac:dyDescent="0.4">
      <c r="A17" s="64"/>
      <c r="B17" s="68"/>
      <c r="C17" s="49" t="str">
        <f t="shared" si="0"/>
        <v/>
      </c>
      <c r="D17" s="71"/>
      <c r="E17" s="59" t="str">
        <f>IF(A17="","",IF(COUNTIF(D17,"&gt;0")=1,IF(D17="","",IF(INDEX(Barème!$B$2:$CV$2,1,D17)="","hors code",INDEX(Barème!$B$2:$CV$2,1,D17))),""))</f>
        <v/>
      </c>
      <c r="F17" s="60"/>
      <c r="G17" s="59" t="str">
        <f>IF(A17="","",IF(COUNTIF(F17,"&gt;0")=1,IF(F17="","",IF(INDEX(Barème!$B$2:$CV$2,1,F17)="","hors code",INDEX(Barème!$B$2:$CV$2,1,F17))),""))</f>
        <v/>
      </c>
      <c r="H17" s="61"/>
      <c r="I17" s="59" t="str">
        <f>IF(A17="","",IF(COUNTIF(H17,"&gt;0")=1,IF(H17="","",IF(INDEX(Barème!$B$2:$CV$2,1,H17)="","hors code",INDEX(Barème!$B$2:$CV$2,1,H17))),""))</f>
        <v/>
      </c>
      <c r="J17" s="61"/>
      <c r="K17" s="59" t="str">
        <f>IF(A17="","",IF(COUNTIF(J17,"&gt;0")=1,IF(J17="","",IF(INDEX(Barème!$B$2:$CV$2,1,J17)="","hors code",INDEX(Barème!$B$2:$CV$2,1,J17))),""))</f>
        <v/>
      </c>
      <c r="L17" s="61"/>
      <c r="M17" s="59" t="str">
        <f>IF(A17="","",IF(COUNTIF(L17,"&gt;0")=1,IF(L17="","",IF(INDEX(Barème!$B$2:$CV$2,1,L17)="","hors code",INDEX(Barème!$B$2:$CV$2,1,L17))),""))</f>
        <v/>
      </c>
      <c r="N17" s="61"/>
      <c r="O17" s="59" t="str">
        <f>IF(A17="","",IF(COUNTIF(N17,"&gt;0")=1,IF(N17="","",IF(INDEX(Barème!$B$2:$CV$2,1,N17)="","hors code",INDEX(Barème!$B$2:$CV$2,1,N17))),""))</f>
        <v/>
      </c>
      <c r="P17" s="61"/>
      <c r="Q17" s="59" t="str">
        <f>IF(A17="","",IF(COUNTIF(P17,"&gt;0")=1,IF(P17="","",IF(INDEX(Barème!$B$2:$CV$2,1,P17)="","hors code",INDEX(Barème!$B$2:$CV$2,1,P17))),""))</f>
        <v/>
      </c>
      <c r="R17" s="54" t="str">
        <f t="shared" si="1"/>
        <v/>
      </c>
      <c r="T17" s="36"/>
    </row>
    <row r="18" spans="1:31" s="55" customFormat="1" ht="22.5" customHeight="1" x14ac:dyDescent="0.4">
      <c r="A18" s="62"/>
      <c r="B18" s="68"/>
      <c r="C18" s="49" t="str">
        <f t="shared" si="0"/>
        <v/>
      </c>
      <c r="D18" s="58"/>
      <c r="E18" s="59" t="str">
        <f>IF(A18="","",IF(COUNTIF(D18,"&gt;0")=1,IF(D18="","",IF(INDEX(Barème!$B$2:$CV$2,1,D18)="","hors code",INDEX(Barème!$B$2:$CV$2,1,D18))),""))</f>
        <v/>
      </c>
      <c r="F18" s="60"/>
      <c r="G18" s="59" t="str">
        <f>IF(A18="","",IF(COUNTIF(F18,"&gt;0")=1,IF(F18="","",IF(INDEX(Barème!$B$2:$CV$2,1,F18)="","hors code",INDEX(Barème!$B$2:$CV$2,1,F18))),""))</f>
        <v/>
      </c>
      <c r="H18" s="61"/>
      <c r="I18" s="59" t="str">
        <f>IF(A18="","",IF(COUNTIF(H18,"&gt;0")=1,IF(H18="","",IF(INDEX(Barème!$B$2:$CV$2,1,H18)="","hors code",INDEX(Barème!$B$2:$CV$2,1,H18))),""))</f>
        <v/>
      </c>
      <c r="J18" s="61"/>
      <c r="K18" s="59" t="str">
        <f>IF(A18="","",IF(COUNTIF(J18,"&gt;0")=1,IF(J18="","",IF(INDEX(Barème!$B$2:$CV$2,1,J18)="","hors code",INDEX(Barème!$B$2:$CV$2,1,J18))),""))</f>
        <v/>
      </c>
      <c r="L18" s="61"/>
      <c r="M18" s="59" t="str">
        <f>IF(A18="","",IF(COUNTIF(L18,"&gt;0")=1,IF(L18="","",IF(INDEX(Barème!$B$2:$CV$2,1,L18)="","hors code",INDEX(Barème!$B$2:$CV$2,1,L18))),""))</f>
        <v/>
      </c>
      <c r="N18" s="61"/>
      <c r="O18" s="59" t="str">
        <f>IF(A18="","",IF(COUNTIF(N18,"&gt;0")=1,IF(N18="","",IF(INDEX(Barème!$B$2:$CV$2,1,N18)="","hors code",INDEX(Barème!$B$2:$CV$2,1,N18))),""))</f>
        <v/>
      </c>
      <c r="P18" s="61"/>
      <c r="Q18" s="59" t="str">
        <f>IF(A18="","",IF(COUNTIF(P18,"&gt;0")=1,IF(P18="","",IF(INDEX(Barème!$B$2:$CV$2,1,P18)="","hors code",INDEX(Barème!$B$2:$CV$2,1,P18))),""))</f>
        <v/>
      </c>
      <c r="R18" s="54" t="str">
        <f t="shared" si="1"/>
        <v/>
      </c>
      <c r="T18" s="36"/>
    </row>
    <row r="19" spans="1:31" s="55" customFormat="1" ht="22.5" customHeight="1" x14ac:dyDescent="0.4">
      <c r="A19" s="56"/>
      <c r="B19" s="68"/>
      <c r="C19" s="49" t="str">
        <f t="shared" si="0"/>
        <v/>
      </c>
      <c r="D19" s="58"/>
      <c r="E19" s="59" t="str">
        <f>IF(A19="","",IF(COUNTIF(D19,"&gt;0")=1,IF(D19="","",IF(INDEX(Barème!$B$2:$CV$2,1,D19)="","hors code",INDEX(Barème!$B$2:$CV$2,1,D19))),""))</f>
        <v/>
      </c>
      <c r="F19" s="61"/>
      <c r="G19" s="59" t="str">
        <f>IF(A19="","",IF(COUNTIF(F19,"&gt;0")=1,IF(F19="","",IF(INDEX(Barème!$B$2:$CV$2,1,F19)="","hors code",INDEX(Barème!$B$2:$CV$2,1,F19))),""))</f>
        <v/>
      </c>
      <c r="H19" s="61"/>
      <c r="I19" s="59" t="str">
        <f>IF(A19="","",IF(COUNTIF(H19,"&gt;0")=1,IF(H19="","",IF(INDEX(Barème!$B$2:$CV$2,1,H19)="","hors code",INDEX(Barème!$B$2:$CV$2,1,H19))),""))</f>
        <v/>
      </c>
      <c r="J19" s="61"/>
      <c r="K19" s="59" t="str">
        <f>IF(A19="","",IF(COUNTIF(J19,"&gt;0")=1,IF(J19="","",IF(INDEX(Barème!$B$2:$CV$2,1,J19)="","hors code",INDEX(Barème!$B$2:$CV$2,1,J19))),""))</f>
        <v/>
      </c>
      <c r="L19" s="61"/>
      <c r="M19" s="59" t="str">
        <f>IF(A19="","",IF(COUNTIF(L19,"&gt;0")=1,IF(L19="","",IF(INDEX(Barème!$B$2:$CV$2,1,L19)="","hors code",INDEX(Barème!$B$2:$CV$2,1,L19))),""))</f>
        <v/>
      </c>
      <c r="N19" s="61"/>
      <c r="O19" s="59" t="str">
        <f>IF(A19="","",IF(COUNTIF(N19,"&gt;0")=1,IF(N19="","",IF(INDEX(Barème!$B$2:$CV$2,1,N19)="","hors code",INDEX(Barème!$B$2:$CV$2,1,N19))),""))</f>
        <v/>
      </c>
      <c r="P19" s="61"/>
      <c r="Q19" s="59" t="str">
        <f>IF(A19="","",IF(COUNTIF(P19,"&gt;0")=1,IF(P19="","",IF(INDEX(Barème!$B$2:$CV$2,1,P19)="","hors code",INDEX(Barème!$B$2:$CV$2,1,P19))),""))</f>
        <v/>
      </c>
      <c r="R19" s="54" t="str">
        <f t="shared" si="1"/>
        <v/>
      </c>
      <c r="T19" s="36"/>
      <c r="AA19" s="55" t="s">
        <v>21</v>
      </c>
      <c r="AE19" s="72"/>
    </row>
    <row r="20" spans="1:31" s="55" customFormat="1" ht="22.5" customHeight="1" x14ac:dyDescent="0.4">
      <c r="A20" s="73"/>
      <c r="B20" s="68"/>
      <c r="C20" s="49" t="str">
        <f t="shared" si="0"/>
        <v/>
      </c>
      <c r="D20" s="58"/>
      <c r="E20" s="59" t="str">
        <f>IF(A20="","",IF(COUNTIF(D20,"&gt;0")=1,IF(D20="","",IF(INDEX(Barème!$B$2:$CV$2,1,D20)="","hors code",INDEX(Barème!$B$2:$CV$2,1,D20))),""))</f>
        <v/>
      </c>
      <c r="F20" s="60"/>
      <c r="G20" s="59" t="str">
        <f>IF(A20="","",IF(COUNTIF(F20,"&gt;0")=1,IF(F20="","",IF(INDEX(Barème!$B$2:$CV$2,1,F20)="","hors code",INDEX(Barème!$B$2:$CV$2,1,F20))),""))</f>
        <v/>
      </c>
      <c r="H20" s="61"/>
      <c r="I20" s="59" t="str">
        <f>IF(A20="","",IF(COUNTIF(H20,"&gt;0")=1,IF(H20="","",IF(INDEX(Barème!$B$2:$CV$2,1,H20)="","hors code",INDEX(Barème!$B$2:$CV$2,1,H20))),""))</f>
        <v/>
      </c>
      <c r="J20" s="61"/>
      <c r="K20" s="59" t="str">
        <f>IF(A20="","",IF(COUNTIF(J20,"&gt;0")=1,IF(J20="","",IF(INDEX(Barème!$B$2:$CV$2,1,J20)="","hors code",INDEX(Barème!$B$2:$CV$2,1,J20))),""))</f>
        <v/>
      </c>
      <c r="L20" s="61"/>
      <c r="M20" s="59" t="str">
        <f>IF(A20="","",IF(COUNTIF(L20,"&gt;0")=1,IF(L20="","",IF(INDEX(Barème!$B$2:$CV$2,1,L20)="","hors code",INDEX(Barème!$B$2:$CV$2,1,L20))),""))</f>
        <v/>
      </c>
      <c r="N20" s="61"/>
      <c r="O20" s="59" t="str">
        <f>IF(A20="","",IF(COUNTIF(N20,"&gt;0")=1,IF(N20="","",IF(INDEX(Barème!$B$2:$CV$2,1,N20)="","hors code",INDEX(Barème!$B$2:$CV$2,1,N20))),""))</f>
        <v/>
      </c>
      <c r="P20" s="61"/>
      <c r="Q20" s="59" t="str">
        <f>IF(A20="","",IF(COUNTIF(P20,"&gt;0")=1,IF(P20="","",IF(INDEX(Barème!$B$2:$CV$2,1,P20)="","hors code",INDEX(Barème!$B$2:$CV$2,1,P20))),""))</f>
        <v/>
      </c>
      <c r="R20" s="54" t="str">
        <f t="shared" si="1"/>
        <v/>
      </c>
      <c r="T20" s="36"/>
    </row>
    <row r="21" spans="1:31" s="55" customFormat="1" ht="22.5" customHeight="1" x14ac:dyDescent="0.4">
      <c r="A21" s="64"/>
      <c r="B21" s="68"/>
      <c r="C21" s="49" t="str">
        <f t="shared" si="0"/>
        <v/>
      </c>
      <c r="D21" s="58"/>
      <c r="E21" s="59" t="str">
        <f>IF(A21="","",IF(COUNTIF(D21,"&gt;0")=1,IF(D21="","",IF(INDEX(Barème!$B$2:$CV$2,1,D21)="","hors code",INDEX(Barème!$B$2:$CV$2,1,D21))),""))</f>
        <v/>
      </c>
      <c r="F21" s="60"/>
      <c r="G21" s="59" t="str">
        <f>IF(A21="","",IF(COUNTIF(F21,"&gt;0")=1,IF(F21="","",IF(INDEX(Barème!$B$2:$CV$2,1,F21)="","hors code",INDEX(Barème!$B$2:$CV$2,1,F21))),""))</f>
        <v/>
      </c>
      <c r="H21" s="61"/>
      <c r="I21" s="59" t="str">
        <f>IF(A21="","",IF(COUNTIF(H21,"&gt;0")=1,IF(H21="","",IF(INDEX(Barème!$B$2:$CV$2,1,H21)="","hors code",INDEX(Barème!$B$2:$CV$2,1,H21))),""))</f>
        <v/>
      </c>
      <c r="J21" s="61"/>
      <c r="K21" s="59" t="str">
        <f>IF(A21="","",IF(COUNTIF(J21,"&gt;0")=1,IF(J21="","",IF(INDEX(Barème!$B$2:$CV$2,1,J21)="","hors code",INDEX(Barème!$B$2:$CV$2,1,J21))),""))</f>
        <v/>
      </c>
      <c r="L21" s="61"/>
      <c r="M21" s="59" t="str">
        <f>IF(A21="","",IF(COUNTIF(L21,"&gt;0")=1,IF(L21="","",IF(INDEX(Barème!$B$2:$CV$2,1,L21)="","hors code",INDEX(Barème!$B$2:$CV$2,1,L21))),""))</f>
        <v/>
      </c>
      <c r="N21" s="60"/>
      <c r="O21" s="59" t="str">
        <f>IF(A21="","",IF(COUNTIF(N21,"&gt;0")=1,IF(N21="","",IF(INDEX(Barème!$B$2:$CV$2,1,N21)="","hors code",INDEX(Barème!$B$2:$CV$2,1,N21))),""))</f>
        <v/>
      </c>
      <c r="P21" s="60"/>
      <c r="Q21" s="59" t="str">
        <f>IF(A21="","",IF(COUNTIF(P21,"&gt;0")=1,IF(P21="","",IF(INDEX(Barème!$B$2:$CV$2,1,P21)="","hors code",INDEX(Barème!$B$2:$CV$2,1,P21))),""))</f>
        <v/>
      </c>
      <c r="R21" s="54" t="str">
        <f t="shared" si="1"/>
        <v/>
      </c>
      <c r="T21" s="36"/>
    </row>
    <row r="22" spans="1:31" s="55" customFormat="1" ht="22.5" customHeight="1" x14ac:dyDescent="0.4">
      <c r="A22" s="64"/>
      <c r="B22" s="68"/>
      <c r="C22" s="49" t="str">
        <f t="shared" si="0"/>
        <v/>
      </c>
      <c r="D22" s="58"/>
      <c r="E22" s="59" t="str">
        <f>IF(A22="","",IF(COUNTIF(D22,"&gt;0")=1,IF(D22="","",IF(INDEX(Barème!$B$2:$CV$2,1,D22)="","hors code",INDEX(Barème!$B$2:$CV$2,1,D22))),""))</f>
        <v/>
      </c>
      <c r="F22" s="60"/>
      <c r="G22" s="59" t="str">
        <f>IF(A22="","",IF(COUNTIF(F22,"&gt;0")=1,IF(F22="","",IF(INDEX(Barème!$B$2:$CV$2,1,F22)="","hors code",INDEX(Barème!$B$2:$CV$2,1,F22))),""))</f>
        <v/>
      </c>
      <c r="H22" s="61"/>
      <c r="I22" s="59" t="str">
        <f>IF(A22="","",IF(COUNTIF(H22,"&gt;0")=1,IF(H22="","",IF(INDEX(Barème!$B$2:$CV$2,1,H22)="","hors code",INDEX(Barème!$B$2:$CV$2,1,H22))),""))</f>
        <v/>
      </c>
      <c r="J22" s="61"/>
      <c r="K22" s="59" t="str">
        <f>IF(A22="","",IF(COUNTIF(J22,"&gt;0")=1,IF(J22="","",IF(INDEX(Barème!$B$2:$CV$2,1,J22)="","hors code",INDEX(Barème!$B$2:$CV$2,1,J22))),""))</f>
        <v/>
      </c>
      <c r="L22" s="61"/>
      <c r="M22" s="59" t="str">
        <f>IF(A22="","",IF(COUNTIF(L22,"&gt;0")=1,IF(L22="","",IF(INDEX(Barème!$B$2:$CV$2,1,L22)="","hors code",INDEX(Barème!$B$2:$CV$2,1,L22))),""))</f>
        <v/>
      </c>
      <c r="N22" s="61"/>
      <c r="O22" s="59" t="str">
        <f>IF(A22="","",IF(COUNTIF(N22,"&gt;0")=1,IF(N22="","",IF(INDEX(Barème!$B$2:$CV$2,1,N22)="","hors code",INDEX(Barème!$B$2:$CV$2,1,N22))),""))</f>
        <v/>
      </c>
      <c r="P22" s="61"/>
      <c r="Q22" s="59" t="str">
        <f>IF(A22="","",IF(COUNTIF(P22,"&gt;0")=1,IF(P22="","",IF(INDEX(Barème!$B$2:$CV$2,1,P22)="","hors code",INDEX(Barème!$B$2:$CV$2,1,P22))),""))</f>
        <v/>
      </c>
      <c r="R22" s="54" t="str">
        <f t="shared" si="1"/>
        <v/>
      </c>
      <c r="T22" s="36"/>
      <c r="X22" s="55" t="s">
        <v>21</v>
      </c>
    </row>
    <row r="23" spans="1:31" s="55" customFormat="1" ht="22.5" customHeight="1" x14ac:dyDescent="0.4">
      <c r="A23" s="64"/>
      <c r="B23" s="68"/>
      <c r="C23" s="49" t="str">
        <f t="shared" si="0"/>
        <v/>
      </c>
      <c r="D23" s="58"/>
      <c r="E23" s="59" t="str">
        <f>IF(A23="","",IF(COUNTIF(D23,"&gt;0")=1,IF(D23="","",IF(INDEX(Barème!$B$2:$CV$2,1,D23)="","hors code",INDEX(Barème!$B$2:$CV$2,1,D23))),""))</f>
        <v/>
      </c>
      <c r="F23" s="60"/>
      <c r="G23" s="59" t="str">
        <f>IF(A23="","",IF(COUNTIF(F23,"&gt;0")=1,IF(F23="","",IF(INDEX(Barème!$B$2:$CV$2,1,F23)="","hors code",INDEX(Barème!$B$2:$CV$2,1,F23))),""))</f>
        <v/>
      </c>
      <c r="H23" s="61"/>
      <c r="I23" s="59" t="str">
        <f>IF(A23="","",IF(COUNTIF(H23,"&gt;0")=1,IF(H23="","",IF(INDEX(Barème!$B$2:$CV$2,1,H23)="","hors code",INDEX(Barème!$B$2:$CV$2,1,H23))),""))</f>
        <v/>
      </c>
      <c r="J23" s="61"/>
      <c r="K23" s="59" t="str">
        <f>IF(A23="","",IF(COUNTIF(J23,"&gt;0")=1,IF(J23="","",IF(INDEX(Barème!$B$2:$CV$2,1,J23)="","hors code",INDEX(Barème!$B$2:$CV$2,1,J23))),""))</f>
        <v/>
      </c>
      <c r="L23" s="60"/>
      <c r="M23" s="59" t="str">
        <f>IF(A23="","",IF(COUNTIF(L23,"&gt;0")=1,IF(L23="","",IF(INDEX(Barème!$B$2:$CV$2,1,L23)="","hors code",INDEX(Barème!$B$2:$CV$2,1,L23))),""))</f>
        <v/>
      </c>
      <c r="N23" s="61"/>
      <c r="O23" s="59" t="str">
        <f>IF(A23="","",IF(COUNTIF(N23,"&gt;0")=1,IF(N23="","",IF(INDEX(Barème!$B$2:$CV$2,1,N23)="","hors code",INDEX(Barème!$B$2:$CV$2,1,N23))),""))</f>
        <v/>
      </c>
      <c r="P23" s="61"/>
      <c r="Q23" s="59" t="str">
        <f>IF(A23="","",IF(COUNTIF(P23,"&gt;0")=1,IF(P23="","",IF(INDEX(Barème!$B$2:$CV$2,1,P23)="","hors code",INDEX(Barème!$B$2:$CV$2,1,P23))),""))</f>
        <v/>
      </c>
      <c r="R23" s="54" t="str">
        <f t="shared" si="1"/>
        <v/>
      </c>
      <c r="T23" s="36"/>
    </row>
    <row r="24" spans="1:31" s="55" customFormat="1" ht="22.5" customHeight="1" x14ac:dyDescent="0.4">
      <c r="A24" s="56"/>
      <c r="B24" s="68"/>
      <c r="C24" s="49" t="str">
        <f t="shared" si="0"/>
        <v/>
      </c>
      <c r="D24" s="58"/>
      <c r="E24" s="59" t="str">
        <f>IF(A24="","",IF(COUNTIF(D24,"&gt;0")=1,IF(D24="","",IF(INDEX(Barème!$B$2:$CV$2,1,D24)="","hors code",INDEX(Barème!$B$2:$CV$2,1,D24))),""))</f>
        <v/>
      </c>
      <c r="F24" s="60"/>
      <c r="G24" s="59" t="str">
        <f>IF(A24="","",IF(COUNTIF(F24,"&gt;0")=1,IF(F24="","",IF(INDEX(Barème!$B$2:$CV$2,1,F24)="","hors code",INDEX(Barème!$B$2:$CV$2,1,F24))),""))</f>
        <v/>
      </c>
      <c r="H24" s="61"/>
      <c r="I24" s="59" t="str">
        <f>IF(A24="","",IF(COUNTIF(H24,"&gt;0")=1,IF(H24="","",IF(INDEX(Barème!$B$2:$CV$2,1,H24)="","hors code",INDEX(Barème!$B$2:$CV$2,1,H24))),""))</f>
        <v/>
      </c>
      <c r="J24" s="61"/>
      <c r="K24" s="59" t="str">
        <f>IF(A24="","",IF(COUNTIF(J24,"&gt;0")=1,IF(J24="","",IF(INDEX(Barème!$B$2:$CV$2,1,J24)="","hors code",INDEX(Barème!$B$2:$CV$2,1,J24))),""))</f>
        <v/>
      </c>
      <c r="L24" s="61"/>
      <c r="M24" s="59" t="str">
        <f>IF(A24="","",IF(COUNTIF(L24,"&gt;0")=1,IF(L24="","",IF(INDEX(Barème!$B$2:$CV$2,1,L24)="","hors code",INDEX(Barème!$B$2:$CV$2,1,L24))),""))</f>
        <v/>
      </c>
      <c r="N24" s="61"/>
      <c r="O24" s="59" t="str">
        <f>IF(A24="","",IF(COUNTIF(N24,"&gt;0")=1,IF(N24="","",IF(INDEX(Barème!$B$2:$CV$2,1,N24)="","hors code",INDEX(Barème!$B$2:$CV$2,1,N24))),""))</f>
        <v/>
      </c>
      <c r="P24" s="61"/>
      <c r="Q24" s="59" t="str">
        <f>IF(A24="","",IF(COUNTIF(P24,"&gt;0")=1,IF(P24="","",IF(INDEX(Barème!$B$2:$CV$2,1,P24)="","hors code",INDEX(Barème!$B$2:$CV$2,1,P24))),""))</f>
        <v/>
      </c>
      <c r="R24" s="54" t="str">
        <f t="shared" si="1"/>
        <v/>
      </c>
    </row>
    <row r="25" spans="1:31" s="55" customFormat="1" ht="22.5" customHeight="1" x14ac:dyDescent="0.4">
      <c r="A25" s="64"/>
      <c r="B25" s="68"/>
      <c r="C25" s="49" t="str">
        <f t="shared" si="0"/>
        <v/>
      </c>
      <c r="D25" s="58"/>
      <c r="E25" s="59" t="str">
        <f>IF(A25="","",IF(COUNTIF(D25,"&gt;0")=1,IF(D25="","",IF(INDEX(Barème!$B$2:$CV$2,1,D25)="","hors code",INDEX(Barème!$B$2:$CV$2,1,D25))),""))</f>
        <v/>
      </c>
      <c r="F25" s="60"/>
      <c r="G25" s="59" t="str">
        <f>IF(A25="","",IF(COUNTIF(F25,"&gt;0")=1,IF(F25="","",IF(INDEX(Barème!$B$2:$CV$2,1,F25)="","hors code",INDEX(Barème!$B$2:$CV$2,1,F25))),""))</f>
        <v/>
      </c>
      <c r="H25" s="61"/>
      <c r="I25" s="59" t="str">
        <f>IF(A25="","",IF(COUNTIF(H25,"&gt;0")=1,IF(H25="","",IF(INDEX(Barème!$B$2:$CV$2,1,H25)="","hors code",INDEX(Barème!$B$2:$CV$2,1,H25))),""))</f>
        <v/>
      </c>
      <c r="J25" s="61"/>
      <c r="K25" s="59" t="str">
        <f>IF(A25="","",IF(COUNTIF(J25,"&gt;0")=1,IF(J25="","",IF(INDEX(Barème!$B$2:$CV$2,1,J25)="","hors code",INDEX(Barème!$B$2:$CV$2,1,J25))),""))</f>
        <v/>
      </c>
      <c r="L25" s="61"/>
      <c r="M25" s="59" t="str">
        <f>IF(A25="","",IF(COUNTIF(L25,"&gt;0")=1,IF(L25="","",IF(INDEX(Barème!$B$2:$CV$2,1,L25)="","hors code",INDEX(Barème!$B$2:$CV$2,1,L25))),""))</f>
        <v/>
      </c>
      <c r="N25" s="61"/>
      <c r="O25" s="59" t="str">
        <f>IF(A25="","",IF(COUNTIF(N25,"&gt;0")=1,IF(N25="","",IF(INDEX(Barème!$B$2:$CV$2,1,N25)="","hors code",INDEX(Barème!$B$2:$CV$2,1,N25))),""))</f>
        <v/>
      </c>
      <c r="P25" s="61"/>
      <c r="Q25" s="59" t="str">
        <f>IF(A25="","",IF(COUNTIF(P25,"&gt;0")=1,IF(P25="","",IF(INDEX(Barème!$B$2:$CV$2,1,P25)="","hors code",INDEX(Barème!$B$2:$CV$2,1,P25))),""))</f>
        <v/>
      </c>
      <c r="R25" s="54" t="str">
        <f t="shared" si="1"/>
        <v/>
      </c>
    </row>
    <row r="26" spans="1:31" s="55" customFormat="1" ht="22.5" customHeight="1" x14ac:dyDescent="0.4">
      <c r="A26" s="64" t="s">
        <v>22</v>
      </c>
      <c r="B26" s="74"/>
      <c r="C26" s="49" t="str">
        <f t="shared" si="0"/>
        <v/>
      </c>
      <c r="D26" s="58"/>
      <c r="E26" s="59" t="str">
        <f>IF(A26="","",IF(COUNTIF(D26,"&gt;0")=1,IF(D26="","",IF(INDEX(Barème!$B$2:$CV$2,1,D26)="","hors code",INDEX(Barème!$B$2:$CV$2,1,D26))),""))</f>
        <v/>
      </c>
      <c r="F26" s="60"/>
      <c r="G26" s="59" t="str">
        <f>IF(A26="","",IF(COUNTIF(F26,"&gt;0")=1,IF(F26="","",IF(INDEX(Barème!$B$2:$CV$2,1,F26)="","hors code",INDEX(Barème!$B$2:$CV$2,1,F26))),""))</f>
        <v/>
      </c>
      <c r="H26" s="61"/>
      <c r="I26" s="59" t="str">
        <f>IF(A26="","",IF(COUNTIF(H26,"&gt;0")=1,IF(H26="","",IF(INDEX(Barème!$B$2:$CV$2,1,H26)="","hors code",INDEX(Barème!$B$2:$CV$2,1,H26))),""))</f>
        <v/>
      </c>
      <c r="J26" s="61"/>
      <c r="K26" s="59" t="str">
        <f>IF(A26="","",IF(COUNTIF(J26,"&gt;0")=1,IF(J26="","",IF(INDEX(Barème!$B$2:$CV$2,1,J26)="","hors code",INDEX(Barème!$B$2:$CV$2,1,J26))),""))</f>
        <v/>
      </c>
      <c r="L26" s="61"/>
      <c r="M26" s="59" t="str">
        <f>IF(A26="","",IF(COUNTIF(L26,"&gt;0")=1,IF(L26="","",IF(INDEX(Barème!$B$2:$CV$2,1,L26)="","hors code",INDEX(Barème!$B$2:$CV$2,1,L26))),""))</f>
        <v/>
      </c>
      <c r="N26" s="61"/>
      <c r="O26" s="59" t="str">
        <f>IF(A26="","",IF(COUNTIF(N26,"&gt;0")=1,IF(N26="","",IF(INDEX(Barème!$B$2:$CV$2,1,N26)="","hors code",INDEX(Barème!$B$2:$CV$2,1,N26))),""))</f>
        <v/>
      </c>
      <c r="P26" s="61"/>
      <c r="Q26" s="59" t="str">
        <f>IF(A26="","",IF(COUNTIF(P26,"&gt;0")=1,IF(P26="","",IF(INDEX(Barème!$B$2:$CV$2,1,P26)="","hors code",INDEX(Barème!$B$2:$CV$2,1,P26))),""))</f>
        <v/>
      </c>
      <c r="R26" s="54" t="str">
        <f t="shared" si="1"/>
        <v/>
      </c>
    </row>
    <row r="27" spans="1:31" s="55" customFormat="1" ht="22.5" customHeight="1" x14ac:dyDescent="0.4">
      <c r="A27" s="75" t="s">
        <v>23</v>
      </c>
      <c r="B27" s="76"/>
      <c r="C27" s="76"/>
      <c r="D27" s="228">
        <f>SUM(E10:E26)</f>
        <v>0</v>
      </c>
      <c r="E27" s="228"/>
      <c r="F27" s="228">
        <f>SUM(G10:G26)</f>
        <v>0</v>
      </c>
      <c r="G27" s="228"/>
      <c r="H27" s="228">
        <f>SUM(I10:I26)</f>
        <v>0.6875</v>
      </c>
      <c r="I27" s="228"/>
      <c r="J27" s="228">
        <f>SUM(K10:K26)</f>
        <v>0.70833333333333404</v>
      </c>
      <c r="K27" s="228"/>
      <c r="L27" s="228">
        <f>SUM(M10:M26)</f>
        <v>0.35416666666666702</v>
      </c>
      <c r="M27" s="228"/>
      <c r="N27" s="228">
        <f>SUM(O10:O26)</f>
        <v>0.35416666666666702</v>
      </c>
      <c r="O27" s="228"/>
      <c r="P27" s="228">
        <f>SUM(Q10:Q26)</f>
        <v>0.35416666666666702</v>
      </c>
      <c r="Q27" s="228"/>
      <c r="R27" s="77">
        <f>SUM(R10:R26)</f>
        <v>2.4583333333333353</v>
      </c>
    </row>
    <row r="28" spans="1:31" s="55" customFormat="1" ht="9.75" customHeight="1" x14ac:dyDescent="0.4">
      <c r="A28" s="78"/>
      <c r="B28" s="78"/>
      <c r="C28" s="78"/>
      <c r="D28" s="79"/>
      <c r="E28" s="80" t="str">
        <f>IF(A28="","",IF(COUNTIF(D28,"&gt;0")=1,IF(D28="","",IF(INDEX(Barème!$B$2:$AA$2,1,D28)="","hors code",INDEX(Barème!$B$2:$AA$2,1,D28))),""))</f>
        <v/>
      </c>
      <c r="F28" s="81"/>
      <c r="G28" s="80" t="str">
        <f>IF(A28="","",IF(COUNTIF(F28,"&gt;0")=1,IF(F28="","",IF(INDEX(Barème!$B$2:$AA$2,1,F28)="","hors code",INDEX(Barème!$B$2:$AA$2,1,F28))),""))</f>
        <v/>
      </c>
      <c r="H28" s="82"/>
      <c r="I28" s="80" t="str">
        <f>IF(A28="","",IF(COUNTIF(H28,"&gt;0")=1,IF(H28="","",IF(INDEX(Barème!$B$2:$AA$2,1,H28)="","hors code",INDEX(Barème!$B$2:$AA$2,1,H28))),""))</f>
        <v/>
      </c>
      <c r="J28" s="82"/>
      <c r="K28" s="80" t="str">
        <f>IF(A28="","",IF(COUNTIF(J28,"&gt;0")=1,IF(J28="","",IF(INDEX(Barème!$B$2:$AA$2,1,J28)="","hors code",INDEX(Barème!$B$2:$AA$2,1,J28))),""))</f>
        <v/>
      </c>
      <c r="L28" s="82"/>
      <c r="M28" s="80" t="str">
        <f>IF(A28="","",IF(COUNTIF(L28,"&gt;0")=1,IF(L28="","",IF(INDEX(Barème!$B$2:$AA$2,1,L28)="","hors code",INDEX(Barème!$B$2:$AA$2,1,L28))),""))</f>
        <v/>
      </c>
      <c r="N28" s="82"/>
      <c r="O28" s="80" t="str">
        <f>IF(A28="","",IF(COUNTIF(N28,"&gt;0")=1,IF(N28="","",IF(INDEX(Barème!$B$2:$AA$2,1,N28)="","hors code",INDEX(Barème!$B$2:$AA$2,1,N28))),""))</f>
        <v/>
      </c>
      <c r="P28" s="80"/>
      <c r="Q28" s="80"/>
      <c r="R28" s="83" t="str">
        <f>IF(SUM(O28,M28,K28,I28,G28,E28)=0,"",SUM(O28,M28,K28,I28,G28,E28))</f>
        <v/>
      </c>
    </row>
    <row r="29" spans="1:31" s="55" customFormat="1" ht="18.600000000000001" x14ac:dyDescent="0.4">
      <c r="A29" s="78"/>
      <c r="B29" s="78"/>
      <c r="C29" s="78"/>
      <c r="D29" s="79"/>
      <c r="E29" s="80"/>
      <c r="F29" s="81"/>
      <c r="G29" s="80"/>
      <c r="H29" s="82"/>
      <c r="I29" s="80"/>
      <c r="J29" s="82"/>
      <c r="K29" s="80"/>
      <c r="L29" s="82"/>
      <c r="M29" s="80"/>
      <c r="N29" s="82"/>
      <c r="O29" s="80"/>
      <c r="P29" s="80"/>
      <c r="Q29" s="80"/>
      <c r="R29" s="83"/>
    </row>
    <row r="30" spans="1:31" s="55" customFormat="1" ht="18.600000000000001" x14ac:dyDescent="0.4">
      <c r="A30" s="78"/>
      <c r="B30" s="78"/>
      <c r="C30" s="78"/>
      <c r="D30" s="79"/>
      <c r="E30" s="80"/>
      <c r="F30" s="81"/>
      <c r="G30" s="80"/>
      <c r="H30" s="82"/>
      <c r="I30" s="80"/>
      <c r="J30" s="82"/>
      <c r="K30" s="80"/>
      <c r="L30" s="82"/>
      <c r="M30" s="80"/>
      <c r="N30" s="82"/>
      <c r="O30" s="80"/>
      <c r="P30" s="80"/>
      <c r="Q30" s="80"/>
      <c r="R30" s="83"/>
    </row>
    <row r="31" spans="1:31" s="55" customFormat="1" ht="18.600000000000001" x14ac:dyDescent="0.4">
      <c r="A31" s="78"/>
      <c r="B31" s="78"/>
      <c r="C31" s="78"/>
      <c r="D31" s="79"/>
      <c r="E31" s="80"/>
      <c r="F31" s="81"/>
      <c r="G31" s="80"/>
      <c r="H31" s="82"/>
      <c r="I31" s="80"/>
      <c r="J31" s="82"/>
      <c r="K31" s="80"/>
      <c r="L31" s="82"/>
      <c r="M31" s="80"/>
      <c r="N31" s="82"/>
      <c r="O31" s="80"/>
      <c r="P31" s="80"/>
      <c r="Q31" s="80"/>
      <c r="R31" s="83"/>
    </row>
    <row r="32" spans="1:31" s="55" customFormat="1" ht="18.600000000000001" x14ac:dyDescent="0.4">
      <c r="A32" s="78"/>
      <c r="B32" s="78"/>
      <c r="C32" s="78"/>
      <c r="D32" s="79"/>
      <c r="E32" s="80"/>
      <c r="F32" s="81"/>
      <c r="G32" s="80"/>
      <c r="H32" s="82"/>
      <c r="I32" s="80"/>
      <c r="J32" s="82"/>
      <c r="K32" s="80"/>
      <c r="L32" s="82"/>
      <c r="M32" s="80"/>
      <c r="N32" s="82"/>
      <c r="O32" s="80"/>
      <c r="P32" s="80"/>
      <c r="Q32" s="80"/>
      <c r="R32" s="83"/>
    </row>
    <row r="33" spans="1:18" s="55" customFormat="1" ht="12" customHeight="1" x14ac:dyDescent="0.4">
      <c r="A33" s="84"/>
      <c r="B33" s="84"/>
      <c r="C33" s="84"/>
      <c r="D33" s="84"/>
      <c r="E33" s="84"/>
      <c r="F33" s="84"/>
      <c r="G33" s="84"/>
      <c r="H33" s="84"/>
      <c r="I33" s="84"/>
      <c r="J33" s="84"/>
      <c r="K33" s="84"/>
      <c r="L33" s="84"/>
      <c r="M33" s="84"/>
      <c r="N33" s="84"/>
      <c r="O33" s="84"/>
      <c r="P33" s="84"/>
      <c r="Q33" s="84"/>
      <c r="R33" s="84"/>
    </row>
    <row r="34" spans="1:18" ht="32.4" x14ac:dyDescent="0.4">
      <c r="A34" s="84"/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</row>
    <row r="35" spans="1:18" ht="32.4" x14ac:dyDescent="0.4">
      <c r="A35" s="84"/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</row>
    <row r="36" spans="1:18" ht="24" customHeight="1" x14ac:dyDescent="0.4">
      <c r="A36" s="84"/>
      <c r="B36" s="84"/>
      <c r="C36" s="84"/>
      <c r="D36" s="84"/>
      <c r="E36" s="84"/>
      <c r="F36" s="84"/>
      <c r="G36" s="84"/>
      <c r="H36" s="84"/>
      <c r="I36" s="84"/>
      <c r="J36" s="84"/>
      <c r="K36" s="84"/>
      <c r="L36" s="84"/>
      <c r="M36" s="84"/>
      <c r="N36" s="84"/>
      <c r="O36" s="84"/>
      <c r="P36" s="84"/>
      <c r="Q36" s="84"/>
      <c r="R36" s="84"/>
    </row>
    <row r="37" spans="1:18" ht="18.600000000000001" x14ac:dyDescent="0.4">
      <c r="A37" s="78"/>
      <c r="B37" s="78"/>
      <c r="C37" s="78"/>
      <c r="D37" s="79"/>
      <c r="E37" s="80" t="str">
        <f>IF(A37="","",IF(COUNTIF(D37,"&gt;0")=1,IF(D37="","",IF(INDEX(Barème!$B$2:$AA$2,1,D37)="","hors code",INDEX(Barème!$B$2:$AA$2,1,D37))),""))</f>
        <v/>
      </c>
      <c r="F37" s="81"/>
      <c r="G37" s="80" t="str">
        <f>IF(A37="","",IF(COUNTIF(F37,"&gt;0")=1,IF(F37="","",IF(INDEX(Barème!$B$2:$AA$2,1,F37)="","hors code",INDEX(Barème!$B$2:$AA$2,1,F37))),""))</f>
        <v/>
      </c>
      <c r="H37" s="82"/>
      <c r="I37" s="80" t="str">
        <f>IF(A37="","",IF(COUNTIF(H37,"&gt;0")=1,IF(H37="","",IF(INDEX(Barème!$B$2:$AA$2,1,H37)="","hors code",INDEX(Barème!$B$2:$AA$2,1,H37))),""))</f>
        <v/>
      </c>
      <c r="J37" s="82"/>
      <c r="K37" s="80" t="str">
        <f>IF(A37="","",IF(COUNTIF(J37,"&gt;0")=1,IF(J37="","",IF(INDEX(Barème!$B$2:$AA$2,1,J37)="","hors code",INDEX(Barème!$B$2:$AA$2,1,J37))),""))</f>
        <v/>
      </c>
      <c r="L37" s="82"/>
      <c r="M37" s="80" t="str">
        <f>IF(A37="","",IF(COUNTIF(L37,"&gt;0")=1,IF(L37="","",IF(INDEX(Barème!$B$2:$AA$2,1,L37)="","hors code",INDEX(Barème!$B$2:$AA$2,1,L37))),""))</f>
        <v/>
      </c>
      <c r="N37" s="82"/>
      <c r="O37" s="80" t="str">
        <f>IF(A37="","",IF(COUNTIF(N37,"&gt;0")=1,IF(N37="","",IF(INDEX(Barème!$B$2:$AA$2,1,N37)="","hors code",INDEX(Barème!$B$2:$AA$2,1,N37))),""))</f>
        <v/>
      </c>
      <c r="P37" s="80"/>
      <c r="Q37" s="80"/>
      <c r="R37" s="83" t="str">
        <f>IF(SUM(O37,M37,K37,I37,G37,E37)=0,"",SUM(O37,M37,K37,I37,G37,E37))</f>
        <v/>
      </c>
    </row>
  </sheetData>
  <mergeCells count="18">
    <mergeCell ref="N27:O27"/>
    <mergeCell ref="P27:Q27"/>
    <mergeCell ref="D27:E27"/>
    <mergeCell ref="F27:G27"/>
    <mergeCell ref="H27:I27"/>
    <mergeCell ref="J27:K27"/>
    <mergeCell ref="L27:M27"/>
    <mergeCell ref="A2:R3"/>
    <mergeCell ref="H5:J5"/>
    <mergeCell ref="L5:N5"/>
    <mergeCell ref="D7:E7"/>
    <mergeCell ref="F7:G7"/>
    <mergeCell ref="H7:I7"/>
    <mergeCell ref="J7:K7"/>
    <mergeCell ref="L7:M7"/>
    <mergeCell ref="N7:O7"/>
    <mergeCell ref="P7:Q7"/>
    <mergeCell ref="A5:D5"/>
  </mergeCells>
  <conditionalFormatting sqref="R26">
    <cfRule type="cellIs" dxfId="115" priority="2" operator="greaterThan">
      <formula>$C$26</formula>
    </cfRule>
  </conditionalFormatting>
  <conditionalFormatting sqref="R25">
    <cfRule type="cellIs" dxfId="114" priority="3" operator="greaterThan">
      <formula>$C$25</formula>
    </cfRule>
  </conditionalFormatting>
  <conditionalFormatting sqref="R24">
    <cfRule type="cellIs" dxfId="113" priority="4" operator="greaterThan">
      <formula>$C$24</formula>
    </cfRule>
  </conditionalFormatting>
  <conditionalFormatting sqref="R23">
    <cfRule type="cellIs" dxfId="112" priority="5" operator="greaterThan">
      <formula>$C$23</formula>
    </cfRule>
  </conditionalFormatting>
  <conditionalFormatting sqref="R22">
    <cfRule type="cellIs" dxfId="111" priority="6" operator="greaterThan">
      <formula>$C$22</formula>
    </cfRule>
  </conditionalFormatting>
  <conditionalFormatting sqref="R21">
    <cfRule type="cellIs" dxfId="110" priority="7" operator="greaterThan">
      <formula>$C$21</formula>
    </cfRule>
  </conditionalFormatting>
  <conditionalFormatting sqref="R20">
    <cfRule type="cellIs" dxfId="109" priority="8" operator="greaterThan">
      <formula>$C$20</formula>
    </cfRule>
  </conditionalFormatting>
  <conditionalFormatting sqref="R19">
    <cfRule type="cellIs" dxfId="108" priority="9" operator="greaterThan">
      <formula>$C$19</formula>
    </cfRule>
  </conditionalFormatting>
  <conditionalFormatting sqref="R18">
    <cfRule type="cellIs" dxfId="107" priority="10" operator="greaterThan">
      <formula>$C$18</formula>
    </cfRule>
  </conditionalFormatting>
  <conditionalFormatting sqref="R17">
    <cfRule type="cellIs" dxfId="106" priority="11" operator="greaterThan">
      <formula>$C$17</formula>
    </cfRule>
  </conditionalFormatting>
  <conditionalFormatting sqref="R16">
    <cfRule type="cellIs" dxfId="105" priority="12" operator="greaterThan">
      <formula>$C$16</formula>
    </cfRule>
  </conditionalFormatting>
  <conditionalFormatting sqref="R15">
    <cfRule type="cellIs" dxfId="104" priority="13" operator="greaterThan">
      <formula>$C$15</formula>
    </cfRule>
  </conditionalFormatting>
  <conditionalFormatting sqref="R14">
    <cfRule type="cellIs" dxfId="103" priority="14" operator="greaterThan">
      <formula>$C$14</formula>
    </cfRule>
  </conditionalFormatting>
  <conditionalFormatting sqref="R13">
    <cfRule type="cellIs" dxfId="102" priority="15" operator="greaterThan">
      <formula>$C$13</formula>
    </cfRule>
  </conditionalFormatting>
  <conditionalFormatting sqref="R12">
    <cfRule type="cellIs" dxfId="101" priority="16" operator="greaterThan">
      <formula>$C$12</formula>
    </cfRule>
  </conditionalFormatting>
  <conditionalFormatting sqref="R11">
    <cfRule type="cellIs" dxfId="100" priority="17" operator="greaterThan">
      <formula>$C$11</formula>
    </cfRule>
  </conditionalFormatting>
  <conditionalFormatting sqref="R10">
    <cfRule type="cellIs" dxfId="99" priority="18" operator="greaterThan">
      <formula>$C$10</formula>
    </cfRule>
  </conditionalFormatting>
  <pageMargins left="0.35416666666666702" right="0.27569444444444402" top="0.15763888888888899" bottom="0" header="0.511811023622047" footer="0.511811023622047"/>
  <pageSetup paperSize="9" scale="8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F37"/>
  <sheetViews>
    <sheetView topLeftCell="A3" zoomScale="81" zoomScaleNormal="81" zoomScalePageLayoutView="90" workbookViewId="0">
      <selection activeCell="U11" sqref="U11"/>
    </sheetView>
  </sheetViews>
  <sheetFormatPr baseColWidth="10" defaultColWidth="0" defaultRowHeight="21" zeroHeight="1" x14ac:dyDescent="0.5"/>
  <cols>
    <col min="1" max="1" width="20.109375" style="1" customWidth="1"/>
    <col min="2" max="2" width="5.77734375" style="1" customWidth="1"/>
    <col min="3" max="3" width="8.44140625" style="1" customWidth="1"/>
    <col min="4" max="4" width="5.77734375" style="2" customWidth="1"/>
    <col min="5" max="5" width="5.77734375" style="3" customWidth="1"/>
    <col min="6" max="6" width="5.77734375" style="4" customWidth="1"/>
    <col min="7" max="7" width="5.77734375" style="3" customWidth="1"/>
    <col min="8" max="8" width="5.77734375" style="5" customWidth="1"/>
    <col min="9" max="9" width="5.77734375" style="3" customWidth="1"/>
    <col min="10" max="10" width="5.77734375" style="5" customWidth="1"/>
    <col min="11" max="11" width="5.77734375" style="3" customWidth="1"/>
    <col min="12" max="12" width="5.77734375" style="5" customWidth="1"/>
    <col min="13" max="13" width="5.77734375" style="3" customWidth="1"/>
    <col min="14" max="14" width="5.77734375" style="5" customWidth="1"/>
    <col min="15" max="17" width="5.77734375" style="3" customWidth="1"/>
    <col min="18" max="18" width="11.5546875" style="6" customWidth="1"/>
    <col min="19" max="21" width="11.44140625" style="1"/>
    <col min="22" max="22" width="12.21875" style="1" customWidth="1"/>
    <col min="23" max="27" width="11.44140625" style="1"/>
    <col min="28" max="32" width="11.5546875" style="1" hidden="1" customWidth="1"/>
    <col min="33" max="16384" width="11.44140625" style="1" hidden="1"/>
  </cols>
  <sheetData>
    <row r="1" spans="1:23" ht="41.25" customHeight="1" x14ac:dyDescent="0.5">
      <c r="A1" s="7"/>
      <c r="B1" s="8"/>
      <c r="C1" s="8"/>
      <c r="D1" s="9"/>
      <c r="E1" s="10"/>
      <c r="F1" s="11"/>
      <c r="G1" s="10"/>
      <c r="H1" s="12"/>
      <c r="I1" s="10"/>
      <c r="J1" s="12"/>
      <c r="K1" s="10"/>
      <c r="L1" s="12"/>
      <c r="M1" s="10"/>
      <c r="N1" s="12"/>
      <c r="O1" s="10"/>
      <c r="P1" s="10"/>
      <c r="Q1" s="10"/>
      <c r="R1" s="13"/>
    </row>
    <row r="2" spans="1:23" ht="22.5" customHeight="1" x14ac:dyDescent="0.4">
      <c r="A2" s="222" t="s">
        <v>0</v>
      </c>
      <c r="B2" s="222"/>
      <c r="C2" s="222"/>
      <c r="D2" s="222"/>
      <c r="E2" s="222"/>
      <c r="F2" s="222"/>
      <c r="G2" s="222"/>
      <c r="H2" s="222"/>
      <c r="I2" s="222"/>
      <c r="J2" s="222"/>
      <c r="K2" s="222"/>
      <c r="L2" s="222"/>
      <c r="M2" s="222"/>
      <c r="N2" s="222"/>
      <c r="O2" s="222"/>
      <c r="P2" s="222"/>
      <c r="Q2" s="222"/>
      <c r="R2" s="222"/>
    </row>
    <row r="3" spans="1:23" ht="9" customHeight="1" x14ac:dyDescent="0.4">
      <c r="A3" s="222"/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2"/>
      <c r="P3" s="222"/>
      <c r="Q3" s="222"/>
      <c r="R3" s="222"/>
    </row>
    <row r="4" spans="1:23" ht="8.25" customHeight="1" x14ac:dyDescent="0.4">
      <c r="A4" s="14"/>
      <c r="B4" s="14"/>
      <c r="C4" s="14"/>
      <c r="D4" s="15"/>
      <c r="E4" s="16"/>
      <c r="F4" s="17"/>
      <c r="G4" s="16"/>
      <c r="H4" s="18"/>
      <c r="I4" s="16"/>
      <c r="J4" s="18"/>
      <c r="K4" s="16"/>
      <c r="L4" s="18"/>
      <c r="M4" s="16"/>
      <c r="N4" s="18"/>
      <c r="O4" s="16"/>
      <c r="P4" s="16"/>
      <c r="Q4" s="16"/>
      <c r="R4" s="19"/>
    </row>
    <row r="5" spans="1:23" s="29" customFormat="1" ht="21.75" customHeight="1" x14ac:dyDescent="0.5">
      <c r="A5" s="20" t="s">
        <v>1</v>
      </c>
      <c r="B5" s="21"/>
      <c r="C5" s="21"/>
      <c r="D5" s="22"/>
      <c r="E5" s="23">
        <v>52</v>
      </c>
      <c r="F5" s="24"/>
      <c r="G5" s="25" t="s">
        <v>2</v>
      </c>
      <c r="H5" s="223">
        <v>45341</v>
      </c>
      <c r="I5" s="223"/>
      <c r="J5" s="223"/>
      <c r="K5" s="26" t="s">
        <v>3</v>
      </c>
      <c r="L5" s="223">
        <v>45347</v>
      </c>
      <c r="M5" s="223"/>
      <c r="N5" s="223"/>
      <c r="O5" s="27"/>
      <c r="P5" s="25"/>
      <c r="Q5" s="25"/>
      <c r="R5" s="28"/>
      <c r="T5" s="30"/>
    </row>
    <row r="6" spans="1:23" ht="10.5" customHeight="1" x14ac:dyDescent="0.4">
      <c r="A6" s="14"/>
      <c r="B6" s="14"/>
      <c r="C6" s="14"/>
      <c r="D6" s="15"/>
      <c r="E6" s="16"/>
      <c r="F6" s="17"/>
      <c r="G6" s="16"/>
      <c r="H6" s="31"/>
      <c r="I6" s="16"/>
      <c r="J6" s="18"/>
      <c r="K6" s="16"/>
      <c r="L6" s="18"/>
      <c r="M6" s="16"/>
      <c r="N6" s="18"/>
      <c r="O6" s="16"/>
      <c r="P6" s="16"/>
      <c r="Q6" s="16"/>
      <c r="R6" s="19"/>
    </row>
    <row r="7" spans="1:23" ht="18" customHeight="1" x14ac:dyDescent="0.4">
      <c r="A7" s="32" t="s">
        <v>4</v>
      </c>
      <c r="B7" s="33" t="s">
        <v>5</v>
      </c>
      <c r="C7" s="34" t="s">
        <v>6</v>
      </c>
      <c r="D7" s="224" t="s">
        <v>7</v>
      </c>
      <c r="E7" s="224"/>
      <c r="F7" s="224" t="s">
        <v>8</v>
      </c>
      <c r="G7" s="224"/>
      <c r="H7" s="224" t="s">
        <v>9</v>
      </c>
      <c r="I7" s="224"/>
      <c r="J7" s="225" t="s">
        <v>10</v>
      </c>
      <c r="K7" s="225"/>
      <c r="L7" s="225" t="s">
        <v>11</v>
      </c>
      <c r="M7" s="225"/>
      <c r="N7" s="226" t="s">
        <v>12</v>
      </c>
      <c r="O7" s="226"/>
      <c r="P7" s="227" t="s">
        <v>13</v>
      </c>
      <c r="Q7" s="227"/>
      <c r="R7" s="35" t="s">
        <v>14</v>
      </c>
      <c r="T7" s="36"/>
      <c r="U7" s="36"/>
    </row>
    <row r="8" spans="1:23" ht="14.25" customHeight="1" x14ac:dyDescent="0.4">
      <c r="A8" s="37"/>
      <c r="B8" s="38"/>
      <c r="C8" s="38"/>
      <c r="D8" s="39" t="s">
        <v>15</v>
      </c>
      <c r="E8" s="40" t="s">
        <v>16</v>
      </c>
      <c r="F8" s="39" t="s">
        <v>15</v>
      </c>
      <c r="G8" s="40" t="s">
        <v>16</v>
      </c>
      <c r="H8" s="39" t="s">
        <v>15</v>
      </c>
      <c r="I8" s="40" t="s">
        <v>16</v>
      </c>
      <c r="J8" s="39" t="s">
        <v>15</v>
      </c>
      <c r="K8" s="40" t="s">
        <v>16</v>
      </c>
      <c r="L8" s="41" t="s">
        <v>15</v>
      </c>
      <c r="M8" s="42" t="s">
        <v>16</v>
      </c>
      <c r="N8" s="41" t="s">
        <v>15</v>
      </c>
      <c r="O8" s="42" t="s">
        <v>16</v>
      </c>
      <c r="P8" s="41" t="s">
        <v>15</v>
      </c>
      <c r="Q8" s="42" t="s">
        <v>16</v>
      </c>
      <c r="R8" s="43"/>
    </row>
    <row r="9" spans="1:23" ht="6.75" customHeight="1" x14ac:dyDescent="0.4">
      <c r="A9" s="14"/>
      <c r="B9" s="14"/>
      <c r="C9" s="14"/>
      <c r="D9" s="15"/>
      <c r="E9" s="16"/>
      <c r="F9" s="17"/>
      <c r="G9" s="16"/>
      <c r="H9" s="18"/>
      <c r="I9" s="16"/>
      <c r="J9" s="44"/>
      <c r="K9" s="16"/>
      <c r="L9" s="45"/>
      <c r="M9" s="45"/>
      <c r="N9" s="18"/>
      <c r="O9" s="16"/>
      <c r="P9" s="18"/>
      <c r="Q9" s="16"/>
      <c r="R9" s="46"/>
    </row>
    <row r="10" spans="1:23" s="55" customFormat="1" ht="22.5" customHeight="1" x14ac:dyDescent="0.4">
      <c r="A10" s="47" t="s">
        <v>17</v>
      </c>
      <c r="B10" s="48">
        <v>100</v>
      </c>
      <c r="C10" s="49">
        <f t="shared" ref="C10:C26" si="0">IF(ISBLANK(B10),"",42/24/100*B10)</f>
        <v>1.7500000000000002</v>
      </c>
      <c r="D10" s="50"/>
      <c r="E10" s="51" t="str">
        <f>IF(A10="","",IF(COUNTIF(D10,"&gt;0")=1,IF(D10="","",IF(INDEX(Barème!$B$2:$CV$2,1,D10)="","hors code",INDEX(Barème!$B$2:$CV$2,1,D10))),""))</f>
        <v/>
      </c>
      <c r="F10" s="52"/>
      <c r="G10" s="51" t="str">
        <f>IF(A10="","",IF(COUNTIF(F10,"&gt;0")=1,IF(F10="","",IF(INDEX(Barème!$B$2:$CV$2,1,F10)="","hors code",INDEX(Barème!$B$2:$CV$2,1,F10))),""))</f>
        <v/>
      </c>
      <c r="H10" s="52"/>
      <c r="I10" s="51" t="str">
        <f>IF(A10="","",IF(COUNTIF(H10,"&gt;0")=1,IF(H10="","",IF(INDEX(Barème!$B$2:$CV$2,1,H10)="","hors code",INDEX(Barème!$B$2:$CV$2,1,H10))),""))</f>
        <v/>
      </c>
      <c r="J10" s="52"/>
      <c r="K10" s="51" t="str">
        <f>IF(A10="","",IF(COUNTIF(J10,"&gt;0")=1,IF(J10="","",IF(INDEX(Barème!$B$2:$CV$2,1,J10)="","hors code",INDEX(Barème!$B$2:$CV$2,1,J10))),""))</f>
        <v/>
      </c>
      <c r="L10" s="52"/>
      <c r="M10" s="51" t="str">
        <f>IF(A10="","",IF(COUNTIF(L10,"&gt;0")=1,IF(L10="","",IF(INDEX(Barème!$B$2:$CV$2,1,L10)="","hors code",INDEX(Barème!$B$2:$CV$2,1,L10))),""))</f>
        <v/>
      </c>
      <c r="N10" s="53"/>
      <c r="O10" s="51" t="str">
        <f>IF(A10="","",IF(COUNTIF(N10,"&gt;0")=1,IF(N10="","",IF(INDEX(Barème!$B$2:$CV$2,1,N10)="","hors code",INDEX(Barème!$B$2:$CV$2,1,N10))),""))</f>
        <v/>
      </c>
      <c r="P10" s="53"/>
      <c r="Q10" s="51" t="str">
        <f>IF(A10="","",IF(COUNTIF(P10,"&gt;0")=1,IF(P10="","",IF(INDEX(Barème!$B$2:$CV$2,1,P10)="","hors code",INDEX(Barème!$B$2:$CV$2,1,P10))),""))</f>
        <v/>
      </c>
      <c r="R10" s="54" t="str">
        <f t="shared" ref="R10:R26" si="1">IF(SUM(Q10,O10,M10,K10,I10,G10,E10)=0,"",SUM(Q10,O10,M10,K10,I10,G10,E10))</f>
        <v/>
      </c>
      <c r="S10" s="1"/>
      <c r="T10" s="36"/>
    </row>
    <row r="11" spans="1:23" s="55" customFormat="1" ht="22.5" customHeight="1" x14ac:dyDescent="0.4">
      <c r="A11" s="56" t="s">
        <v>85</v>
      </c>
      <c r="B11" s="57">
        <v>30</v>
      </c>
      <c r="C11" s="49">
        <f t="shared" si="0"/>
        <v>0.52500000000000002</v>
      </c>
      <c r="D11" s="58"/>
      <c r="E11" s="59" t="str">
        <f>IF(A11="","",IF(COUNTIF(D11,"&gt;0")=1,IF(D11="","",IF(INDEX(Barème!$B$2:$CV$2,1,D11)="","hors code",INDEX(Barème!$B$2:$CV$2,1,D11))),""))</f>
        <v/>
      </c>
      <c r="F11" s="60"/>
      <c r="G11" s="59" t="str">
        <f>IF(A11="","",IF(COUNTIF(F11,"&gt;0")=1,IF(F11="","",IF(INDEX(Barème!$B$2:$CV$2,1,F11)="","hors code",INDEX(Barème!$B$2:$CV$2,1,F11))),""))</f>
        <v/>
      </c>
      <c r="H11" s="61"/>
      <c r="I11" s="59" t="str">
        <f>IF(A11="","",IF(COUNTIF(H11,"&gt;0")=1,IF(H11="","",IF(INDEX(Barème!$B$2:$CV$2,1,H11)="","hors code",INDEX(Barème!$B$2:$CV$2,1,H11))),""))</f>
        <v/>
      </c>
      <c r="J11" s="61">
        <v>6</v>
      </c>
      <c r="K11" s="59">
        <f>IF(A11="","",IF(COUNTIF(J11,"&gt;0")=1,IF(J11="","",IF(INDEX(Barème!$B$2:$CV$2,1,J11)="","hors code",INDEX(Barème!$B$2:$CV$2,1,J11))),""))</f>
        <v>0.35416666666666702</v>
      </c>
      <c r="L11" s="61"/>
      <c r="M11" s="59" t="str">
        <f>IF(A11="","",IF(COUNTIF(L11,"&gt;0")=1,IF(L11="","",IF(INDEX(Barème!$B$2:$CV$2,1,L11)="","hors code",INDEX(Barème!$B$2:$CV$2,1,L11))),""))</f>
        <v/>
      </c>
      <c r="N11" s="61"/>
      <c r="O11" s="59" t="str">
        <f>IF(A11="","",IF(COUNTIF(N11,"&gt;0")=1,IF(N11="","",IF(INDEX(Barème!$B$2:$CV$2,1,N11)="","hors code",INDEX(Barème!$B$2:$CV$2,1,N11))),""))</f>
        <v/>
      </c>
      <c r="P11" s="61"/>
      <c r="Q11" s="59" t="str">
        <f>IF(A11="","",IF(COUNTIF(P11,"&gt;0")=1,IF(P11="","",IF(INDEX(Barème!$B$2:$CV$2,1,P11)="","hors code",INDEX(Barème!$B$2:$CV$2,1,P11))),""))</f>
        <v/>
      </c>
      <c r="R11" s="54">
        <f t="shared" si="1"/>
        <v>0.35416666666666702</v>
      </c>
      <c r="T11" s="36"/>
    </row>
    <row r="12" spans="1:23" s="55" customFormat="1" ht="22.5" customHeight="1" x14ac:dyDescent="0.4">
      <c r="A12" s="62" t="s">
        <v>18</v>
      </c>
      <c r="B12" s="63">
        <v>40</v>
      </c>
      <c r="C12" s="49">
        <f t="shared" si="0"/>
        <v>0.70000000000000007</v>
      </c>
      <c r="D12" s="58"/>
      <c r="E12" s="59" t="str">
        <f>IF(A12="","",IF(COUNTIF(D12,"&gt;0")=1,IF(D12="","",IF(INDEX(Barème!$B$2:$CV$2,1,D12)="","hors code",INDEX(Barème!$B$2:$CV$2,1,D12))),""))</f>
        <v/>
      </c>
      <c r="F12" s="60"/>
      <c r="G12" s="59" t="str">
        <f>IF(A12="","",IF(COUNTIF(F12,"&gt;0")=1,IF(F12="","",IF(INDEX(Barème!$B$2:$CV$2,1,F12)="","hors code",INDEX(Barème!$B$2:$CV$2,1,F12))),""))</f>
        <v/>
      </c>
      <c r="H12" s="61">
        <v>6</v>
      </c>
      <c r="I12" s="59">
        <f>IF(A12="","",IF(COUNTIF(H12,"&gt;0")=1,IF(H12="","",IF(INDEX(Barème!$B$2:$CV$2,1,H12)="","hors code",INDEX(Barème!$B$2:$CV$2,1,H12))),""))</f>
        <v>0.35416666666666702</v>
      </c>
      <c r="J12" s="61"/>
      <c r="K12" s="59" t="str">
        <f>IF(A12="","",IF(COUNTIF(J12,"&gt;0")=1,IF(J12="","",IF(INDEX(Barème!$B$2:$CV$2,1,J12)="","hors code",INDEX(Barème!$B$2:$CV$2,1,J12))),""))</f>
        <v/>
      </c>
      <c r="L12" s="61"/>
      <c r="M12" s="59" t="str">
        <f>IF(A12="","",IF(COUNTIF(L12,"&gt;0")=1,IF(L12="","",IF(INDEX(Barème!$B$2:$CV$2,1,L12)="","hors code",INDEX(Barème!$B$2:$CV$2,1,L12))),""))</f>
        <v/>
      </c>
      <c r="N12" s="60"/>
      <c r="O12" s="59" t="str">
        <f>IF(A12="","",IF(COUNTIF(N12,"&gt;0")=1,IF(N12="","",IF(INDEX(Barème!$B$2:$CV$2,1,N12)="","hors code",INDEX(Barème!$B$2:$CV$2,1,N12))),""))</f>
        <v/>
      </c>
      <c r="P12" s="60">
        <v>15</v>
      </c>
      <c r="Q12" s="59">
        <f>IF(A12="","",IF(COUNTIF(P12,"&gt;0")=1,IF(P12="","",IF(INDEX(Barème!$B$2:$CV$2,1,P12)="","hors code",INDEX(Barème!$B$2:$CV$2,1,P12))),""))</f>
        <v>0.35416666666666702</v>
      </c>
      <c r="R12" s="54">
        <f t="shared" si="1"/>
        <v>0.70833333333333404</v>
      </c>
      <c r="T12" s="36"/>
    </row>
    <row r="13" spans="1:23" s="55" customFormat="1" ht="22.5" customHeight="1" x14ac:dyDescent="0.45">
      <c r="A13" s="64" t="s">
        <v>19</v>
      </c>
      <c r="B13" s="63"/>
      <c r="C13" s="49" t="str">
        <f t="shared" si="0"/>
        <v/>
      </c>
      <c r="D13" s="58"/>
      <c r="E13" s="59" t="str">
        <f>IF(A13="","",IF(COUNTIF(D13,"&gt;0")=1,IF(D13="","",IF(INDEX(Barème!$B$2:$CV$2,1,D13)="","hors code",INDEX(Barème!$B$2:$CV$2,1,D13))),""))</f>
        <v/>
      </c>
      <c r="F13" s="60"/>
      <c r="G13" s="59" t="str">
        <f>IF(A13="","",IF(COUNTIF(F13,"&gt;0")=1,IF(F13="","",IF(INDEX(Barème!$B$2:$CV$2,1,F13)="","hors code",INDEX(Barème!$B$2:$CV$2,1,F13))),""))</f>
        <v/>
      </c>
      <c r="H13" s="61"/>
      <c r="I13" s="59" t="str">
        <f>IF(A13="","",IF(COUNTIF(H13,"&gt;0")=1,IF(H13="","",IF(INDEX(Barème!$B$2:$CV$2,1,H13)="","hors code",INDEX(Barème!$B$2:$CV$2,1,H13))),""))</f>
        <v/>
      </c>
      <c r="J13" s="61"/>
      <c r="K13" s="59" t="str">
        <f>IF(A13="","",IF(COUNTIF(J13,"&gt;0")=1,IF(J13="","",IF(INDEX(Barème!$B$2:$CV$2,1,J13)="","hors code",INDEX(Barème!$B$2:$CV$2,1,J13))),""))</f>
        <v/>
      </c>
      <c r="L13" s="61">
        <v>14</v>
      </c>
      <c r="M13" s="59">
        <f>IF(A13="","",IF(COUNTIF(L13,"&gt;0")=1,IF(L13="","",IF(INDEX(Barème!$B$2:$CV$2,1,L13)="","hors code",INDEX(Barème!$B$2:$CV$2,1,L13))),""))</f>
        <v>0.33333333333333298</v>
      </c>
      <c r="N13" s="61"/>
      <c r="O13" s="59" t="str">
        <f>IF(A13="","",IF(COUNTIF(N13,"&gt;0")=1,IF(N13="","",IF(INDEX(Barème!$B$2:$CV$2,1,N13)="","hors code",INDEX(Barème!$B$2:$CV$2,1,N13))),""))</f>
        <v/>
      </c>
      <c r="P13" s="61"/>
      <c r="Q13" s="59" t="str">
        <f>IF(A13="","",IF(COUNTIF(P13,"&gt;0")=1,IF(P13="","",IF(INDEX(Barème!$B$2:$CV$2,1,P13)="","hors code",INDEX(Barème!$B$2:$CV$2,1,P13))),""))</f>
        <v/>
      </c>
      <c r="R13" s="54">
        <f t="shared" si="1"/>
        <v>0.33333333333333298</v>
      </c>
      <c r="T13" s="36"/>
      <c r="U13" s="65"/>
      <c r="V13" s="66"/>
      <c r="W13" s="67"/>
    </row>
    <row r="14" spans="1:23" s="55" customFormat="1" ht="22.5" customHeight="1" x14ac:dyDescent="0.4">
      <c r="A14" s="56" t="s">
        <v>20</v>
      </c>
      <c r="B14" s="68">
        <v>55</v>
      </c>
      <c r="C14" s="49">
        <f t="shared" si="0"/>
        <v>0.96250000000000013</v>
      </c>
      <c r="D14" s="58"/>
      <c r="E14" s="59" t="str">
        <f>IF(A14="","",IF(COUNTIF(D14,"&gt;0")=1,IF(D14="","",IF(INDEX(Barème!$B$2:$CV$2,1,D14)="","hors code",INDEX(Barème!$B$2:$CV$2,1,D14))),""))</f>
        <v/>
      </c>
      <c r="F14" s="60"/>
      <c r="G14" s="59" t="str">
        <f>IF(A14="","",IF(COUNTIF(F14,"&gt;0")=1,IF(F14="","",IF(INDEX(Barème!$B$2:$CV$2,1,F14)="","hors code",INDEX(Barème!$B$2:$CV$2,1,F14))),""))</f>
        <v/>
      </c>
      <c r="H14" s="61">
        <v>15</v>
      </c>
      <c r="I14" s="59">
        <f>IF(A14="","",IF(COUNTIF(H14,"&gt;0")=1,IF(H14="","",IF(INDEX(Barème!$B$2:$CV$2,1,H14)="","hors code",INDEX(Barème!$B$2:$CV$2,1,H14))),""))</f>
        <v>0.35416666666666702</v>
      </c>
      <c r="J14" s="61">
        <v>15</v>
      </c>
      <c r="K14" s="59">
        <f>IF(A14="","",IF(COUNTIF(J14,"&gt;0")=1,IF(J14="","",IF(INDEX(Barème!$B$2:$CV$2,1,J14)="","hors code",INDEX(Barème!$B$2:$CV$2,1,J14))),""))</f>
        <v>0.35416666666666702</v>
      </c>
      <c r="L14" s="61"/>
      <c r="M14" s="59" t="str">
        <f>IF(A14="","",IF(COUNTIF(L14,"&gt;0")=1,IF(L14="","",IF(INDEX(Barème!$B$2:$CV$2,1,L14)="","hors code",INDEX(Barème!$B$2:$CV$2,1,L14))),""))</f>
        <v/>
      </c>
      <c r="N14" s="61">
        <v>15</v>
      </c>
      <c r="O14" s="59">
        <f>IF(A14="","",IF(COUNTIF(N14,"&gt;0")=1,IF(N14="","",IF(INDEX(Barème!$B$2:$CV$2,1,N14)="","hors code",INDEX(Barème!$B$2:$CV$2,1,N14))),""))</f>
        <v>0.35416666666666702</v>
      </c>
      <c r="P14" s="61"/>
      <c r="Q14" s="59" t="str">
        <f>IF(A14="","",IF(COUNTIF(P14,"&gt;0")=1,IF(P14="","",IF(INDEX(Barème!$B$2:$CV$2,1,P14)="","hors code",INDEX(Barème!$B$2:$CV$2,1,P14))),""))</f>
        <v/>
      </c>
      <c r="R14" s="54">
        <f t="shared" si="1"/>
        <v>1.0625000000000011</v>
      </c>
      <c r="T14" s="36"/>
    </row>
    <row r="15" spans="1:23" s="55" customFormat="1" ht="22.5" customHeight="1" x14ac:dyDescent="0.4">
      <c r="A15" s="69"/>
      <c r="B15" s="68"/>
      <c r="C15" s="49" t="str">
        <f t="shared" si="0"/>
        <v/>
      </c>
      <c r="D15" s="58"/>
      <c r="E15" s="59" t="str">
        <f>IF(A15="","",IF(COUNTIF(D15,"&gt;0")=1,IF(D15="","",IF(INDEX(Barème!$B$2:$CV$2,1,D15)="","hors code",INDEX(Barème!$B$2:$CV$2,1,D15))),""))</f>
        <v/>
      </c>
      <c r="F15" s="60"/>
      <c r="G15" s="59" t="str">
        <f>IF(A15="","",IF(COUNTIF(F15,"&gt;0")=1,IF(F15="","",IF(INDEX(Barème!$B$2:$CV$2,1,F15)="","hors code",INDEX(Barème!$B$2:$CV$2,1,F15))),""))</f>
        <v/>
      </c>
      <c r="H15" s="61"/>
      <c r="I15" s="59" t="str">
        <f>IF(A15="","",IF(COUNTIF(H15,"&gt;0")=1,IF(H15="","",IF(INDEX(Barème!$B$2:$CV$2,1,H15)="","hors code",INDEX(Barème!$B$2:$CV$2,1,H15))),""))</f>
        <v/>
      </c>
      <c r="J15" s="61"/>
      <c r="K15" s="59" t="str">
        <f>IF(A15="","",IF(COUNTIF(J15,"&gt;0")=1,IF(J15="","",IF(INDEX(Barème!$B$2:$CV$2,1,J15)="","hors code",INDEX(Barème!$B$2:$CV$2,1,J15))),""))</f>
        <v/>
      </c>
      <c r="L15" s="61"/>
      <c r="M15" s="59" t="str">
        <f>IF(A15="","",IF(COUNTIF(L15,"&gt;0")=1,IF(L15="","",IF(INDEX(Barème!$B$2:$CV$2,1,L15)="","hors code",INDEX(Barème!$B$2:$CV$2,1,L15))),""))</f>
        <v/>
      </c>
      <c r="N15" s="61"/>
      <c r="O15" s="59" t="str">
        <f>IF(A15="","",IF(COUNTIF(N15,"&gt;0")=1,IF(N15="","",IF(INDEX(Barème!$B$2:$CV$2,1,N15)="","hors code",INDEX(Barème!$B$2:$CV$2,1,N15))),""))</f>
        <v/>
      </c>
      <c r="P15" s="61"/>
      <c r="Q15" s="59" t="str">
        <f>IF(A15="","",IF(COUNTIF(P15,"&gt;0")=1,IF(P15="","",IF(INDEX(Barème!$B$2:$CV$2,1,P15)="","hors code",INDEX(Barème!$B$2:$CV$2,1,P15))),""))</f>
        <v/>
      </c>
      <c r="R15" s="54" t="str">
        <f t="shared" si="1"/>
        <v/>
      </c>
      <c r="T15" s="36"/>
    </row>
    <row r="16" spans="1:23" s="55" customFormat="1" ht="22.5" customHeight="1" x14ac:dyDescent="0.4">
      <c r="A16" s="64"/>
      <c r="B16" s="63"/>
      <c r="C16" s="49" t="str">
        <f t="shared" si="0"/>
        <v/>
      </c>
      <c r="D16" s="58"/>
      <c r="E16" s="59" t="str">
        <f>IF(A16="","",IF(COUNTIF(D16,"&gt;0")=1,IF(D16="","",IF(INDEX(Barème!$B$2:$CV$2,1,D16)="","hors code",INDEX(Barème!$B$2:$CV$2,1,D16))),""))</f>
        <v/>
      </c>
      <c r="F16" s="60"/>
      <c r="G16" s="59" t="str">
        <f>IF(A16="","",IF(COUNTIF(F16,"&gt;0")=1,IF(F16="","",IF(INDEX(Barème!$B$2:$CV$2,1,F16)="","hors code",INDEX(Barème!$B$2:$CV$2,1,F16))),""))</f>
        <v/>
      </c>
      <c r="H16" s="61"/>
      <c r="I16" s="59" t="str">
        <f>IF(A16="","",IF(COUNTIF(H16,"&gt;0")=1,IF(H16="","",IF(INDEX(Barème!$B$2:$CV$2,1,H16)="","hors code",INDEX(Barème!$B$2:$CV$2,1,H16))),""))</f>
        <v/>
      </c>
      <c r="J16" s="61"/>
      <c r="K16" s="59" t="str">
        <f>IF(A16="","",IF(COUNTIF(J16,"&gt;0")=1,IF(J16="","",IF(INDEX(Barème!$B$2:$CV$2,1,J16)="","hors code",INDEX(Barème!$B$2:$CV$2,1,J16))),""))</f>
        <v/>
      </c>
      <c r="L16" s="61"/>
      <c r="M16" s="59" t="str">
        <f>IF(A16="","",IF(COUNTIF(L16,"&gt;0")=1,IF(L16="","",IF(INDEX(Barème!$B$2:$CV$2,1,L16)="","hors code",INDEX(Barème!$B$2:$CV$2,1,L16))),""))</f>
        <v/>
      </c>
      <c r="N16" s="61"/>
      <c r="O16" s="59" t="str">
        <f>IF(A16="","",IF(COUNTIF(N16,"&gt;0")=1,IF(N16="","",IF(INDEX(Barème!$B$2:$CV$2,1,N16)="","hors code",INDEX(Barème!$B$2:$CV$2,1,N16))),""))</f>
        <v/>
      </c>
      <c r="P16" s="61"/>
      <c r="Q16" s="59" t="str">
        <f>IF(A16="","",IF(COUNTIF(P16,"&gt;0")=1,IF(P16="","",IF(INDEX(Barème!$B$2:$CV$2,1,P16)="","hors code",INDEX(Barème!$B$2:$CV$2,1,P16))),""))</f>
        <v/>
      </c>
      <c r="R16" s="54" t="str">
        <f t="shared" si="1"/>
        <v/>
      </c>
      <c r="T16" s="36"/>
      <c r="W16" s="70"/>
    </row>
    <row r="17" spans="1:31" s="55" customFormat="1" ht="22.5" customHeight="1" x14ac:dyDescent="0.4">
      <c r="A17" s="64"/>
      <c r="B17" s="68"/>
      <c r="C17" s="49" t="str">
        <f t="shared" si="0"/>
        <v/>
      </c>
      <c r="D17" s="71"/>
      <c r="E17" s="59" t="str">
        <f>IF(A17="","",IF(COUNTIF(D17,"&gt;0")=1,IF(D17="","",IF(INDEX(Barème!$B$2:$CV$2,1,D17)="","hors code",INDEX(Barème!$B$2:$CV$2,1,D17))),""))</f>
        <v/>
      </c>
      <c r="F17" s="60"/>
      <c r="G17" s="59" t="str">
        <f>IF(A17="","",IF(COUNTIF(F17,"&gt;0")=1,IF(F17="","",IF(INDEX(Barème!$B$2:$CV$2,1,F17)="","hors code",INDEX(Barème!$B$2:$CV$2,1,F17))),""))</f>
        <v/>
      </c>
      <c r="H17" s="61"/>
      <c r="I17" s="59" t="str">
        <f>IF(A17="","",IF(COUNTIF(H17,"&gt;0")=1,IF(H17="","",IF(INDEX(Barème!$B$2:$CV$2,1,H17)="","hors code",INDEX(Barème!$B$2:$CV$2,1,H17))),""))</f>
        <v/>
      </c>
      <c r="J17" s="61"/>
      <c r="K17" s="59" t="str">
        <f>IF(A17="","",IF(COUNTIF(J17,"&gt;0")=1,IF(J17="","",IF(INDEX(Barème!$B$2:$CV$2,1,J17)="","hors code",INDEX(Barème!$B$2:$CV$2,1,J17))),""))</f>
        <v/>
      </c>
      <c r="L17" s="61"/>
      <c r="M17" s="59" t="str">
        <f>IF(A17="","",IF(COUNTIF(L17,"&gt;0")=1,IF(L17="","",IF(INDEX(Barème!$B$2:$CV$2,1,L17)="","hors code",INDEX(Barème!$B$2:$CV$2,1,L17))),""))</f>
        <v/>
      </c>
      <c r="N17" s="61"/>
      <c r="O17" s="59" t="str">
        <f>IF(A17="","",IF(COUNTIF(N17,"&gt;0")=1,IF(N17="","",IF(INDEX(Barème!$B$2:$CV$2,1,N17)="","hors code",INDEX(Barème!$B$2:$CV$2,1,N17))),""))</f>
        <v/>
      </c>
      <c r="P17" s="61"/>
      <c r="Q17" s="59" t="str">
        <f>IF(A17="","",IF(COUNTIF(P17,"&gt;0")=1,IF(P17="","",IF(INDEX(Barème!$B$2:$CV$2,1,P17)="","hors code",INDEX(Barème!$B$2:$CV$2,1,P17))),""))</f>
        <v/>
      </c>
      <c r="R17" s="54" t="str">
        <f t="shared" si="1"/>
        <v/>
      </c>
      <c r="T17" s="36"/>
    </row>
    <row r="18" spans="1:31" s="55" customFormat="1" ht="22.5" customHeight="1" x14ac:dyDescent="0.4">
      <c r="A18" s="62"/>
      <c r="B18" s="68"/>
      <c r="C18" s="49" t="str">
        <f t="shared" si="0"/>
        <v/>
      </c>
      <c r="D18" s="58"/>
      <c r="E18" s="59" t="str">
        <f>IF(A18="","",IF(COUNTIF(D18,"&gt;0")=1,IF(D18="","",IF(INDEX(Barème!$B$2:$CV$2,1,D18)="","hors code",INDEX(Barème!$B$2:$CV$2,1,D18))),""))</f>
        <v/>
      </c>
      <c r="F18" s="60"/>
      <c r="G18" s="59" t="str">
        <f>IF(A18="","",IF(COUNTIF(F18,"&gt;0")=1,IF(F18="","",IF(INDEX(Barème!$B$2:$CV$2,1,F18)="","hors code",INDEX(Barème!$B$2:$CV$2,1,F18))),""))</f>
        <v/>
      </c>
      <c r="H18" s="61"/>
      <c r="I18" s="59" t="str">
        <f>IF(A18="","",IF(COUNTIF(H18,"&gt;0")=1,IF(H18="","",IF(INDEX(Barème!$B$2:$CV$2,1,H18)="","hors code",INDEX(Barème!$B$2:$CV$2,1,H18))),""))</f>
        <v/>
      </c>
      <c r="J18" s="61"/>
      <c r="K18" s="59" t="str">
        <f>IF(A18="","",IF(COUNTIF(J18,"&gt;0")=1,IF(J18="","",IF(INDEX(Barème!$B$2:$CV$2,1,J18)="","hors code",INDEX(Barème!$B$2:$CV$2,1,J18))),""))</f>
        <v/>
      </c>
      <c r="L18" s="61"/>
      <c r="M18" s="59" t="str">
        <f>IF(A18="","",IF(COUNTIF(L18,"&gt;0")=1,IF(L18="","",IF(INDEX(Barème!$B$2:$CV$2,1,L18)="","hors code",INDEX(Barème!$B$2:$CV$2,1,L18))),""))</f>
        <v/>
      </c>
      <c r="N18" s="61"/>
      <c r="O18" s="59" t="str">
        <f>IF(A18="","",IF(COUNTIF(N18,"&gt;0")=1,IF(N18="","",IF(INDEX(Barème!$B$2:$CV$2,1,N18)="","hors code",INDEX(Barème!$B$2:$CV$2,1,N18))),""))</f>
        <v/>
      </c>
      <c r="P18" s="61"/>
      <c r="Q18" s="59" t="str">
        <f>IF(A18="","",IF(COUNTIF(P18,"&gt;0")=1,IF(P18="","",IF(INDEX(Barème!$B$2:$CV$2,1,P18)="","hors code",INDEX(Barème!$B$2:$CV$2,1,P18))),""))</f>
        <v/>
      </c>
      <c r="R18" s="54" t="str">
        <f t="shared" si="1"/>
        <v/>
      </c>
      <c r="T18" s="36"/>
    </row>
    <row r="19" spans="1:31" s="55" customFormat="1" ht="22.5" customHeight="1" x14ac:dyDescent="0.4">
      <c r="A19" s="56"/>
      <c r="B19" s="68"/>
      <c r="C19" s="49" t="str">
        <f t="shared" si="0"/>
        <v/>
      </c>
      <c r="D19" s="58"/>
      <c r="E19" s="59" t="str">
        <f>IF(A19="","",IF(COUNTIF(D19,"&gt;0")=1,IF(D19="","",IF(INDEX(Barème!$B$2:$CV$2,1,D19)="","hors code",INDEX(Barème!$B$2:$CV$2,1,D19))),""))</f>
        <v/>
      </c>
      <c r="F19" s="61"/>
      <c r="G19" s="59" t="str">
        <f>IF(A19="","",IF(COUNTIF(F19,"&gt;0")=1,IF(F19="","",IF(INDEX(Barème!$B$2:$CV$2,1,F19)="","hors code",INDEX(Barème!$B$2:$CV$2,1,F19))),""))</f>
        <v/>
      </c>
      <c r="H19" s="61"/>
      <c r="I19" s="59" t="str">
        <f>IF(A19="","",IF(COUNTIF(H19,"&gt;0")=1,IF(H19="","",IF(INDEX(Barème!$B$2:$CV$2,1,H19)="","hors code",INDEX(Barème!$B$2:$CV$2,1,H19))),""))</f>
        <v/>
      </c>
      <c r="J19" s="61"/>
      <c r="K19" s="59" t="str">
        <f>IF(A19="","",IF(COUNTIF(J19,"&gt;0")=1,IF(J19="","",IF(INDEX(Barème!$B$2:$CV$2,1,J19)="","hors code",INDEX(Barème!$B$2:$CV$2,1,J19))),""))</f>
        <v/>
      </c>
      <c r="L19" s="61"/>
      <c r="M19" s="59" t="str">
        <f>IF(A19="","",IF(COUNTIF(L19,"&gt;0")=1,IF(L19="","",IF(INDEX(Barème!$B$2:$CV$2,1,L19)="","hors code",INDEX(Barème!$B$2:$CV$2,1,L19))),""))</f>
        <v/>
      </c>
      <c r="N19" s="61"/>
      <c r="O19" s="59" t="str">
        <f>IF(A19="","",IF(COUNTIF(N19,"&gt;0")=1,IF(N19="","",IF(INDEX(Barème!$B$2:$CV$2,1,N19)="","hors code",INDEX(Barème!$B$2:$CV$2,1,N19))),""))</f>
        <v/>
      </c>
      <c r="P19" s="61"/>
      <c r="Q19" s="59" t="str">
        <f>IF(A19="","",IF(COUNTIF(P19,"&gt;0")=1,IF(P19="","",IF(INDEX(Barème!$B$2:$CV$2,1,P19)="","hors code",INDEX(Barème!$B$2:$CV$2,1,P19))),""))</f>
        <v/>
      </c>
      <c r="R19" s="54" t="str">
        <f t="shared" si="1"/>
        <v/>
      </c>
      <c r="T19" s="36"/>
      <c r="AA19" s="55" t="s">
        <v>21</v>
      </c>
      <c r="AE19" s="72"/>
    </row>
    <row r="20" spans="1:31" s="55" customFormat="1" ht="22.5" customHeight="1" x14ac:dyDescent="0.4">
      <c r="A20" s="73"/>
      <c r="B20" s="68"/>
      <c r="C20" s="49" t="str">
        <f t="shared" si="0"/>
        <v/>
      </c>
      <c r="D20" s="58"/>
      <c r="E20" s="59" t="str">
        <f>IF(A20="","",IF(COUNTIF(D20,"&gt;0")=1,IF(D20="","",IF(INDEX(Barème!$B$2:$CV$2,1,D20)="","hors code",INDEX(Barème!$B$2:$CV$2,1,D20))),""))</f>
        <v/>
      </c>
      <c r="F20" s="60"/>
      <c r="G20" s="59" t="str">
        <f>IF(A20="","",IF(COUNTIF(F20,"&gt;0")=1,IF(F20="","",IF(INDEX(Barème!$B$2:$CV$2,1,F20)="","hors code",INDEX(Barème!$B$2:$CV$2,1,F20))),""))</f>
        <v/>
      </c>
      <c r="H20" s="61"/>
      <c r="I20" s="59" t="str">
        <f>IF(A20="","",IF(COUNTIF(H20,"&gt;0")=1,IF(H20="","",IF(INDEX(Barème!$B$2:$CV$2,1,H20)="","hors code",INDEX(Barème!$B$2:$CV$2,1,H20))),""))</f>
        <v/>
      </c>
      <c r="J20" s="61"/>
      <c r="K20" s="59" t="str">
        <f>IF(A20="","",IF(COUNTIF(J20,"&gt;0")=1,IF(J20="","",IF(INDEX(Barème!$B$2:$CV$2,1,J20)="","hors code",INDEX(Barème!$B$2:$CV$2,1,J20))),""))</f>
        <v/>
      </c>
      <c r="L20" s="61"/>
      <c r="M20" s="59" t="str">
        <f>IF(A20="","",IF(COUNTIF(L20,"&gt;0")=1,IF(L20="","",IF(INDEX(Barème!$B$2:$CV$2,1,L20)="","hors code",INDEX(Barème!$B$2:$CV$2,1,L20))),""))</f>
        <v/>
      </c>
      <c r="N20" s="61"/>
      <c r="O20" s="59" t="str">
        <f>IF(A20="","",IF(COUNTIF(N20,"&gt;0")=1,IF(N20="","",IF(INDEX(Barème!$B$2:$CV$2,1,N20)="","hors code",INDEX(Barème!$B$2:$CV$2,1,N20))),""))</f>
        <v/>
      </c>
      <c r="P20" s="61"/>
      <c r="Q20" s="59" t="str">
        <f>IF(A20="","",IF(COUNTIF(P20,"&gt;0")=1,IF(P20="","",IF(INDEX(Barème!$B$2:$CV$2,1,P20)="","hors code",INDEX(Barème!$B$2:$CV$2,1,P20))),""))</f>
        <v/>
      </c>
      <c r="R20" s="54" t="str">
        <f t="shared" si="1"/>
        <v/>
      </c>
      <c r="T20" s="36"/>
    </row>
    <row r="21" spans="1:31" s="55" customFormat="1" ht="22.5" customHeight="1" x14ac:dyDescent="0.4">
      <c r="A21" s="64"/>
      <c r="B21" s="68"/>
      <c r="C21" s="49" t="str">
        <f t="shared" si="0"/>
        <v/>
      </c>
      <c r="D21" s="58"/>
      <c r="E21" s="59" t="str">
        <f>IF(A21="","",IF(COUNTIF(D21,"&gt;0")=1,IF(D21="","",IF(INDEX(Barème!$B$2:$CV$2,1,D21)="","hors code",INDEX(Barème!$B$2:$CV$2,1,D21))),""))</f>
        <v/>
      </c>
      <c r="F21" s="60"/>
      <c r="G21" s="59" t="str">
        <f>IF(A21="","",IF(COUNTIF(F21,"&gt;0")=1,IF(F21="","",IF(INDEX(Barème!$B$2:$CV$2,1,F21)="","hors code",INDEX(Barème!$B$2:$CV$2,1,F21))),""))</f>
        <v/>
      </c>
      <c r="H21" s="61"/>
      <c r="I21" s="59" t="str">
        <f>IF(A21="","",IF(COUNTIF(H21,"&gt;0")=1,IF(H21="","",IF(INDEX(Barème!$B$2:$CV$2,1,H21)="","hors code",INDEX(Barème!$B$2:$CV$2,1,H21))),""))</f>
        <v/>
      </c>
      <c r="J21" s="61"/>
      <c r="K21" s="59" t="str">
        <f>IF(A21="","",IF(COUNTIF(J21,"&gt;0")=1,IF(J21="","",IF(INDEX(Barème!$B$2:$CV$2,1,J21)="","hors code",INDEX(Barème!$B$2:$CV$2,1,J21))),""))</f>
        <v/>
      </c>
      <c r="L21" s="61"/>
      <c r="M21" s="59" t="str">
        <f>IF(A21="","",IF(COUNTIF(L21,"&gt;0")=1,IF(L21="","",IF(INDEX(Barème!$B$2:$CV$2,1,L21)="","hors code",INDEX(Barème!$B$2:$CV$2,1,L21))),""))</f>
        <v/>
      </c>
      <c r="N21" s="60"/>
      <c r="O21" s="59" t="str">
        <f>IF(A21="","",IF(COUNTIF(N21,"&gt;0")=1,IF(N21="","",IF(INDEX(Barème!$B$2:$CV$2,1,N21)="","hors code",INDEX(Barème!$B$2:$CV$2,1,N21))),""))</f>
        <v/>
      </c>
      <c r="P21" s="60"/>
      <c r="Q21" s="59" t="str">
        <f>IF(A21="","",IF(COUNTIF(P21,"&gt;0")=1,IF(P21="","",IF(INDEX(Barème!$B$2:$CV$2,1,P21)="","hors code",INDEX(Barème!$B$2:$CV$2,1,P21))),""))</f>
        <v/>
      </c>
      <c r="R21" s="54" t="str">
        <f t="shared" si="1"/>
        <v/>
      </c>
      <c r="T21" s="36"/>
    </row>
    <row r="22" spans="1:31" s="55" customFormat="1" ht="22.5" customHeight="1" x14ac:dyDescent="0.4">
      <c r="A22" s="64"/>
      <c r="B22" s="68"/>
      <c r="C22" s="49" t="str">
        <f t="shared" si="0"/>
        <v/>
      </c>
      <c r="D22" s="58"/>
      <c r="E22" s="59" t="str">
        <f>IF(A22="","",IF(COUNTIF(D22,"&gt;0")=1,IF(D22="","",IF(INDEX(Barème!$B$2:$CV$2,1,D22)="","hors code",INDEX(Barème!$B$2:$CV$2,1,D22))),""))</f>
        <v/>
      </c>
      <c r="F22" s="60"/>
      <c r="G22" s="59" t="str">
        <f>IF(A22="","",IF(COUNTIF(F22,"&gt;0")=1,IF(F22="","",IF(INDEX(Barème!$B$2:$CV$2,1,F22)="","hors code",INDEX(Barème!$B$2:$CV$2,1,F22))),""))</f>
        <v/>
      </c>
      <c r="H22" s="61"/>
      <c r="I22" s="59" t="str">
        <f>IF(A22="","",IF(COUNTIF(H22,"&gt;0")=1,IF(H22="","",IF(INDEX(Barème!$B$2:$CV$2,1,H22)="","hors code",INDEX(Barème!$B$2:$CV$2,1,H22))),""))</f>
        <v/>
      </c>
      <c r="J22" s="61"/>
      <c r="K22" s="59" t="str">
        <f>IF(A22="","",IF(COUNTIF(J22,"&gt;0")=1,IF(J22="","",IF(INDEX(Barème!$B$2:$CV$2,1,J22)="","hors code",INDEX(Barème!$B$2:$CV$2,1,J22))),""))</f>
        <v/>
      </c>
      <c r="L22" s="61"/>
      <c r="M22" s="59" t="str">
        <f>IF(A22="","",IF(COUNTIF(L22,"&gt;0")=1,IF(L22="","",IF(INDEX(Barème!$B$2:$CV$2,1,L22)="","hors code",INDEX(Barème!$B$2:$CV$2,1,L22))),""))</f>
        <v/>
      </c>
      <c r="N22" s="61"/>
      <c r="O22" s="59" t="str">
        <f>IF(A22="","",IF(COUNTIF(N22,"&gt;0")=1,IF(N22="","",IF(INDEX(Barème!$B$2:$CV$2,1,N22)="","hors code",INDEX(Barème!$B$2:$CV$2,1,N22))),""))</f>
        <v/>
      </c>
      <c r="P22" s="61"/>
      <c r="Q22" s="59" t="str">
        <f>IF(A22="","",IF(COUNTIF(P22,"&gt;0")=1,IF(P22="","",IF(INDEX(Barème!$B$2:$CV$2,1,P22)="","hors code",INDEX(Barème!$B$2:$CV$2,1,P22))),""))</f>
        <v/>
      </c>
      <c r="R22" s="54" t="str">
        <f t="shared" si="1"/>
        <v/>
      </c>
      <c r="T22" s="36"/>
      <c r="X22" s="55" t="s">
        <v>21</v>
      </c>
    </row>
    <row r="23" spans="1:31" s="55" customFormat="1" ht="22.5" customHeight="1" x14ac:dyDescent="0.4">
      <c r="A23" s="64"/>
      <c r="B23" s="68"/>
      <c r="C23" s="49" t="str">
        <f t="shared" si="0"/>
        <v/>
      </c>
      <c r="D23" s="58"/>
      <c r="E23" s="59" t="str">
        <f>IF(A23="","",IF(COUNTIF(D23,"&gt;0")=1,IF(D23="","",IF(INDEX(Barème!$B$2:$CV$2,1,D23)="","hors code",INDEX(Barème!$B$2:$CV$2,1,D23))),""))</f>
        <v/>
      </c>
      <c r="F23" s="60"/>
      <c r="G23" s="59" t="str">
        <f>IF(A23="","",IF(COUNTIF(F23,"&gt;0")=1,IF(F23="","",IF(INDEX(Barème!$B$2:$CV$2,1,F23)="","hors code",INDEX(Barème!$B$2:$CV$2,1,F23))),""))</f>
        <v/>
      </c>
      <c r="H23" s="61"/>
      <c r="I23" s="59" t="str">
        <f>IF(A23="","",IF(COUNTIF(H23,"&gt;0")=1,IF(H23="","",IF(INDEX(Barème!$B$2:$CV$2,1,H23)="","hors code",INDEX(Barème!$B$2:$CV$2,1,H23))),""))</f>
        <v/>
      </c>
      <c r="J23" s="61"/>
      <c r="K23" s="59" t="str">
        <f>IF(A23="","",IF(COUNTIF(J23,"&gt;0")=1,IF(J23="","",IF(INDEX(Barème!$B$2:$CV$2,1,J23)="","hors code",INDEX(Barème!$B$2:$CV$2,1,J23))),""))</f>
        <v/>
      </c>
      <c r="L23" s="60"/>
      <c r="M23" s="59" t="str">
        <f>IF(A23="","",IF(COUNTIF(L23,"&gt;0")=1,IF(L23="","",IF(INDEX(Barème!$B$2:$CV$2,1,L23)="","hors code",INDEX(Barème!$B$2:$CV$2,1,L23))),""))</f>
        <v/>
      </c>
      <c r="N23" s="61"/>
      <c r="O23" s="59" t="str">
        <f>IF(A23="","",IF(COUNTIF(N23,"&gt;0")=1,IF(N23="","",IF(INDEX(Barème!$B$2:$CV$2,1,N23)="","hors code",INDEX(Barème!$B$2:$CV$2,1,N23))),""))</f>
        <v/>
      </c>
      <c r="P23" s="61"/>
      <c r="Q23" s="59" t="str">
        <f>IF(A23="","",IF(COUNTIF(P23,"&gt;0")=1,IF(P23="","",IF(INDEX(Barème!$B$2:$CV$2,1,P23)="","hors code",INDEX(Barème!$B$2:$CV$2,1,P23))),""))</f>
        <v/>
      </c>
      <c r="R23" s="54" t="str">
        <f t="shared" si="1"/>
        <v/>
      </c>
      <c r="T23" s="36"/>
    </row>
    <row r="24" spans="1:31" s="55" customFormat="1" ht="22.5" customHeight="1" x14ac:dyDescent="0.4">
      <c r="A24" s="56"/>
      <c r="B24" s="68"/>
      <c r="C24" s="49" t="str">
        <f t="shared" si="0"/>
        <v/>
      </c>
      <c r="D24" s="58"/>
      <c r="E24" s="59" t="str">
        <f>IF(A24="","",IF(COUNTIF(D24,"&gt;0")=1,IF(D24="","",IF(INDEX(Barème!$B$2:$CV$2,1,D24)="","hors code",INDEX(Barème!$B$2:$CV$2,1,D24))),""))</f>
        <v/>
      </c>
      <c r="F24" s="60"/>
      <c r="G24" s="59" t="str">
        <f>IF(A24="","",IF(COUNTIF(F24,"&gt;0")=1,IF(F24="","",IF(INDEX(Barème!$B$2:$CV$2,1,F24)="","hors code",INDEX(Barème!$B$2:$CV$2,1,F24))),""))</f>
        <v/>
      </c>
      <c r="H24" s="61"/>
      <c r="I24" s="59" t="str">
        <f>IF(A24="","",IF(COUNTIF(H24,"&gt;0")=1,IF(H24="","",IF(INDEX(Barème!$B$2:$CV$2,1,H24)="","hors code",INDEX(Barème!$B$2:$CV$2,1,H24))),""))</f>
        <v/>
      </c>
      <c r="J24" s="61"/>
      <c r="K24" s="59" t="str">
        <f>IF(A24="","",IF(COUNTIF(J24,"&gt;0")=1,IF(J24="","",IF(INDEX(Barème!$B$2:$CV$2,1,J24)="","hors code",INDEX(Barème!$B$2:$CV$2,1,J24))),""))</f>
        <v/>
      </c>
      <c r="L24" s="61"/>
      <c r="M24" s="59" t="str">
        <f>IF(A24="","",IF(COUNTIF(L24,"&gt;0")=1,IF(L24="","",IF(INDEX(Barème!$B$2:$CV$2,1,L24)="","hors code",INDEX(Barème!$B$2:$CV$2,1,L24))),""))</f>
        <v/>
      </c>
      <c r="N24" s="61"/>
      <c r="O24" s="59" t="str">
        <f>IF(A24="","",IF(COUNTIF(N24,"&gt;0")=1,IF(N24="","",IF(INDEX(Barème!$B$2:$CV$2,1,N24)="","hors code",INDEX(Barème!$B$2:$CV$2,1,N24))),""))</f>
        <v/>
      </c>
      <c r="P24" s="61"/>
      <c r="Q24" s="59" t="str">
        <f>IF(A24="","",IF(COUNTIF(P24,"&gt;0")=1,IF(P24="","",IF(INDEX(Barème!$B$2:$CV$2,1,P24)="","hors code",INDEX(Barème!$B$2:$CV$2,1,P24))),""))</f>
        <v/>
      </c>
      <c r="R24" s="54" t="str">
        <f t="shared" si="1"/>
        <v/>
      </c>
    </row>
    <row r="25" spans="1:31" s="55" customFormat="1" ht="22.5" customHeight="1" x14ac:dyDescent="0.4">
      <c r="A25" s="64"/>
      <c r="B25" s="68"/>
      <c r="C25" s="49" t="str">
        <f t="shared" si="0"/>
        <v/>
      </c>
      <c r="D25" s="58"/>
      <c r="E25" s="59" t="str">
        <f>IF(A25="","",IF(COUNTIF(D25,"&gt;0")=1,IF(D25="","",IF(INDEX(Barème!$B$2:$CV$2,1,D25)="","hors code",INDEX(Barème!$B$2:$CV$2,1,D25))),""))</f>
        <v/>
      </c>
      <c r="F25" s="60"/>
      <c r="G25" s="59" t="str">
        <f>IF(A25="","",IF(COUNTIF(F25,"&gt;0")=1,IF(F25="","",IF(INDEX(Barème!$B$2:$CV$2,1,F25)="","hors code",INDEX(Barème!$B$2:$CV$2,1,F25))),""))</f>
        <v/>
      </c>
      <c r="H25" s="61"/>
      <c r="I25" s="59" t="str">
        <f>IF(A25="","",IF(COUNTIF(H25,"&gt;0")=1,IF(H25="","",IF(INDEX(Barème!$B$2:$CV$2,1,H25)="","hors code",INDEX(Barème!$B$2:$CV$2,1,H25))),""))</f>
        <v/>
      </c>
      <c r="J25" s="61"/>
      <c r="K25" s="59" t="str">
        <f>IF(A25="","",IF(COUNTIF(J25,"&gt;0")=1,IF(J25="","",IF(INDEX(Barème!$B$2:$CV$2,1,J25)="","hors code",INDEX(Barème!$B$2:$CV$2,1,J25))),""))</f>
        <v/>
      </c>
      <c r="L25" s="61"/>
      <c r="M25" s="59" t="str">
        <f>IF(A25="","",IF(COUNTIF(L25,"&gt;0")=1,IF(L25="","",IF(INDEX(Barème!$B$2:$CV$2,1,L25)="","hors code",INDEX(Barème!$B$2:$CV$2,1,L25))),""))</f>
        <v/>
      </c>
      <c r="N25" s="61"/>
      <c r="O25" s="59" t="str">
        <f>IF(A25="","",IF(COUNTIF(N25,"&gt;0")=1,IF(N25="","",IF(INDEX(Barème!$B$2:$CV$2,1,N25)="","hors code",INDEX(Barème!$B$2:$CV$2,1,N25))),""))</f>
        <v/>
      </c>
      <c r="P25" s="61"/>
      <c r="Q25" s="59" t="str">
        <f>IF(A25="","",IF(COUNTIF(P25,"&gt;0")=1,IF(P25="","",IF(INDEX(Barème!$B$2:$CV$2,1,P25)="","hors code",INDEX(Barème!$B$2:$CV$2,1,P25))),""))</f>
        <v/>
      </c>
      <c r="R25" s="54" t="str">
        <f t="shared" si="1"/>
        <v/>
      </c>
    </row>
    <row r="26" spans="1:31" s="55" customFormat="1" ht="22.5" customHeight="1" x14ac:dyDescent="0.4">
      <c r="A26" s="64" t="s">
        <v>22</v>
      </c>
      <c r="B26" s="74"/>
      <c r="C26" s="49" t="str">
        <f t="shared" si="0"/>
        <v/>
      </c>
      <c r="D26" s="58"/>
      <c r="E26" s="59" t="str">
        <f>IF(A26="","",IF(COUNTIF(D26,"&gt;0")=1,IF(D26="","",IF(INDEX(Barème!$B$2:$CV$2,1,D26)="","hors code",INDEX(Barème!$B$2:$CV$2,1,D26))),""))</f>
        <v/>
      </c>
      <c r="F26" s="60"/>
      <c r="G26" s="59" t="str">
        <f>IF(A26="","",IF(COUNTIF(F26,"&gt;0")=1,IF(F26="","",IF(INDEX(Barème!$B$2:$CV$2,1,F26)="","hors code",INDEX(Barème!$B$2:$CV$2,1,F26))),""))</f>
        <v/>
      </c>
      <c r="H26" s="61"/>
      <c r="I26" s="59" t="str">
        <f>IF(A26="","",IF(COUNTIF(H26,"&gt;0")=1,IF(H26="","",IF(INDEX(Barème!$B$2:$CV$2,1,H26)="","hors code",INDEX(Barème!$B$2:$CV$2,1,H26))),""))</f>
        <v/>
      </c>
      <c r="J26" s="61"/>
      <c r="K26" s="59" t="str">
        <f>IF(A26="","",IF(COUNTIF(J26,"&gt;0")=1,IF(J26="","",IF(INDEX(Barème!$B$2:$CV$2,1,J26)="","hors code",INDEX(Barème!$B$2:$CV$2,1,J26))),""))</f>
        <v/>
      </c>
      <c r="L26" s="61"/>
      <c r="M26" s="59" t="str">
        <f>IF(A26="","",IF(COUNTIF(L26,"&gt;0")=1,IF(L26="","",IF(INDEX(Barème!$B$2:$CV$2,1,L26)="","hors code",INDEX(Barème!$B$2:$CV$2,1,L26))),""))</f>
        <v/>
      </c>
      <c r="N26" s="61"/>
      <c r="O26" s="59" t="str">
        <f>IF(A26="","",IF(COUNTIF(N26,"&gt;0")=1,IF(N26="","",IF(INDEX(Barème!$B$2:$CV$2,1,N26)="","hors code",INDEX(Barème!$B$2:$CV$2,1,N26))),""))</f>
        <v/>
      </c>
      <c r="P26" s="61"/>
      <c r="Q26" s="59" t="str">
        <f>IF(A26="","",IF(COUNTIF(P26,"&gt;0")=1,IF(P26="","",IF(INDEX(Barème!$B$2:$CV$2,1,P26)="","hors code",INDEX(Barème!$B$2:$CV$2,1,P26))),""))</f>
        <v/>
      </c>
      <c r="R26" s="54" t="str">
        <f t="shared" si="1"/>
        <v/>
      </c>
    </row>
    <row r="27" spans="1:31" s="55" customFormat="1" ht="22.5" customHeight="1" x14ac:dyDescent="0.4">
      <c r="A27" s="75" t="s">
        <v>23</v>
      </c>
      <c r="B27" s="76"/>
      <c r="C27" s="76"/>
      <c r="D27" s="228">
        <f>SUM(E10:E26)</f>
        <v>0</v>
      </c>
      <c r="E27" s="228"/>
      <c r="F27" s="228">
        <f>SUM(G10:G26)</f>
        <v>0</v>
      </c>
      <c r="G27" s="228"/>
      <c r="H27" s="228">
        <f>SUM(I10:I26)</f>
        <v>0.70833333333333404</v>
      </c>
      <c r="I27" s="228"/>
      <c r="J27" s="228">
        <f>SUM(K10:K26)</f>
        <v>0.70833333333333404</v>
      </c>
      <c r="K27" s="228"/>
      <c r="L27" s="228">
        <f>SUM(M10:M26)</f>
        <v>0.33333333333333298</v>
      </c>
      <c r="M27" s="228"/>
      <c r="N27" s="228">
        <f>SUM(O10:O26)</f>
        <v>0.35416666666666702</v>
      </c>
      <c r="O27" s="228"/>
      <c r="P27" s="228">
        <f>SUM(Q10:Q26)</f>
        <v>0.35416666666666702</v>
      </c>
      <c r="Q27" s="228"/>
      <c r="R27" s="77">
        <f>SUM(R10:R26)</f>
        <v>2.4583333333333353</v>
      </c>
    </row>
    <row r="28" spans="1:31" s="55" customFormat="1" ht="9.75" customHeight="1" x14ac:dyDescent="0.4">
      <c r="A28" s="78"/>
      <c r="B28" s="78"/>
      <c r="C28" s="78"/>
      <c r="D28" s="79"/>
      <c r="E28" s="80" t="str">
        <f>IF(A28="","",IF(COUNTIF(D28,"&gt;0")=1,IF(D28="","",IF(INDEX(Barème!$B$2:$AA$2,1,D28)="","hors code",INDEX(Barème!$B$2:$AA$2,1,D28))),""))</f>
        <v/>
      </c>
      <c r="F28" s="81"/>
      <c r="G28" s="80" t="str">
        <f>IF(A28="","",IF(COUNTIF(F28,"&gt;0")=1,IF(F28="","",IF(INDEX(Barème!$B$2:$AA$2,1,F28)="","hors code",INDEX(Barème!$B$2:$AA$2,1,F28))),""))</f>
        <v/>
      </c>
      <c r="H28" s="82"/>
      <c r="I28" s="80" t="str">
        <f>IF(A28="","",IF(COUNTIF(H28,"&gt;0")=1,IF(H28="","",IF(INDEX(Barème!$B$2:$AA$2,1,H28)="","hors code",INDEX(Barème!$B$2:$AA$2,1,H28))),""))</f>
        <v/>
      </c>
      <c r="J28" s="82"/>
      <c r="K28" s="80" t="str">
        <f>IF(A28="","",IF(COUNTIF(J28,"&gt;0")=1,IF(J28="","",IF(INDEX(Barème!$B$2:$AA$2,1,J28)="","hors code",INDEX(Barème!$B$2:$AA$2,1,J28))),""))</f>
        <v/>
      </c>
      <c r="L28" s="82"/>
      <c r="M28" s="80" t="str">
        <f>IF(A28="","",IF(COUNTIF(L28,"&gt;0")=1,IF(L28="","",IF(INDEX(Barème!$B$2:$AA$2,1,L28)="","hors code",INDEX(Barème!$B$2:$AA$2,1,L28))),""))</f>
        <v/>
      </c>
      <c r="N28" s="82"/>
      <c r="O28" s="80" t="str">
        <f>IF(A28="","",IF(COUNTIF(N28,"&gt;0")=1,IF(N28="","",IF(INDEX(Barème!$B$2:$AA$2,1,N28)="","hors code",INDEX(Barème!$B$2:$AA$2,1,N28))),""))</f>
        <v/>
      </c>
      <c r="P28" s="80"/>
      <c r="Q28" s="80"/>
      <c r="R28" s="83" t="str">
        <f>IF(SUM(O28,M28,K28,I28,G28,E28)=0,"",SUM(O28,M28,K28,I28,G28,E28))</f>
        <v/>
      </c>
    </row>
    <row r="29" spans="1:31" s="55" customFormat="1" ht="18.600000000000001" x14ac:dyDescent="0.4">
      <c r="A29" s="78"/>
      <c r="B29" s="78"/>
      <c r="C29" s="78"/>
      <c r="D29" s="79"/>
      <c r="E29" s="80"/>
      <c r="F29" s="81"/>
      <c r="G29" s="80"/>
      <c r="H29" s="82"/>
      <c r="I29" s="80"/>
      <c r="J29" s="82"/>
      <c r="K29" s="80"/>
      <c r="L29" s="82"/>
      <c r="M29" s="80"/>
      <c r="N29" s="82"/>
      <c r="O29" s="80"/>
      <c r="P29" s="80"/>
      <c r="Q29" s="80"/>
      <c r="R29" s="83"/>
    </row>
    <row r="30" spans="1:31" s="55" customFormat="1" ht="18.600000000000001" x14ac:dyDescent="0.4">
      <c r="A30" s="78"/>
      <c r="B30" s="78"/>
      <c r="C30" s="78"/>
      <c r="D30" s="79"/>
      <c r="E30" s="80"/>
      <c r="F30" s="81"/>
      <c r="G30" s="80"/>
      <c r="H30" s="82"/>
      <c r="I30" s="80"/>
      <c r="J30" s="82"/>
      <c r="K30" s="80"/>
      <c r="L30" s="82"/>
      <c r="M30" s="80"/>
      <c r="N30" s="82"/>
      <c r="O30" s="80"/>
      <c r="P30" s="80"/>
      <c r="Q30" s="80"/>
      <c r="R30" s="83"/>
    </row>
    <row r="31" spans="1:31" s="55" customFormat="1" ht="18.600000000000001" x14ac:dyDescent="0.4">
      <c r="A31" s="78"/>
      <c r="B31" s="78"/>
      <c r="C31" s="78"/>
      <c r="D31" s="79"/>
      <c r="E31" s="80"/>
      <c r="F31" s="81"/>
      <c r="G31" s="80"/>
      <c r="H31" s="82"/>
      <c r="I31" s="80"/>
      <c r="J31" s="82"/>
      <c r="K31" s="80"/>
      <c r="L31" s="82"/>
      <c r="M31" s="80"/>
      <c r="N31" s="82"/>
      <c r="O31" s="80"/>
      <c r="P31" s="80"/>
      <c r="Q31" s="80"/>
      <c r="R31" s="83"/>
    </row>
    <row r="32" spans="1:31" s="55" customFormat="1" ht="18.600000000000001" x14ac:dyDescent="0.4">
      <c r="A32" s="78"/>
      <c r="B32" s="78"/>
      <c r="C32" s="78"/>
      <c r="D32" s="79"/>
      <c r="E32" s="80"/>
      <c r="F32" s="81"/>
      <c r="G32" s="80"/>
      <c r="H32" s="82"/>
      <c r="I32" s="80"/>
      <c r="J32" s="82"/>
      <c r="K32" s="80"/>
      <c r="L32" s="82"/>
      <c r="M32" s="80"/>
      <c r="N32" s="82"/>
      <c r="O32" s="80"/>
      <c r="P32" s="80"/>
      <c r="Q32" s="80"/>
      <c r="R32" s="83"/>
    </row>
    <row r="33" spans="1:18" s="55" customFormat="1" ht="12" customHeight="1" x14ac:dyDescent="0.4">
      <c r="A33" s="84"/>
      <c r="B33" s="84"/>
      <c r="C33" s="84"/>
      <c r="D33" s="84"/>
      <c r="E33" s="84"/>
      <c r="F33" s="84"/>
      <c r="G33" s="84"/>
      <c r="H33" s="84"/>
      <c r="I33" s="84"/>
      <c r="J33" s="84"/>
      <c r="K33" s="84"/>
      <c r="L33" s="84"/>
      <c r="M33" s="84"/>
      <c r="N33" s="84"/>
      <c r="O33" s="84"/>
      <c r="P33" s="84"/>
      <c r="Q33" s="84"/>
      <c r="R33" s="84"/>
    </row>
    <row r="34" spans="1:18" ht="32.4" x14ac:dyDescent="0.4">
      <c r="A34" s="84"/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</row>
    <row r="35" spans="1:18" ht="32.4" x14ac:dyDescent="0.4">
      <c r="A35" s="84"/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</row>
    <row r="36" spans="1:18" ht="24" customHeight="1" x14ac:dyDescent="0.4">
      <c r="A36" s="84"/>
      <c r="B36" s="84"/>
      <c r="C36" s="84"/>
      <c r="D36" s="84"/>
      <c r="E36" s="84"/>
      <c r="F36" s="84"/>
      <c r="G36" s="84"/>
      <c r="H36" s="84"/>
      <c r="I36" s="84"/>
      <c r="J36" s="84"/>
      <c r="K36" s="84"/>
      <c r="L36" s="84"/>
      <c r="M36" s="84"/>
      <c r="N36" s="84"/>
      <c r="O36" s="84"/>
      <c r="P36" s="84"/>
      <c r="Q36" s="84"/>
      <c r="R36" s="84"/>
    </row>
    <row r="37" spans="1:18" ht="18.600000000000001" x14ac:dyDescent="0.4">
      <c r="A37" s="78"/>
      <c r="B37" s="78"/>
      <c r="C37" s="78"/>
      <c r="D37" s="79"/>
      <c r="E37" s="80" t="str">
        <f>IF(A37="","",IF(COUNTIF(D37,"&gt;0")=1,IF(D37="","",IF(INDEX(Barème!$B$2:$AA$2,1,D37)="","hors code",INDEX(Barème!$B$2:$AA$2,1,D37))),""))</f>
        <v/>
      </c>
      <c r="F37" s="81"/>
      <c r="G37" s="80" t="str">
        <f>IF(A37="","",IF(COUNTIF(F37,"&gt;0")=1,IF(F37="","",IF(INDEX(Barème!$B$2:$AA$2,1,F37)="","hors code",INDEX(Barème!$B$2:$AA$2,1,F37))),""))</f>
        <v/>
      </c>
      <c r="H37" s="82"/>
      <c r="I37" s="80" t="str">
        <f>IF(A37="","",IF(COUNTIF(H37,"&gt;0")=1,IF(H37="","",IF(INDEX(Barème!$B$2:$AA$2,1,H37)="","hors code",INDEX(Barème!$B$2:$AA$2,1,H37))),""))</f>
        <v/>
      </c>
      <c r="J37" s="82"/>
      <c r="K37" s="80" t="str">
        <f>IF(A37="","",IF(COUNTIF(J37,"&gt;0")=1,IF(J37="","",IF(INDEX(Barème!$B$2:$AA$2,1,J37)="","hors code",INDEX(Barème!$B$2:$AA$2,1,J37))),""))</f>
        <v/>
      </c>
      <c r="L37" s="82"/>
      <c r="M37" s="80" t="str">
        <f>IF(A37="","",IF(COUNTIF(L37,"&gt;0")=1,IF(L37="","",IF(INDEX(Barème!$B$2:$AA$2,1,L37)="","hors code",INDEX(Barème!$B$2:$AA$2,1,L37))),""))</f>
        <v/>
      </c>
      <c r="N37" s="82"/>
      <c r="O37" s="80" t="str">
        <f>IF(A37="","",IF(COUNTIF(N37,"&gt;0")=1,IF(N37="","",IF(INDEX(Barème!$B$2:$AA$2,1,N37)="","hors code",INDEX(Barème!$B$2:$AA$2,1,N37))),""))</f>
        <v/>
      </c>
      <c r="P37" s="80"/>
      <c r="Q37" s="80"/>
      <c r="R37" s="83" t="str">
        <f>IF(SUM(O37,M37,K37,I37,G37,E37)=0,"",SUM(O37,M37,K37,I37,G37,E37))</f>
        <v/>
      </c>
    </row>
  </sheetData>
  <mergeCells count="17">
    <mergeCell ref="N27:O27"/>
    <mergeCell ref="P27:Q27"/>
    <mergeCell ref="D27:E27"/>
    <mergeCell ref="F27:G27"/>
    <mergeCell ref="H27:I27"/>
    <mergeCell ref="J27:K27"/>
    <mergeCell ref="L27:M27"/>
    <mergeCell ref="A2:R3"/>
    <mergeCell ref="H5:J5"/>
    <mergeCell ref="L5:N5"/>
    <mergeCell ref="D7:E7"/>
    <mergeCell ref="F7:G7"/>
    <mergeCell ref="H7:I7"/>
    <mergeCell ref="J7:K7"/>
    <mergeCell ref="L7:M7"/>
    <mergeCell ref="N7:O7"/>
    <mergeCell ref="P7:Q7"/>
  </mergeCells>
  <conditionalFormatting sqref="R26">
    <cfRule type="cellIs" dxfId="98" priority="2" operator="greaterThan">
      <formula>$C$26</formula>
    </cfRule>
  </conditionalFormatting>
  <conditionalFormatting sqref="R25">
    <cfRule type="cellIs" dxfId="97" priority="3" operator="greaterThan">
      <formula>$C$25</formula>
    </cfRule>
  </conditionalFormatting>
  <conditionalFormatting sqref="R24">
    <cfRule type="cellIs" dxfId="96" priority="4" operator="greaterThan">
      <formula>$C$24</formula>
    </cfRule>
  </conditionalFormatting>
  <conditionalFormatting sqref="R23">
    <cfRule type="cellIs" dxfId="95" priority="5" operator="greaterThan">
      <formula>$C$23</formula>
    </cfRule>
  </conditionalFormatting>
  <conditionalFormatting sqref="R22">
    <cfRule type="cellIs" dxfId="94" priority="6" operator="greaterThan">
      <formula>$C$22</formula>
    </cfRule>
  </conditionalFormatting>
  <conditionalFormatting sqref="R21">
    <cfRule type="cellIs" dxfId="93" priority="7" operator="greaterThan">
      <formula>$C$21</formula>
    </cfRule>
  </conditionalFormatting>
  <conditionalFormatting sqref="R20">
    <cfRule type="cellIs" dxfId="92" priority="8" operator="greaterThan">
      <formula>$C$20</formula>
    </cfRule>
  </conditionalFormatting>
  <conditionalFormatting sqref="R19">
    <cfRule type="cellIs" dxfId="91" priority="9" operator="greaterThan">
      <formula>$C$19</formula>
    </cfRule>
  </conditionalFormatting>
  <conditionalFormatting sqref="R18">
    <cfRule type="cellIs" dxfId="90" priority="10" operator="greaterThan">
      <formula>$C$18</formula>
    </cfRule>
  </conditionalFormatting>
  <conditionalFormatting sqref="R17">
    <cfRule type="cellIs" dxfId="89" priority="11" operator="greaterThan">
      <formula>$C$17</formula>
    </cfRule>
  </conditionalFormatting>
  <conditionalFormatting sqref="R16">
    <cfRule type="cellIs" dxfId="88" priority="12" operator="greaterThan">
      <formula>$C$16</formula>
    </cfRule>
  </conditionalFormatting>
  <conditionalFormatting sqref="R15">
    <cfRule type="cellIs" dxfId="87" priority="13" operator="greaterThan">
      <formula>$C$15</formula>
    </cfRule>
  </conditionalFormatting>
  <conditionalFormatting sqref="R14">
    <cfRule type="cellIs" dxfId="86" priority="14" operator="greaterThan">
      <formula>$C$14</formula>
    </cfRule>
  </conditionalFormatting>
  <conditionalFormatting sqref="R13">
    <cfRule type="cellIs" dxfId="85" priority="15" operator="greaterThan">
      <formula>$C$13</formula>
    </cfRule>
  </conditionalFormatting>
  <conditionalFormatting sqref="R12">
    <cfRule type="cellIs" dxfId="84" priority="16" operator="greaterThan">
      <formula>$C$12</formula>
    </cfRule>
  </conditionalFormatting>
  <conditionalFormatting sqref="R11">
    <cfRule type="cellIs" dxfId="83" priority="17" operator="greaterThan">
      <formula>$C$11</formula>
    </cfRule>
  </conditionalFormatting>
  <conditionalFormatting sqref="R10">
    <cfRule type="cellIs" dxfId="82" priority="18" operator="greaterThan">
      <formula>$C$10</formula>
    </cfRule>
  </conditionalFormatting>
  <pageMargins left="0.35416666666666702" right="0.27569444444444402" top="0.15763888888888899" bottom="0" header="0.511811023622047" footer="0.511811023622047"/>
  <pageSetup paperSize="9" scale="80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F37"/>
  <sheetViews>
    <sheetView zoomScale="81" zoomScaleNormal="81" zoomScalePageLayoutView="90" workbookViewId="0">
      <selection activeCell="J14" sqref="J14"/>
    </sheetView>
  </sheetViews>
  <sheetFormatPr baseColWidth="10" defaultColWidth="0" defaultRowHeight="21" zeroHeight="1" x14ac:dyDescent="0.5"/>
  <cols>
    <col min="1" max="1" width="20.109375" style="1" customWidth="1"/>
    <col min="2" max="2" width="5.77734375" style="1" customWidth="1"/>
    <col min="3" max="3" width="8.44140625" style="1" customWidth="1"/>
    <col min="4" max="4" width="5.77734375" style="2" customWidth="1"/>
    <col min="5" max="5" width="5.77734375" style="3" customWidth="1"/>
    <col min="6" max="6" width="5.77734375" style="4" customWidth="1"/>
    <col min="7" max="7" width="5.77734375" style="3" customWidth="1"/>
    <col min="8" max="8" width="5.77734375" style="5" customWidth="1"/>
    <col min="9" max="9" width="5.77734375" style="3" customWidth="1"/>
    <col min="10" max="10" width="5.77734375" style="5" customWidth="1"/>
    <col min="11" max="11" width="5.77734375" style="3" customWidth="1"/>
    <col min="12" max="12" width="5.77734375" style="5" customWidth="1"/>
    <col min="13" max="13" width="5.77734375" style="3" customWidth="1"/>
    <col min="14" max="14" width="5.77734375" style="5" customWidth="1"/>
    <col min="15" max="17" width="5.77734375" style="3" customWidth="1"/>
    <col min="18" max="18" width="11.5546875" style="6" customWidth="1"/>
    <col min="19" max="21" width="11.44140625" style="1"/>
    <col min="22" max="22" width="12.21875" style="1" customWidth="1"/>
    <col min="23" max="27" width="11.44140625" style="1"/>
    <col min="28" max="32" width="11.5546875" style="1" hidden="1" customWidth="1"/>
    <col min="33" max="16384" width="11.44140625" style="1" hidden="1"/>
  </cols>
  <sheetData>
    <row r="1" spans="1:23" ht="41.25" customHeight="1" x14ac:dyDescent="0.5">
      <c r="A1" s="7"/>
      <c r="B1" s="8"/>
      <c r="C1" s="8"/>
      <c r="D1" s="9"/>
      <c r="E1" s="10"/>
      <c r="F1" s="11"/>
      <c r="G1" s="10"/>
      <c r="H1" s="12"/>
      <c r="I1" s="10"/>
      <c r="J1" s="12"/>
      <c r="K1" s="10"/>
      <c r="L1" s="12"/>
      <c r="M1" s="10"/>
      <c r="N1" s="12"/>
      <c r="O1" s="10"/>
      <c r="P1" s="10"/>
      <c r="Q1" s="10"/>
      <c r="R1" s="13"/>
    </row>
    <row r="2" spans="1:23" ht="22.5" customHeight="1" x14ac:dyDescent="0.4">
      <c r="A2" s="222" t="s">
        <v>0</v>
      </c>
      <c r="B2" s="222"/>
      <c r="C2" s="222"/>
      <c r="D2" s="222"/>
      <c r="E2" s="222"/>
      <c r="F2" s="222"/>
      <c r="G2" s="222"/>
      <c r="H2" s="222"/>
      <c r="I2" s="222"/>
      <c r="J2" s="222"/>
      <c r="K2" s="222"/>
      <c r="L2" s="222"/>
      <c r="M2" s="222"/>
      <c r="N2" s="222"/>
      <c r="O2" s="222"/>
      <c r="P2" s="222"/>
      <c r="Q2" s="222"/>
      <c r="R2" s="222"/>
    </row>
    <row r="3" spans="1:23" ht="9" customHeight="1" x14ac:dyDescent="0.4">
      <c r="A3" s="222"/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2"/>
      <c r="P3" s="222"/>
      <c r="Q3" s="222"/>
      <c r="R3" s="222"/>
    </row>
    <row r="4" spans="1:23" ht="8.25" customHeight="1" x14ac:dyDescent="0.4">
      <c r="A4" s="14"/>
      <c r="B4" s="14"/>
      <c r="C4" s="14"/>
      <c r="D4" s="15"/>
      <c r="E4" s="16"/>
      <c r="F4" s="17"/>
      <c r="G4" s="16"/>
      <c r="H4" s="18"/>
      <c r="I4" s="16"/>
      <c r="J4" s="18"/>
      <c r="K4" s="16"/>
      <c r="L4" s="18"/>
      <c r="M4" s="16"/>
      <c r="N4" s="18"/>
      <c r="O4" s="16"/>
      <c r="P4" s="16"/>
      <c r="Q4" s="16"/>
      <c r="R4" s="19"/>
    </row>
    <row r="5" spans="1:23" s="29" customFormat="1" ht="21.75" customHeight="1" x14ac:dyDescent="0.5">
      <c r="A5" s="20" t="s">
        <v>1</v>
      </c>
      <c r="B5" s="21"/>
      <c r="C5" s="21"/>
      <c r="D5" s="22"/>
      <c r="E5" s="23">
        <v>5</v>
      </c>
      <c r="F5" s="24"/>
      <c r="G5" s="25" t="s">
        <v>2</v>
      </c>
      <c r="H5" s="223">
        <v>45348</v>
      </c>
      <c r="I5" s="223"/>
      <c r="J5" s="223"/>
      <c r="K5" s="26" t="s">
        <v>3</v>
      </c>
      <c r="L5" s="223">
        <v>45354</v>
      </c>
      <c r="M5" s="223"/>
      <c r="N5" s="223"/>
      <c r="O5" s="27"/>
      <c r="P5" s="25"/>
      <c r="Q5" s="25"/>
      <c r="R5" s="28"/>
      <c r="T5" s="30"/>
    </row>
    <row r="6" spans="1:23" ht="10.5" customHeight="1" x14ac:dyDescent="0.4">
      <c r="A6" s="14"/>
      <c r="B6" s="14"/>
      <c r="C6" s="14"/>
      <c r="D6" s="15"/>
      <c r="E6" s="16"/>
      <c r="F6" s="17"/>
      <c r="G6" s="16"/>
      <c r="H6" s="31"/>
      <c r="I6" s="16"/>
      <c r="J6" s="18"/>
      <c r="K6" s="16"/>
      <c r="L6" s="18"/>
      <c r="M6" s="16"/>
      <c r="N6" s="18"/>
      <c r="O6" s="16"/>
      <c r="P6" s="16"/>
      <c r="Q6" s="16"/>
      <c r="R6" s="19"/>
    </row>
    <row r="7" spans="1:23" ht="18" customHeight="1" x14ac:dyDescent="0.4">
      <c r="A7" s="32" t="s">
        <v>4</v>
      </c>
      <c r="B7" s="33" t="s">
        <v>5</v>
      </c>
      <c r="C7" s="34" t="s">
        <v>6</v>
      </c>
      <c r="D7" s="224" t="s">
        <v>7</v>
      </c>
      <c r="E7" s="224"/>
      <c r="F7" s="224" t="s">
        <v>8</v>
      </c>
      <c r="G7" s="224"/>
      <c r="H7" s="224" t="s">
        <v>9</v>
      </c>
      <c r="I7" s="224"/>
      <c r="J7" s="225" t="s">
        <v>10</v>
      </c>
      <c r="K7" s="225"/>
      <c r="L7" s="225" t="s">
        <v>11</v>
      </c>
      <c r="M7" s="225"/>
      <c r="N7" s="226" t="s">
        <v>12</v>
      </c>
      <c r="O7" s="226"/>
      <c r="P7" s="227" t="s">
        <v>13</v>
      </c>
      <c r="Q7" s="227"/>
      <c r="R7" s="35" t="s">
        <v>14</v>
      </c>
      <c r="T7" s="36"/>
      <c r="U7" s="36"/>
    </row>
    <row r="8" spans="1:23" ht="14.25" customHeight="1" x14ac:dyDescent="0.4">
      <c r="A8" s="37"/>
      <c r="B8" s="38"/>
      <c r="C8" s="38"/>
      <c r="D8" s="39" t="s">
        <v>15</v>
      </c>
      <c r="E8" s="40" t="s">
        <v>16</v>
      </c>
      <c r="F8" s="39" t="s">
        <v>15</v>
      </c>
      <c r="G8" s="40" t="s">
        <v>16</v>
      </c>
      <c r="H8" s="39" t="s">
        <v>15</v>
      </c>
      <c r="I8" s="40" t="s">
        <v>16</v>
      </c>
      <c r="J8" s="39" t="s">
        <v>15</v>
      </c>
      <c r="K8" s="40" t="s">
        <v>16</v>
      </c>
      <c r="L8" s="41" t="s">
        <v>15</v>
      </c>
      <c r="M8" s="42" t="s">
        <v>16</v>
      </c>
      <c r="N8" s="41" t="s">
        <v>15</v>
      </c>
      <c r="O8" s="42" t="s">
        <v>16</v>
      </c>
      <c r="P8" s="41" t="s">
        <v>15</v>
      </c>
      <c r="Q8" s="42" t="s">
        <v>16</v>
      </c>
      <c r="R8" s="43"/>
    </row>
    <row r="9" spans="1:23" ht="6.75" customHeight="1" x14ac:dyDescent="0.4">
      <c r="A9" s="14"/>
      <c r="B9" s="14"/>
      <c r="C9" s="14"/>
      <c r="D9" s="15"/>
      <c r="E9" s="16"/>
      <c r="F9" s="17"/>
      <c r="G9" s="16"/>
      <c r="H9" s="18"/>
      <c r="I9" s="16"/>
      <c r="J9" s="44"/>
      <c r="K9" s="16"/>
      <c r="L9" s="45"/>
      <c r="M9" s="45"/>
      <c r="N9" s="18"/>
      <c r="O9" s="16"/>
      <c r="P9" s="18"/>
      <c r="Q9" s="16"/>
      <c r="R9" s="46"/>
    </row>
    <row r="10" spans="1:23" s="55" customFormat="1" ht="22.5" customHeight="1" x14ac:dyDescent="0.4">
      <c r="A10" s="47" t="s">
        <v>17</v>
      </c>
      <c r="B10" s="48">
        <v>100</v>
      </c>
      <c r="C10" s="49">
        <f t="shared" ref="C10:C26" si="0">IF(ISBLANK(B10),"",42/24/100*B10)</f>
        <v>1.7500000000000002</v>
      </c>
      <c r="D10" s="50"/>
      <c r="E10" s="51" t="str">
        <f>IF(A10="","",IF(COUNTIF(D10,"&gt;0")=1,IF(D10="","",IF(INDEX(Barème!$B$2:$CV$2,1,D10)="","hors code",INDEX(Barème!$B$2:$CV$2,1,D10))),""))</f>
        <v/>
      </c>
      <c r="F10" s="52"/>
      <c r="G10" s="51" t="str">
        <f>IF(A10="","",IF(COUNTIF(F10,"&gt;0")=1,IF(F10="","",IF(INDEX(Barème!$B$2:$CV$2,1,F10)="","hors code",INDEX(Barème!$B$2:$CV$2,1,F10))),""))</f>
        <v/>
      </c>
      <c r="H10" s="52"/>
      <c r="I10" s="51" t="str">
        <f>IF(A10="","",IF(COUNTIF(H10,"&gt;0")=1,IF(H10="","",IF(INDEX(Barème!$B$2:$CV$2,1,H10)="","hors code",INDEX(Barème!$B$2:$CV$2,1,H10))),""))</f>
        <v/>
      </c>
      <c r="J10" s="52"/>
      <c r="K10" s="51" t="str">
        <f>IF(A10="","",IF(COUNTIF(J10,"&gt;0")=1,IF(J10="","",IF(INDEX(Barème!$B$2:$CV$2,1,J10)="","hors code",INDEX(Barème!$B$2:$CV$2,1,J10))),""))</f>
        <v/>
      </c>
      <c r="L10" s="52"/>
      <c r="M10" s="51" t="str">
        <f>IF(A10="","",IF(COUNTIF(L10,"&gt;0")=1,IF(L10="","",IF(INDEX(Barème!$B$2:$CV$2,1,L10)="","hors code",INDEX(Barème!$B$2:$CV$2,1,L10))),""))</f>
        <v/>
      </c>
      <c r="N10" s="53"/>
      <c r="O10" s="51" t="str">
        <f>IF(A10="","",IF(COUNTIF(N10,"&gt;0")=1,IF(N10="","",IF(INDEX(Barème!$B$2:$CV$2,1,N10)="","hors code",INDEX(Barème!$B$2:$CV$2,1,N10))),""))</f>
        <v/>
      </c>
      <c r="P10" s="53"/>
      <c r="Q10" s="51" t="str">
        <f>IF(A10="","",IF(COUNTIF(P10,"&gt;0")=1,IF(P10="","",IF(INDEX(Barème!$B$2:$CV$2,1,P10)="","hors code",INDEX(Barème!$B$2:$CV$2,1,P10))),""))</f>
        <v/>
      </c>
      <c r="R10" s="54" t="str">
        <f t="shared" ref="R10:R26" si="1">IF(SUM(Q10,O10,M10,K10,I10,G10,E10)=0,"",SUM(Q10,O10,M10,K10,I10,G10,E10))</f>
        <v/>
      </c>
      <c r="S10" s="1"/>
      <c r="T10" s="36"/>
    </row>
    <row r="11" spans="1:23" s="55" customFormat="1" ht="22.5" customHeight="1" x14ac:dyDescent="0.4">
      <c r="A11" s="56" t="s">
        <v>84</v>
      </c>
      <c r="B11" s="57">
        <v>30</v>
      </c>
      <c r="C11" s="49">
        <f t="shared" si="0"/>
        <v>0.52500000000000002</v>
      </c>
      <c r="D11" s="58"/>
      <c r="E11" s="59" t="str">
        <f>IF(A11="","",IF(COUNTIF(D11,"&gt;0")=1,IF(D11="","",IF(INDEX(Barème!$B$2:$CV$2,1,D11)="","hors code",INDEX(Barème!$B$2:$CV$2,1,D11))),""))</f>
        <v/>
      </c>
      <c r="F11" s="60"/>
      <c r="G11" s="59" t="str">
        <f>IF(A11="","",IF(COUNTIF(F11,"&gt;0")=1,IF(F11="","",IF(INDEX(Barème!$B$2:$CV$2,1,F11)="","hors code",INDEX(Barème!$B$2:$CV$2,1,F11))),""))</f>
        <v/>
      </c>
      <c r="H11" s="61"/>
      <c r="I11" s="59" t="str">
        <f>IF(A11="","",IF(COUNTIF(H11,"&gt;0")=1,IF(H11="","",IF(INDEX(Barème!$B$2:$CV$2,1,H11)="","hors code",INDEX(Barème!$B$2:$CV$2,1,H11))),""))</f>
        <v/>
      </c>
      <c r="J11" s="61">
        <v>15</v>
      </c>
      <c r="K11" s="59">
        <f>IF(A11="","",IF(COUNTIF(J11,"&gt;0")=1,IF(J11="","",IF(INDEX(Barème!$B$2:$CV$2,1,J11)="","hors code",INDEX(Barème!$B$2:$CV$2,1,J11))),""))</f>
        <v>0.35416666666666702</v>
      </c>
      <c r="L11" s="61"/>
      <c r="M11" s="59" t="str">
        <f>IF(A11="","",IF(COUNTIF(L11,"&gt;0")=1,IF(L11="","",IF(INDEX(Barème!$B$2:$CV$2,1,L11)="","hors code",INDEX(Barème!$B$2:$CV$2,1,L11))),""))</f>
        <v/>
      </c>
      <c r="N11" s="61"/>
      <c r="O11" s="59" t="str">
        <f>IF(A11="","",IF(COUNTIF(N11,"&gt;0")=1,IF(N11="","",IF(INDEX(Barème!$B$2:$CV$2,1,N11)="","hors code",INDEX(Barème!$B$2:$CV$2,1,N11))),""))</f>
        <v/>
      </c>
      <c r="P11" s="61"/>
      <c r="Q11" s="59" t="str">
        <f>IF(A11="","",IF(COUNTIF(P11,"&gt;0")=1,IF(P11="","",IF(INDEX(Barème!$B$2:$CV$2,1,P11)="","hors code",INDEX(Barème!$B$2:$CV$2,1,P11))),""))</f>
        <v/>
      </c>
      <c r="R11" s="54">
        <f t="shared" si="1"/>
        <v>0.35416666666666702</v>
      </c>
      <c r="T11" s="36"/>
    </row>
    <row r="12" spans="1:23" s="55" customFormat="1" ht="22.5" customHeight="1" x14ac:dyDescent="0.4">
      <c r="A12" s="62" t="s">
        <v>18</v>
      </c>
      <c r="B12" s="63">
        <v>40</v>
      </c>
      <c r="C12" s="49">
        <f t="shared" si="0"/>
        <v>0.70000000000000007</v>
      </c>
      <c r="D12" s="58"/>
      <c r="E12" s="59" t="str">
        <f>IF(A12="","",IF(COUNTIF(D12,"&gt;0")=1,IF(D12="","",IF(INDEX(Barème!$B$2:$CV$2,1,D12)="","hors code",INDEX(Barème!$B$2:$CV$2,1,D12))),""))</f>
        <v/>
      </c>
      <c r="F12" s="60"/>
      <c r="G12" s="59" t="str">
        <f>IF(A12="","",IF(COUNTIF(F12,"&gt;0")=1,IF(F12="","",IF(INDEX(Barème!$B$2:$CV$2,1,F12)="","hors code",INDEX(Barème!$B$2:$CV$2,1,F12))),""))</f>
        <v/>
      </c>
      <c r="H12" s="61">
        <v>15</v>
      </c>
      <c r="I12" s="59">
        <f>IF(A12="","",IF(COUNTIF(H12,"&gt;0")=1,IF(H12="","",IF(INDEX(Barème!$B$2:$CV$2,1,H12)="","hors code",INDEX(Barème!$B$2:$CV$2,1,H12))),""))</f>
        <v>0.35416666666666702</v>
      </c>
      <c r="J12" s="61"/>
      <c r="K12" s="59" t="str">
        <f>IF(A12="","",IF(COUNTIF(J12,"&gt;0")=1,IF(J12="","",IF(INDEX(Barème!$B$2:$CV$2,1,J12)="","hors code",INDEX(Barème!$B$2:$CV$2,1,J12))),""))</f>
        <v/>
      </c>
      <c r="L12" s="61"/>
      <c r="M12" s="59" t="str">
        <f>IF(A12="","",IF(COUNTIF(L12,"&gt;0")=1,IF(L12="","",IF(INDEX(Barème!$B$2:$CV$2,1,L12)="","hors code",INDEX(Barème!$B$2:$CV$2,1,L12))),""))</f>
        <v/>
      </c>
      <c r="N12" s="60"/>
      <c r="O12" s="59" t="str">
        <f>IF(A12="","",IF(COUNTIF(N12,"&gt;0")=1,IF(N12="","",IF(INDEX(Barème!$B$2:$CV$2,1,N12)="","hors code",INDEX(Barème!$B$2:$CV$2,1,N12))),""))</f>
        <v/>
      </c>
      <c r="P12" s="60">
        <v>6</v>
      </c>
      <c r="Q12" s="59">
        <f>IF(A12="","",IF(COUNTIF(P12,"&gt;0")=1,IF(P12="","",IF(INDEX(Barème!$B$2:$CV$2,1,P12)="","hors code",INDEX(Barème!$B$2:$CV$2,1,P12))),""))</f>
        <v>0.35416666666666702</v>
      </c>
      <c r="R12" s="54">
        <f t="shared" si="1"/>
        <v>0.70833333333333404</v>
      </c>
      <c r="T12" s="36"/>
    </row>
    <row r="13" spans="1:23" s="55" customFormat="1" ht="22.5" customHeight="1" x14ac:dyDescent="0.45">
      <c r="A13" s="64" t="s">
        <v>19</v>
      </c>
      <c r="B13" s="63"/>
      <c r="C13" s="49" t="str">
        <f t="shared" si="0"/>
        <v/>
      </c>
      <c r="D13" s="58"/>
      <c r="E13" s="59" t="str">
        <f>IF(A13="","",IF(COUNTIF(D13,"&gt;0")=1,IF(D13="","",IF(INDEX(Barème!$B$2:$CV$2,1,D13)="","hors code",INDEX(Barème!$B$2:$CV$2,1,D13))),""))</f>
        <v/>
      </c>
      <c r="F13" s="60"/>
      <c r="G13" s="59" t="str">
        <f>IF(A13="","",IF(COUNTIF(F13,"&gt;0")=1,IF(F13="","",IF(INDEX(Barème!$B$2:$CV$2,1,F13)="","hors code",INDEX(Barème!$B$2:$CV$2,1,F13))),""))</f>
        <v/>
      </c>
      <c r="H13" s="61"/>
      <c r="I13" s="59" t="str">
        <f>IF(A13="","",IF(COUNTIF(H13,"&gt;0")=1,IF(H13="","",IF(INDEX(Barème!$B$2:$CV$2,1,H13)="","hors code",INDEX(Barème!$B$2:$CV$2,1,H13))),""))</f>
        <v/>
      </c>
      <c r="J13" s="61"/>
      <c r="K13" s="59" t="str">
        <f>IF(A13="","",IF(COUNTIF(J13,"&gt;0")=1,IF(J13="","",IF(INDEX(Barème!$B$2:$CV$2,1,J13)="","hors code",INDEX(Barème!$B$2:$CV$2,1,J13))),""))</f>
        <v/>
      </c>
      <c r="L13" s="61"/>
      <c r="M13" s="59" t="str">
        <f>IF(A13="","",IF(COUNTIF(L13,"&gt;0")=1,IF(L13="","",IF(INDEX(Barème!$B$2:$CV$2,1,L13)="","hors code",INDEX(Barème!$B$2:$CV$2,1,L13))),""))</f>
        <v/>
      </c>
      <c r="N13" s="61"/>
      <c r="O13" s="59" t="str">
        <f>IF(A13="","",IF(COUNTIF(N13,"&gt;0")=1,IF(N13="","",IF(INDEX(Barème!$B$2:$CV$2,1,N13)="","hors code",INDEX(Barème!$B$2:$CV$2,1,N13))),""))</f>
        <v/>
      </c>
      <c r="P13" s="61"/>
      <c r="Q13" s="59" t="str">
        <f>IF(A13="","",IF(COUNTIF(P13,"&gt;0")=1,IF(P13="","",IF(INDEX(Barème!$B$2:$CV$2,1,P13)="","hors code",INDEX(Barème!$B$2:$CV$2,1,P13))),""))</f>
        <v/>
      </c>
      <c r="R13" s="54" t="str">
        <f t="shared" si="1"/>
        <v/>
      </c>
      <c r="T13" s="36"/>
      <c r="U13" s="65"/>
      <c r="V13" s="66"/>
      <c r="W13" s="67"/>
    </row>
    <row r="14" spans="1:23" s="55" customFormat="1" ht="22.5" customHeight="1" x14ac:dyDescent="0.4">
      <c r="A14" s="56" t="s">
        <v>20</v>
      </c>
      <c r="B14" s="68">
        <v>55</v>
      </c>
      <c r="C14" s="49">
        <f t="shared" si="0"/>
        <v>0.96250000000000013</v>
      </c>
      <c r="D14" s="58"/>
      <c r="E14" s="59" t="str">
        <f>IF(A14="","",IF(COUNTIF(D14,"&gt;0")=1,IF(D14="","",IF(INDEX(Barème!$B$2:$CV$2,1,D14)="","hors code",INDEX(Barème!$B$2:$CV$2,1,D14))),""))</f>
        <v/>
      </c>
      <c r="F14" s="60"/>
      <c r="G14" s="59" t="str">
        <f>IF(A14="","",IF(COUNTIF(F14,"&gt;0")=1,IF(F14="","",IF(INDEX(Barème!$B$2:$CV$2,1,F14)="","hors code",INDEX(Barème!$B$2:$CV$2,1,F14))),""))</f>
        <v/>
      </c>
      <c r="H14" s="61">
        <v>6</v>
      </c>
      <c r="I14" s="59">
        <f>IF(A14="","",IF(COUNTIF(H14,"&gt;0")=1,IF(H14="","",IF(INDEX(Barème!$B$2:$CV$2,1,H14)="","hors code",INDEX(Barème!$B$2:$CV$2,1,H14))),""))</f>
        <v>0.35416666666666702</v>
      </c>
      <c r="J14" s="61">
        <v>6</v>
      </c>
      <c r="K14" s="59">
        <f>IF(A14="","",IF(COUNTIF(J14,"&gt;0")=1,IF(J14="","",IF(INDEX(Barème!$B$2:$CV$2,1,J14)="","hors code",INDEX(Barème!$B$2:$CV$2,1,J14))),""))</f>
        <v>0.35416666666666702</v>
      </c>
      <c r="L14" s="61"/>
      <c r="M14" s="59" t="str">
        <f>IF(A14="","",IF(COUNTIF(L14,"&gt;0")=1,IF(L14="","",IF(INDEX(Barème!$B$2:$CV$2,1,L14)="","hors code",INDEX(Barème!$B$2:$CV$2,1,L14))),""))</f>
        <v/>
      </c>
      <c r="N14" s="61">
        <v>15</v>
      </c>
      <c r="O14" s="59">
        <f>IF(A14="","",IF(COUNTIF(N14,"&gt;0")=1,IF(N14="","",IF(INDEX(Barème!$B$2:$CV$2,1,N14)="","hors code",INDEX(Barème!$B$2:$CV$2,1,N14))),""))</f>
        <v>0.35416666666666702</v>
      </c>
      <c r="P14" s="61"/>
      <c r="Q14" s="59" t="str">
        <f>IF(A14="","",IF(COUNTIF(P14,"&gt;0")=1,IF(P14="","",IF(INDEX(Barème!$B$2:$CV$2,1,P14)="","hors code",INDEX(Barème!$B$2:$CV$2,1,P14))),""))</f>
        <v/>
      </c>
      <c r="R14" s="54">
        <f t="shared" si="1"/>
        <v>1.0625000000000011</v>
      </c>
      <c r="T14" s="36"/>
    </row>
    <row r="15" spans="1:23" s="55" customFormat="1" ht="22.5" customHeight="1" x14ac:dyDescent="0.4">
      <c r="A15" s="69"/>
      <c r="B15" s="68"/>
      <c r="C15" s="49" t="str">
        <f t="shared" si="0"/>
        <v/>
      </c>
      <c r="D15" s="58"/>
      <c r="E15" s="59" t="str">
        <f>IF(A15="","",IF(COUNTIF(D15,"&gt;0")=1,IF(D15="","",IF(INDEX(Barème!$B$2:$CV$2,1,D15)="","hors code",INDEX(Barème!$B$2:$CV$2,1,D15))),""))</f>
        <v/>
      </c>
      <c r="F15" s="60"/>
      <c r="G15" s="59" t="str">
        <f>IF(A15="","",IF(COUNTIF(F15,"&gt;0")=1,IF(F15="","",IF(INDEX(Barème!$B$2:$CV$2,1,F15)="","hors code",INDEX(Barème!$B$2:$CV$2,1,F15))),""))</f>
        <v/>
      </c>
      <c r="H15" s="61"/>
      <c r="I15" s="59" t="str">
        <f>IF(A15="","",IF(COUNTIF(H15,"&gt;0")=1,IF(H15="","",IF(INDEX(Barème!$B$2:$CV$2,1,H15)="","hors code",INDEX(Barème!$B$2:$CV$2,1,H15))),""))</f>
        <v/>
      </c>
      <c r="J15" s="61"/>
      <c r="K15" s="59" t="str">
        <f>IF(A15="","",IF(COUNTIF(J15,"&gt;0")=1,IF(J15="","",IF(INDEX(Barème!$B$2:$CV$2,1,J15)="","hors code",INDEX(Barème!$B$2:$CV$2,1,J15))),""))</f>
        <v/>
      </c>
      <c r="L15" s="61"/>
      <c r="M15" s="59" t="str">
        <f>IF(A15="","",IF(COUNTIF(L15,"&gt;0")=1,IF(L15="","",IF(INDEX(Barème!$B$2:$CV$2,1,L15)="","hors code",INDEX(Barème!$B$2:$CV$2,1,L15))),""))</f>
        <v/>
      </c>
      <c r="N15" s="61"/>
      <c r="O15" s="59" t="str">
        <f>IF(A15="","",IF(COUNTIF(N15,"&gt;0")=1,IF(N15="","",IF(INDEX(Barème!$B$2:$CV$2,1,N15)="","hors code",INDEX(Barème!$B$2:$CV$2,1,N15))),""))</f>
        <v/>
      </c>
      <c r="P15" s="61"/>
      <c r="Q15" s="59" t="str">
        <f>IF(A15="","",IF(COUNTIF(P15,"&gt;0")=1,IF(P15="","",IF(INDEX(Barème!$B$2:$CV$2,1,P15)="","hors code",INDEX(Barème!$B$2:$CV$2,1,P15))),""))</f>
        <v/>
      </c>
      <c r="R15" s="54" t="str">
        <f t="shared" si="1"/>
        <v/>
      </c>
      <c r="T15" s="36"/>
    </row>
    <row r="16" spans="1:23" s="55" customFormat="1" ht="22.5" customHeight="1" x14ac:dyDescent="0.4">
      <c r="A16" s="64"/>
      <c r="B16" s="63"/>
      <c r="C16" s="49" t="str">
        <f t="shared" si="0"/>
        <v/>
      </c>
      <c r="D16" s="58"/>
      <c r="E16" s="59" t="str">
        <f>IF(A16="","",IF(COUNTIF(D16,"&gt;0")=1,IF(D16="","",IF(INDEX(Barème!$B$2:$CV$2,1,D16)="","hors code",INDEX(Barème!$B$2:$CV$2,1,D16))),""))</f>
        <v/>
      </c>
      <c r="F16" s="60"/>
      <c r="G16" s="59" t="str">
        <f>IF(A16="","",IF(COUNTIF(F16,"&gt;0")=1,IF(F16="","",IF(INDEX(Barème!$B$2:$CV$2,1,F16)="","hors code",INDEX(Barème!$B$2:$CV$2,1,F16))),""))</f>
        <v/>
      </c>
      <c r="H16" s="61"/>
      <c r="I16" s="59" t="str">
        <f>IF(A16="","",IF(COUNTIF(H16,"&gt;0")=1,IF(H16="","",IF(INDEX(Barème!$B$2:$CV$2,1,H16)="","hors code",INDEX(Barème!$B$2:$CV$2,1,H16))),""))</f>
        <v/>
      </c>
      <c r="J16" s="61"/>
      <c r="K16" s="59" t="str">
        <f>IF(A16="","",IF(COUNTIF(J16,"&gt;0")=1,IF(J16="","",IF(INDEX(Barème!$B$2:$CV$2,1,J16)="","hors code",INDEX(Barème!$B$2:$CV$2,1,J16))),""))</f>
        <v/>
      </c>
      <c r="L16" s="61"/>
      <c r="M16" s="59" t="str">
        <f>IF(A16="","",IF(COUNTIF(L16,"&gt;0")=1,IF(L16="","",IF(INDEX(Barème!$B$2:$CV$2,1,L16)="","hors code",INDEX(Barème!$B$2:$CV$2,1,L16))),""))</f>
        <v/>
      </c>
      <c r="N16" s="61"/>
      <c r="O16" s="59" t="str">
        <f>IF(A16="","",IF(COUNTIF(N16,"&gt;0")=1,IF(N16="","",IF(INDEX(Barème!$B$2:$CV$2,1,N16)="","hors code",INDEX(Barème!$B$2:$CV$2,1,N16))),""))</f>
        <v/>
      </c>
      <c r="P16" s="61"/>
      <c r="Q16" s="59" t="str">
        <f>IF(A16="","",IF(COUNTIF(P16,"&gt;0")=1,IF(P16="","",IF(INDEX(Barème!$B$2:$CV$2,1,P16)="","hors code",INDEX(Barème!$B$2:$CV$2,1,P16))),""))</f>
        <v/>
      </c>
      <c r="R16" s="54" t="str">
        <f t="shared" si="1"/>
        <v/>
      </c>
      <c r="T16" s="36"/>
      <c r="W16" s="70"/>
    </row>
    <row r="17" spans="1:31" s="55" customFormat="1" ht="22.5" customHeight="1" x14ac:dyDescent="0.4">
      <c r="A17" s="64"/>
      <c r="B17" s="68"/>
      <c r="C17" s="49" t="str">
        <f t="shared" si="0"/>
        <v/>
      </c>
      <c r="D17" s="71"/>
      <c r="E17" s="59" t="str">
        <f>IF(A17="","",IF(COUNTIF(D17,"&gt;0")=1,IF(D17="","",IF(INDEX(Barème!$B$2:$CV$2,1,D17)="","hors code",INDEX(Barème!$B$2:$CV$2,1,D17))),""))</f>
        <v/>
      </c>
      <c r="F17" s="60"/>
      <c r="G17" s="59" t="str">
        <f>IF(A17="","",IF(COUNTIF(F17,"&gt;0")=1,IF(F17="","",IF(INDEX(Barème!$B$2:$CV$2,1,F17)="","hors code",INDEX(Barème!$B$2:$CV$2,1,F17))),""))</f>
        <v/>
      </c>
      <c r="H17" s="61"/>
      <c r="I17" s="59" t="str">
        <f>IF(A17="","",IF(COUNTIF(H17,"&gt;0")=1,IF(H17="","",IF(INDEX(Barème!$B$2:$CV$2,1,H17)="","hors code",INDEX(Barème!$B$2:$CV$2,1,H17))),""))</f>
        <v/>
      </c>
      <c r="J17" s="61"/>
      <c r="K17" s="59" t="str">
        <f>IF(A17="","",IF(COUNTIF(J17,"&gt;0")=1,IF(J17="","",IF(INDEX(Barème!$B$2:$CV$2,1,J17)="","hors code",INDEX(Barème!$B$2:$CV$2,1,J17))),""))</f>
        <v/>
      </c>
      <c r="L17" s="61"/>
      <c r="M17" s="59" t="str">
        <f>IF(A17="","",IF(COUNTIF(L17,"&gt;0")=1,IF(L17="","",IF(INDEX(Barème!$B$2:$CV$2,1,L17)="","hors code",INDEX(Barème!$B$2:$CV$2,1,L17))),""))</f>
        <v/>
      </c>
      <c r="N17" s="61"/>
      <c r="O17" s="59" t="str">
        <f>IF(A17="","",IF(COUNTIF(N17,"&gt;0")=1,IF(N17="","",IF(INDEX(Barème!$B$2:$CV$2,1,N17)="","hors code",INDEX(Barème!$B$2:$CV$2,1,N17))),""))</f>
        <v/>
      </c>
      <c r="P17" s="61"/>
      <c r="Q17" s="59" t="str">
        <f>IF(A17="","",IF(COUNTIF(P17,"&gt;0")=1,IF(P17="","",IF(INDEX(Barème!$B$2:$CV$2,1,P17)="","hors code",INDEX(Barème!$B$2:$CV$2,1,P17))),""))</f>
        <v/>
      </c>
      <c r="R17" s="54" t="str">
        <f t="shared" si="1"/>
        <v/>
      </c>
      <c r="T17" s="36"/>
    </row>
    <row r="18" spans="1:31" s="55" customFormat="1" ht="22.5" customHeight="1" x14ac:dyDescent="0.4">
      <c r="A18" s="62"/>
      <c r="B18" s="68"/>
      <c r="C18" s="49" t="str">
        <f t="shared" si="0"/>
        <v/>
      </c>
      <c r="D18" s="58"/>
      <c r="E18" s="59" t="str">
        <f>IF(A18="","",IF(COUNTIF(D18,"&gt;0")=1,IF(D18="","",IF(INDEX(Barème!$B$2:$CV$2,1,D18)="","hors code",INDEX(Barème!$B$2:$CV$2,1,D18))),""))</f>
        <v/>
      </c>
      <c r="F18" s="60"/>
      <c r="G18" s="59" t="str">
        <f>IF(A18="","",IF(COUNTIF(F18,"&gt;0")=1,IF(F18="","",IF(INDEX(Barème!$B$2:$CV$2,1,F18)="","hors code",INDEX(Barème!$B$2:$CV$2,1,F18))),""))</f>
        <v/>
      </c>
      <c r="H18" s="61"/>
      <c r="I18" s="59" t="str">
        <f>IF(A18="","",IF(COUNTIF(H18,"&gt;0")=1,IF(H18="","",IF(INDEX(Barème!$B$2:$CV$2,1,H18)="","hors code",INDEX(Barème!$B$2:$CV$2,1,H18))),""))</f>
        <v/>
      </c>
      <c r="J18" s="61"/>
      <c r="K18" s="59" t="str">
        <f>IF(A18="","",IF(COUNTIF(J18,"&gt;0")=1,IF(J18="","",IF(INDEX(Barème!$B$2:$CV$2,1,J18)="","hors code",INDEX(Barème!$B$2:$CV$2,1,J18))),""))</f>
        <v/>
      </c>
      <c r="L18" s="61"/>
      <c r="M18" s="59" t="str">
        <f>IF(A18="","",IF(COUNTIF(L18,"&gt;0")=1,IF(L18="","",IF(INDEX(Barème!$B$2:$CV$2,1,L18)="","hors code",INDEX(Barème!$B$2:$CV$2,1,L18))),""))</f>
        <v/>
      </c>
      <c r="N18" s="61"/>
      <c r="O18" s="59" t="str">
        <f>IF(A18="","",IF(COUNTIF(N18,"&gt;0")=1,IF(N18="","",IF(INDEX(Barème!$B$2:$CV$2,1,N18)="","hors code",INDEX(Barème!$B$2:$CV$2,1,N18))),""))</f>
        <v/>
      </c>
      <c r="P18" s="61"/>
      <c r="Q18" s="59" t="str">
        <f>IF(A18="","",IF(COUNTIF(P18,"&gt;0")=1,IF(P18="","",IF(INDEX(Barème!$B$2:$CV$2,1,P18)="","hors code",INDEX(Barème!$B$2:$CV$2,1,P18))),""))</f>
        <v/>
      </c>
      <c r="R18" s="54" t="str">
        <f t="shared" si="1"/>
        <v/>
      </c>
      <c r="T18" s="36"/>
    </row>
    <row r="19" spans="1:31" s="55" customFormat="1" ht="22.5" customHeight="1" x14ac:dyDescent="0.4">
      <c r="A19" s="56"/>
      <c r="B19" s="68"/>
      <c r="C19" s="49" t="str">
        <f t="shared" si="0"/>
        <v/>
      </c>
      <c r="D19" s="58"/>
      <c r="E19" s="59" t="str">
        <f>IF(A19="","",IF(COUNTIF(D19,"&gt;0")=1,IF(D19="","",IF(INDEX(Barème!$B$2:$CV$2,1,D19)="","hors code",INDEX(Barème!$B$2:$CV$2,1,D19))),""))</f>
        <v/>
      </c>
      <c r="F19" s="61"/>
      <c r="G19" s="59" t="str">
        <f>IF(A19="","",IF(COUNTIF(F19,"&gt;0")=1,IF(F19="","",IF(INDEX(Barème!$B$2:$CV$2,1,F19)="","hors code",INDEX(Barème!$B$2:$CV$2,1,F19))),""))</f>
        <v/>
      </c>
      <c r="H19" s="61"/>
      <c r="I19" s="59" t="str">
        <f>IF(A19="","",IF(COUNTIF(H19,"&gt;0")=1,IF(H19="","",IF(INDEX(Barème!$B$2:$CV$2,1,H19)="","hors code",INDEX(Barème!$B$2:$CV$2,1,H19))),""))</f>
        <v/>
      </c>
      <c r="J19" s="61"/>
      <c r="K19" s="59" t="str">
        <f>IF(A19="","",IF(COUNTIF(J19,"&gt;0")=1,IF(J19="","",IF(INDEX(Barème!$B$2:$CV$2,1,J19)="","hors code",INDEX(Barème!$B$2:$CV$2,1,J19))),""))</f>
        <v/>
      </c>
      <c r="L19" s="61"/>
      <c r="M19" s="59" t="str">
        <f>IF(A19="","",IF(COUNTIF(L19,"&gt;0")=1,IF(L19="","",IF(INDEX(Barème!$B$2:$CV$2,1,L19)="","hors code",INDEX(Barème!$B$2:$CV$2,1,L19))),""))</f>
        <v/>
      </c>
      <c r="N19" s="61"/>
      <c r="O19" s="59" t="str">
        <f>IF(A19="","",IF(COUNTIF(N19,"&gt;0")=1,IF(N19="","",IF(INDEX(Barème!$B$2:$CV$2,1,N19)="","hors code",INDEX(Barème!$B$2:$CV$2,1,N19))),""))</f>
        <v/>
      </c>
      <c r="P19" s="61"/>
      <c r="Q19" s="59" t="str">
        <f>IF(A19="","",IF(COUNTIF(P19,"&gt;0")=1,IF(P19="","",IF(INDEX(Barème!$B$2:$CV$2,1,P19)="","hors code",INDEX(Barème!$B$2:$CV$2,1,P19))),""))</f>
        <v/>
      </c>
      <c r="R19" s="54" t="str">
        <f t="shared" si="1"/>
        <v/>
      </c>
      <c r="T19" s="36"/>
      <c r="AA19" s="55" t="s">
        <v>21</v>
      </c>
      <c r="AE19" s="72"/>
    </row>
    <row r="20" spans="1:31" s="55" customFormat="1" ht="22.5" customHeight="1" x14ac:dyDescent="0.4">
      <c r="A20" s="73"/>
      <c r="B20" s="68"/>
      <c r="C20" s="49" t="str">
        <f t="shared" si="0"/>
        <v/>
      </c>
      <c r="D20" s="58"/>
      <c r="E20" s="59" t="str">
        <f>IF(A20="","",IF(COUNTIF(D20,"&gt;0")=1,IF(D20="","",IF(INDEX(Barème!$B$2:$CV$2,1,D20)="","hors code",INDEX(Barème!$B$2:$CV$2,1,D20))),""))</f>
        <v/>
      </c>
      <c r="F20" s="60"/>
      <c r="G20" s="59" t="str">
        <f>IF(A20="","",IF(COUNTIF(F20,"&gt;0")=1,IF(F20="","",IF(INDEX(Barème!$B$2:$CV$2,1,F20)="","hors code",INDEX(Barème!$B$2:$CV$2,1,F20))),""))</f>
        <v/>
      </c>
      <c r="H20" s="61"/>
      <c r="I20" s="59" t="str">
        <f>IF(A20="","",IF(COUNTIF(H20,"&gt;0")=1,IF(H20="","",IF(INDEX(Barème!$B$2:$CV$2,1,H20)="","hors code",INDEX(Barème!$B$2:$CV$2,1,H20))),""))</f>
        <v/>
      </c>
      <c r="J20" s="61"/>
      <c r="K20" s="59" t="str">
        <f>IF(A20="","",IF(COUNTIF(J20,"&gt;0")=1,IF(J20="","",IF(INDEX(Barème!$B$2:$CV$2,1,J20)="","hors code",INDEX(Barème!$B$2:$CV$2,1,J20))),""))</f>
        <v/>
      </c>
      <c r="L20" s="61"/>
      <c r="M20" s="59" t="str">
        <f>IF(A20="","",IF(COUNTIF(L20,"&gt;0")=1,IF(L20="","",IF(INDEX(Barème!$B$2:$CV$2,1,L20)="","hors code",INDEX(Barème!$B$2:$CV$2,1,L20))),""))</f>
        <v/>
      </c>
      <c r="N20" s="61"/>
      <c r="O20" s="59" t="str">
        <f>IF(A20="","",IF(COUNTIF(N20,"&gt;0")=1,IF(N20="","",IF(INDEX(Barème!$B$2:$CV$2,1,N20)="","hors code",INDEX(Barème!$B$2:$CV$2,1,N20))),""))</f>
        <v/>
      </c>
      <c r="P20" s="61"/>
      <c r="Q20" s="59" t="str">
        <f>IF(A20="","",IF(COUNTIF(P20,"&gt;0")=1,IF(P20="","",IF(INDEX(Barème!$B$2:$CV$2,1,P20)="","hors code",INDEX(Barème!$B$2:$CV$2,1,P20))),""))</f>
        <v/>
      </c>
      <c r="R20" s="54" t="str">
        <f t="shared" si="1"/>
        <v/>
      </c>
      <c r="T20" s="36"/>
    </row>
    <row r="21" spans="1:31" s="55" customFormat="1" ht="22.5" customHeight="1" x14ac:dyDescent="0.4">
      <c r="A21" s="64"/>
      <c r="B21" s="68"/>
      <c r="C21" s="49" t="str">
        <f t="shared" si="0"/>
        <v/>
      </c>
      <c r="D21" s="58"/>
      <c r="E21" s="59" t="str">
        <f>IF(A21="","",IF(COUNTIF(D21,"&gt;0")=1,IF(D21="","",IF(INDEX(Barème!$B$2:$CV$2,1,D21)="","hors code",INDEX(Barème!$B$2:$CV$2,1,D21))),""))</f>
        <v/>
      </c>
      <c r="F21" s="60"/>
      <c r="G21" s="59" t="str">
        <f>IF(A21="","",IF(COUNTIF(F21,"&gt;0")=1,IF(F21="","",IF(INDEX(Barème!$B$2:$CV$2,1,F21)="","hors code",INDEX(Barème!$B$2:$CV$2,1,F21))),""))</f>
        <v/>
      </c>
      <c r="H21" s="61"/>
      <c r="I21" s="59" t="str">
        <f>IF(A21="","",IF(COUNTIF(H21,"&gt;0")=1,IF(H21="","",IF(INDEX(Barème!$B$2:$CV$2,1,H21)="","hors code",INDEX(Barème!$B$2:$CV$2,1,H21))),""))</f>
        <v/>
      </c>
      <c r="J21" s="61"/>
      <c r="K21" s="59" t="str">
        <f>IF(A21="","",IF(COUNTIF(J21,"&gt;0")=1,IF(J21="","",IF(INDEX(Barème!$B$2:$CV$2,1,J21)="","hors code",INDEX(Barème!$B$2:$CV$2,1,J21))),""))</f>
        <v/>
      </c>
      <c r="L21" s="61"/>
      <c r="M21" s="59" t="str">
        <f>IF(A21="","",IF(COUNTIF(L21,"&gt;0")=1,IF(L21="","",IF(INDEX(Barème!$B$2:$CV$2,1,L21)="","hors code",INDEX(Barème!$B$2:$CV$2,1,L21))),""))</f>
        <v/>
      </c>
      <c r="N21" s="60"/>
      <c r="O21" s="59" t="str">
        <f>IF(A21="","",IF(COUNTIF(N21,"&gt;0")=1,IF(N21="","",IF(INDEX(Barème!$B$2:$CV$2,1,N21)="","hors code",INDEX(Barème!$B$2:$CV$2,1,N21))),""))</f>
        <v/>
      </c>
      <c r="P21" s="60"/>
      <c r="Q21" s="59" t="str">
        <f>IF(A21="","",IF(COUNTIF(P21,"&gt;0")=1,IF(P21="","",IF(INDEX(Barème!$B$2:$CV$2,1,P21)="","hors code",INDEX(Barème!$B$2:$CV$2,1,P21))),""))</f>
        <v/>
      </c>
      <c r="R21" s="54" t="str">
        <f t="shared" si="1"/>
        <v/>
      </c>
      <c r="T21" s="36"/>
    </row>
    <row r="22" spans="1:31" s="55" customFormat="1" ht="22.5" customHeight="1" x14ac:dyDescent="0.4">
      <c r="A22" s="64"/>
      <c r="B22" s="68"/>
      <c r="C22" s="49" t="str">
        <f t="shared" si="0"/>
        <v/>
      </c>
      <c r="D22" s="58"/>
      <c r="E22" s="59" t="str">
        <f>IF(A22="","",IF(COUNTIF(D22,"&gt;0")=1,IF(D22="","",IF(INDEX(Barème!$B$2:$CV$2,1,D22)="","hors code",INDEX(Barème!$B$2:$CV$2,1,D22))),""))</f>
        <v/>
      </c>
      <c r="F22" s="60"/>
      <c r="G22" s="59" t="str">
        <f>IF(A22="","",IF(COUNTIF(F22,"&gt;0")=1,IF(F22="","",IF(INDEX(Barème!$B$2:$CV$2,1,F22)="","hors code",INDEX(Barème!$B$2:$CV$2,1,F22))),""))</f>
        <v/>
      </c>
      <c r="H22" s="61"/>
      <c r="I22" s="59" t="str">
        <f>IF(A22="","",IF(COUNTIF(H22,"&gt;0")=1,IF(H22="","",IF(INDEX(Barème!$B$2:$CV$2,1,H22)="","hors code",INDEX(Barème!$B$2:$CV$2,1,H22))),""))</f>
        <v/>
      </c>
      <c r="J22" s="61"/>
      <c r="K22" s="59" t="str">
        <f>IF(A22="","",IF(COUNTIF(J22,"&gt;0")=1,IF(J22="","",IF(INDEX(Barème!$B$2:$CV$2,1,J22)="","hors code",INDEX(Barème!$B$2:$CV$2,1,J22))),""))</f>
        <v/>
      </c>
      <c r="L22" s="61"/>
      <c r="M22" s="59" t="str">
        <f>IF(A22="","",IF(COUNTIF(L22,"&gt;0")=1,IF(L22="","",IF(INDEX(Barème!$B$2:$CV$2,1,L22)="","hors code",INDEX(Barème!$B$2:$CV$2,1,L22))),""))</f>
        <v/>
      </c>
      <c r="N22" s="61"/>
      <c r="O22" s="59" t="str">
        <f>IF(A22="","",IF(COUNTIF(N22,"&gt;0")=1,IF(N22="","",IF(INDEX(Barème!$B$2:$CV$2,1,N22)="","hors code",INDEX(Barème!$B$2:$CV$2,1,N22))),""))</f>
        <v/>
      </c>
      <c r="P22" s="61"/>
      <c r="Q22" s="59" t="str">
        <f>IF(A22="","",IF(COUNTIF(P22,"&gt;0")=1,IF(P22="","",IF(INDEX(Barème!$B$2:$CV$2,1,P22)="","hors code",INDEX(Barème!$B$2:$CV$2,1,P22))),""))</f>
        <v/>
      </c>
      <c r="R22" s="54" t="str">
        <f t="shared" si="1"/>
        <v/>
      </c>
      <c r="T22" s="36"/>
      <c r="X22" s="55" t="s">
        <v>21</v>
      </c>
    </row>
    <row r="23" spans="1:31" s="55" customFormat="1" ht="22.5" customHeight="1" x14ac:dyDescent="0.4">
      <c r="A23" s="64"/>
      <c r="B23" s="68"/>
      <c r="C23" s="49" t="str">
        <f t="shared" si="0"/>
        <v/>
      </c>
      <c r="D23" s="58"/>
      <c r="E23" s="59" t="str">
        <f>IF(A23="","",IF(COUNTIF(D23,"&gt;0")=1,IF(D23="","",IF(INDEX(Barème!$B$2:$CV$2,1,D23)="","hors code",INDEX(Barème!$B$2:$CV$2,1,D23))),""))</f>
        <v/>
      </c>
      <c r="F23" s="60"/>
      <c r="G23" s="59" t="str">
        <f>IF(A23="","",IF(COUNTIF(F23,"&gt;0")=1,IF(F23="","",IF(INDEX(Barème!$B$2:$CV$2,1,F23)="","hors code",INDEX(Barème!$B$2:$CV$2,1,F23))),""))</f>
        <v/>
      </c>
      <c r="H23" s="61"/>
      <c r="I23" s="59" t="str">
        <f>IF(A23="","",IF(COUNTIF(H23,"&gt;0")=1,IF(H23="","",IF(INDEX(Barème!$B$2:$CV$2,1,H23)="","hors code",INDEX(Barème!$B$2:$CV$2,1,H23))),""))</f>
        <v/>
      </c>
      <c r="J23" s="61"/>
      <c r="K23" s="59" t="str">
        <f>IF(A23="","",IF(COUNTIF(J23,"&gt;0")=1,IF(J23="","",IF(INDEX(Barème!$B$2:$CV$2,1,J23)="","hors code",INDEX(Barème!$B$2:$CV$2,1,J23))),""))</f>
        <v/>
      </c>
      <c r="L23" s="60"/>
      <c r="M23" s="59" t="str">
        <f>IF(A23="","",IF(COUNTIF(L23,"&gt;0")=1,IF(L23="","",IF(INDEX(Barème!$B$2:$CV$2,1,L23)="","hors code",INDEX(Barème!$B$2:$CV$2,1,L23))),""))</f>
        <v/>
      </c>
      <c r="N23" s="61"/>
      <c r="O23" s="59" t="str">
        <f>IF(A23="","",IF(COUNTIF(N23,"&gt;0")=1,IF(N23="","",IF(INDEX(Barème!$B$2:$CV$2,1,N23)="","hors code",INDEX(Barème!$B$2:$CV$2,1,N23))),""))</f>
        <v/>
      </c>
      <c r="P23" s="61"/>
      <c r="Q23" s="59" t="str">
        <f>IF(A23="","",IF(COUNTIF(P23,"&gt;0")=1,IF(P23="","",IF(INDEX(Barème!$B$2:$CV$2,1,P23)="","hors code",INDEX(Barème!$B$2:$CV$2,1,P23))),""))</f>
        <v/>
      </c>
      <c r="R23" s="54" t="str">
        <f t="shared" si="1"/>
        <v/>
      </c>
      <c r="T23" s="36"/>
    </row>
    <row r="24" spans="1:31" s="55" customFormat="1" ht="22.5" customHeight="1" x14ac:dyDescent="0.4">
      <c r="A24" s="56"/>
      <c r="B24" s="68"/>
      <c r="C24" s="49" t="str">
        <f t="shared" si="0"/>
        <v/>
      </c>
      <c r="D24" s="58"/>
      <c r="E24" s="59" t="str">
        <f>IF(A24="","",IF(COUNTIF(D24,"&gt;0")=1,IF(D24="","",IF(INDEX(Barème!$B$2:$CV$2,1,D24)="","hors code",INDEX(Barème!$B$2:$CV$2,1,D24))),""))</f>
        <v/>
      </c>
      <c r="F24" s="60"/>
      <c r="G24" s="59" t="str">
        <f>IF(A24="","",IF(COUNTIF(F24,"&gt;0")=1,IF(F24="","",IF(INDEX(Barème!$B$2:$CV$2,1,F24)="","hors code",INDEX(Barème!$B$2:$CV$2,1,F24))),""))</f>
        <v/>
      </c>
      <c r="H24" s="61"/>
      <c r="I24" s="59" t="str">
        <f>IF(A24="","",IF(COUNTIF(H24,"&gt;0")=1,IF(H24="","",IF(INDEX(Barème!$B$2:$CV$2,1,H24)="","hors code",INDEX(Barème!$B$2:$CV$2,1,H24))),""))</f>
        <v/>
      </c>
      <c r="J24" s="61"/>
      <c r="K24" s="59" t="str">
        <f>IF(A24="","",IF(COUNTIF(J24,"&gt;0")=1,IF(J24="","",IF(INDEX(Barème!$B$2:$CV$2,1,J24)="","hors code",INDEX(Barème!$B$2:$CV$2,1,J24))),""))</f>
        <v/>
      </c>
      <c r="L24" s="61"/>
      <c r="M24" s="59" t="str">
        <f>IF(A24="","",IF(COUNTIF(L24,"&gt;0")=1,IF(L24="","",IF(INDEX(Barème!$B$2:$CV$2,1,L24)="","hors code",INDEX(Barème!$B$2:$CV$2,1,L24))),""))</f>
        <v/>
      </c>
      <c r="N24" s="61"/>
      <c r="O24" s="59" t="str">
        <f>IF(A24="","",IF(COUNTIF(N24,"&gt;0")=1,IF(N24="","",IF(INDEX(Barème!$B$2:$CV$2,1,N24)="","hors code",INDEX(Barème!$B$2:$CV$2,1,N24))),""))</f>
        <v/>
      </c>
      <c r="P24" s="61"/>
      <c r="Q24" s="59" t="str">
        <f>IF(A24="","",IF(COUNTIF(P24,"&gt;0")=1,IF(P24="","",IF(INDEX(Barème!$B$2:$CV$2,1,P24)="","hors code",INDEX(Barème!$B$2:$CV$2,1,P24))),""))</f>
        <v/>
      </c>
      <c r="R24" s="54" t="str">
        <f t="shared" si="1"/>
        <v/>
      </c>
    </row>
    <row r="25" spans="1:31" s="55" customFormat="1" ht="22.5" customHeight="1" x14ac:dyDescent="0.4">
      <c r="A25" s="64"/>
      <c r="B25" s="68"/>
      <c r="C25" s="49" t="str">
        <f t="shared" si="0"/>
        <v/>
      </c>
      <c r="D25" s="58"/>
      <c r="E25" s="59" t="str">
        <f>IF(A25="","",IF(COUNTIF(D25,"&gt;0")=1,IF(D25="","",IF(INDEX(Barème!$B$2:$CV$2,1,D25)="","hors code",INDEX(Barème!$B$2:$CV$2,1,D25))),""))</f>
        <v/>
      </c>
      <c r="F25" s="60"/>
      <c r="G25" s="59" t="str">
        <f>IF(A25="","",IF(COUNTIF(F25,"&gt;0")=1,IF(F25="","",IF(INDEX(Barème!$B$2:$CV$2,1,F25)="","hors code",INDEX(Barème!$B$2:$CV$2,1,F25))),""))</f>
        <v/>
      </c>
      <c r="H25" s="61"/>
      <c r="I25" s="59" t="str">
        <f>IF(A25="","",IF(COUNTIF(H25,"&gt;0")=1,IF(H25="","",IF(INDEX(Barème!$B$2:$CV$2,1,H25)="","hors code",INDEX(Barème!$B$2:$CV$2,1,H25))),""))</f>
        <v/>
      </c>
      <c r="J25" s="61"/>
      <c r="K25" s="59" t="str">
        <f>IF(A25="","",IF(COUNTIF(J25,"&gt;0")=1,IF(J25="","",IF(INDEX(Barème!$B$2:$CV$2,1,J25)="","hors code",INDEX(Barème!$B$2:$CV$2,1,J25))),""))</f>
        <v/>
      </c>
      <c r="L25" s="61"/>
      <c r="M25" s="59" t="str">
        <f>IF(A25="","",IF(COUNTIF(L25,"&gt;0")=1,IF(L25="","",IF(INDEX(Barème!$B$2:$CV$2,1,L25)="","hors code",INDEX(Barème!$B$2:$CV$2,1,L25))),""))</f>
        <v/>
      </c>
      <c r="N25" s="61"/>
      <c r="O25" s="59" t="str">
        <f>IF(A25="","",IF(COUNTIF(N25,"&gt;0")=1,IF(N25="","",IF(INDEX(Barème!$B$2:$CV$2,1,N25)="","hors code",INDEX(Barème!$B$2:$CV$2,1,N25))),""))</f>
        <v/>
      </c>
      <c r="P25" s="61"/>
      <c r="Q25" s="59" t="str">
        <f>IF(A25="","",IF(COUNTIF(P25,"&gt;0")=1,IF(P25="","",IF(INDEX(Barème!$B$2:$CV$2,1,P25)="","hors code",INDEX(Barème!$B$2:$CV$2,1,P25))),""))</f>
        <v/>
      </c>
      <c r="R25" s="54" t="str">
        <f t="shared" si="1"/>
        <v/>
      </c>
    </row>
    <row r="26" spans="1:31" s="55" customFormat="1" ht="22.5" customHeight="1" x14ac:dyDescent="0.4">
      <c r="A26" s="64" t="s">
        <v>22</v>
      </c>
      <c r="B26" s="74"/>
      <c r="C26" s="49" t="str">
        <f t="shared" si="0"/>
        <v/>
      </c>
      <c r="D26" s="58"/>
      <c r="E26" s="59" t="str">
        <f>IF(A26="","",IF(COUNTIF(D26,"&gt;0")=1,IF(D26="","",IF(INDEX(Barème!$B$2:$CV$2,1,D26)="","hors code",INDEX(Barème!$B$2:$CV$2,1,D26))),""))</f>
        <v/>
      </c>
      <c r="F26" s="60"/>
      <c r="G26" s="59" t="str">
        <f>IF(A26="","",IF(COUNTIF(F26,"&gt;0")=1,IF(F26="","",IF(INDEX(Barème!$B$2:$CV$2,1,F26)="","hors code",INDEX(Barème!$B$2:$CV$2,1,F26))),""))</f>
        <v/>
      </c>
      <c r="H26" s="61"/>
      <c r="I26" s="59" t="str">
        <f>IF(A26="","",IF(COUNTIF(H26,"&gt;0")=1,IF(H26="","",IF(INDEX(Barème!$B$2:$CV$2,1,H26)="","hors code",INDEX(Barème!$B$2:$CV$2,1,H26))),""))</f>
        <v/>
      </c>
      <c r="J26" s="61"/>
      <c r="K26" s="59" t="str">
        <f>IF(A26="","",IF(COUNTIF(J26,"&gt;0")=1,IF(J26="","",IF(INDEX(Barème!$B$2:$CV$2,1,J26)="","hors code",INDEX(Barème!$B$2:$CV$2,1,J26))),""))</f>
        <v/>
      </c>
      <c r="L26" s="61"/>
      <c r="M26" s="59" t="str">
        <f>IF(A26="","",IF(COUNTIF(L26,"&gt;0")=1,IF(L26="","",IF(INDEX(Barème!$B$2:$CV$2,1,L26)="","hors code",INDEX(Barème!$B$2:$CV$2,1,L26))),""))</f>
        <v/>
      </c>
      <c r="N26" s="61"/>
      <c r="O26" s="59" t="str">
        <f>IF(A26="","",IF(COUNTIF(N26,"&gt;0")=1,IF(N26="","",IF(INDEX(Barème!$B$2:$CV$2,1,N26)="","hors code",INDEX(Barème!$B$2:$CV$2,1,N26))),""))</f>
        <v/>
      </c>
      <c r="P26" s="61"/>
      <c r="Q26" s="59" t="str">
        <f>IF(A26="","",IF(COUNTIF(P26,"&gt;0")=1,IF(P26="","",IF(INDEX(Barème!$B$2:$CV$2,1,P26)="","hors code",INDEX(Barème!$B$2:$CV$2,1,P26))),""))</f>
        <v/>
      </c>
      <c r="R26" s="54" t="str">
        <f t="shared" si="1"/>
        <v/>
      </c>
    </row>
    <row r="27" spans="1:31" s="55" customFormat="1" ht="22.5" customHeight="1" x14ac:dyDescent="0.4">
      <c r="A27" s="75" t="s">
        <v>23</v>
      </c>
      <c r="B27" s="76"/>
      <c r="C27" s="76"/>
      <c r="D27" s="228">
        <f>SUM(E10:E26)</f>
        <v>0</v>
      </c>
      <c r="E27" s="228"/>
      <c r="F27" s="228">
        <f>SUM(G10:G26)</f>
        <v>0</v>
      </c>
      <c r="G27" s="228"/>
      <c r="H27" s="228">
        <f>SUM(I10:I26)</f>
        <v>0.70833333333333404</v>
      </c>
      <c r="I27" s="228"/>
      <c r="J27" s="228">
        <f>SUM(K10:K26)</f>
        <v>0.70833333333333404</v>
      </c>
      <c r="K27" s="228"/>
      <c r="L27" s="228">
        <f>SUM(M10:M26)</f>
        <v>0</v>
      </c>
      <c r="M27" s="228"/>
      <c r="N27" s="228">
        <f>SUM(O10:O26)</f>
        <v>0.35416666666666702</v>
      </c>
      <c r="O27" s="228"/>
      <c r="P27" s="228">
        <f>SUM(Q10:Q26)</f>
        <v>0.35416666666666702</v>
      </c>
      <c r="Q27" s="228"/>
      <c r="R27" s="77">
        <f>SUM(R10:R26)</f>
        <v>2.1250000000000022</v>
      </c>
    </row>
    <row r="28" spans="1:31" s="55" customFormat="1" ht="9.75" customHeight="1" x14ac:dyDescent="0.4">
      <c r="A28" s="78"/>
      <c r="B28" s="78"/>
      <c r="C28" s="78"/>
      <c r="D28" s="79"/>
      <c r="E28" s="80" t="str">
        <f>IF(A28="","",IF(COUNTIF(D28,"&gt;0")=1,IF(D28="","",IF(INDEX(Barème!$B$2:$AA$2,1,D28)="","hors code",INDEX(Barème!$B$2:$AA$2,1,D28))),""))</f>
        <v/>
      </c>
      <c r="F28" s="81"/>
      <c r="G28" s="80" t="str">
        <f>IF(A28="","",IF(COUNTIF(F28,"&gt;0")=1,IF(F28="","",IF(INDEX(Barème!$B$2:$AA$2,1,F28)="","hors code",INDEX(Barème!$B$2:$AA$2,1,F28))),""))</f>
        <v/>
      </c>
      <c r="H28" s="82"/>
      <c r="I28" s="80" t="str">
        <f>IF(A28="","",IF(COUNTIF(H28,"&gt;0")=1,IF(H28="","",IF(INDEX(Barème!$B$2:$AA$2,1,H28)="","hors code",INDEX(Barème!$B$2:$AA$2,1,H28))),""))</f>
        <v/>
      </c>
      <c r="J28" s="82"/>
      <c r="K28" s="80" t="str">
        <f>IF(A28="","",IF(COUNTIF(J28,"&gt;0")=1,IF(J28="","",IF(INDEX(Barème!$B$2:$AA$2,1,J28)="","hors code",INDEX(Barème!$B$2:$AA$2,1,J28))),""))</f>
        <v/>
      </c>
      <c r="L28" s="82"/>
      <c r="M28" s="80" t="str">
        <f>IF(A28="","",IF(COUNTIF(L28,"&gt;0")=1,IF(L28="","",IF(INDEX(Barème!$B$2:$AA$2,1,L28)="","hors code",INDEX(Barème!$B$2:$AA$2,1,L28))),""))</f>
        <v/>
      </c>
      <c r="N28" s="82"/>
      <c r="O28" s="80" t="str">
        <f>IF(A28="","",IF(COUNTIF(N28,"&gt;0")=1,IF(N28="","",IF(INDEX(Barème!$B$2:$AA$2,1,N28)="","hors code",INDEX(Barème!$B$2:$AA$2,1,N28))),""))</f>
        <v/>
      </c>
      <c r="P28" s="80"/>
      <c r="Q28" s="80"/>
      <c r="R28" s="83" t="str">
        <f>IF(SUM(O28,M28,K28,I28,G28,E28)=0,"",SUM(O28,M28,K28,I28,G28,E28))</f>
        <v/>
      </c>
    </row>
    <row r="29" spans="1:31" s="55" customFormat="1" ht="18.600000000000001" x14ac:dyDescent="0.4">
      <c r="A29" s="78"/>
      <c r="B29" s="78"/>
      <c r="C29" s="78"/>
      <c r="D29" s="79"/>
      <c r="E29" s="80"/>
      <c r="F29" s="81"/>
      <c r="G29" s="80"/>
      <c r="H29" s="82"/>
      <c r="I29" s="80"/>
      <c r="J29" s="82"/>
      <c r="K29" s="80"/>
      <c r="L29" s="82"/>
      <c r="M29" s="80"/>
      <c r="N29" s="82"/>
      <c r="O29" s="80"/>
      <c r="P29" s="80"/>
      <c r="Q29" s="80"/>
      <c r="R29" s="83"/>
    </row>
    <row r="30" spans="1:31" s="55" customFormat="1" ht="18.600000000000001" x14ac:dyDescent="0.4">
      <c r="A30" s="78"/>
      <c r="B30" s="78"/>
      <c r="C30" s="78"/>
      <c r="D30" s="79"/>
      <c r="E30" s="80"/>
      <c r="F30" s="81"/>
      <c r="G30" s="80"/>
      <c r="H30" s="82"/>
      <c r="I30" s="80"/>
      <c r="J30" s="82"/>
      <c r="K30" s="80"/>
      <c r="L30" s="82"/>
      <c r="M30" s="80"/>
      <c r="N30" s="82"/>
      <c r="O30" s="80"/>
      <c r="P30" s="80"/>
      <c r="Q30" s="80"/>
      <c r="R30" s="83"/>
    </row>
    <row r="31" spans="1:31" s="55" customFormat="1" ht="18.600000000000001" x14ac:dyDescent="0.4">
      <c r="A31" s="78"/>
      <c r="B31" s="78"/>
      <c r="C31" s="78"/>
      <c r="D31" s="79"/>
      <c r="E31" s="80"/>
      <c r="F31" s="81"/>
      <c r="G31" s="80"/>
      <c r="H31" s="82"/>
      <c r="I31" s="80"/>
      <c r="J31" s="82"/>
      <c r="K31" s="80"/>
      <c r="L31" s="82"/>
      <c r="M31" s="80"/>
      <c r="N31" s="82"/>
      <c r="O31" s="80"/>
      <c r="P31" s="80"/>
      <c r="Q31" s="80"/>
      <c r="R31" s="83"/>
    </row>
    <row r="32" spans="1:31" s="55" customFormat="1" ht="18.600000000000001" x14ac:dyDescent="0.4">
      <c r="A32" s="78"/>
      <c r="B32" s="78"/>
      <c r="C32" s="78"/>
      <c r="D32" s="79"/>
      <c r="E32" s="80"/>
      <c r="F32" s="81"/>
      <c r="G32" s="80"/>
      <c r="H32" s="82"/>
      <c r="I32" s="80"/>
      <c r="J32" s="82"/>
      <c r="K32" s="80"/>
      <c r="L32" s="82"/>
      <c r="M32" s="80"/>
      <c r="N32" s="82"/>
      <c r="O32" s="80"/>
      <c r="P32" s="80"/>
      <c r="Q32" s="80"/>
      <c r="R32" s="83"/>
    </row>
    <row r="33" spans="1:18" s="55" customFormat="1" ht="12" customHeight="1" x14ac:dyDescent="0.4">
      <c r="A33" s="84"/>
      <c r="B33" s="84"/>
      <c r="C33" s="84"/>
      <c r="D33" s="84"/>
      <c r="E33" s="84"/>
      <c r="F33" s="84"/>
      <c r="G33" s="84"/>
      <c r="H33" s="84"/>
      <c r="I33" s="84"/>
      <c r="J33" s="84"/>
      <c r="K33" s="84"/>
      <c r="L33" s="84"/>
      <c r="M33" s="84"/>
      <c r="N33" s="84"/>
      <c r="O33" s="84"/>
      <c r="P33" s="84"/>
      <c r="Q33" s="84"/>
      <c r="R33" s="84"/>
    </row>
    <row r="34" spans="1:18" ht="32.4" x14ac:dyDescent="0.4">
      <c r="A34" s="84"/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</row>
    <row r="35" spans="1:18" ht="32.4" x14ac:dyDescent="0.4">
      <c r="A35" s="84"/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</row>
    <row r="36" spans="1:18" ht="24" customHeight="1" x14ac:dyDescent="0.4">
      <c r="A36" s="84"/>
      <c r="B36" s="84"/>
      <c r="C36" s="84"/>
      <c r="D36" s="84"/>
      <c r="E36" s="84"/>
      <c r="F36" s="84"/>
      <c r="G36" s="84"/>
      <c r="H36" s="84"/>
      <c r="I36" s="84"/>
      <c r="J36" s="84"/>
      <c r="K36" s="84"/>
      <c r="L36" s="84"/>
      <c r="M36" s="84"/>
      <c r="N36" s="84"/>
      <c r="O36" s="84"/>
      <c r="P36" s="84"/>
      <c r="Q36" s="84"/>
      <c r="R36" s="84"/>
    </row>
    <row r="37" spans="1:18" ht="18.600000000000001" x14ac:dyDescent="0.4">
      <c r="A37" s="78"/>
      <c r="B37" s="78"/>
      <c r="C37" s="78"/>
      <c r="D37" s="79"/>
      <c r="E37" s="80" t="str">
        <f>IF(A37="","",IF(COUNTIF(D37,"&gt;0")=1,IF(D37="","",IF(INDEX(Barème!$B$2:$AA$2,1,D37)="","hors code",INDEX(Barème!$B$2:$AA$2,1,D37))),""))</f>
        <v/>
      </c>
      <c r="F37" s="81"/>
      <c r="G37" s="80" t="str">
        <f>IF(A37="","",IF(COUNTIF(F37,"&gt;0")=1,IF(F37="","",IF(INDEX(Barème!$B$2:$AA$2,1,F37)="","hors code",INDEX(Barème!$B$2:$AA$2,1,F37))),""))</f>
        <v/>
      </c>
      <c r="H37" s="82"/>
      <c r="I37" s="80" t="str">
        <f>IF(A37="","",IF(COUNTIF(H37,"&gt;0")=1,IF(H37="","",IF(INDEX(Barème!$B$2:$AA$2,1,H37)="","hors code",INDEX(Barème!$B$2:$AA$2,1,H37))),""))</f>
        <v/>
      </c>
      <c r="J37" s="82"/>
      <c r="K37" s="80" t="str">
        <f>IF(A37="","",IF(COUNTIF(J37,"&gt;0")=1,IF(J37="","",IF(INDEX(Barème!$B$2:$AA$2,1,J37)="","hors code",INDEX(Barème!$B$2:$AA$2,1,J37))),""))</f>
        <v/>
      </c>
      <c r="L37" s="82"/>
      <c r="M37" s="80" t="str">
        <f>IF(A37="","",IF(COUNTIF(L37,"&gt;0")=1,IF(L37="","",IF(INDEX(Barème!$B$2:$AA$2,1,L37)="","hors code",INDEX(Barème!$B$2:$AA$2,1,L37))),""))</f>
        <v/>
      </c>
      <c r="N37" s="82"/>
      <c r="O37" s="80" t="str">
        <f>IF(A37="","",IF(COUNTIF(N37,"&gt;0")=1,IF(N37="","",IF(INDEX(Barème!$B$2:$AA$2,1,N37)="","hors code",INDEX(Barème!$B$2:$AA$2,1,N37))),""))</f>
        <v/>
      </c>
      <c r="P37" s="80"/>
      <c r="Q37" s="80"/>
      <c r="R37" s="83" t="str">
        <f>IF(SUM(O37,M37,K37,I37,G37,E37)=0,"",SUM(O37,M37,K37,I37,G37,E37))</f>
        <v/>
      </c>
    </row>
  </sheetData>
  <mergeCells count="17">
    <mergeCell ref="N27:O27"/>
    <mergeCell ref="P27:Q27"/>
    <mergeCell ref="D27:E27"/>
    <mergeCell ref="F27:G27"/>
    <mergeCell ref="H27:I27"/>
    <mergeCell ref="J27:K27"/>
    <mergeCell ref="L27:M27"/>
    <mergeCell ref="A2:R3"/>
    <mergeCell ref="H5:J5"/>
    <mergeCell ref="L5:N5"/>
    <mergeCell ref="D7:E7"/>
    <mergeCell ref="F7:G7"/>
    <mergeCell ref="H7:I7"/>
    <mergeCell ref="J7:K7"/>
    <mergeCell ref="L7:M7"/>
    <mergeCell ref="N7:O7"/>
    <mergeCell ref="P7:Q7"/>
  </mergeCells>
  <conditionalFormatting sqref="R26">
    <cfRule type="cellIs" dxfId="81" priority="2" operator="greaterThan">
      <formula>$C$26</formula>
    </cfRule>
  </conditionalFormatting>
  <conditionalFormatting sqref="R25">
    <cfRule type="cellIs" dxfId="80" priority="3" operator="greaterThan">
      <formula>$C$25</formula>
    </cfRule>
  </conditionalFormatting>
  <conditionalFormatting sqref="R24">
    <cfRule type="cellIs" dxfId="79" priority="4" operator="greaterThan">
      <formula>$C$24</formula>
    </cfRule>
  </conditionalFormatting>
  <conditionalFormatting sqref="R23">
    <cfRule type="cellIs" dxfId="78" priority="5" operator="greaterThan">
      <formula>$C$23</formula>
    </cfRule>
  </conditionalFormatting>
  <conditionalFormatting sqref="R22">
    <cfRule type="cellIs" dxfId="77" priority="6" operator="greaterThan">
      <formula>$C$22</formula>
    </cfRule>
  </conditionalFormatting>
  <conditionalFormatting sqref="R21">
    <cfRule type="cellIs" dxfId="76" priority="7" operator="greaterThan">
      <formula>$C$21</formula>
    </cfRule>
  </conditionalFormatting>
  <conditionalFormatting sqref="R20">
    <cfRule type="cellIs" dxfId="75" priority="8" operator="greaterThan">
      <formula>$C$20</formula>
    </cfRule>
  </conditionalFormatting>
  <conditionalFormatting sqref="R19">
    <cfRule type="cellIs" dxfId="74" priority="9" operator="greaterThan">
      <formula>$C$19</formula>
    </cfRule>
  </conditionalFormatting>
  <conditionalFormatting sqref="R18">
    <cfRule type="cellIs" dxfId="73" priority="10" operator="greaterThan">
      <formula>$C$18</formula>
    </cfRule>
  </conditionalFormatting>
  <conditionalFormatting sqref="R17">
    <cfRule type="cellIs" dxfId="72" priority="11" operator="greaterThan">
      <formula>$C$17</formula>
    </cfRule>
  </conditionalFormatting>
  <conditionalFormatting sqref="R16">
    <cfRule type="cellIs" dxfId="71" priority="12" operator="greaterThan">
      <formula>$C$16</formula>
    </cfRule>
  </conditionalFormatting>
  <conditionalFormatting sqref="R15">
    <cfRule type="cellIs" dxfId="70" priority="13" operator="greaterThan">
      <formula>$C$15</formula>
    </cfRule>
  </conditionalFormatting>
  <conditionalFormatting sqref="R14">
    <cfRule type="cellIs" dxfId="69" priority="14" operator="greaterThan">
      <formula>$C$14</formula>
    </cfRule>
  </conditionalFormatting>
  <conditionalFormatting sqref="R13">
    <cfRule type="cellIs" dxfId="68" priority="15" operator="greaterThan">
      <formula>$C$13</formula>
    </cfRule>
  </conditionalFormatting>
  <conditionalFormatting sqref="R12">
    <cfRule type="cellIs" dxfId="67" priority="16" operator="greaterThan">
      <formula>$C$12</formula>
    </cfRule>
  </conditionalFormatting>
  <conditionalFormatting sqref="R11">
    <cfRule type="cellIs" dxfId="66" priority="17" operator="greaterThan">
      <formula>$C$11</formula>
    </cfRule>
  </conditionalFormatting>
  <conditionalFormatting sqref="R10">
    <cfRule type="cellIs" dxfId="65" priority="18" operator="greaterThan">
      <formula>$C$10</formula>
    </cfRule>
  </conditionalFormatting>
  <pageMargins left="0.35416666666666702" right="0.27569444444444402" top="0.15763888888888899" bottom="0" header="0.511811023622047" footer="0.511811023622047"/>
  <pageSetup paperSize="9" scale="80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F37"/>
  <sheetViews>
    <sheetView topLeftCell="A4" zoomScale="81" zoomScaleNormal="81" zoomScalePageLayoutView="90" workbookViewId="0">
      <selection activeCell="A11" sqref="A11"/>
    </sheetView>
  </sheetViews>
  <sheetFormatPr baseColWidth="10" defaultColWidth="0" defaultRowHeight="21" zeroHeight="1" x14ac:dyDescent="0.5"/>
  <cols>
    <col min="1" max="1" width="20.109375" style="1" customWidth="1"/>
    <col min="2" max="2" width="5.77734375" style="1" customWidth="1"/>
    <col min="3" max="3" width="8.44140625" style="1" customWidth="1"/>
    <col min="4" max="4" width="5.77734375" style="2" customWidth="1"/>
    <col min="5" max="5" width="5.77734375" style="3" customWidth="1"/>
    <col min="6" max="6" width="5.77734375" style="4" customWidth="1"/>
    <col min="7" max="7" width="5.77734375" style="3" customWidth="1"/>
    <col min="8" max="8" width="5.77734375" style="5" customWidth="1"/>
    <col min="9" max="9" width="5.77734375" style="3" customWidth="1"/>
    <col min="10" max="10" width="5.77734375" style="5" customWidth="1"/>
    <col min="11" max="11" width="5.77734375" style="3" customWidth="1"/>
    <col min="12" max="12" width="5.77734375" style="5" customWidth="1"/>
    <col min="13" max="13" width="5.77734375" style="3" customWidth="1"/>
    <col min="14" max="14" width="5.77734375" style="5" customWidth="1"/>
    <col min="15" max="17" width="5.77734375" style="3" customWidth="1"/>
    <col min="18" max="18" width="11.5546875" style="6" customWidth="1"/>
    <col min="19" max="21" width="11.44140625" style="1"/>
    <col min="22" max="22" width="12.21875" style="1" customWidth="1"/>
    <col min="23" max="27" width="11.44140625" style="1"/>
    <col min="28" max="32" width="11.5546875" style="1" hidden="1" customWidth="1"/>
    <col min="33" max="16384" width="11.44140625" style="1" hidden="1"/>
  </cols>
  <sheetData>
    <row r="1" spans="1:23" ht="41.25" customHeight="1" x14ac:dyDescent="0.5">
      <c r="A1" s="7"/>
      <c r="B1" s="8"/>
      <c r="C1" s="8"/>
      <c r="D1" s="9"/>
      <c r="E1" s="10"/>
      <c r="F1" s="11"/>
      <c r="G1" s="10"/>
      <c r="H1" s="12"/>
      <c r="I1" s="10"/>
      <c r="J1" s="12"/>
      <c r="K1" s="10"/>
      <c r="L1" s="12"/>
      <c r="M1" s="10"/>
      <c r="N1" s="12"/>
      <c r="O1" s="10"/>
      <c r="P1" s="10"/>
      <c r="Q1" s="10"/>
      <c r="R1" s="13"/>
    </row>
    <row r="2" spans="1:23" ht="22.5" customHeight="1" x14ac:dyDescent="0.4">
      <c r="A2" s="222" t="s">
        <v>0</v>
      </c>
      <c r="B2" s="222"/>
      <c r="C2" s="222"/>
      <c r="D2" s="222"/>
      <c r="E2" s="222"/>
      <c r="F2" s="222"/>
      <c r="G2" s="222"/>
      <c r="H2" s="222"/>
      <c r="I2" s="222"/>
      <c r="J2" s="222"/>
      <c r="K2" s="222"/>
      <c r="L2" s="222"/>
      <c r="M2" s="222"/>
      <c r="N2" s="222"/>
      <c r="O2" s="222"/>
      <c r="P2" s="222"/>
      <c r="Q2" s="222"/>
      <c r="R2" s="222"/>
    </row>
    <row r="3" spans="1:23" ht="9" customHeight="1" x14ac:dyDescent="0.4">
      <c r="A3" s="222"/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2"/>
      <c r="P3" s="222"/>
      <c r="Q3" s="222"/>
      <c r="R3" s="222"/>
    </row>
    <row r="4" spans="1:23" ht="8.25" customHeight="1" x14ac:dyDescent="0.4">
      <c r="A4" s="14"/>
      <c r="B4" s="14"/>
      <c r="C4" s="14"/>
      <c r="D4" s="15"/>
      <c r="E4" s="16"/>
      <c r="F4" s="17"/>
      <c r="G4" s="16"/>
      <c r="H4" s="18"/>
      <c r="I4" s="16"/>
      <c r="J4" s="18"/>
      <c r="K4" s="16"/>
      <c r="L4" s="18"/>
      <c r="M4" s="16"/>
      <c r="N4" s="18"/>
      <c r="O4" s="16"/>
      <c r="P4" s="16"/>
      <c r="Q4" s="16"/>
      <c r="R4" s="19"/>
    </row>
    <row r="5" spans="1:23" s="29" customFormat="1" ht="21.75" customHeight="1" x14ac:dyDescent="0.5">
      <c r="A5" s="20" t="s">
        <v>1</v>
      </c>
      <c r="B5" s="21"/>
      <c r="C5" s="21"/>
      <c r="D5" s="22"/>
      <c r="E5" s="23">
        <v>35</v>
      </c>
      <c r="F5" s="24"/>
      <c r="G5" s="25" t="s">
        <v>2</v>
      </c>
      <c r="H5" s="223">
        <v>45355</v>
      </c>
      <c r="I5" s="223"/>
      <c r="J5" s="223"/>
      <c r="K5" s="26" t="s">
        <v>3</v>
      </c>
      <c r="L5" s="223">
        <v>45361</v>
      </c>
      <c r="M5" s="223"/>
      <c r="N5" s="223"/>
      <c r="O5" s="27"/>
      <c r="P5" s="25"/>
      <c r="Q5" s="25"/>
      <c r="R5" s="28"/>
      <c r="T5" s="30"/>
    </row>
    <row r="6" spans="1:23" ht="10.5" customHeight="1" x14ac:dyDescent="0.4">
      <c r="A6" s="14"/>
      <c r="B6" s="14"/>
      <c r="C6" s="14"/>
      <c r="D6" s="15"/>
      <c r="E6" s="16"/>
      <c r="F6" s="17"/>
      <c r="G6" s="16"/>
      <c r="H6" s="31"/>
      <c r="I6" s="16"/>
      <c r="J6" s="18"/>
      <c r="K6" s="16"/>
      <c r="L6" s="18"/>
      <c r="M6" s="16"/>
      <c r="N6" s="18"/>
      <c r="O6" s="16"/>
      <c r="P6" s="16"/>
      <c r="Q6" s="16"/>
      <c r="R6" s="19"/>
    </row>
    <row r="7" spans="1:23" ht="18" customHeight="1" x14ac:dyDescent="0.4">
      <c r="A7" s="32" t="s">
        <v>4</v>
      </c>
      <c r="B7" s="33" t="s">
        <v>5</v>
      </c>
      <c r="C7" s="34" t="s">
        <v>6</v>
      </c>
      <c r="D7" s="224" t="s">
        <v>7</v>
      </c>
      <c r="E7" s="224"/>
      <c r="F7" s="224" t="s">
        <v>8</v>
      </c>
      <c r="G7" s="224"/>
      <c r="H7" s="224" t="s">
        <v>9</v>
      </c>
      <c r="I7" s="224"/>
      <c r="J7" s="225" t="s">
        <v>10</v>
      </c>
      <c r="K7" s="225"/>
      <c r="L7" s="225" t="s">
        <v>11</v>
      </c>
      <c r="M7" s="225"/>
      <c r="N7" s="226" t="s">
        <v>12</v>
      </c>
      <c r="O7" s="226"/>
      <c r="P7" s="227" t="s">
        <v>13</v>
      </c>
      <c r="Q7" s="227"/>
      <c r="R7" s="35" t="s">
        <v>14</v>
      </c>
      <c r="T7" s="36"/>
      <c r="U7" s="36"/>
    </row>
    <row r="8" spans="1:23" ht="14.25" customHeight="1" x14ac:dyDescent="0.4">
      <c r="A8" s="37"/>
      <c r="B8" s="38"/>
      <c r="C8" s="38"/>
      <c r="D8" s="39" t="s">
        <v>15</v>
      </c>
      <c r="E8" s="40" t="s">
        <v>16</v>
      </c>
      <c r="F8" s="39" t="s">
        <v>15</v>
      </c>
      <c r="G8" s="40" t="s">
        <v>16</v>
      </c>
      <c r="H8" s="39" t="s">
        <v>15</v>
      </c>
      <c r="I8" s="40" t="s">
        <v>16</v>
      </c>
      <c r="J8" s="39" t="s">
        <v>15</v>
      </c>
      <c r="K8" s="40" t="s">
        <v>16</v>
      </c>
      <c r="L8" s="41" t="s">
        <v>15</v>
      </c>
      <c r="M8" s="42" t="s">
        <v>16</v>
      </c>
      <c r="N8" s="41" t="s">
        <v>15</v>
      </c>
      <c r="O8" s="42" t="s">
        <v>16</v>
      </c>
      <c r="P8" s="41" t="s">
        <v>15</v>
      </c>
      <c r="Q8" s="42" t="s">
        <v>16</v>
      </c>
      <c r="R8" s="43"/>
    </row>
    <row r="9" spans="1:23" ht="6.75" customHeight="1" x14ac:dyDescent="0.4">
      <c r="A9" s="14"/>
      <c r="B9" s="14"/>
      <c r="C9" s="14"/>
      <c r="D9" s="15"/>
      <c r="E9" s="16"/>
      <c r="F9" s="17"/>
      <c r="G9" s="16"/>
      <c r="H9" s="18"/>
      <c r="I9" s="16"/>
      <c r="J9" s="44"/>
      <c r="K9" s="16"/>
      <c r="L9" s="45"/>
      <c r="M9" s="45"/>
      <c r="N9" s="18"/>
      <c r="O9" s="16"/>
      <c r="P9" s="18"/>
      <c r="Q9" s="16"/>
      <c r="R9" s="46"/>
    </row>
    <row r="10" spans="1:23" s="55" customFormat="1" ht="22.5" customHeight="1" x14ac:dyDescent="0.4">
      <c r="A10" s="47" t="s">
        <v>17</v>
      </c>
      <c r="B10" s="48">
        <v>100</v>
      </c>
      <c r="C10" s="49">
        <f t="shared" ref="C10:C26" si="0">IF(ISBLANK(B10),"",42/24/100*B10)</f>
        <v>1.7500000000000002</v>
      </c>
      <c r="D10" s="50"/>
      <c r="E10" s="51" t="str">
        <f>IF(A10="","",IF(COUNTIF(D10,"&gt;0")=1,IF(D10="","",IF(INDEX(Barème!$B$2:$CV$2,1,D10)="","hors code",INDEX(Barème!$B$2:$CV$2,1,D10))),""))</f>
        <v/>
      </c>
      <c r="F10" s="52"/>
      <c r="G10" s="51" t="str">
        <f>IF(A10="","",IF(COUNTIF(F10,"&gt;0")=1,IF(F10="","",IF(INDEX(Barème!$B$2:$CV$2,1,F10)="","hors code",INDEX(Barème!$B$2:$CV$2,1,F10))),""))</f>
        <v/>
      </c>
      <c r="H10" s="52"/>
      <c r="I10" s="51" t="str">
        <f>IF(A10="","",IF(COUNTIF(H10,"&gt;0")=1,IF(H10="","",IF(INDEX(Barème!$B$2:$CV$2,1,H10)="","hors code",INDEX(Barème!$B$2:$CV$2,1,H10))),""))</f>
        <v/>
      </c>
      <c r="J10" s="52"/>
      <c r="K10" s="51" t="str">
        <f>IF(A10="","",IF(COUNTIF(J10,"&gt;0")=1,IF(J10="","",IF(INDEX(Barème!$B$2:$CV$2,1,J10)="","hors code",INDEX(Barème!$B$2:$CV$2,1,J10))),""))</f>
        <v/>
      </c>
      <c r="L10" s="52"/>
      <c r="M10" s="51" t="str">
        <f>IF(A10="","",IF(COUNTIF(L10,"&gt;0")=1,IF(L10="","",IF(INDEX(Barème!$B$2:$CV$2,1,L10)="","hors code",INDEX(Barème!$B$2:$CV$2,1,L10))),""))</f>
        <v/>
      </c>
      <c r="N10" s="53"/>
      <c r="O10" s="51" t="str">
        <f>IF(A10="","",IF(COUNTIF(N10,"&gt;0")=1,IF(N10="","",IF(INDEX(Barème!$B$2:$CV$2,1,N10)="","hors code",INDEX(Barème!$B$2:$CV$2,1,N10))),""))</f>
        <v/>
      </c>
      <c r="P10" s="53"/>
      <c r="Q10" s="51" t="str">
        <f>IF(A10="","",IF(COUNTIF(P10,"&gt;0")=1,IF(P10="","",IF(INDEX(Barème!$B$2:$CV$2,1,P10)="","hors code",INDEX(Barème!$B$2:$CV$2,1,P10))),""))</f>
        <v/>
      </c>
      <c r="R10" s="54" t="str">
        <f t="shared" ref="R10:R26" si="1">IF(SUM(Q10,O10,M10,K10,I10,G10,E10)=0,"",SUM(Q10,O10,M10,K10,I10,G10,E10))</f>
        <v/>
      </c>
      <c r="S10" s="1"/>
      <c r="T10" s="36"/>
    </row>
    <row r="11" spans="1:23" s="55" customFormat="1" ht="22.5" customHeight="1" x14ac:dyDescent="0.4">
      <c r="A11" s="56" t="s">
        <v>85</v>
      </c>
      <c r="B11" s="57">
        <v>30</v>
      </c>
      <c r="C11" s="49">
        <f t="shared" si="0"/>
        <v>0.52500000000000002</v>
      </c>
      <c r="D11" s="58"/>
      <c r="E11" s="59" t="str">
        <f>IF(A11="","",IF(COUNTIF(D11,"&gt;0")=1,IF(D11="","",IF(INDEX(Barème!$B$2:$CV$2,1,D11)="","hors code",INDEX(Barème!$B$2:$CV$2,1,D11))),""))</f>
        <v/>
      </c>
      <c r="F11" s="60"/>
      <c r="G11" s="59" t="str">
        <f>IF(A11="","",IF(COUNTIF(F11,"&gt;0")=1,IF(F11="","",IF(INDEX(Barème!$B$2:$CV$2,1,F11)="","hors code",INDEX(Barème!$B$2:$CV$2,1,F11))),""))</f>
        <v/>
      </c>
      <c r="H11" s="61"/>
      <c r="I11" s="59" t="str">
        <f>IF(A11="","",IF(COUNTIF(H11,"&gt;0")=1,IF(H11="","",IF(INDEX(Barème!$B$2:$CV$2,1,H11)="","hors code",INDEX(Barème!$B$2:$CV$2,1,H11))),""))</f>
        <v/>
      </c>
      <c r="J11" s="61">
        <v>6</v>
      </c>
      <c r="K11" s="59">
        <f>IF(A11="","",IF(COUNTIF(J11,"&gt;0")=1,IF(J11="","",IF(INDEX(Barème!$B$2:$CV$2,1,J11)="","hors code",INDEX(Barème!$B$2:$CV$2,1,J11))),""))</f>
        <v>0.35416666666666702</v>
      </c>
      <c r="L11" s="61"/>
      <c r="M11" s="59" t="str">
        <f>IF(A11="","",IF(COUNTIF(L11,"&gt;0")=1,IF(L11="","",IF(INDEX(Barème!$B$2:$CV$2,1,L11)="","hors code",INDEX(Barème!$B$2:$CV$2,1,L11))),""))</f>
        <v/>
      </c>
      <c r="N11" s="61">
        <v>15</v>
      </c>
      <c r="O11" s="59">
        <f>IF(A11="","",IF(COUNTIF(N11,"&gt;0")=1,IF(N11="","",IF(INDEX(Barème!$B$2:$CV$2,1,N11)="","hors code",INDEX(Barème!$B$2:$CV$2,1,N11))),""))</f>
        <v>0.35416666666666702</v>
      </c>
      <c r="P11" s="61"/>
      <c r="Q11" s="59" t="str">
        <f>IF(A11="","",IF(COUNTIF(P11,"&gt;0")=1,IF(P11="","",IF(INDEX(Barème!$B$2:$CV$2,1,P11)="","hors code",INDEX(Barème!$B$2:$CV$2,1,P11))),""))</f>
        <v/>
      </c>
      <c r="R11" s="54">
        <f t="shared" si="1"/>
        <v>0.70833333333333404</v>
      </c>
      <c r="T11" s="36"/>
    </row>
    <row r="12" spans="1:23" s="55" customFormat="1" ht="22.5" customHeight="1" x14ac:dyDescent="0.4">
      <c r="A12" s="62" t="s">
        <v>18</v>
      </c>
      <c r="B12" s="63">
        <v>40</v>
      </c>
      <c r="C12" s="49">
        <f t="shared" si="0"/>
        <v>0.70000000000000007</v>
      </c>
      <c r="D12" s="58"/>
      <c r="E12" s="59" t="str">
        <f>IF(A12="","",IF(COUNTIF(D12,"&gt;0")=1,IF(D12="","",IF(INDEX(Barème!$B$2:$CV$2,1,D12)="","hors code",INDEX(Barème!$B$2:$CV$2,1,D12))),""))</f>
        <v/>
      </c>
      <c r="F12" s="60"/>
      <c r="G12" s="59" t="str">
        <f>IF(A12="","",IF(COUNTIF(F12,"&gt;0")=1,IF(F12="","",IF(INDEX(Barème!$B$2:$CV$2,1,F12)="","hors code",INDEX(Barème!$B$2:$CV$2,1,F12))),""))</f>
        <v/>
      </c>
      <c r="H12" s="61">
        <v>6</v>
      </c>
      <c r="I12" s="59">
        <f>IF(A12="","",IF(COUNTIF(H12,"&gt;0")=1,IF(H12="","",IF(INDEX(Barème!$B$2:$CV$2,1,H12)="","hors code",INDEX(Barème!$B$2:$CV$2,1,H12))),""))</f>
        <v>0.35416666666666702</v>
      </c>
      <c r="J12" s="61"/>
      <c r="K12" s="59" t="str">
        <f>IF(A12="","",IF(COUNTIF(J12,"&gt;0")=1,IF(J12="","",IF(INDEX(Barème!$B$2:$CV$2,1,J12)="","hors code",INDEX(Barème!$B$2:$CV$2,1,J12))),""))</f>
        <v/>
      </c>
      <c r="L12" s="61"/>
      <c r="M12" s="59" t="str">
        <f>IF(A12="","",IF(COUNTIF(L12,"&gt;0")=1,IF(L12="","",IF(INDEX(Barème!$B$2:$CV$2,1,L12)="","hors code",INDEX(Barème!$B$2:$CV$2,1,L12))),""))</f>
        <v/>
      </c>
      <c r="N12" s="60"/>
      <c r="O12" s="59" t="str">
        <f>IF(A12="","",IF(COUNTIF(N12,"&gt;0")=1,IF(N12="","",IF(INDEX(Barème!$B$2:$CV$2,1,N12)="","hors code",INDEX(Barème!$B$2:$CV$2,1,N12))),""))</f>
        <v/>
      </c>
      <c r="P12" s="60">
        <v>6</v>
      </c>
      <c r="Q12" s="59">
        <f>IF(A12="","",IF(COUNTIF(P12,"&gt;0")=1,IF(P12="","",IF(INDEX(Barème!$B$2:$CV$2,1,P12)="","hors code",INDEX(Barème!$B$2:$CV$2,1,P12))),""))</f>
        <v>0.35416666666666702</v>
      </c>
      <c r="R12" s="54">
        <f t="shared" si="1"/>
        <v>0.70833333333333404</v>
      </c>
      <c r="T12" s="36"/>
    </row>
    <row r="13" spans="1:23" s="55" customFormat="1" ht="22.5" customHeight="1" x14ac:dyDescent="0.45">
      <c r="A13" s="64" t="s">
        <v>19</v>
      </c>
      <c r="B13" s="63"/>
      <c r="C13" s="49" t="str">
        <f t="shared" si="0"/>
        <v/>
      </c>
      <c r="D13" s="58"/>
      <c r="E13" s="59" t="str">
        <f>IF(A13="","",IF(COUNTIF(D13,"&gt;0")=1,IF(D13="","",IF(INDEX(Barème!$B$2:$CV$2,1,D13)="","hors code",INDEX(Barème!$B$2:$CV$2,1,D13))),""))</f>
        <v/>
      </c>
      <c r="F13" s="60"/>
      <c r="G13" s="59" t="str">
        <f>IF(A13="","",IF(COUNTIF(F13,"&gt;0")=1,IF(F13="","",IF(INDEX(Barème!$B$2:$CV$2,1,F13)="","hors code",INDEX(Barème!$B$2:$CV$2,1,F13))),""))</f>
        <v/>
      </c>
      <c r="H13" s="61"/>
      <c r="I13" s="59" t="str">
        <f>IF(A13="","",IF(COUNTIF(H13,"&gt;0")=1,IF(H13="","",IF(INDEX(Barème!$B$2:$CV$2,1,H13)="","hors code",INDEX(Barème!$B$2:$CV$2,1,H13))),""))</f>
        <v/>
      </c>
      <c r="J13" s="61"/>
      <c r="K13" s="59" t="str">
        <f>IF(A13="","",IF(COUNTIF(J13,"&gt;0")=1,IF(J13="","",IF(INDEX(Barème!$B$2:$CV$2,1,J13)="","hors code",INDEX(Barème!$B$2:$CV$2,1,J13))),""))</f>
        <v/>
      </c>
      <c r="L13" s="61"/>
      <c r="M13" s="59" t="str">
        <f>IF(A13="","",IF(COUNTIF(L13,"&gt;0")=1,IF(L13="","",IF(INDEX(Barème!$B$2:$CV$2,1,L13)="","hors code",INDEX(Barème!$B$2:$CV$2,1,L13))),""))</f>
        <v/>
      </c>
      <c r="N13" s="61"/>
      <c r="O13" s="59" t="str">
        <f>IF(A13="","",IF(COUNTIF(N13,"&gt;0")=1,IF(N13="","",IF(INDEX(Barème!$B$2:$CV$2,1,N13)="","hors code",INDEX(Barème!$B$2:$CV$2,1,N13))),""))</f>
        <v/>
      </c>
      <c r="P13" s="61"/>
      <c r="Q13" s="59" t="str">
        <f>IF(A13="","",IF(COUNTIF(P13,"&gt;0")=1,IF(P13="","",IF(INDEX(Barème!$B$2:$CV$2,1,P13)="","hors code",INDEX(Barème!$B$2:$CV$2,1,P13))),""))</f>
        <v/>
      </c>
      <c r="R13" s="54" t="str">
        <f t="shared" si="1"/>
        <v/>
      </c>
      <c r="T13" s="36"/>
      <c r="U13" s="65"/>
      <c r="V13" s="66"/>
      <c r="W13" s="67"/>
    </row>
    <row r="14" spans="1:23" s="55" customFormat="1" ht="22.5" customHeight="1" x14ac:dyDescent="0.4">
      <c r="A14" s="56" t="s">
        <v>20</v>
      </c>
      <c r="B14" s="68">
        <v>55</v>
      </c>
      <c r="C14" s="49">
        <f t="shared" si="0"/>
        <v>0.96250000000000013</v>
      </c>
      <c r="D14" s="58"/>
      <c r="E14" s="59" t="str">
        <f>IF(A14="","",IF(COUNTIF(D14,"&gt;0")=1,IF(D14="","",IF(INDEX(Barème!$B$2:$CV$2,1,D14)="","hors code",INDEX(Barème!$B$2:$CV$2,1,D14))),""))</f>
        <v/>
      </c>
      <c r="F14" s="60"/>
      <c r="G14" s="59" t="str">
        <f>IF(A14="","",IF(COUNTIF(F14,"&gt;0")=1,IF(F14="","",IF(INDEX(Barème!$B$2:$CV$2,1,F14)="","hors code",INDEX(Barème!$B$2:$CV$2,1,F14))),""))</f>
        <v/>
      </c>
      <c r="H14" s="61">
        <v>15</v>
      </c>
      <c r="I14" s="59">
        <f>IF(A14="","",IF(COUNTIF(H14,"&gt;0")=1,IF(H14="","",IF(INDEX(Barème!$B$2:$CV$2,1,H14)="","hors code",INDEX(Barème!$B$2:$CV$2,1,H14))),""))</f>
        <v>0.35416666666666702</v>
      </c>
      <c r="J14" s="61">
        <v>15</v>
      </c>
      <c r="K14" s="59">
        <f>IF(A14="","",IF(COUNTIF(J14,"&gt;0")=1,IF(J14="","",IF(INDEX(Barème!$B$2:$CV$2,1,J14)="","hors code",INDEX(Barème!$B$2:$CV$2,1,J14))),""))</f>
        <v>0.35416666666666702</v>
      </c>
      <c r="L14" s="61"/>
      <c r="M14" s="59" t="str">
        <f>IF(A14="","",IF(COUNTIF(L14,"&gt;0")=1,IF(L14="","",IF(INDEX(Barème!$B$2:$CV$2,1,L14)="","hors code",INDEX(Barème!$B$2:$CV$2,1,L14))),""))</f>
        <v/>
      </c>
      <c r="N14" s="61">
        <v>6</v>
      </c>
      <c r="O14" s="59">
        <f>IF(A14="","",IF(COUNTIF(N14,"&gt;0")=1,IF(N14="","",IF(INDEX(Barème!$B$2:$CV$2,1,N14)="","hors code",INDEX(Barème!$B$2:$CV$2,1,N14))),""))</f>
        <v>0.35416666666666702</v>
      </c>
      <c r="P14" s="61"/>
      <c r="Q14" s="59" t="str">
        <f>IF(A14="","",IF(COUNTIF(P14,"&gt;0")=1,IF(P14="","",IF(INDEX(Barème!$B$2:$CV$2,1,P14)="","hors code",INDEX(Barème!$B$2:$CV$2,1,P14))),""))</f>
        <v/>
      </c>
      <c r="R14" s="54">
        <f t="shared" si="1"/>
        <v>1.0625000000000011</v>
      </c>
      <c r="T14" s="36"/>
    </row>
    <row r="15" spans="1:23" s="55" customFormat="1" ht="22.5" customHeight="1" x14ac:dyDescent="0.4">
      <c r="A15" s="69"/>
      <c r="B15" s="68"/>
      <c r="C15" s="49" t="str">
        <f t="shared" si="0"/>
        <v/>
      </c>
      <c r="D15" s="58"/>
      <c r="E15" s="59" t="str">
        <f>IF(A15="","",IF(COUNTIF(D15,"&gt;0")=1,IF(D15="","",IF(INDEX(Barème!$B$2:$CV$2,1,D15)="","hors code",INDEX(Barème!$B$2:$CV$2,1,D15))),""))</f>
        <v/>
      </c>
      <c r="F15" s="60"/>
      <c r="G15" s="59" t="str">
        <f>IF(A15="","",IF(COUNTIF(F15,"&gt;0")=1,IF(F15="","",IF(INDEX(Barème!$B$2:$CV$2,1,F15)="","hors code",INDEX(Barème!$B$2:$CV$2,1,F15))),""))</f>
        <v/>
      </c>
      <c r="H15" s="61"/>
      <c r="I15" s="59" t="str">
        <f>IF(A15="","",IF(COUNTIF(H15,"&gt;0")=1,IF(H15="","",IF(INDEX(Barème!$B$2:$CV$2,1,H15)="","hors code",INDEX(Barème!$B$2:$CV$2,1,H15))),""))</f>
        <v/>
      </c>
      <c r="J15" s="61"/>
      <c r="K15" s="59" t="str">
        <f>IF(A15="","",IF(COUNTIF(J15,"&gt;0")=1,IF(J15="","",IF(INDEX(Barème!$B$2:$CV$2,1,J15)="","hors code",INDEX(Barème!$B$2:$CV$2,1,J15))),""))</f>
        <v/>
      </c>
      <c r="L15" s="61"/>
      <c r="M15" s="59" t="str">
        <f>IF(A15="","",IF(COUNTIF(L15,"&gt;0")=1,IF(L15="","",IF(INDEX(Barème!$B$2:$CV$2,1,L15)="","hors code",INDEX(Barème!$B$2:$CV$2,1,L15))),""))</f>
        <v/>
      </c>
      <c r="N15" s="61"/>
      <c r="O15" s="59" t="str">
        <f>IF(A15="","",IF(COUNTIF(N15,"&gt;0")=1,IF(N15="","",IF(INDEX(Barème!$B$2:$CV$2,1,N15)="","hors code",INDEX(Barème!$B$2:$CV$2,1,N15))),""))</f>
        <v/>
      </c>
      <c r="P15" s="61"/>
      <c r="Q15" s="59" t="str">
        <f>IF(A15="","",IF(COUNTIF(P15,"&gt;0")=1,IF(P15="","",IF(INDEX(Barème!$B$2:$CV$2,1,P15)="","hors code",INDEX(Barème!$B$2:$CV$2,1,P15))),""))</f>
        <v/>
      </c>
      <c r="R15" s="54" t="str">
        <f t="shared" si="1"/>
        <v/>
      </c>
      <c r="T15" s="36"/>
    </row>
    <row r="16" spans="1:23" s="55" customFormat="1" ht="22.5" customHeight="1" x14ac:dyDescent="0.4">
      <c r="A16" s="64"/>
      <c r="B16" s="63"/>
      <c r="C16" s="49" t="str">
        <f t="shared" si="0"/>
        <v/>
      </c>
      <c r="D16" s="58"/>
      <c r="E16" s="59" t="str">
        <f>IF(A16="","",IF(COUNTIF(D16,"&gt;0")=1,IF(D16="","",IF(INDEX(Barème!$B$2:$CV$2,1,D16)="","hors code",INDEX(Barème!$B$2:$CV$2,1,D16))),""))</f>
        <v/>
      </c>
      <c r="F16" s="60"/>
      <c r="G16" s="59" t="str">
        <f>IF(A16="","",IF(COUNTIF(F16,"&gt;0")=1,IF(F16="","",IF(INDEX(Barème!$B$2:$CV$2,1,F16)="","hors code",INDEX(Barème!$B$2:$CV$2,1,F16))),""))</f>
        <v/>
      </c>
      <c r="H16" s="61"/>
      <c r="I16" s="59" t="str">
        <f>IF(A16="","",IF(COUNTIF(H16,"&gt;0")=1,IF(H16="","",IF(INDEX(Barème!$B$2:$CV$2,1,H16)="","hors code",INDEX(Barème!$B$2:$CV$2,1,H16))),""))</f>
        <v/>
      </c>
      <c r="J16" s="61"/>
      <c r="K16" s="59" t="str">
        <f>IF(A16="","",IF(COUNTIF(J16,"&gt;0")=1,IF(J16="","",IF(INDEX(Barème!$B$2:$CV$2,1,J16)="","hors code",INDEX(Barème!$B$2:$CV$2,1,J16))),""))</f>
        <v/>
      </c>
      <c r="L16" s="61"/>
      <c r="M16" s="59" t="str">
        <f>IF(A16="","",IF(COUNTIF(L16,"&gt;0")=1,IF(L16="","",IF(INDEX(Barème!$B$2:$CV$2,1,L16)="","hors code",INDEX(Barème!$B$2:$CV$2,1,L16))),""))</f>
        <v/>
      </c>
      <c r="N16" s="61"/>
      <c r="O16" s="59" t="str">
        <f>IF(A16="","",IF(COUNTIF(N16,"&gt;0")=1,IF(N16="","",IF(INDEX(Barème!$B$2:$CV$2,1,N16)="","hors code",INDEX(Barème!$B$2:$CV$2,1,N16))),""))</f>
        <v/>
      </c>
      <c r="P16" s="61"/>
      <c r="Q16" s="59" t="str">
        <f>IF(A16="","",IF(COUNTIF(P16,"&gt;0")=1,IF(P16="","",IF(INDEX(Barème!$B$2:$CV$2,1,P16)="","hors code",INDEX(Barème!$B$2:$CV$2,1,P16))),""))</f>
        <v/>
      </c>
      <c r="R16" s="54" t="str">
        <f t="shared" si="1"/>
        <v/>
      </c>
      <c r="T16" s="36"/>
      <c r="W16" s="70"/>
    </row>
    <row r="17" spans="1:31" s="55" customFormat="1" ht="22.5" customHeight="1" x14ac:dyDescent="0.4">
      <c r="A17" s="64"/>
      <c r="B17" s="68"/>
      <c r="C17" s="49" t="str">
        <f t="shared" si="0"/>
        <v/>
      </c>
      <c r="D17" s="71"/>
      <c r="E17" s="59" t="str">
        <f>IF(A17="","",IF(COUNTIF(D17,"&gt;0")=1,IF(D17="","",IF(INDEX(Barème!$B$2:$CV$2,1,D17)="","hors code",INDEX(Barème!$B$2:$CV$2,1,D17))),""))</f>
        <v/>
      </c>
      <c r="F17" s="60"/>
      <c r="G17" s="59" t="str">
        <f>IF(A17="","",IF(COUNTIF(F17,"&gt;0")=1,IF(F17="","",IF(INDEX(Barème!$B$2:$CV$2,1,F17)="","hors code",INDEX(Barème!$B$2:$CV$2,1,F17))),""))</f>
        <v/>
      </c>
      <c r="H17" s="61"/>
      <c r="I17" s="59" t="str">
        <f>IF(A17="","",IF(COUNTIF(H17,"&gt;0")=1,IF(H17="","",IF(INDEX(Barème!$B$2:$CV$2,1,H17)="","hors code",INDEX(Barème!$B$2:$CV$2,1,H17))),""))</f>
        <v/>
      </c>
      <c r="J17" s="61"/>
      <c r="K17" s="59" t="str">
        <f>IF(A17="","",IF(COUNTIF(J17,"&gt;0")=1,IF(J17="","",IF(INDEX(Barème!$B$2:$CV$2,1,J17)="","hors code",INDEX(Barème!$B$2:$CV$2,1,J17))),""))</f>
        <v/>
      </c>
      <c r="L17" s="61"/>
      <c r="M17" s="59" t="str">
        <f>IF(A17="","",IF(COUNTIF(L17,"&gt;0")=1,IF(L17="","",IF(INDEX(Barème!$B$2:$CV$2,1,L17)="","hors code",INDEX(Barème!$B$2:$CV$2,1,L17))),""))</f>
        <v/>
      </c>
      <c r="N17" s="61"/>
      <c r="O17" s="59" t="str">
        <f>IF(A17="","",IF(COUNTIF(N17,"&gt;0")=1,IF(N17="","",IF(INDEX(Barème!$B$2:$CV$2,1,N17)="","hors code",INDEX(Barème!$B$2:$CV$2,1,N17))),""))</f>
        <v/>
      </c>
      <c r="P17" s="61"/>
      <c r="Q17" s="59" t="str">
        <f>IF(A17="","",IF(COUNTIF(P17,"&gt;0")=1,IF(P17="","",IF(INDEX(Barème!$B$2:$CV$2,1,P17)="","hors code",INDEX(Barème!$B$2:$CV$2,1,P17))),""))</f>
        <v/>
      </c>
      <c r="R17" s="54" t="str">
        <f t="shared" si="1"/>
        <v/>
      </c>
      <c r="T17" s="36"/>
    </row>
    <row r="18" spans="1:31" s="55" customFormat="1" ht="22.5" customHeight="1" x14ac:dyDescent="0.4">
      <c r="A18" s="62"/>
      <c r="B18" s="68"/>
      <c r="C18" s="49" t="str">
        <f t="shared" si="0"/>
        <v/>
      </c>
      <c r="D18" s="58"/>
      <c r="E18" s="59" t="str">
        <f>IF(A18="","",IF(COUNTIF(D18,"&gt;0")=1,IF(D18="","",IF(INDEX(Barème!$B$2:$CV$2,1,D18)="","hors code",INDEX(Barème!$B$2:$CV$2,1,D18))),""))</f>
        <v/>
      </c>
      <c r="F18" s="60"/>
      <c r="G18" s="59" t="str">
        <f>IF(A18="","",IF(COUNTIF(F18,"&gt;0")=1,IF(F18="","",IF(INDEX(Barème!$B$2:$CV$2,1,F18)="","hors code",INDEX(Barème!$B$2:$CV$2,1,F18))),""))</f>
        <v/>
      </c>
      <c r="H18" s="61"/>
      <c r="I18" s="59" t="str">
        <f>IF(A18="","",IF(COUNTIF(H18,"&gt;0")=1,IF(H18="","",IF(INDEX(Barème!$B$2:$CV$2,1,H18)="","hors code",INDEX(Barème!$B$2:$CV$2,1,H18))),""))</f>
        <v/>
      </c>
      <c r="J18" s="61"/>
      <c r="K18" s="59" t="str">
        <f>IF(A18="","",IF(COUNTIF(J18,"&gt;0")=1,IF(J18="","",IF(INDEX(Barème!$B$2:$CV$2,1,J18)="","hors code",INDEX(Barème!$B$2:$CV$2,1,J18))),""))</f>
        <v/>
      </c>
      <c r="L18" s="61"/>
      <c r="M18" s="59" t="str">
        <f>IF(A18="","",IF(COUNTIF(L18,"&gt;0")=1,IF(L18="","",IF(INDEX(Barème!$B$2:$CV$2,1,L18)="","hors code",INDEX(Barème!$B$2:$CV$2,1,L18))),""))</f>
        <v/>
      </c>
      <c r="N18" s="61"/>
      <c r="O18" s="59" t="str">
        <f>IF(A18="","",IF(COUNTIF(N18,"&gt;0")=1,IF(N18="","",IF(INDEX(Barème!$B$2:$CV$2,1,N18)="","hors code",INDEX(Barème!$B$2:$CV$2,1,N18))),""))</f>
        <v/>
      </c>
      <c r="P18" s="61"/>
      <c r="Q18" s="59" t="str">
        <f>IF(A18="","",IF(COUNTIF(P18,"&gt;0")=1,IF(P18="","",IF(INDEX(Barème!$B$2:$CV$2,1,P18)="","hors code",INDEX(Barème!$B$2:$CV$2,1,P18))),""))</f>
        <v/>
      </c>
      <c r="R18" s="54" t="str">
        <f t="shared" si="1"/>
        <v/>
      </c>
      <c r="T18" s="36"/>
    </row>
    <row r="19" spans="1:31" s="55" customFormat="1" ht="22.5" customHeight="1" x14ac:dyDescent="0.4">
      <c r="A19" s="56"/>
      <c r="B19" s="68"/>
      <c r="C19" s="49" t="str">
        <f t="shared" si="0"/>
        <v/>
      </c>
      <c r="D19" s="58"/>
      <c r="E19" s="59" t="str">
        <f>IF(A19="","",IF(COUNTIF(D19,"&gt;0")=1,IF(D19="","",IF(INDEX(Barème!$B$2:$CV$2,1,D19)="","hors code",INDEX(Barème!$B$2:$CV$2,1,D19))),""))</f>
        <v/>
      </c>
      <c r="F19" s="61"/>
      <c r="G19" s="59" t="str">
        <f>IF(A19="","",IF(COUNTIF(F19,"&gt;0")=1,IF(F19="","",IF(INDEX(Barème!$B$2:$CV$2,1,F19)="","hors code",INDEX(Barème!$B$2:$CV$2,1,F19))),""))</f>
        <v/>
      </c>
      <c r="H19" s="61"/>
      <c r="I19" s="59" t="str">
        <f>IF(A19="","",IF(COUNTIF(H19,"&gt;0")=1,IF(H19="","",IF(INDEX(Barème!$B$2:$CV$2,1,H19)="","hors code",INDEX(Barème!$B$2:$CV$2,1,H19))),""))</f>
        <v/>
      </c>
      <c r="J19" s="61"/>
      <c r="K19" s="59" t="str">
        <f>IF(A19="","",IF(COUNTIF(J19,"&gt;0")=1,IF(J19="","",IF(INDEX(Barème!$B$2:$CV$2,1,J19)="","hors code",INDEX(Barème!$B$2:$CV$2,1,J19))),""))</f>
        <v/>
      </c>
      <c r="L19" s="61"/>
      <c r="M19" s="59" t="str">
        <f>IF(A19="","",IF(COUNTIF(L19,"&gt;0")=1,IF(L19="","",IF(INDEX(Barème!$B$2:$CV$2,1,L19)="","hors code",INDEX(Barème!$B$2:$CV$2,1,L19))),""))</f>
        <v/>
      </c>
      <c r="N19" s="61"/>
      <c r="O19" s="59" t="str">
        <f>IF(A19="","",IF(COUNTIF(N19,"&gt;0")=1,IF(N19="","",IF(INDEX(Barème!$B$2:$CV$2,1,N19)="","hors code",INDEX(Barème!$B$2:$CV$2,1,N19))),""))</f>
        <v/>
      </c>
      <c r="P19" s="61"/>
      <c r="Q19" s="59" t="str">
        <f>IF(A19="","",IF(COUNTIF(P19,"&gt;0")=1,IF(P19="","",IF(INDEX(Barème!$B$2:$CV$2,1,P19)="","hors code",INDEX(Barème!$B$2:$CV$2,1,P19))),""))</f>
        <v/>
      </c>
      <c r="R19" s="54" t="str">
        <f t="shared" si="1"/>
        <v/>
      </c>
      <c r="T19" s="36"/>
      <c r="AA19" s="55" t="s">
        <v>21</v>
      </c>
      <c r="AE19" s="72"/>
    </row>
    <row r="20" spans="1:31" s="55" customFormat="1" ht="22.5" customHeight="1" x14ac:dyDescent="0.4">
      <c r="A20" s="73"/>
      <c r="B20" s="68"/>
      <c r="C20" s="49" t="str">
        <f t="shared" si="0"/>
        <v/>
      </c>
      <c r="D20" s="58"/>
      <c r="E20" s="59" t="str">
        <f>IF(A20="","",IF(COUNTIF(D20,"&gt;0")=1,IF(D20="","",IF(INDEX(Barème!$B$2:$CV$2,1,D20)="","hors code",INDEX(Barème!$B$2:$CV$2,1,D20))),""))</f>
        <v/>
      </c>
      <c r="F20" s="60"/>
      <c r="G20" s="59" t="str">
        <f>IF(A20="","",IF(COUNTIF(F20,"&gt;0")=1,IF(F20="","",IF(INDEX(Barème!$B$2:$CV$2,1,F20)="","hors code",INDEX(Barème!$B$2:$CV$2,1,F20))),""))</f>
        <v/>
      </c>
      <c r="H20" s="61"/>
      <c r="I20" s="59" t="str">
        <f>IF(A20="","",IF(COUNTIF(H20,"&gt;0")=1,IF(H20="","",IF(INDEX(Barème!$B$2:$CV$2,1,H20)="","hors code",INDEX(Barème!$B$2:$CV$2,1,H20))),""))</f>
        <v/>
      </c>
      <c r="J20" s="61"/>
      <c r="K20" s="59" t="str">
        <f>IF(A20="","",IF(COUNTIF(J20,"&gt;0")=1,IF(J20="","",IF(INDEX(Barème!$B$2:$CV$2,1,J20)="","hors code",INDEX(Barème!$B$2:$CV$2,1,J20))),""))</f>
        <v/>
      </c>
      <c r="L20" s="61"/>
      <c r="M20" s="59" t="str">
        <f>IF(A20="","",IF(COUNTIF(L20,"&gt;0")=1,IF(L20="","",IF(INDEX(Barème!$B$2:$CV$2,1,L20)="","hors code",INDEX(Barème!$B$2:$CV$2,1,L20))),""))</f>
        <v/>
      </c>
      <c r="N20" s="61"/>
      <c r="O20" s="59" t="str">
        <f>IF(A20="","",IF(COUNTIF(N20,"&gt;0")=1,IF(N20="","",IF(INDEX(Barème!$B$2:$CV$2,1,N20)="","hors code",INDEX(Barème!$B$2:$CV$2,1,N20))),""))</f>
        <v/>
      </c>
      <c r="P20" s="61"/>
      <c r="Q20" s="59" t="str">
        <f>IF(A20="","",IF(COUNTIF(P20,"&gt;0")=1,IF(P20="","",IF(INDEX(Barème!$B$2:$CV$2,1,P20)="","hors code",INDEX(Barème!$B$2:$CV$2,1,P20))),""))</f>
        <v/>
      </c>
      <c r="R20" s="54" t="str">
        <f t="shared" si="1"/>
        <v/>
      </c>
      <c r="T20" s="36"/>
    </row>
    <row r="21" spans="1:31" s="55" customFormat="1" ht="22.5" customHeight="1" x14ac:dyDescent="0.4">
      <c r="A21" s="64"/>
      <c r="B21" s="68"/>
      <c r="C21" s="49" t="str">
        <f t="shared" si="0"/>
        <v/>
      </c>
      <c r="D21" s="58"/>
      <c r="E21" s="59" t="str">
        <f>IF(A21="","",IF(COUNTIF(D21,"&gt;0")=1,IF(D21="","",IF(INDEX(Barème!$B$2:$CV$2,1,D21)="","hors code",INDEX(Barème!$B$2:$CV$2,1,D21))),""))</f>
        <v/>
      </c>
      <c r="F21" s="60"/>
      <c r="G21" s="59" t="str">
        <f>IF(A21="","",IF(COUNTIF(F21,"&gt;0")=1,IF(F21="","",IF(INDEX(Barème!$B$2:$CV$2,1,F21)="","hors code",INDEX(Barème!$B$2:$CV$2,1,F21))),""))</f>
        <v/>
      </c>
      <c r="H21" s="61"/>
      <c r="I21" s="59" t="str">
        <f>IF(A21="","",IF(COUNTIF(H21,"&gt;0")=1,IF(H21="","",IF(INDEX(Barème!$B$2:$CV$2,1,H21)="","hors code",INDEX(Barème!$B$2:$CV$2,1,H21))),""))</f>
        <v/>
      </c>
      <c r="J21" s="61"/>
      <c r="K21" s="59" t="str">
        <f>IF(A21="","",IF(COUNTIF(J21,"&gt;0")=1,IF(J21="","",IF(INDEX(Barème!$B$2:$CV$2,1,J21)="","hors code",INDEX(Barème!$B$2:$CV$2,1,J21))),""))</f>
        <v/>
      </c>
      <c r="L21" s="61"/>
      <c r="M21" s="59" t="str">
        <f>IF(A21="","",IF(COUNTIF(L21,"&gt;0")=1,IF(L21="","",IF(INDEX(Barème!$B$2:$CV$2,1,L21)="","hors code",INDEX(Barème!$B$2:$CV$2,1,L21))),""))</f>
        <v/>
      </c>
      <c r="N21" s="60"/>
      <c r="O21" s="59" t="str">
        <f>IF(A21="","",IF(COUNTIF(N21,"&gt;0")=1,IF(N21="","",IF(INDEX(Barème!$B$2:$CV$2,1,N21)="","hors code",INDEX(Barème!$B$2:$CV$2,1,N21))),""))</f>
        <v/>
      </c>
      <c r="P21" s="60"/>
      <c r="Q21" s="59" t="str">
        <f>IF(A21="","",IF(COUNTIF(P21,"&gt;0")=1,IF(P21="","",IF(INDEX(Barème!$B$2:$CV$2,1,P21)="","hors code",INDEX(Barème!$B$2:$CV$2,1,P21))),""))</f>
        <v/>
      </c>
      <c r="R21" s="54" t="str">
        <f t="shared" si="1"/>
        <v/>
      </c>
      <c r="T21" s="36"/>
    </row>
    <row r="22" spans="1:31" s="55" customFormat="1" ht="22.5" customHeight="1" x14ac:dyDescent="0.4">
      <c r="A22" s="64"/>
      <c r="B22" s="68"/>
      <c r="C22" s="49" t="str">
        <f t="shared" si="0"/>
        <v/>
      </c>
      <c r="D22" s="58"/>
      <c r="E22" s="59" t="str">
        <f>IF(A22="","",IF(COUNTIF(D22,"&gt;0")=1,IF(D22="","",IF(INDEX(Barème!$B$2:$CV$2,1,D22)="","hors code",INDEX(Barème!$B$2:$CV$2,1,D22))),""))</f>
        <v/>
      </c>
      <c r="F22" s="60"/>
      <c r="G22" s="59" t="str">
        <f>IF(A22="","",IF(COUNTIF(F22,"&gt;0")=1,IF(F22="","",IF(INDEX(Barème!$B$2:$CV$2,1,F22)="","hors code",INDEX(Barème!$B$2:$CV$2,1,F22))),""))</f>
        <v/>
      </c>
      <c r="H22" s="61"/>
      <c r="I22" s="59" t="str">
        <f>IF(A22="","",IF(COUNTIF(H22,"&gt;0")=1,IF(H22="","",IF(INDEX(Barème!$B$2:$CV$2,1,H22)="","hors code",INDEX(Barème!$B$2:$CV$2,1,H22))),""))</f>
        <v/>
      </c>
      <c r="J22" s="61"/>
      <c r="K22" s="59" t="str">
        <f>IF(A22="","",IF(COUNTIF(J22,"&gt;0")=1,IF(J22="","",IF(INDEX(Barème!$B$2:$CV$2,1,J22)="","hors code",INDEX(Barème!$B$2:$CV$2,1,J22))),""))</f>
        <v/>
      </c>
      <c r="L22" s="61"/>
      <c r="M22" s="59" t="str">
        <f>IF(A22="","",IF(COUNTIF(L22,"&gt;0")=1,IF(L22="","",IF(INDEX(Barème!$B$2:$CV$2,1,L22)="","hors code",INDEX(Barème!$B$2:$CV$2,1,L22))),""))</f>
        <v/>
      </c>
      <c r="N22" s="61"/>
      <c r="O22" s="59" t="str">
        <f>IF(A22="","",IF(COUNTIF(N22,"&gt;0")=1,IF(N22="","",IF(INDEX(Barème!$B$2:$CV$2,1,N22)="","hors code",INDEX(Barème!$B$2:$CV$2,1,N22))),""))</f>
        <v/>
      </c>
      <c r="P22" s="61"/>
      <c r="Q22" s="59" t="str">
        <f>IF(A22="","",IF(COUNTIF(P22,"&gt;0")=1,IF(P22="","",IF(INDEX(Barème!$B$2:$CV$2,1,P22)="","hors code",INDEX(Barème!$B$2:$CV$2,1,P22))),""))</f>
        <v/>
      </c>
      <c r="R22" s="54" t="str">
        <f t="shared" si="1"/>
        <v/>
      </c>
      <c r="T22" s="36"/>
      <c r="X22" s="55" t="s">
        <v>21</v>
      </c>
    </row>
    <row r="23" spans="1:31" s="55" customFormat="1" ht="22.5" customHeight="1" x14ac:dyDescent="0.4">
      <c r="A23" s="64"/>
      <c r="B23" s="68"/>
      <c r="C23" s="49" t="str">
        <f t="shared" si="0"/>
        <v/>
      </c>
      <c r="D23" s="58"/>
      <c r="E23" s="59" t="str">
        <f>IF(A23="","",IF(COUNTIF(D23,"&gt;0")=1,IF(D23="","",IF(INDEX(Barème!$B$2:$CV$2,1,D23)="","hors code",INDEX(Barème!$B$2:$CV$2,1,D23))),""))</f>
        <v/>
      </c>
      <c r="F23" s="60"/>
      <c r="G23" s="59" t="str">
        <f>IF(A23="","",IF(COUNTIF(F23,"&gt;0")=1,IF(F23="","",IF(INDEX(Barème!$B$2:$CV$2,1,F23)="","hors code",INDEX(Barème!$B$2:$CV$2,1,F23))),""))</f>
        <v/>
      </c>
      <c r="H23" s="61"/>
      <c r="I23" s="59" t="str">
        <f>IF(A23="","",IF(COUNTIF(H23,"&gt;0")=1,IF(H23="","",IF(INDEX(Barème!$B$2:$CV$2,1,H23)="","hors code",INDEX(Barème!$B$2:$CV$2,1,H23))),""))</f>
        <v/>
      </c>
      <c r="J23" s="61"/>
      <c r="K23" s="59" t="str">
        <f>IF(A23="","",IF(COUNTIF(J23,"&gt;0")=1,IF(J23="","",IF(INDEX(Barème!$B$2:$CV$2,1,J23)="","hors code",INDEX(Barème!$B$2:$CV$2,1,J23))),""))</f>
        <v/>
      </c>
      <c r="L23" s="60"/>
      <c r="M23" s="59" t="str">
        <f>IF(A23="","",IF(COUNTIF(L23,"&gt;0")=1,IF(L23="","",IF(INDEX(Barème!$B$2:$CV$2,1,L23)="","hors code",INDEX(Barème!$B$2:$CV$2,1,L23))),""))</f>
        <v/>
      </c>
      <c r="N23" s="61"/>
      <c r="O23" s="59" t="str">
        <f>IF(A23="","",IF(COUNTIF(N23,"&gt;0")=1,IF(N23="","",IF(INDEX(Barème!$B$2:$CV$2,1,N23)="","hors code",INDEX(Barème!$B$2:$CV$2,1,N23))),""))</f>
        <v/>
      </c>
      <c r="P23" s="61"/>
      <c r="Q23" s="59" t="str">
        <f>IF(A23="","",IF(COUNTIF(P23,"&gt;0")=1,IF(P23="","",IF(INDEX(Barème!$B$2:$CV$2,1,P23)="","hors code",INDEX(Barème!$B$2:$CV$2,1,P23))),""))</f>
        <v/>
      </c>
      <c r="R23" s="54" t="str">
        <f t="shared" si="1"/>
        <v/>
      </c>
      <c r="T23" s="36"/>
    </row>
    <row r="24" spans="1:31" s="55" customFormat="1" ht="22.5" customHeight="1" x14ac:dyDescent="0.4">
      <c r="A24" s="56"/>
      <c r="B24" s="68"/>
      <c r="C24" s="49" t="str">
        <f t="shared" si="0"/>
        <v/>
      </c>
      <c r="D24" s="58"/>
      <c r="E24" s="59" t="str">
        <f>IF(A24="","",IF(COUNTIF(D24,"&gt;0")=1,IF(D24="","",IF(INDEX(Barème!$B$2:$CV$2,1,D24)="","hors code",INDEX(Barème!$B$2:$CV$2,1,D24))),""))</f>
        <v/>
      </c>
      <c r="F24" s="60"/>
      <c r="G24" s="59" t="str">
        <f>IF(A24="","",IF(COUNTIF(F24,"&gt;0")=1,IF(F24="","",IF(INDEX(Barème!$B$2:$CV$2,1,F24)="","hors code",INDEX(Barème!$B$2:$CV$2,1,F24))),""))</f>
        <v/>
      </c>
      <c r="H24" s="61"/>
      <c r="I24" s="59" t="str">
        <f>IF(A24="","",IF(COUNTIF(H24,"&gt;0")=1,IF(H24="","",IF(INDEX(Barème!$B$2:$CV$2,1,H24)="","hors code",INDEX(Barème!$B$2:$CV$2,1,H24))),""))</f>
        <v/>
      </c>
      <c r="J24" s="61"/>
      <c r="K24" s="59" t="str">
        <f>IF(A24="","",IF(COUNTIF(J24,"&gt;0")=1,IF(J24="","",IF(INDEX(Barème!$B$2:$CV$2,1,J24)="","hors code",INDEX(Barème!$B$2:$CV$2,1,J24))),""))</f>
        <v/>
      </c>
      <c r="L24" s="61"/>
      <c r="M24" s="59" t="str">
        <f>IF(A24="","",IF(COUNTIF(L24,"&gt;0")=1,IF(L24="","",IF(INDEX(Barème!$B$2:$CV$2,1,L24)="","hors code",INDEX(Barème!$B$2:$CV$2,1,L24))),""))</f>
        <v/>
      </c>
      <c r="N24" s="61"/>
      <c r="O24" s="59" t="str">
        <f>IF(A24="","",IF(COUNTIF(N24,"&gt;0")=1,IF(N24="","",IF(INDEX(Barème!$B$2:$CV$2,1,N24)="","hors code",INDEX(Barème!$B$2:$CV$2,1,N24))),""))</f>
        <v/>
      </c>
      <c r="P24" s="61"/>
      <c r="Q24" s="59" t="str">
        <f>IF(A24="","",IF(COUNTIF(P24,"&gt;0")=1,IF(P24="","",IF(INDEX(Barème!$B$2:$CV$2,1,P24)="","hors code",INDEX(Barème!$B$2:$CV$2,1,P24))),""))</f>
        <v/>
      </c>
      <c r="R24" s="54" t="str">
        <f t="shared" si="1"/>
        <v/>
      </c>
    </row>
    <row r="25" spans="1:31" s="55" customFormat="1" ht="22.5" customHeight="1" x14ac:dyDescent="0.4">
      <c r="A25" s="64"/>
      <c r="B25" s="68"/>
      <c r="C25" s="49" t="str">
        <f t="shared" si="0"/>
        <v/>
      </c>
      <c r="D25" s="58"/>
      <c r="E25" s="59" t="str">
        <f>IF(A25="","",IF(COUNTIF(D25,"&gt;0")=1,IF(D25="","",IF(INDEX(Barème!$B$2:$CV$2,1,D25)="","hors code",INDEX(Barème!$B$2:$CV$2,1,D25))),""))</f>
        <v/>
      </c>
      <c r="F25" s="60"/>
      <c r="G25" s="59" t="str">
        <f>IF(A25="","",IF(COUNTIF(F25,"&gt;0")=1,IF(F25="","",IF(INDEX(Barème!$B$2:$CV$2,1,F25)="","hors code",INDEX(Barème!$B$2:$CV$2,1,F25))),""))</f>
        <v/>
      </c>
      <c r="H25" s="61"/>
      <c r="I25" s="59" t="str">
        <f>IF(A25="","",IF(COUNTIF(H25,"&gt;0")=1,IF(H25="","",IF(INDEX(Barème!$B$2:$CV$2,1,H25)="","hors code",INDEX(Barème!$B$2:$CV$2,1,H25))),""))</f>
        <v/>
      </c>
      <c r="J25" s="61"/>
      <c r="K25" s="59" t="str">
        <f>IF(A25="","",IF(COUNTIF(J25,"&gt;0")=1,IF(J25="","",IF(INDEX(Barème!$B$2:$CV$2,1,J25)="","hors code",INDEX(Barème!$B$2:$CV$2,1,J25))),""))</f>
        <v/>
      </c>
      <c r="L25" s="61"/>
      <c r="M25" s="59" t="str">
        <f>IF(A25="","",IF(COUNTIF(L25,"&gt;0")=1,IF(L25="","",IF(INDEX(Barème!$B$2:$CV$2,1,L25)="","hors code",INDEX(Barème!$B$2:$CV$2,1,L25))),""))</f>
        <v/>
      </c>
      <c r="N25" s="61"/>
      <c r="O25" s="59" t="str">
        <f>IF(A25="","",IF(COUNTIF(N25,"&gt;0")=1,IF(N25="","",IF(INDEX(Barème!$B$2:$CV$2,1,N25)="","hors code",INDEX(Barème!$B$2:$CV$2,1,N25))),""))</f>
        <v/>
      </c>
      <c r="P25" s="61"/>
      <c r="Q25" s="59" t="str">
        <f>IF(A25="","",IF(COUNTIF(P25,"&gt;0")=1,IF(P25="","",IF(INDEX(Barème!$B$2:$CV$2,1,P25)="","hors code",INDEX(Barème!$B$2:$CV$2,1,P25))),""))</f>
        <v/>
      </c>
      <c r="R25" s="54" t="str">
        <f t="shared" si="1"/>
        <v/>
      </c>
    </row>
    <row r="26" spans="1:31" s="55" customFormat="1" ht="22.5" customHeight="1" x14ac:dyDescent="0.4">
      <c r="A26" s="64" t="s">
        <v>22</v>
      </c>
      <c r="B26" s="74"/>
      <c r="C26" s="49" t="str">
        <f t="shared" si="0"/>
        <v/>
      </c>
      <c r="D26" s="58"/>
      <c r="E26" s="59" t="str">
        <f>IF(A26="","",IF(COUNTIF(D26,"&gt;0")=1,IF(D26="","",IF(INDEX(Barème!$B$2:$CV$2,1,D26)="","hors code",INDEX(Barème!$B$2:$CV$2,1,D26))),""))</f>
        <v/>
      </c>
      <c r="F26" s="60"/>
      <c r="G26" s="59" t="str">
        <f>IF(A26="","",IF(COUNTIF(F26,"&gt;0")=1,IF(F26="","",IF(INDEX(Barème!$B$2:$CV$2,1,F26)="","hors code",INDEX(Barème!$B$2:$CV$2,1,F26))),""))</f>
        <v/>
      </c>
      <c r="H26" s="61"/>
      <c r="I26" s="59" t="str">
        <f>IF(A26="","",IF(COUNTIF(H26,"&gt;0")=1,IF(H26="","",IF(INDEX(Barème!$B$2:$CV$2,1,H26)="","hors code",INDEX(Barème!$B$2:$CV$2,1,H26))),""))</f>
        <v/>
      </c>
      <c r="J26" s="61"/>
      <c r="K26" s="59" t="str">
        <f>IF(A26="","",IF(COUNTIF(J26,"&gt;0")=1,IF(J26="","",IF(INDEX(Barème!$B$2:$CV$2,1,J26)="","hors code",INDEX(Barème!$B$2:$CV$2,1,J26))),""))</f>
        <v/>
      </c>
      <c r="L26" s="61"/>
      <c r="M26" s="59" t="str">
        <f>IF(A26="","",IF(COUNTIF(L26,"&gt;0")=1,IF(L26="","",IF(INDEX(Barème!$B$2:$CV$2,1,L26)="","hors code",INDEX(Barème!$B$2:$CV$2,1,L26))),""))</f>
        <v/>
      </c>
      <c r="N26" s="61"/>
      <c r="O26" s="59" t="str">
        <f>IF(A26="","",IF(COUNTIF(N26,"&gt;0")=1,IF(N26="","",IF(INDEX(Barème!$B$2:$CV$2,1,N26)="","hors code",INDEX(Barème!$B$2:$CV$2,1,N26))),""))</f>
        <v/>
      </c>
      <c r="P26" s="61"/>
      <c r="Q26" s="59" t="str">
        <f>IF(A26="","",IF(COUNTIF(P26,"&gt;0")=1,IF(P26="","",IF(INDEX(Barème!$B$2:$CV$2,1,P26)="","hors code",INDEX(Barème!$B$2:$CV$2,1,P26))),""))</f>
        <v/>
      </c>
      <c r="R26" s="54" t="str">
        <f t="shared" si="1"/>
        <v/>
      </c>
    </row>
    <row r="27" spans="1:31" s="55" customFormat="1" ht="22.5" customHeight="1" x14ac:dyDescent="0.4">
      <c r="A27" s="75" t="s">
        <v>23</v>
      </c>
      <c r="B27" s="76"/>
      <c r="C27" s="76"/>
      <c r="D27" s="228">
        <f>SUM(E10:E26)</f>
        <v>0</v>
      </c>
      <c r="E27" s="228"/>
      <c r="F27" s="228">
        <f>SUM(G10:G26)</f>
        <v>0</v>
      </c>
      <c r="G27" s="228"/>
      <c r="H27" s="228">
        <f>SUM(I10:I26)</f>
        <v>0.70833333333333404</v>
      </c>
      <c r="I27" s="228"/>
      <c r="J27" s="228">
        <f>SUM(K10:K26)</f>
        <v>0.70833333333333404</v>
      </c>
      <c r="K27" s="228"/>
      <c r="L27" s="228">
        <f>SUM(M10:M26)</f>
        <v>0</v>
      </c>
      <c r="M27" s="228"/>
      <c r="N27" s="228">
        <f>SUM(O10:O26)</f>
        <v>0.70833333333333404</v>
      </c>
      <c r="O27" s="228"/>
      <c r="P27" s="228">
        <f>SUM(Q10:Q26)</f>
        <v>0.35416666666666702</v>
      </c>
      <c r="Q27" s="228"/>
      <c r="R27" s="77">
        <f>SUM(R10:R26)</f>
        <v>2.4791666666666692</v>
      </c>
    </row>
    <row r="28" spans="1:31" s="55" customFormat="1" ht="9.75" customHeight="1" x14ac:dyDescent="0.4">
      <c r="A28" s="78"/>
      <c r="B28" s="78"/>
      <c r="C28" s="78"/>
      <c r="D28" s="79"/>
      <c r="E28" s="80" t="str">
        <f>IF(A28="","",IF(COUNTIF(D28,"&gt;0")=1,IF(D28="","",IF(INDEX(Barème!$B$2:$AA$2,1,D28)="","hors code",INDEX(Barème!$B$2:$AA$2,1,D28))),""))</f>
        <v/>
      </c>
      <c r="F28" s="81"/>
      <c r="G28" s="80" t="str">
        <f>IF(A28="","",IF(COUNTIF(F28,"&gt;0")=1,IF(F28="","",IF(INDEX(Barème!$B$2:$AA$2,1,F28)="","hors code",INDEX(Barème!$B$2:$AA$2,1,F28))),""))</f>
        <v/>
      </c>
      <c r="H28" s="82"/>
      <c r="I28" s="80" t="str">
        <f>IF(A28="","",IF(COUNTIF(H28,"&gt;0")=1,IF(H28="","",IF(INDEX(Barème!$B$2:$AA$2,1,H28)="","hors code",INDEX(Barème!$B$2:$AA$2,1,H28))),""))</f>
        <v/>
      </c>
      <c r="J28" s="82"/>
      <c r="K28" s="80" t="str">
        <f>IF(A28="","",IF(COUNTIF(J28,"&gt;0")=1,IF(J28="","",IF(INDEX(Barème!$B$2:$AA$2,1,J28)="","hors code",INDEX(Barème!$B$2:$AA$2,1,J28))),""))</f>
        <v/>
      </c>
      <c r="L28" s="82"/>
      <c r="M28" s="80" t="str">
        <f>IF(A28="","",IF(COUNTIF(L28,"&gt;0")=1,IF(L28="","",IF(INDEX(Barème!$B$2:$AA$2,1,L28)="","hors code",INDEX(Barème!$B$2:$AA$2,1,L28))),""))</f>
        <v/>
      </c>
      <c r="N28" s="82"/>
      <c r="O28" s="80" t="str">
        <f>IF(A28="","",IF(COUNTIF(N28,"&gt;0")=1,IF(N28="","",IF(INDEX(Barème!$B$2:$AA$2,1,N28)="","hors code",INDEX(Barème!$B$2:$AA$2,1,N28))),""))</f>
        <v/>
      </c>
      <c r="P28" s="80"/>
      <c r="Q28" s="80"/>
      <c r="R28" s="83" t="str">
        <f>IF(SUM(O28,M28,K28,I28,G28,E28)=0,"",SUM(O28,M28,K28,I28,G28,E28))</f>
        <v/>
      </c>
    </row>
    <row r="29" spans="1:31" s="55" customFormat="1" ht="18.600000000000001" x14ac:dyDescent="0.4">
      <c r="A29" s="78"/>
      <c r="B29" s="78"/>
      <c r="C29" s="78"/>
      <c r="D29" s="79"/>
      <c r="E29" s="80"/>
      <c r="F29" s="81"/>
      <c r="G29" s="80"/>
      <c r="H29" s="82"/>
      <c r="I29" s="80"/>
      <c r="J29" s="82"/>
      <c r="K29" s="80"/>
      <c r="L29" s="82"/>
      <c r="M29" s="80"/>
      <c r="N29" s="82"/>
      <c r="O29" s="80"/>
      <c r="P29" s="80"/>
      <c r="Q29" s="80"/>
      <c r="R29" s="83"/>
    </row>
    <row r="30" spans="1:31" s="55" customFormat="1" ht="18.600000000000001" x14ac:dyDescent="0.4">
      <c r="A30" s="78"/>
      <c r="B30" s="78"/>
      <c r="C30" s="78"/>
      <c r="D30" s="79"/>
      <c r="E30" s="80"/>
      <c r="F30" s="81"/>
      <c r="G30" s="80"/>
      <c r="H30" s="82"/>
      <c r="I30" s="80"/>
      <c r="J30" s="82"/>
      <c r="K30" s="80"/>
      <c r="L30" s="82"/>
      <c r="M30" s="80"/>
      <c r="N30" s="82"/>
      <c r="O30" s="80"/>
      <c r="P30" s="80"/>
      <c r="Q30" s="80"/>
      <c r="R30" s="83"/>
    </row>
    <row r="31" spans="1:31" s="55" customFormat="1" ht="18.600000000000001" x14ac:dyDescent="0.4">
      <c r="A31" s="78"/>
      <c r="B31" s="78"/>
      <c r="C31" s="78"/>
      <c r="D31" s="79"/>
      <c r="E31" s="80"/>
      <c r="F31" s="81"/>
      <c r="G31" s="80"/>
      <c r="H31" s="82"/>
      <c r="I31" s="80"/>
      <c r="J31" s="82"/>
      <c r="K31" s="80"/>
      <c r="L31" s="82"/>
      <c r="M31" s="80"/>
      <c r="N31" s="82"/>
      <c r="O31" s="80"/>
      <c r="P31" s="80"/>
      <c r="Q31" s="80"/>
      <c r="R31" s="83"/>
    </row>
    <row r="32" spans="1:31" s="55" customFormat="1" ht="18.600000000000001" x14ac:dyDescent="0.4">
      <c r="A32" s="78"/>
      <c r="B32" s="78"/>
      <c r="C32" s="78"/>
      <c r="D32" s="79"/>
      <c r="E32" s="80"/>
      <c r="F32" s="81"/>
      <c r="G32" s="80"/>
      <c r="H32" s="82"/>
      <c r="I32" s="80"/>
      <c r="J32" s="82"/>
      <c r="K32" s="80"/>
      <c r="L32" s="82"/>
      <c r="M32" s="80"/>
      <c r="N32" s="82"/>
      <c r="O32" s="80"/>
      <c r="P32" s="80"/>
      <c r="Q32" s="80"/>
      <c r="R32" s="83"/>
    </row>
    <row r="33" spans="1:18" s="55" customFormat="1" ht="12" customHeight="1" x14ac:dyDescent="0.4">
      <c r="A33" s="84"/>
      <c r="B33" s="84"/>
      <c r="C33" s="84"/>
      <c r="D33" s="84"/>
      <c r="E33" s="84"/>
      <c r="F33" s="84"/>
      <c r="G33" s="84"/>
      <c r="H33" s="84"/>
      <c r="I33" s="84"/>
      <c r="J33" s="84"/>
      <c r="K33" s="84"/>
      <c r="L33" s="84"/>
      <c r="M33" s="84"/>
      <c r="N33" s="84"/>
      <c r="O33" s="84"/>
      <c r="P33" s="84"/>
      <c r="Q33" s="84"/>
      <c r="R33" s="84"/>
    </row>
    <row r="34" spans="1:18" ht="32.4" x14ac:dyDescent="0.4">
      <c r="A34" s="84"/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</row>
    <row r="35" spans="1:18" ht="32.4" x14ac:dyDescent="0.4">
      <c r="A35" s="84"/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</row>
    <row r="36" spans="1:18" ht="24" customHeight="1" x14ac:dyDescent="0.4">
      <c r="A36" s="84"/>
      <c r="B36" s="84"/>
      <c r="C36" s="84"/>
      <c r="D36" s="84"/>
      <c r="E36" s="84"/>
      <c r="F36" s="84"/>
      <c r="G36" s="84"/>
      <c r="H36" s="84"/>
      <c r="I36" s="84"/>
      <c r="J36" s="84"/>
      <c r="K36" s="84"/>
      <c r="L36" s="84"/>
      <c r="M36" s="84"/>
      <c r="N36" s="84"/>
      <c r="O36" s="84"/>
      <c r="P36" s="84"/>
      <c r="Q36" s="84"/>
      <c r="R36" s="84"/>
    </row>
    <row r="37" spans="1:18" ht="18.600000000000001" x14ac:dyDescent="0.4">
      <c r="A37" s="78"/>
      <c r="B37" s="78"/>
      <c r="C37" s="78"/>
      <c r="D37" s="79"/>
      <c r="E37" s="80" t="str">
        <f>IF(A37="","",IF(COUNTIF(D37,"&gt;0")=1,IF(D37="","",IF(INDEX(Barème!$B$2:$AA$2,1,D37)="","hors code",INDEX(Barème!$B$2:$AA$2,1,D37))),""))</f>
        <v/>
      </c>
      <c r="F37" s="81"/>
      <c r="G37" s="80" t="str">
        <f>IF(A37="","",IF(COUNTIF(F37,"&gt;0")=1,IF(F37="","",IF(INDEX(Barème!$B$2:$AA$2,1,F37)="","hors code",INDEX(Barème!$B$2:$AA$2,1,F37))),""))</f>
        <v/>
      </c>
      <c r="H37" s="82"/>
      <c r="I37" s="80" t="str">
        <f>IF(A37="","",IF(COUNTIF(H37,"&gt;0")=1,IF(H37="","",IF(INDEX(Barème!$B$2:$AA$2,1,H37)="","hors code",INDEX(Barème!$B$2:$AA$2,1,H37))),""))</f>
        <v/>
      </c>
      <c r="J37" s="82"/>
      <c r="K37" s="80" t="str">
        <f>IF(A37="","",IF(COUNTIF(J37,"&gt;0")=1,IF(J37="","",IF(INDEX(Barème!$B$2:$AA$2,1,J37)="","hors code",INDEX(Barème!$B$2:$AA$2,1,J37))),""))</f>
        <v/>
      </c>
      <c r="L37" s="82"/>
      <c r="M37" s="80" t="str">
        <f>IF(A37="","",IF(COUNTIF(L37,"&gt;0")=1,IF(L37="","",IF(INDEX(Barème!$B$2:$AA$2,1,L37)="","hors code",INDEX(Barème!$B$2:$AA$2,1,L37))),""))</f>
        <v/>
      </c>
      <c r="N37" s="82"/>
      <c r="O37" s="80" t="str">
        <f>IF(A37="","",IF(COUNTIF(N37,"&gt;0")=1,IF(N37="","",IF(INDEX(Barème!$B$2:$AA$2,1,N37)="","hors code",INDEX(Barème!$B$2:$AA$2,1,N37))),""))</f>
        <v/>
      </c>
      <c r="P37" s="80"/>
      <c r="Q37" s="80"/>
      <c r="R37" s="83" t="str">
        <f>IF(SUM(O37,M37,K37,I37,G37,E37)=0,"",SUM(O37,M37,K37,I37,G37,E37))</f>
        <v/>
      </c>
    </row>
  </sheetData>
  <mergeCells count="17">
    <mergeCell ref="N27:O27"/>
    <mergeCell ref="P27:Q27"/>
    <mergeCell ref="D27:E27"/>
    <mergeCell ref="F27:G27"/>
    <mergeCell ref="H27:I27"/>
    <mergeCell ref="J27:K27"/>
    <mergeCell ref="L27:M27"/>
    <mergeCell ref="A2:R3"/>
    <mergeCell ref="H5:J5"/>
    <mergeCell ref="L5:N5"/>
    <mergeCell ref="D7:E7"/>
    <mergeCell ref="F7:G7"/>
    <mergeCell ref="H7:I7"/>
    <mergeCell ref="J7:K7"/>
    <mergeCell ref="L7:M7"/>
    <mergeCell ref="N7:O7"/>
    <mergeCell ref="P7:Q7"/>
  </mergeCells>
  <conditionalFormatting sqref="R26">
    <cfRule type="cellIs" dxfId="64" priority="2" operator="greaterThan">
      <formula>$C$26</formula>
    </cfRule>
  </conditionalFormatting>
  <conditionalFormatting sqref="R25">
    <cfRule type="cellIs" dxfId="63" priority="3" operator="greaterThan">
      <formula>$C$25</formula>
    </cfRule>
  </conditionalFormatting>
  <conditionalFormatting sqref="R24">
    <cfRule type="cellIs" dxfId="62" priority="4" operator="greaterThan">
      <formula>$C$24</formula>
    </cfRule>
  </conditionalFormatting>
  <conditionalFormatting sqref="R23">
    <cfRule type="cellIs" dxfId="61" priority="5" operator="greaterThan">
      <formula>$C$23</formula>
    </cfRule>
  </conditionalFormatting>
  <conditionalFormatting sqref="R22">
    <cfRule type="cellIs" dxfId="60" priority="6" operator="greaterThan">
      <formula>$C$22</formula>
    </cfRule>
  </conditionalFormatting>
  <conditionalFormatting sqref="R21">
    <cfRule type="cellIs" dxfId="59" priority="7" operator="greaterThan">
      <formula>$C$21</formula>
    </cfRule>
  </conditionalFormatting>
  <conditionalFormatting sqref="R20">
    <cfRule type="cellIs" dxfId="58" priority="8" operator="greaterThan">
      <formula>$C$20</formula>
    </cfRule>
  </conditionalFormatting>
  <conditionalFormatting sqref="R19">
    <cfRule type="cellIs" dxfId="57" priority="9" operator="greaterThan">
      <formula>$C$19</formula>
    </cfRule>
  </conditionalFormatting>
  <conditionalFormatting sqref="R18">
    <cfRule type="cellIs" dxfId="56" priority="10" operator="greaterThan">
      <formula>$C$18</formula>
    </cfRule>
  </conditionalFormatting>
  <conditionalFormatting sqref="R17">
    <cfRule type="cellIs" dxfId="55" priority="11" operator="greaterThan">
      <formula>$C$17</formula>
    </cfRule>
  </conditionalFormatting>
  <conditionalFormatting sqref="R16">
    <cfRule type="cellIs" dxfId="54" priority="12" operator="greaterThan">
      <formula>$C$16</formula>
    </cfRule>
  </conditionalFormatting>
  <conditionalFormatting sqref="R15">
    <cfRule type="cellIs" dxfId="53" priority="13" operator="greaterThan">
      <formula>$C$15</formula>
    </cfRule>
  </conditionalFormatting>
  <conditionalFormatting sqref="R14">
    <cfRule type="cellIs" dxfId="52" priority="14" operator="greaterThan">
      <formula>$C$14</formula>
    </cfRule>
  </conditionalFormatting>
  <conditionalFormatting sqref="R13">
    <cfRule type="cellIs" dxfId="51" priority="15" operator="greaterThan">
      <formula>$C$13</formula>
    </cfRule>
  </conditionalFormatting>
  <conditionalFormatting sqref="R12">
    <cfRule type="cellIs" dxfId="50" priority="16" operator="greaterThan">
      <formula>$C$12</formula>
    </cfRule>
  </conditionalFormatting>
  <conditionalFormatting sqref="R11">
    <cfRule type="cellIs" dxfId="49" priority="17" operator="greaterThan">
      <formula>$C$11</formula>
    </cfRule>
  </conditionalFormatting>
  <conditionalFormatting sqref="R10">
    <cfRule type="cellIs" dxfId="48" priority="18" operator="greaterThan">
      <formula>$C$10</formula>
    </cfRule>
  </conditionalFormatting>
  <pageMargins left="0.35416666666666702" right="0.27569444444444402" top="0.15763888888888899" bottom="0" header="0.511811023622047" footer="0.511811023622047"/>
  <pageSetup paperSize="9" scale="80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AF37"/>
  <sheetViews>
    <sheetView zoomScale="81" zoomScaleNormal="81" zoomScalePageLayoutView="90" workbookViewId="0">
      <selection activeCell="I22" sqref="I22"/>
    </sheetView>
  </sheetViews>
  <sheetFormatPr baseColWidth="10" defaultColWidth="0" defaultRowHeight="21" zeroHeight="1" x14ac:dyDescent="0.5"/>
  <cols>
    <col min="1" max="1" width="20.109375" style="1" customWidth="1"/>
    <col min="2" max="2" width="5.77734375" style="1" customWidth="1"/>
    <col min="3" max="3" width="8.44140625" style="1" customWidth="1"/>
    <col min="4" max="4" width="5.77734375" style="2" customWidth="1"/>
    <col min="5" max="5" width="5.77734375" style="3" customWidth="1"/>
    <col min="6" max="6" width="5.77734375" style="4" customWidth="1"/>
    <col min="7" max="7" width="5.77734375" style="3" customWidth="1"/>
    <col min="8" max="8" width="5.77734375" style="5" customWidth="1"/>
    <col min="9" max="9" width="5.77734375" style="3" customWidth="1"/>
    <col min="10" max="10" width="5.77734375" style="5" customWidth="1"/>
    <col min="11" max="11" width="5.77734375" style="3" customWidth="1"/>
    <col min="12" max="12" width="5.77734375" style="5" customWidth="1"/>
    <col min="13" max="13" width="5.77734375" style="3" customWidth="1"/>
    <col min="14" max="14" width="5.77734375" style="5" customWidth="1"/>
    <col min="15" max="17" width="5.77734375" style="3" customWidth="1"/>
    <col min="18" max="18" width="11.5546875" style="6" customWidth="1"/>
    <col min="19" max="21" width="11.44140625" style="1"/>
    <col min="22" max="22" width="12.21875" style="1" customWidth="1"/>
    <col min="23" max="27" width="11.44140625" style="1"/>
    <col min="28" max="32" width="11.5546875" style="1" hidden="1" customWidth="1"/>
    <col min="33" max="16384" width="11.44140625" style="1" hidden="1"/>
  </cols>
  <sheetData>
    <row r="1" spans="1:23" ht="41.25" customHeight="1" x14ac:dyDescent="0.5">
      <c r="A1" s="7"/>
      <c r="B1" s="8"/>
      <c r="C1" s="8"/>
      <c r="D1" s="9"/>
      <c r="E1" s="10"/>
      <c r="F1" s="11"/>
      <c r="G1" s="10"/>
      <c r="H1" s="12"/>
      <c r="I1" s="10"/>
      <c r="J1" s="12"/>
      <c r="K1" s="10"/>
      <c r="L1" s="12"/>
      <c r="M1" s="10"/>
      <c r="N1" s="12"/>
      <c r="O1" s="10"/>
      <c r="P1" s="10"/>
      <c r="Q1" s="10"/>
      <c r="R1" s="13"/>
    </row>
    <row r="2" spans="1:23" ht="22.5" customHeight="1" x14ac:dyDescent="0.4">
      <c r="A2" s="222" t="s">
        <v>0</v>
      </c>
      <c r="B2" s="222"/>
      <c r="C2" s="222"/>
      <c r="D2" s="222"/>
      <c r="E2" s="222"/>
      <c r="F2" s="222"/>
      <c r="G2" s="222"/>
      <c r="H2" s="222"/>
      <c r="I2" s="222"/>
      <c r="J2" s="222"/>
      <c r="K2" s="222"/>
      <c r="L2" s="222"/>
      <c r="M2" s="222"/>
      <c r="N2" s="222"/>
      <c r="O2" s="222"/>
      <c r="P2" s="222"/>
      <c r="Q2" s="222"/>
      <c r="R2" s="222"/>
    </row>
    <row r="3" spans="1:23" ht="9" customHeight="1" x14ac:dyDescent="0.4">
      <c r="A3" s="222"/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2"/>
      <c r="P3" s="222"/>
      <c r="Q3" s="222"/>
      <c r="R3" s="222"/>
    </row>
    <row r="4" spans="1:23" ht="8.25" customHeight="1" x14ac:dyDescent="0.4">
      <c r="A4" s="14"/>
      <c r="B4" s="14"/>
      <c r="C4" s="14"/>
      <c r="D4" s="15"/>
      <c r="E4" s="16"/>
      <c r="F4" s="17"/>
      <c r="G4" s="16"/>
      <c r="H4" s="18"/>
      <c r="I4" s="16"/>
      <c r="J4" s="18"/>
      <c r="K4" s="16"/>
      <c r="L4" s="18"/>
      <c r="M4" s="16"/>
      <c r="N4" s="18"/>
      <c r="O4" s="16"/>
      <c r="P4" s="16"/>
      <c r="Q4" s="16"/>
      <c r="R4" s="19"/>
    </row>
    <row r="5" spans="1:23" s="29" customFormat="1" ht="21.75" customHeight="1" x14ac:dyDescent="0.5">
      <c r="A5" s="20" t="s">
        <v>1</v>
      </c>
      <c r="B5" s="21"/>
      <c r="C5" s="21"/>
      <c r="D5" s="22"/>
      <c r="E5" s="23">
        <v>3</v>
      </c>
      <c r="F5" s="24"/>
      <c r="G5" s="25" t="s">
        <v>2</v>
      </c>
      <c r="H5" s="223">
        <v>45362</v>
      </c>
      <c r="I5" s="223"/>
      <c r="J5" s="223"/>
      <c r="K5" s="26" t="s">
        <v>3</v>
      </c>
      <c r="L5" s="223">
        <v>45368</v>
      </c>
      <c r="M5" s="223"/>
      <c r="N5" s="223"/>
      <c r="O5" s="27"/>
      <c r="P5" s="25"/>
      <c r="Q5" s="25"/>
      <c r="R5" s="28"/>
      <c r="T5" s="30"/>
    </row>
    <row r="6" spans="1:23" ht="10.5" customHeight="1" x14ac:dyDescent="0.4">
      <c r="A6" s="14"/>
      <c r="B6" s="14"/>
      <c r="C6" s="14"/>
      <c r="D6" s="15"/>
      <c r="E6" s="16"/>
      <c r="F6" s="17"/>
      <c r="G6" s="16"/>
      <c r="H6" s="31"/>
      <c r="I6" s="16"/>
      <c r="J6" s="18"/>
      <c r="K6" s="16"/>
      <c r="L6" s="18"/>
      <c r="M6" s="16"/>
      <c r="N6" s="18"/>
      <c r="O6" s="16"/>
      <c r="P6" s="16"/>
      <c r="Q6" s="16"/>
      <c r="R6" s="19"/>
    </row>
    <row r="7" spans="1:23" ht="18" customHeight="1" x14ac:dyDescent="0.4">
      <c r="A7" s="32" t="s">
        <v>4</v>
      </c>
      <c r="B7" s="33" t="s">
        <v>5</v>
      </c>
      <c r="C7" s="34" t="s">
        <v>6</v>
      </c>
      <c r="D7" s="224" t="s">
        <v>7</v>
      </c>
      <c r="E7" s="224"/>
      <c r="F7" s="224" t="s">
        <v>8</v>
      </c>
      <c r="G7" s="224"/>
      <c r="H7" s="224" t="s">
        <v>9</v>
      </c>
      <c r="I7" s="224"/>
      <c r="J7" s="225" t="s">
        <v>10</v>
      </c>
      <c r="K7" s="225"/>
      <c r="L7" s="225" t="s">
        <v>11</v>
      </c>
      <c r="M7" s="225"/>
      <c r="N7" s="226" t="s">
        <v>12</v>
      </c>
      <c r="O7" s="226"/>
      <c r="P7" s="227" t="s">
        <v>13</v>
      </c>
      <c r="Q7" s="227"/>
      <c r="R7" s="35" t="s">
        <v>14</v>
      </c>
      <c r="T7" s="36"/>
      <c r="U7" s="36"/>
    </row>
    <row r="8" spans="1:23" ht="14.25" customHeight="1" x14ac:dyDescent="0.4">
      <c r="A8" s="37"/>
      <c r="B8" s="38"/>
      <c r="C8" s="38"/>
      <c r="D8" s="39" t="s">
        <v>15</v>
      </c>
      <c r="E8" s="40" t="s">
        <v>16</v>
      </c>
      <c r="F8" s="39" t="s">
        <v>15</v>
      </c>
      <c r="G8" s="40" t="s">
        <v>16</v>
      </c>
      <c r="H8" s="39" t="s">
        <v>15</v>
      </c>
      <c r="I8" s="40" t="s">
        <v>16</v>
      </c>
      <c r="J8" s="39" t="s">
        <v>15</v>
      </c>
      <c r="K8" s="40" t="s">
        <v>16</v>
      </c>
      <c r="L8" s="41" t="s">
        <v>15</v>
      </c>
      <c r="M8" s="42" t="s">
        <v>16</v>
      </c>
      <c r="N8" s="41" t="s">
        <v>15</v>
      </c>
      <c r="O8" s="42" t="s">
        <v>16</v>
      </c>
      <c r="P8" s="41" t="s">
        <v>15</v>
      </c>
      <c r="Q8" s="42" t="s">
        <v>16</v>
      </c>
      <c r="R8" s="43"/>
    </row>
    <row r="9" spans="1:23" ht="6.75" customHeight="1" x14ac:dyDescent="0.4">
      <c r="A9" s="14"/>
      <c r="B9" s="14"/>
      <c r="C9" s="14"/>
      <c r="D9" s="15"/>
      <c r="E9" s="16"/>
      <c r="F9" s="17"/>
      <c r="G9" s="16"/>
      <c r="H9" s="18"/>
      <c r="I9" s="16"/>
      <c r="J9" s="44"/>
      <c r="K9" s="16"/>
      <c r="L9" s="45"/>
      <c r="M9" s="45"/>
      <c r="N9" s="18"/>
      <c r="O9" s="16"/>
      <c r="P9" s="18"/>
      <c r="Q9" s="16"/>
      <c r="R9" s="46"/>
    </row>
    <row r="10" spans="1:23" s="55" customFormat="1" ht="22.5" customHeight="1" x14ac:dyDescent="0.4">
      <c r="A10" s="47" t="s">
        <v>17</v>
      </c>
      <c r="B10" s="48">
        <v>100</v>
      </c>
      <c r="C10" s="49">
        <f t="shared" ref="C10:C26" si="0">IF(ISBLANK(B10),"",42/24/100*B10)</f>
        <v>1.7500000000000002</v>
      </c>
      <c r="D10" s="50"/>
      <c r="E10" s="51" t="str">
        <f>IF(A10="","",IF(COUNTIF(D10,"&gt;0")=1,IF(D10="","",IF(INDEX(Barème!$B$2:$CV$2,1,D10)="","hors code",INDEX(Barème!$B$2:$CV$2,1,D10))),""))</f>
        <v/>
      </c>
      <c r="F10" s="52"/>
      <c r="G10" s="51" t="str">
        <f>IF(A10="","",IF(COUNTIF(F10,"&gt;0")=1,IF(F10="","",IF(INDEX(Barème!$B$2:$CV$2,1,F10)="","hors code",INDEX(Barème!$B$2:$CV$2,1,F10))),""))</f>
        <v/>
      </c>
      <c r="H10" s="52"/>
      <c r="I10" s="51" t="str">
        <f>IF(A10="","",IF(COUNTIF(H10,"&gt;0")=1,IF(H10="","",IF(INDEX(Barème!$B$2:$CV$2,1,H10)="","hors code",INDEX(Barème!$B$2:$CV$2,1,H10))),""))</f>
        <v/>
      </c>
      <c r="J10" s="52"/>
      <c r="K10" s="51" t="str">
        <f>IF(A10="","",IF(COUNTIF(J10,"&gt;0")=1,IF(J10="","",IF(INDEX(Barème!$B$2:$CV$2,1,J10)="","hors code",INDEX(Barème!$B$2:$CV$2,1,J10))),""))</f>
        <v/>
      </c>
      <c r="L10" s="52"/>
      <c r="M10" s="51" t="str">
        <f>IF(A10="","",IF(COUNTIF(L10,"&gt;0")=1,IF(L10="","",IF(INDEX(Barème!$B$2:$CV$2,1,L10)="","hors code",INDEX(Barème!$B$2:$CV$2,1,L10))),""))</f>
        <v/>
      </c>
      <c r="N10" s="53"/>
      <c r="O10" s="51" t="str">
        <f>IF(A10="","",IF(COUNTIF(N10,"&gt;0")=1,IF(N10="","",IF(INDEX(Barème!$B$2:$CV$2,1,N10)="","hors code",INDEX(Barème!$B$2:$CV$2,1,N10))),""))</f>
        <v/>
      </c>
      <c r="P10" s="53"/>
      <c r="Q10" s="51" t="str">
        <f>IF(A10="","",IF(COUNTIF(P10,"&gt;0")=1,IF(P10="","",IF(INDEX(Barème!$B$2:$CV$2,1,P10)="","hors code",INDEX(Barème!$B$2:$CV$2,1,P10))),""))</f>
        <v/>
      </c>
      <c r="R10" s="54" t="str">
        <f t="shared" ref="R10:R26" si="1">IF(SUM(Q10,O10,M10,K10,I10,G10,E10)=0,"",SUM(Q10,O10,M10,K10,I10,G10,E10))</f>
        <v/>
      </c>
      <c r="S10" s="1"/>
      <c r="T10" s="36"/>
    </row>
    <row r="11" spans="1:23" s="55" customFormat="1" ht="22.5" customHeight="1" x14ac:dyDescent="0.4">
      <c r="A11" s="56" t="s">
        <v>84</v>
      </c>
      <c r="B11" s="57">
        <v>30</v>
      </c>
      <c r="C11" s="49">
        <f t="shared" si="0"/>
        <v>0.52500000000000002</v>
      </c>
      <c r="D11" s="58"/>
      <c r="E11" s="59" t="str">
        <f>IF(A11="","",IF(COUNTIF(D11,"&gt;0")=1,IF(D11="","",IF(INDEX(Barème!$B$2:$CV$2,1,D11)="","hors code",INDEX(Barème!$B$2:$CV$2,1,D11))),""))</f>
        <v/>
      </c>
      <c r="F11" s="60"/>
      <c r="G11" s="59" t="str">
        <f>IF(A11="","",IF(COUNTIF(F11,"&gt;0")=1,IF(F11="","",IF(INDEX(Barème!$B$2:$CV$2,1,F11)="","hors code",INDEX(Barème!$B$2:$CV$2,1,F11))),""))</f>
        <v/>
      </c>
      <c r="H11" s="61"/>
      <c r="I11" s="59" t="str">
        <f>IF(A11="","",IF(COUNTIF(H11,"&gt;0")=1,IF(H11="","",IF(INDEX(Barème!$B$2:$CV$2,1,H11)="","hors code",INDEX(Barème!$B$2:$CV$2,1,H11))),""))</f>
        <v/>
      </c>
      <c r="J11" s="61">
        <v>6</v>
      </c>
      <c r="K11" s="59">
        <f>IF(A11="","",IF(COUNTIF(J11,"&gt;0")=1,IF(J11="","",IF(INDEX(Barème!$B$2:$CV$2,1,J11)="","hors code",INDEX(Barème!$B$2:$CV$2,1,J11))),""))</f>
        <v>0.35416666666666702</v>
      </c>
      <c r="L11" s="61"/>
      <c r="M11" s="59" t="str">
        <f>IF(A11="","",IF(COUNTIF(L11,"&gt;0")=1,IF(L11="","",IF(INDEX(Barème!$B$2:$CV$2,1,L11)="","hors code",INDEX(Barème!$B$2:$CV$2,1,L11))),""))</f>
        <v/>
      </c>
      <c r="N11" s="61"/>
      <c r="O11" s="59" t="str">
        <f>IF(A11="","",IF(COUNTIF(N11,"&gt;0")=1,IF(N11="","",IF(INDEX(Barème!$B$2:$CV$2,1,N11)="","hors code",INDEX(Barème!$B$2:$CV$2,1,N11))),""))</f>
        <v/>
      </c>
      <c r="P11" s="61"/>
      <c r="Q11" s="59" t="str">
        <f>IF(A11="","",IF(COUNTIF(P11,"&gt;0")=1,IF(P11="","",IF(INDEX(Barème!$B$2:$CV$2,1,P11)="","hors code",INDEX(Barème!$B$2:$CV$2,1,P11))),""))</f>
        <v/>
      </c>
      <c r="R11" s="54">
        <f t="shared" si="1"/>
        <v>0.35416666666666702</v>
      </c>
      <c r="T11" s="36"/>
    </row>
    <row r="12" spans="1:23" s="55" customFormat="1" ht="22.5" customHeight="1" x14ac:dyDescent="0.4">
      <c r="A12" s="62" t="s">
        <v>18</v>
      </c>
      <c r="B12" s="63">
        <v>40</v>
      </c>
      <c r="C12" s="49">
        <f t="shared" si="0"/>
        <v>0.70000000000000007</v>
      </c>
      <c r="D12" s="58"/>
      <c r="E12" s="59" t="str">
        <f>IF(A12="","",IF(COUNTIF(D12,"&gt;0")=1,IF(D12="","",IF(INDEX(Barème!$B$2:$CV$2,1,D12)="","hors code",INDEX(Barème!$B$2:$CV$2,1,D12))),""))</f>
        <v/>
      </c>
      <c r="F12" s="60"/>
      <c r="G12" s="59" t="str">
        <f>IF(A12="","",IF(COUNTIF(F12,"&gt;0")=1,IF(F12="","",IF(INDEX(Barème!$B$2:$CV$2,1,F12)="","hors code",INDEX(Barème!$B$2:$CV$2,1,F12))),""))</f>
        <v/>
      </c>
      <c r="H12" s="61">
        <v>6</v>
      </c>
      <c r="I12" s="59">
        <f>IF(A12="","",IF(COUNTIF(H12,"&gt;0")=1,IF(H12="","",IF(INDEX(Barème!$B$2:$CV$2,1,H12)="","hors code",INDEX(Barème!$B$2:$CV$2,1,H12))),""))</f>
        <v>0.35416666666666702</v>
      </c>
      <c r="J12" s="61"/>
      <c r="K12" s="59" t="str">
        <f>IF(A12="","",IF(COUNTIF(J12,"&gt;0")=1,IF(J12="","",IF(INDEX(Barème!$B$2:$CV$2,1,J12)="","hors code",INDEX(Barème!$B$2:$CV$2,1,J12))),""))</f>
        <v/>
      </c>
      <c r="L12" s="61"/>
      <c r="M12" s="59" t="str">
        <f>IF(A12="","",IF(COUNTIF(L12,"&gt;0")=1,IF(L12="","",IF(INDEX(Barème!$B$2:$CV$2,1,L12)="","hors code",INDEX(Barème!$B$2:$CV$2,1,L12))),""))</f>
        <v/>
      </c>
      <c r="N12" s="60"/>
      <c r="O12" s="59" t="str">
        <f>IF(A12="","",IF(COUNTIF(N12,"&gt;0")=1,IF(N12="","",IF(INDEX(Barème!$B$2:$CV$2,1,N12)="","hors code",INDEX(Barème!$B$2:$CV$2,1,N12))),""))</f>
        <v/>
      </c>
      <c r="P12" s="60">
        <v>15</v>
      </c>
      <c r="Q12" s="59">
        <f>IF(A12="","",IF(COUNTIF(P12,"&gt;0")=1,IF(P12="","",IF(INDEX(Barème!$B$2:$CV$2,1,P12)="","hors code",INDEX(Barème!$B$2:$CV$2,1,P12))),""))</f>
        <v>0.35416666666666702</v>
      </c>
      <c r="R12" s="54">
        <f t="shared" si="1"/>
        <v>0.70833333333333404</v>
      </c>
      <c r="T12" s="36"/>
    </row>
    <row r="13" spans="1:23" s="55" customFormat="1" ht="22.5" customHeight="1" x14ac:dyDescent="0.45">
      <c r="A13" s="64" t="s">
        <v>19</v>
      </c>
      <c r="B13" s="63"/>
      <c r="C13" s="49" t="str">
        <f t="shared" si="0"/>
        <v/>
      </c>
      <c r="D13" s="58"/>
      <c r="E13" s="59" t="str">
        <f>IF(A13="","",IF(COUNTIF(D13,"&gt;0")=1,IF(D13="","",IF(INDEX(Barème!$B$2:$CV$2,1,D13)="","hors code",INDEX(Barème!$B$2:$CV$2,1,D13))),""))</f>
        <v/>
      </c>
      <c r="F13" s="60"/>
      <c r="G13" s="59" t="str">
        <f>IF(A13="","",IF(COUNTIF(F13,"&gt;0")=1,IF(F13="","",IF(INDEX(Barème!$B$2:$CV$2,1,F13)="","hors code",INDEX(Barème!$B$2:$CV$2,1,F13))),""))</f>
        <v/>
      </c>
      <c r="H13" s="61"/>
      <c r="I13" s="59" t="str">
        <f>IF(A13="","",IF(COUNTIF(H13,"&gt;0")=1,IF(H13="","",IF(INDEX(Barème!$B$2:$CV$2,1,H13)="","hors code",INDEX(Barème!$B$2:$CV$2,1,H13))),""))</f>
        <v/>
      </c>
      <c r="J13" s="61"/>
      <c r="K13" s="59" t="str">
        <f>IF(A13="","",IF(COUNTIF(J13,"&gt;0")=1,IF(J13="","",IF(INDEX(Barème!$B$2:$CV$2,1,J13)="","hors code",INDEX(Barème!$B$2:$CV$2,1,J13))),""))</f>
        <v/>
      </c>
      <c r="L13" s="61">
        <v>14</v>
      </c>
      <c r="M13" s="59">
        <f>IF(A13="","",IF(COUNTIF(L13,"&gt;0")=1,IF(L13="","",IF(INDEX(Barème!$B$2:$CV$2,1,L13)="","hors code",INDEX(Barème!$B$2:$CV$2,1,L13))),""))</f>
        <v>0.33333333333333298</v>
      </c>
      <c r="N13" s="61"/>
      <c r="O13" s="59" t="str">
        <f>IF(A13="","",IF(COUNTIF(N13,"&gt;0")=1,IF(N13="","",IF(INDEX(Barème!$B$2:$CV$2,1,N13)="","hors code",INDEX(Barème!$B$2:$CV$2,1,N13))),""))</f>
        <v/>
      </c>
      <c r="P13" s="61"/>
      <c r="Q13" s="59" t="str">
        <f>IF(A13="","",IF(COUNTIF(P13,"&gt;0")=1,IF(P13="","",IF(INDEX(Barème!$B$2:$CV$2,1,P13)="","hors code",INDEX(Barème!$B$2:$CV$2,1,P13))),""))</f>
        <v/>
      </c>
      <c r="R13" s="54">
        <f t="shared" si="1"/>
        <v>0.33333333333333298</v>
      </c>
      <c r="T13" s="36"/>
      <c r="U13" s="65"/>
      <c r="V13" s="66"/>
      <c r="W13" s="67"/>
    </row>
    <row r="14" spans="1:23" s="55" customFormat="1" ht="22.5" customHeight="1" x14ac:dyDescent="0.4">
      <c r="A14" s="56" t="s">
        <v>20</v>
      </c>
      <c r="B14" s="68">
        <v>55</v>
      </c>
      <c r="C14" s="49">
        <f t="shared" si="0"/>
        <v>0.96250000000000013</v>
      </c>
      <c r="D14" s="58"/>
      <c r="E14" s="59" t="str">
        <f>IF(A14="","",IF(COUNTIF(D14,"&gt;0")=1,IF(D14="","",IF(INDEX(Barème!$B$2:$CV$2,1,D14)="","hors code",INDEX(Barème!$B$2:$CV$2,1,D14))),""))</f>
        <v/>
      </c>
      <c r="F14" s="60"/>
      <c r="G14" s="59" t="str">
        <f>IF(A14="","",IF(COUNTIF(F14,"&gt;0")=1,IF(F14="","",IF(INDEX(Barème!$B$2:$CV$2,1,F14)="","hors code",INDEX(Barème!$B$2:$CV$2,1,F14))),""))</f>
        <v/>
      </c>
      <c r="H14" s="61">
        <v>15</v>
      </c>
      <c r="I14" s="59">
        <f>IF(A14="","",IF(COUNTIF(H14,"&gt;0")=1,IF(H14="","",IF(INDEX(Barème!$B$2:$CV$2,1,H14)="","hors code",INDEX(Barème!$B$2:$CV$2,1,H14))),""))</f>
        <v>0.35416666666666702</v>
      </c>
      <c r="J14" s="61">
        <v>15</v>
      </c>
      <c r="K14" s="59">
        <f>IF(A14="","",IF(COUNTIF(J14,"&gt;0")=1,IF(J14="","",IF(INDEX(Barème!$B$2:$CV$2,1,J14)="","hors code",INDEX(Barème!$B$2:$CV$2,1,J14))),""))</f>
        <v>0.35416666666666702</v>
      </c>
      <c r="L14" s="61"/>
      <c r="M14" s="59" t="str">
        <f>IF(A14="","",IF(COUNTIF(L14,"&gt;0")=1,IF(L14="","",IF(INDEX(Barème!$B$2:$CV$2,1,L14)="","hors code",INDEX(Barème!$B$2:$CV$2,1,L14))),""))</f>
        <v/>
      </c>
      <c r="N14" s="61">
        <v>15</v>
      </c>
      <c r="O14" s="59">
        <f>IF(A14="","",IF(COUNTIF(N14,"&gt;0")=1,IF(N14="","",IF(INDEX(Barème!$B$2:$CV$2,1,N14)="","hors code",INDEX(Barème!$B$2:$CV$2,1,N14))),""))</f>
        <v>0.35416666666666702</v>
      </c>
      <c r="P14" s="61"/>
      <c r="Q14" s="59" t="str">
        <f>IF(A14="","",IF(COUNTIF(P14,"&gt;0")=1,IF(P14="","",IF(INDEX(Barème!$B$2:$CV$2,1,P14)="","hors code",INDEX(Barème!$B$2:$CV$2,1,P14))),""))</f>
        <v/>
      </c>
      <c r="R14" s="54">
        <f t="shared" si="1"/>
        <v>1.0625000000000011</v>
      </c>
      <c r="T14" s="36"/>
    </row>
    <row r="15" spans="1:23" s="55" customFormat="1" ht="22.5" customHeight="1" x14ac:dyDescent="0.4">
      <c r="A15" s="69"/>
      <c r="B15" s="68"/>
      <c r="C15" s="49" t="str">
        <f t="shared" si="0"/>
        <v/>
      </c>
      <c r="D15" s="58"/>
      <c r="E15" s="59" t="str">
        <f>IF(A15="","",IF(COUNTIF(D15,"&gt;0")=1,IF(D15="","",IF(INDEX(Barème!$B$2:$CV$2,1,D15)="","hors code",INDEX(Barème!$B$2:$CV$2,1,D15))),""))</f>
        <v/>
      </c>
      <c r="F15" s="60"/>
      <c r="G15" s="59" t="str">
        <f>IF(A15="","",IF(COUNTIF(F15,"&gt;0")=1,IF(F15="","",IF(INDEX(Barème!$B$2:$CV$2,1,F15)="","hors code",INDEX(Barème!$B$2:$CV$2,1,F15))),""))</f>
        <v/>
      </c>
      <c r="H15" s="61"/>
      <c r="I15" s="59" t="str">
        <f>IF(A15="","",IF(COUNTIF(H15,"&gt;0")=1,IF(H15="","",IF(INDEX(Barème!$B$2:$CV$2,1,H15)="","hors code",INDEX(Barème!$B$2:$CV$2,1,H15))),""))</f>
        <v/>
      </c>
      <c r="J15" s="61"/>
      <c r="K15" s="59" t="str">
        <f>IF(A15="","",IF(COUNTIF(J15,"&gt;0")=1,IF(J15="","",IF(INDEX(Barème!$B$2:$CV$2,1,J15)="","hors code",INDEX(Barème!$B$2:$CV$2,1,J15))),""))</f>
        <v/>
      </c>
      <c r="L15" s="61"/>
      <c r="M15" s="59" t="str">
        <f>IF(A15="","",IF(COUNTIF(L15,"&gt;0")=1,IF(L15="","",IF(INDEX(Barème!$B$2:$CV$2,1,L15)="","hors code",INDEX(Barème!$B$2:$CV$2,1,L15))),""))</f>
        <v/>
      </c>
      <c r="N15" s="61"/>
      <c r="O15" s="59" t="str">
        <f>IF(A15="","",IF(COUNTIF(N15,"&gt;0")=1,IF(N15="","",IF(INDEX(Barème!$B$2:$CV$2,1,N15)="","hors code",INDEX(Barème!$B$2:$CV$2,1,N15))),""))</f>
        <v/>
      </c>
      <c r="P15" s="61"/>
      <c r="Q15" s="59" t="str">
        <f>IF(A15="","",IF(COUNTIF(P15,"&gt;0")=1,IF(P15="","",IF(INDEX(Barème!$B$2:$CV$2,1,P15)="","hors code",INDEX(Barème!$B$2:$CV$2,1,P15))),""))</f>
        <v/>
      </c>
      <c r="R15" s="54" t="str">
        <f t="shared" si="1"/>
        <v/>
      </c>
      <c r="T15" s="36"/>
    </row>
    <row r="16" spans="1:23" s="55" customFormat="1" ht="22.5" customHeight="1" x14ac:dyDescent="0.4">
      <c r="A16" s="64"/>
      <c r="B16" s="63"/>
      <c r="C16" s="49" t="str">
        <f t="shared" si="0"/>
        <v/>
      </c>
      <c r="D16" s="58"/>
      <c r="E16" s="59" t="str">
        <f>IF(A16="","",IF(COUNTIF(D16,"&gt;0")=1,IF(D16="","",IF(INDEX(Barème!$B$2:$CV$2,1,D16)="","hors code",INDEX(Barème!$B$2:$CV$2,1,D16))),""))</f>
        <v/>
      </c>
      <c r="F16" s="60"/>
      <c r="G16" s="59" t="str">
        <f>IF(A16="","",IF(COUNTIF(F16,"&gt;0")=1,IF(F16="","",IF(INDEX(Barème!$B$2:$CV$2,1,F16)="","hors code",INDEX(Barème!$B$2:$CV$2,1,F16))),""))</f>
        <v/>
      </c>
      <c r="H16" s="61"/>
      <c r="I16" s="59" t="str">
        <f>IF(A16="","",IF(COUNTIF(H16,"&gt;0")=1,IF(H16="","",IF(INDEX(Barème!$B$2:$CV$2,1,H16)="","hors code",INDEX(Barème!$B$2:$CV$2,1,H16))),""))</f>
        <v/>
      </c>
      <c r="J16" s="61"/>
      <c r="K16" s="59" t="str">
        <f>IF(A16="","",IF(COUNTIF(J16,"&gt;0")=1,IF(J16="","",IF(INDEX(Barème!$B$2:$CV$2,1,J16)="","hors code",INDEX(Barème!$B$2:$CV$2,1,J16))),""))</f>
        <v/>
      </c>
      <c r="L16" s="61"/>
      <c r="M16" s="59" t="str">
        <f>IF(A16="","",IF(COUNTIF(L16,"&gt;0")=1,IF(L16="","",IF(INDEX(Barème!$B$2:$CV$2,1,L16)="","hors code",INDEX(Barème!$B$2:$CV$2,1,L16))),""))</f>
        <v/>
      </c>
      <c r="N16" s="61"/>
      <c r="O16" s="59" t="str">
        <f>IF(A16="","",IF(COUNTIF(N16,"&gt;0")=1,IF(N16="","",IF(INDEX(Barème!$B$2:$CV$2,1,N16)="","hors code",INDEX(Barème!$B$2:$CV$2,1,N16))),""))</f>
        <v/>
      </c>
      <c r="P16" s="61"/>
      <c r="Q16" s="59" t="str">
        <f>IF(A16="","",IF(COUNTIF(P16,"&gt;0")=1,IF(P16="","",IF(INDEX(Barème!$B$2:$CV$2,1,P16)="","hors code",INDEX(Barème!$B$2:$CV$2,1,P16))),""))</f>
        <v/>
      </c>
      <c r="R16" s="54" t="str">
        <f t="shared" si="1"/>
        <v/>
      </c>
      <c r="T16" s="36"/>
      <c r="W16" s="70"/>
    </row>
    <row r="17" spans="1:31" s="55" customFormat="1" ht="22.5" customHeight="1" x14ac:dyDescent="0.4">
      <c r="A17" s="64"/>
      <c r="B17" s="68"/>
      <c r="C17" s="49" t="str">
        <f t="shared" si="0"/>
        <v/>
      </c>
      <c r="D17" s="71"/>
      <c r="E17" s="59" t="str">
        <f>IF(A17="","",IF(COUNTIF(D17,"&gt;0")=1,IF(D17="","",IF(INDEX(Barème!$B$2:$CV$2,1,D17)="","hors code",INDEX(Barème!$B$2:$CV$2,1,D17))),""))</f>
        <v/>
      </c>
      <c r="F17" s="60"/>
      <c r="G17" s="59" t="str">
        <f>IF(A17="","",IF(COUNTIF(F17,"&gt;0")=1,IF(F17="","",IF(INDEX(Barème!$B$2:$CV$2,1,F17)="","hors code",INDEX(Barème!$B$2:$CV$2,1,F17))),""))</f>
        <v/>
      </c>
      <c r="H17" s="61"/>
      <c r="I17" s="59" t="str">
        <f>IF(A17="","",IF(COUNTIF(H17,"&gt;0")=1,IF(H17="","",IF(INDEX(Barème!$B$2:$CV$2,1,H17)="","hors code",INDEX(Barème!$B$2:$CV$2,1,H17))),""))</f>
        <v/>
      </c>
      <c r="J17" s="61"/>
      <c r="K17" s="59" t="str">
        <f>IF(A17="","",IF(COUNTIF(J17,"&gt;0")=1,IF(J17="","",IF(INDEX(Barème!$B$2:$CV$2,1,J17)="","hors code",INDEX(Barème!$B$2:$CV$2,1,J17))),""))</f>
        <v/>
      </c>
      <c r="L17" s="61"/>
      <c r="M17" s="59" t="str">
        <f>IF(A17="","",IF(COUNTIF(L17,"&gt;0")=1,IF(L17="","",IF(INDEX(Barème!$B$2:$CV$2,1,L17)="","hors code",INDEX(Barème!$B$2:$CV$2,1,L17))),""))</f>
        <v/>
      </c>
      <c r="N17" s="61"/>
      <c r="O17" s="59" t="str">
        <f>IF(A17="","",IF(COUNTIF(N17,"&gt;0")=1,IF(N17="","",IF(INDEX(Barème!$B$2:$CV$2,1,N17)="","hors code",INDEX(Barème!$B$2:$CV$2,1,N17))),""))</f>
        <v/>
      </c>
      <c r="P17" s="61"/>
      <c r="Q17" s="59" t="str">
        <f>IF(A17="","",IF(COUNTIF(P17,"&gt;0")=1,IF(P17="","",IF(INDEX(Barème!$B$2:$CV$2,1,P17)="","hors code",INDEX(Barème!$B$2:$CV$2,1,P17))),""))</f>
        <v/>
      </c>
      <c r="R17" s="54" t="str">
        <f t="shared" si="1"/>
        <v/>
      </c>
      <c r="T17" s="36"/>
    </row>
    <row r="18" spans="1:31" s="55" customFormat="1" ht="22.5" customHeight="1" x14ac:dyDescent="0.4">
      <c r="A18" s="62"/>
      <c r="B18" s="68"/>
      <c r="C18" s="49" t="str">
        <f t="shared" si="0"/>
        <v/>
      </c>
      <c r="D18" s="58"/>
      <c r="E18" s="59" t="str">
        <f>IF(A18="","",IF(COUNTIF(D18,"&gt;0")=1,IF(D18="","",IF(INDEX(Barème!$B$2:$CV$2,1,D18)="","hors code",INDEX(Barème!$B$2:$CV$2,1,D18))),""))</f>
        <v/>
      </c>
      <c r="F18" s="60"/>
      <c r="G18" s="59" t="str">
        <f>IF(A18="","",IF(COUNTIF(F18,"&gt;0")=1,IF(F18="","",IF(INDEX(Barème!$B$2:$CV$2,1,F18)="","hors code",INDEX(Barème!$B$2:$CV$2,1,F18))),""))</f>
        <v/>
      </c>
      <c r="H18" s="61"/>
      <c r="I18" s="59" t="str">
        <f>IF(A18="","",IF(COUNTIF(H18,"&gt;0")=1,IF(H18="","",IF(INDEX(Barème!$B$2:$CV$2,1,H18)="","hors code",INDEX(Barème!$B$2:$CV$2,1,H18))),""))</f>
        <v/>
      </c>
      <c r="J18" s="61"/>
      <c r="K18" s="59" t="str">
        <f>IF(A18="","",IF(COUNTIF(J18,"&gt;0")=1,IF(J18="","",IF(INDEX(Barème!$B$2:$CV$2,1,J18)="","hors code",INDEX(Barème!$B$2:$CV$2,1,J18))),""))</f>
        <v/>
      </c>
      <c r="L18" s="61"/>
      <c r="M18" s="59" t="str">
        <f>IF(A18="","",IF(COUNTIF(L18,"&gt;0")=1,IF(L18="","",IF(INDEX(Barème!$B$2:$CV$2,1,L18)="","hors code",INDEX(Barème!$B$2:$CV$2,1,L18))),""))</f>
        <v/>
      </c>
      <c r="N18" s="61"/>
      <c r="O18" s="59" t="str">
        <f>IF(A18="","",IF(COUNTIF(N18,"&gt;0")=1,IF(N18="","",IF(INDEX(Barème!$B$2:$CV$2,1,N18)="","hors code",INDEX(Barème!$B$2:$CV$2,1,N18))),""))</f>
        <v/>
      </c>
      <c r="P18" s="61"/>
      <c r="Q18" s="59" t="str">
        <f>IF(A18="","",IF(COUNTIF(P18,"&gt;0")=1,IF(P18="","",IF(INDEX(Barème!$B$2:$CV$2,1,P18)="","hors code",INDEX(Barème!$B$2:$CV$2,1,P18))),""))</f>
        <v/>
      </c>
      <c r="R18" s="54" t="str">
        <f t="shared" si="1"/>
        <v/>
      </c>
      <c r="T18" s="36"/>
    </row>
    <row r="19" spans="1:31" s="55" customFormat="1" ht="22.5" customHeight="1" x14ac:dyDescent="0.4">
      <c r="A19" s="56"/>
      <c r="B19" s="68"/>
      <c r="C19" s="49" t="str">
        <f t="shared" si="0"/>
        <v/>
      </c>
      <c r="D19" s="58"/>
      <c r="E19" s="59" t="str">
        <f>IF(A19="","",IF(COUNTIF(D19,"&gt;0")=1,IF(D19="","",IF(INDEX(Barème!$B$2:$CV$2,1,D19)="","hors code",INDEX(Barème!$B$2:$CV$2,1,D19))),""))</f>
        <v/>
      </c>
      <c r="F19" s="61"/>
      <c r="G19" s="59" t="str">
        <f>IF(A19="","",IF(COUNTIF(F19,"&gt;0")=1,IF(F19="","",IF(INDEX(Barème!$B$2:$CV$2,1,F19)="","hors code",INDEX(Barème!$B$2:$CV$2,1,F19))),""))</f>
        <v/>
      </c>
      <c r="H19" s="61"/>
      <c r="I19" s="59" t="str">
        <f>IF(A19="","",IF(COUNTIF(H19,"&gt;0")=1,IF(H19="","",IF(INDEX(Barème!$B$2:$CV$2,1,H19)="","hors code",INDEX(Barème!$B$2:$CV$2,1,H19))),""))</f>
        <v/>
      </c>
      <c r="J19" s="61"/>
      <c r="K19" s="59" t="str">
        <f>IF(A19="","",IF(COUNTIF(J19,"&gt;0")=1,IF(J19="","",IF(INDEX(Barème!$B$2:$CV$2,1,J19)="","hors code",INDEX(Barème!$B$2:$CV$2,1,J19))),""))</f>
        <v/>
      </c>
      <c r="L19" s="61"/>
      <c r="M19" s="59" t="str">
        <f>IF(A19="","",IF(COUNTIF(L19,"&gt;0")=1,IF(L19="","",IF(INDEX(Barème!$B$2:$CV$2,1,L19)="","hors code",INDEX(Barème!$B$2:$CV$2,1,L19))),""))</f>
        <v/>
      </c>
      <c r="N19" s="61"/>
      <c r="O19" s="59" t="str">
        <f>IF(A19="","",IF(COUNTIF(N19,"&gt;0")=1,IF(N19="","",IF(INDEX(Barème!$B$2:$CV$2,1,N19)="","hors code",INDEX(Barème!$B$2:$CV$2,1,N19))),""))</f>
        <v/>
      </c>
      <c r="P19" s="61"/>
      <c r="Q19" s="59" t="str">
        <f>IF(A19="","",IF(COUNTIF(P19,"&gt;0")=1,IF(P19="","",IF(INDEX(Barème!$B$2:$CV$2,1,P19)="","hors code",INDEX(Barème!$B$2:$CV$2,1,P19))),""))</f>
        <v/>
      </c>
      <c r="R19" s="54" t="str">
        <f t="shared" si="1"/>
        <v/>
      </c>
      <c r="T19" s="36"/>
      <c r="AA19" s="55" t="s">
        <v>21</v>
      </c>
      <c r="AE19" s="72"/>
    </row>
    <row r="20" spans="1:31" s="55" customFormat="1" ht="22.5" customHeight="1" x14ac:dyDescent="0.4">
      <c r="A20" s="73"/>
      <c r="B20" s="68"/>
      <c r="C20" s="49" t="str">
        <f t="shared" si="0"/>
        <v/>
      </c>
      <c r="D20" s="58"/>
      <c r="E20" s="59" t="str">
        <f>IF(A20="","",IF(COUNTIF(D20,"&gt;0")=1,IF(D20="","",IF(INDEX(Barème!$B$2:$CV$2,1,D20)="","hors code",INDEX(Barème!$B$2:$CV$2,1,D20))),""))</f>
        <v/>
      </c>
      <c r="F20" s="60"/>
      <c r="G20" s="59" t="str">
        <f>IF(A20="","",IF(COUNTIF(F20,"&gt;0")=1,IF(F20="","",IF(INDEX(Barème!$B$2:$CV$2,1,F20)="","hors code",INDEX(Barème!$B$2:$CV$2,1,F20))),""))</f>
        <v/>
      </c>
      <c r="H20" s="61"/>
      <c r="I20" s="59" t="str">
        <f>IF(A20="","",IF(COUNTIF(H20,"&gt;0")=1,IF(H20="","",IF(INDEX(Barème!$B$2:$CV$2,1,H20)="","hors code",INDEX(Barème!$B$2:$CV$2,1,H20))),""))</f>
        <v/>
      </c>
      <c r="J20" s="61"/>
      <c r="K20" s="59" t="str">
        <f>IF(A20="","",IF(COUNTIF(J20,"&gt;0")=1,IF(J20="","",IF(INDEX(Barème!$B$2:$CV$2,1,J20)="","hors code",INDEX(Barème!$B$2:$CV$2,1,J20))),""))</f>
        <v/>
      </c>
      <c r="L20" s="61"/>
      <c r="M20" s="59" t="str">
        <f>IF(A20="","",IF(COUNTIF(L20,"&gt;0")=1,IF(L20="","",IF(INDEX(Barème!$B$2:$CV$2,1,L20)="","hors code",INDEX(Barème!$B$2:$CV$2,1,L20))),""))</f>
        <v/>
      </c>
      <c r="N20" s="61"/>
      <c r="O20" s="59" t="str">
        <f>IF(A20="","",IF(COUNTIF(N20,"&gt;0")=1,IF(N20="","",IF(INDEX(Barème!$B$2:$CV$2,1,N20)="","hors code",INDEX(Barème!$B$2:$CV$2,1,N20))),""))</f>
        <v/>
      </c>
      <c r="P20" s="61"/>
      <c r="Q20" s="59" t="str">
        <f>IF(A20="","",IF(COUNTIF(P20,"&gt;0")=1,IF(P20="","",IF(INDEX(Barème!$B$2:$CV$2,1,P20)="","hors code",INDEX(Barème!$B$2:$CV$2,1,P20))),""))</f>
        <v/>
      </c>
      <c r="R20" s="54" t="str">
        <f t="shared" si="1"/>
        <v/>
      </c>
      <c r="T20" s="36"/>
    </row>
    <row r="21" spans="1:31" s="55" customFormat="1" ht="22.5" customHeight="1" x14ac:dyDescent="0.4">
      <c r="A21" s="64"/>
      <c r="B21" s="68"/>
      <c r="C21" s="49" t="str">
        <f t="shared" si="0"/>
        <v/>
      </c>
      <c r="D21" s="58"/>
      <c r="E21" s="59" t="str">
        <f>IF(A21="","",IF(COUNTIF(D21,"&gt;0")=1,IF(D21="","",IF(INDEX(Barème!$B$2:$CV$2,1,D21)="","hors code",INDEX(Barème!$B$2:$CV$2,1,D21))),""))</f>
        <v/>
      </c>
      <c r="F21" s="60"/>
      <c r="G21" s="59" t="str">
        <f>IF(A21="","",IF(COUNTIF(F21,"&gt;0")=1,IF(F21="","",IF(INDEX(Barème!$B$2:$CV$2,1,F21)="","hors code",INDEX(Barème!$B$2:$CV$2,1,F21))),""))</f>
        <v/>
      </c>
      <c r="H21" s="61"/>
      <c r="I21" s="59" t="str">
        <f>IF(A21="","",IF(COUNTIF(H21,"&gt;0")=1,IF(H21="","",IF(INDEX(Barème!$B$2:$CV$2,1,H21)="","hors code",INDEX(Barème!$B$2:$CV$2,1,H21))),""))</f>
        <v/>
      </c>
      <c r="J21" s="61"/>
      <c r="K21" s="59" t="str">
        <f>IF(A21="","",IF(COUNTIF(J21,"&gt;0")=1,IF(J21="","",IF(INDEX(Barème!$B$2:$CV$2,1,J21)="","hors code",INDEX(Barème!$B$2:$CV$2,1,J21))),""))</f>
        <v/>
      </c>
      <c r="L21" s="61"/>
      <c r="M21" s="59" t="str">
        <f>IF(A21="","",IF(COUNTIF(L21,"&gt;0")=1,IF(L21="","",IF(INDEX(Barème!$B$2:$CV$2,1,L21)="","hors code",INDEX(Barème!$B$2:$CV$2,1,L21))),""))</f>
        <v/>
      </c>
      <c r="N21" s="60"/>
      <c r="O21" s="59" t="str">
        <f>IF(A21="","",IF(COUNTIF(N21,"&gt;0")=1,IF(N21="","",IF(INDEX(Barème!$B$2:$CV$2,1,N21)="","hors code",INDEX(Barème!$B$2:$CV$2,1,N21))),""))</f>
        <v/>
      </c>
      <c r="P21" s="60"/>
      <c r="Q21" s="59" t="str">
        <f>IF(A21="","",IF(COUNTIF(P21,"&gt;0")=1,IF(P21="","",IF(INDEX(Barème!$B$2:$CV$2,1,P21)="","hors code",INDEX(Barème!$B$2:$CV$2,1,P21))),""))</f>
        <v/>
      </c>
      <c r="R21" s="54" t="str">
        <f t="shared" si="1"/>
        <v/>
      </c>
      <c r="T21" s="36"/>
    </row>
    <row r="22" spans="1:31" s="55" customFormat="1" ht="22.5" customHeight="1" x14ac:dyDescent="0.4">
      <c r="A22" s="64"/>
      <c r="B22" s="68"/>
      <c r="C22" s="49" t="str">
        <f t="shared" si="0"/>
        <v/>
      </c>
      <c r="D22" s="58"/>
      <c r="E22" s="59" t="str">
        <f>IF(A22="","",IF(COUNTIF(D22,"&gt;0")=1,IF(D22="","",IF(INDEX(Barème!$B$2:$CV$2,1,D22)="","hors code",INDEX(Barème!$B$2:$CV$2,1,D22))),""))</f>
        <v/>
      </c>
      <c r="F22" s="60"/>
      <c r="G22" s="59" t="str">
        <f>IF(A22="","",IF(COUNTIF(F22,"&gt;0")=1,IF(F22="","",IF(INDEX(Barème!$B$2:$CV$2,1,F22)="","hors code",INDEX(Barème!$B$2:$CV$2,1,F22))),""))</f>
        <v/>
      </c>
      <c r="H22" s="61"/>
      <c r="I22" s="59" t="str">
        <f>IF(A22="","",IF(COUNTIF(H22,"&gt;0")=1,IF(H22="","",IF(INDEX(Barème!$B$2:$CV$2,1,H22)="","hors code",INDEX(Barème!$B$2:$CV$2,1,H22))),""))</f>
        <v/>
      </c>
      <c r="J22" s="61"/>
      <c r="K22" s="59" t="str">
        <f>IF(A22="","",IF(COUNTIF(J22,"&gt;0")=1,IF(J22="","",IF(INDEX(Barème!$B$2:$CV$2,1,J22)="","hors code",INDEX(Barème!$B$2:$CV$2,1,J22))),""))</f>
        <v/>
      </c>
      <c r="L22" s="61"/>
      <c r="M22" s="59" t="str">
        <f>IF(A22="","",IF(COUNTIF(L22,"&gt;0")=1,IF(L22="","",IF(INDEX(Barème!$B$2:$CV$2,1,L22)="","hors code",INDEX(Barème!$B$2:$CV$2,1,L22))),""))</f>
        <v/>
      </c>
      <c r="N22" s="61"/>
      <c r="O22" s="59" t="str">
        <f>IF(A22="","",IF(COUNTIF(N22,"&gt;0")=1,IF(N22="","",IF(INDEX(Barème!$B$2:$CV$2,1,N22)="","hors code",INDEX(Barème!$B$2:$CV$2,1,N22))),""))</f>
        <v/>
      </c>
      <c r="P22" s="61"/>
      <c r="Q22" s="59" t="str">
        <f>IF(A22="","",IF(COUNTIF(P22,"&gt;0")=1,IF(P22="","",IF(INDEX(Barème!$B$2:$CV$2,1,P22)="","hors code",INDEX(Barème!$B$2:$CV$2,1,P22))),""))</f>
        <v/>
      </c>
      <c r="R22" s="54" t="str">
        <f t="shared" si="1"/>
        <v/>
      </c>
      <c r="T22" s="36"/>
      <c r="X22" s="55" t="s">
        <v>21</v>
      </c>
    </row>
    <row r="23" spans="1:31" s="55" customFormat="1" ht="22.5" customHeight="1" x14ac:dyDescent="0.4">
      <c r="A23" s="64"/>
      <c r="B23" s="68"/>
      <c r="C23" s="49" t="str">
        <f t="shared" si="0"/>
        <v/>
      </c>
      <c r="D23" s="58"/>
      <c r="E23" s="59" t="str">
        <f>IF(A23="","",IF(COUNTIF(D23,"&gt;0")=1,IF(D23="","",IF(INDEX(Barème!$B$2:$CV$2,1,D23)="","hors code",INDEX(Barème!$B$2:$CV$2,1,D23))),""))</f>
        <v/>
      </c>
      <c r="F23" s="60"/>
      <c r="G23" s="59" t="str">
        <f>IF(A23="","",IF(COUNTIF(F23,"&gt;0")=1,IF(F23="","",IF(INDEX(Barème!$B$2:$CV$2,1,F23)="","hors code",INDEX(Barème!$B$2:$CV$2,1,F23))),""))</f>
        <v/>
      </c>
      <c r="H23" s="61"/>
      <c r="I23" s="59" t="str">
        <f>IF(A23="","",IF(COUNTIF(H23,"&gt;0")=1,IF(H23="","",IF(INDEX(Barème!$B$2:$CV$2,1,H23)="","hors code",INDEX(Barème!$B$2:$CV$2,1,H23))),""))</f>
        <v/>
      </c>
      <c r="J23" s="61"/>
      <c r="K23" s="59" t="str">
        <f>IF(A23="","",IF(COUNTIF(J23,"&gt;0")=1,IF(J23="","",IF(INDEX(Barème!$B$2:$CV$2,1,J23)="","hors code",INDEX(Barème!$B$2:$CV$2,1,J23))),""))</f>
        <v/>
      </c>
      <c r="L23" s="60"/>
      <c r="M23" s="59" t="str">
        <f>IF(A23="","",IF(COUNTIF(L23,"&gt;0")=1,IF(L23="","",IF(INDEX(Barème!$B$2:$CV$2,1,L23)="","hors code",INDEX(Barème!$B$2:$CV$2,1,L23))),""))</f>
        <v/>
      </c>
      <c r="N23" s="61"/>
      <c r="O23" s="59" t="str">
        <f>IF(A23="","",IF(COUNTIF(N23,"&gt;0")=1,IF(N23="","",IF(INDEX(Barème!$B$2:$CV$2,1,N23)="","hors code",INDEX(Barème!$B$2:$CV$2,1,N23))),""))</f>
        <v/>
      </c>
      <c r="P23" s="61"/>
      <c r="Q23" s="59" t="str">
        <f>IF(A23="","",IF(COUNTIF(P23,"&gt;0")=1,IF(P23="","",IF(INDEX(Barème!$B$2:$CV$2,1,P23)="","hors code",INDEX(Barème!$B$2:$CV$2,1,P23))),""))</f>
        <v/>
      </c>
      <c r="R23" s="54" t="str">
        <f t="shared" si="1"/>
        <v/>
      </c>
      <c r="T23" s="36"/>
    </row>
    <row r="24" spans="1:31" s="55" customFormat="1" ht="22.5" customHeight="1" x14ac:dyDescent="0.4">
      <c r="A24" s="56"/>
      <c r="B24" s="68"/>
      <c r="C24" s="49" t="str">
        <f t="shared" si="0"/>
        <v/>
      </c>
      <c r="D24" s="58"/>
      <c r="E24" s="59" t="str">
        <f>IF(A24="","",IF(COUNTIF(D24,"&gt;0")=1,IF(D24="","",IF(INDEX(Barème!$B$2:$CV$2,1,D24)="","hors code",INDEX(Barème!$B$2:$CV$2,1,D24))),""))</f>
        <v/>
      </c>
      <c r="F24" s="60"/>
      <c r="G24" s="59" t="str">
        <f>IF(A24="","",IF(COUNTIF(F24,"&gt;0")=1,IF(F24="","",IF(INDEX(Barème!$B$2:$CV$2,1,F24)="","hors code",INDEX(Barème!$B$2:$CV$2,1,F24))),""))</f>
        <v/>
      </c>
      <c r="H24" s="61"/>
      <c r="I24" s="59" t="str">
        <f>IF(A24="","",IF(COUNTIF(H24,"&gt;0")=1,IF(H24="","",IF(INDEX(Barème!$B$2:$CV$2,1,H24)="","hors code",INDEX(Barème!$B$2:$CV$2,1,H24))),""))</f>
        <v/>
      </c>
      <c r="J24" s="61"/>
      <c r="K24" s="59" t="str">
        <f>IF(A24="","",IF(COUNTIF(J24,"&gt;0")=1,IF(J24="","",IF(INDEX(Barème!$B$2:$CV$2,1,J24)="","hors code",INDEX(Barème!$B$2:$CV$2,1,J24))),""))</f>
        <v/>
      </c>
      <c r="L24" s="61"/>
      <c r="M24" s="59" t="str">
        <f>IF(A24="","",IF(COUNTIF(L24,"&gt;0")=1,IF(L24="","",IF(INDEX(Barème!$B$2:$CV$2,1,L24)="","hors code",INDEX(Barème!$B$2:$CV$2,1,L24))),""))</f>
        <v/>
      </c>
      <c r="N24" s="61"/>
      <c r="O24" s="59" t="str">
        <f>IF(A24="","",IF(COUNTIF(N24,"&gt;0")=1,IF(N24="","",IF(INDEX(Barème!$B$2:$CV$2,1,N24)="","hors code",INDEX(Barème!$B$2:$CV$2,1,N24))),""))</f>
        <v/>
      </c>
      <c r="P24" s="61"/>
      <c r="Q24" s="59" t="str">
        <f>IF(A24="","",IF(COUNTIF(P24,"&gt;0")=1,IF(P24="","",IF(INDEX(Barème!$B$2:$CV$2,1,P24)="","hors code",INDEX(Barème!$B$2:$CV$2,1,P24))),""))</f>
        <v/>
      </c>
      <c r="R24" s="54" t="str">
        <f t="shared" si="1"/>
        <v/>
      </c>
    </row>
    <row r="25" spans="1:31" s="55" customFormat="1" ht="22.5" customHeight="1" x14ac:dyDescent="0.4">
      <c r="A25" s="64"/>
      <c r="B25" s="68"/>
      <c r="C25" s="49" t="str">
        <f t="shared" si="0"/>
        <v/>
      </c>
      <c r="D25" s="58"/>
      <c r="E25" s="59" t="str">
        <f>IF(A25="","",IF(COUNTIF(D25,"&gt;0")=1,IF(D25="","",IF(INDEX(Barème!$B$2:$CV$2,1,D25)="","hors code",INDEX(Barème!$B$2:$CV$2,1,D25))),""))</f>
        <v/>
      </c>
      <c r="F25" s="60"/>
      <c r="G25" s="59" t="str">
        <f>IF(A25="","",IF(COUNTIF(F25,"&gt;0")=1,IF(F25="","",IF(INDEX(Barème!$B$2:$CV$2,1,F25)="","hors code",INDEX(Barème!$B$2:$CV$2,1,F25))),""))</f>
        <v/>
      </c>
      <c r="H25" s="61"/>
      <c r="I25" s="59" t="str">
        <f>IF(A25="","",IF(COUNTIF(H25,"&gt;0")=1,IF(H25="","",IF(INDEX(Barème!$B$2:$CV$2,1,H25)="","hors code",INDEX(Barème!$B$2:$CV$2,1,H25))),""))</f>
        <v/>
      </c>
      <c r="J25" s="61"/>
      <c r="K25" s="59" t="str">
        <f>IF(A25="","",IF(COUNTIF(J25,"&gt;0")=1,IF(J25="","",IF(INDEX(Barème!$B$2:$CV$2,1,J25)="","hors code",INDEX(Barème!$B$2:$CV$2,1,J25))),""))</f>
        <v/>
      </c>
      <c r="L25" s="61"/>
      <c r="M25" s="59" t="str">
        <f>IF(A25="","",IF(COUNTIF(L25,"&gt;0")=1,IF(L25="","",IF(INDEX(Barème!$B$2:$CV$2,1,L25)="","hors code",INDEX(Barème!$B$2:$CV$2,1,L25))),""))</f>
        <v/>
      </c>
      <c r="N25" s="61"/>
      <c r="O25" s="59" t="str">
        <f>IF(A25="","",IF(COUNTIF(N25,"&gt;0")=1,IF(N25="","",IF(INDEX(Barème!$B$2:$CV$2,1,N25)="","hors code",INDEX(Barème!$B$2:$CV$2,1,N25))),""))</f>
        <v/>
      </c>
      <c r="P25" s="61"/>
      <c r="Q25" s="59" t="str">
        <f>IF(A25="","",IF(COUNTIF(P25,"&gt;0")=1,IF(P25="","",IF(INDEX(Barème!$B$2:$CV$2,1,P25)="","hors code",INDEX(Barème!$B$2:$CV$2,1,P25))),""))</f>
        <v/>
      </c>
      <c r="R25" s="54" t="str">
        <f t="shared" si="1"/>
        <v/>
      </c>
    </row>
    <row r="26" spans="1:31" s="55" customFormat="1" ht="22.5" customHeight="1" x14ac:dyDescent="0.4">
      <c r="A26" s="64" t="s">
        <v>22</v>
      </c>
      <c r="B26" s="74"/>
      <c r="C26" s="49" t="str">
        <f t="shared" si="0"/>
        <v/>
      </c>
      <c r="D26" s="58"/>
      <c r="E26" s="59" t="str">
        <f>IF(A26="","",IF(COUNTIF(D26,"&gt;0")=1,IF(D26="","",IF(INDEX(Barème!$B$2:$CV$2,1,D26)="","hors code",INDEX(Barème!$B$2:$CV$2,1,D26))),""))</f>
        <v/>
      </c>
      <c r="F26" s="60"/>
      <c r="G26" s="59" t="str">
        <f>IF(A26="","",IF(COUNTIF(F26,"&gt;0")=1,IF(F26="","",IF(INDEX(Barème!$B$2:$CV$2,1,F26)="","hors code",INDEX(Barème!$B$2:$CV$2,1,F26))),""))</f>
        <v/>
      </c>
      <c r="H26" s="61"/>
      <c r="I26" s="59" t="str">
        <f>IF(A26="","",IF(COUNTIF(H26,"&gt;0")=1,IF(H26="","",IF(INDEX(Barème!$B$2:$CV$2,1,H26)="","hors code",INDEX(Barème!$B$2:$CV$2,1,H26))),""))</f>
        <v/>
      </c>
      <c r="J26" s="61"/>
      <c r="K26" s="59" t="str">
        <f>IF(A26="","",IF(COUNTIF(J26,"&gt;0")=1,IF(J26="","",IF(INDEX(Barème!$B$2:$CV$2,1,J26)="","hors code",INDEX(Barème!$B$2:$CV$2,1,J26))),""))</f>
        <v/>
      </c>
      <c r="L26" s="61"/>
      <c r="M26" s="59" t="str">
        <f>IF(A26="","",IF(COUNTIF(L26,"&gt;0")=1,IF(L26="","",IF(INDEX(Barème!$B$2:$CV$2,1,L26)="","hors code",INDEX(Barème!$B$2:$CV$2,1,L26))),""))</f>
        <v/>
      </c>
      <c r="N26" s="61"/>
      <c r="O26" s="59" t="str">
        <f>IF(A26="","",IF(COUNTIF(N26,"&gt;0")=1,IF(N26="","",IF(INDEX(Barème!$B$2:$CV$2,1,N26)="","hors code",INDEX(Barème!$B$2:$CV$2,1,N26))),""))</f>
        <v/>
      </c>
      <c r="P26" s="61"/>
      <c r="Q26" s="59" t="str">
        <f>IF(A26="","",IF(COUNTIF(P26,"&gt;0")=1,IF(P26="","",IF(INDEX(Barème!$B$2:$CV$2,1,P26)="","hors code",INDEX(Barème!$B$2:$CV$2,1,P26))),""))</f>
        <v/>
      </c>
      <c r="R26" s="54" t="str">
        <f t="shared" si="1"/>
        <v/>
      </c>
    </row>
    <row r="27" spans="1:31" s="55" customFormat="1" ht="22.5" customHeight="1" x14ac:dyDescent="0.4">
      <c r="A27" s="75" t="s">
        <v>23</v>
      </c>
      <c r="B27" s="76"/>
      <c r="C27" s="76"/>
      <c r="D27" s="228">
        <f>SUM(E10:E26)</f>
        <v>0</v>
      </c>
      <c r="E27" s="228"/>
      <c r="F27" s="228">
        <f>SUM(G10:G26)</f>
        <v>0</v>
      </c>
      <c r="G27" s="228"/>
      <c r="H27" s="228">
        <f>SUM(I10:I26)</f>
        <v>0.70833333333333404</v>
      </c>
      <c r="I27" s="228"/>
      <c r="J27" s="228">
        <f>SUM(K10:K26)</f>
        <v>0.70833333333333404</v>
      </c>
      <c r="K27" s="228"/>
      <c r="L27" s="228">
        <f>SUM(M10:M26)</f>
        <v>0.33333333333333298</v>
      </c>
      <c r="M27" s="228"/>
      <c r="N27" s="228">
        <f>SUM(O10:O26)</f>
        <v>0.35416666666666702</v>
      </c>
      <c r="O27" s="228"/>
      <c r="P27" s="228">
        <f>SUM(Q10:Q26)</f>
        <v>0.35416666666666702</v>
      </c>
      <c r="Q27" s="228"/>
      <c r="R27" s="77">
        <f>SUM(R10:R26)</f>
        <v>2.4583333333333353</v>
      </c>
    </row>
    <row r="28" spans="1:31" s="55" customFormat="1" ht="9.75" customHeight="1" x14ac:dyDescent="0.4">
      <c r="A28" s="78"/>
      <c r="B28" s="78"/>
      <c r="C28" s="78"/>
      <c r="D28" s="79"/>
      <c r="E28" s="80" t="str">
        <f>IF(A28="","",IF(COUNTIF(D28,"&gt;0")=1,IF(D28="","",IF(INDEX(Barème!$B$2:$AA$2,1,D28)="","hors code",INDEX(Barème!$B$2:$AA$2,1,D28))),""))</f>
        <v/>
      </c>
      <c r="F28" s="81"/>
      <c r="G28" s="80" t="str">
        <f>IF(A28="","",IF(COUNTIF(F28,"&gt;0")=1,IF(F28="","",IF(INDEX(Barème!$B$2:$AA$2,1,F28)="","hors code",INDEX(Barème!$B$2:$AA$2,1,F28))),""))</f>
        <v/>
      </c>
      <c r="H28" s="82"/>
      <c r="I28" s="80" t="str">
        <f>IF(A28="","",IF(COUNTIF(H28,"&gt;0")=1,IF(H28="","",IF(INDEX(Barème!$B$2:$AA$2,1,H28)="","hors code",INDEX(Barème!$B$2:$AA$2,1,H28))),""))</f>
        <v/>
      </c>
      <c r="J28" s="82"/>
      <c r="K28" s="80" t="str">
        <f>IF(A28="","",IF(COUNTIF(J28,"&gt;0")=1,IF(J28="","",IF(INDEX(Barème!$B$2:$AA$2,1,J28)="","hors code",INDEX(Barème!$B$2:$AA$2,1,J28))),""))</f>
        <v/>
      </c>
      <c r="L28" s="82"/>
      <c r="M28" s="80" t="str">
        <f>IF(A28="","",IF(COUNTIF(L28,"&gt;0")=1,IF(L28="","",IF(INDEX(Barème!$B$2:$AA$2,1,L28)="","hors code",INDEX(Barème!$B$2:$AA$2,1,L28))),""))</f>
        <v/>
      </c>
      <c r="N28" s="82"/>
      <c r="O28" s="80" t="str">
        <f>IF(A28="","",IF(COUNTIF(N28,"&gt;0")=1,IF(N28="","",IF(INDEX(Barème!$B$2:$AA$2,1,N28)="","hors code",INDEX(Barème!$B$2:$AA$2,1,N28))),""))</f>
        <v/>
      </c>
      <c r="P28" s="80"/>
      <c r="Q28" s="80"/>
      <c r="R28" s="83" t="str">
        <f>IF(SUM(O28,M28,K28,I28,G28,E28)=0,"",SUM(O28,M28,K28,I28,G28,E28))</f>
        <v/>
      </c>
    </row>
    <row r="29" spans="1:31" s="55" customFormat="1" ht="18.600000000000001" x14ac:dyDescent="0.4">
      <c r="A29" s="78"/>
      <c r="B29" s="78"/>
      <c r="C29" s="78"/>
      <c r="D29" s="79"/>
      <c r="E29" s="80"/>
      <c r="F29" s="81"/>
      <c r="G29" s="80"/>
      <c r="H29" s="82"/>
      <c r="I29" s="80"/>
      <c r="J29" s="82"/>
      <c r="K29" s="80"/>
      <c r="L29" s="82"/>
      <c r="M29" s="80"/>
      <c r="N29" s="82"/>
      <c r="O29" s="80"/>
      <c r="P29" s="80"/>
      <c r="Q29" s="80"/>
      <c r="R29" s="83"/>
    </row>
    <row r="30" spans="1:31" s="55" customFormat="1" ht="18.600000000000001" x14ac:dyDescent="0.4">
      <c r="A30" s="78"/>
      <c r="B30" s="78"/>
      <c r="C30" s="78"/>
      <c r="D30" s="79"/>
      <c r="E30" s="80"/>
      <c r="F30" s="81"/>
      <c r="G30" s="80"/>
      <c r="H30" s="82"/>
      <c r="I30" s="80"/>
      <c r="J30" s="82"/>
      <c r="K30" s="80"/>
      <c r="L30" s="82"/>
      <c r="M30" s="80"/>
      <c r="N30" s="82"/>
      <c r="O30" s="80"/>
      <c r="P30" s="80"/>
      <c r="Q30" s="80"/>
      <c r="R30" s="83"/>
    </row>
    <row r="31" spans="1:31" s="55" customFormat="1" ht="18.600000000000001" x14ac:dyDescent="0.4">
      <c r="A31" s="78"/>
      <c r="B31" s="78"/>
      <c r="C31" s="78"/>
      <c r="D31" s="79"/>
      <c r="E31" s="80"/>
      <c r="F31" s="81"/>
      <c r="G31" s="80"/>
      <c r="H31" s="82"/>
      <c r="I31" s="80"/>
      <c r="J31" s="82"/>
      <c r="K31" s="80"/>
      <c r="L31" s="82"/>
      <c r="M31" s="80"/>
      <c r="N31" s="82"/>
      <c r="O31" s="80"/>
      <c r="P31" s="80"/>
      <c r="Q31" s="80"/>
      <c r="R31" s="83"/>
    </row>
    <row r="32" spans="1:31" s="55" customFormat="1" ht="18.600000000000001" x14ac:dyDescent="0.4">
      <c r="A32" s="78"/>
      <c r="B32" s="78"/>
      <c r="C32" s="78"/>
      <c r="D32" s="79"/>
      <c r="E32" s="80"/>
      <c r="F32" s="81"/>
      <c r="G32" s="80"/>
      <c r="H32" s="82"/>
      <c r="I32" s="80"/>
      <c r="J32" s="82"/>
      <c r="K32" s="80"/>
      <c r="L32" s="82"/>
      <c r="M32" s="80"/>
      <c r="N32" s="82"/>
      <c r="O32" s="80"/>
      <c r="P32" s="80"/>
      <c r="Q32" s="80"/>
      <c r="R32" s="83"/>
    </row>
    <row r="33" spans="1:18" s="55" customFormat="1" ht="12" customHeight="1" x14ac:dyDescent="0.4">
      <c r="A33" s="84"/>
      <c r="B33" s="84"/>
      <c r="C33" s="84"/>
      <c r="D33" s="84"/>
      <c r="E33" s="84"/>
      <c r="F33" s="84"/>
      <c r="G33" s="84"/>
      <c r="H33" s="84"/>
      <c r="I33" s="84"/>
      <c r="J33" s="84"/>
      <c r="K33" s="84"/>
      <c r="L33" s="84"/>
      <c r="M33" s="84"/>
      <c r="N33" s="84"/>
      <c r="O33" s="84"/>
      <c r="P33" s="84"/>
      <c r="Q33" s="84"/>
      <c r="R33" s="84"/>
    </row>
    <row r="34" spans="1:18" ht="32.4" x14ac:dyDescent="0.4">
      <c r="A34" s="84"/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</row>
    <row r="35" spans="1:18" ht="32.4" x14ac:dyDescent="0.4">
      <c r="A35" s="84"/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</row>
    <row r="36" spans="1:18" ht="24" customHeight="1" x14ac:dyDescent="0.4">
      <c r="A36" s="84"/>
      <c r="B36" s="84"/>
      <c r="C36" s="84"/>
      <c r="D36" s="84"/>
      <c r="E36" s="84"/>
      <c r="F36" s="84"/>
      <c r="G36" s="84"/>
      <c r="H36" s="84"/>
      <c r="I36" s="84"/>
      <c r="J36" s="84"/>
      <c r="K36" s="84"/>
      <c r="L36" s="84"/>
      <c r="M36" s="84"/>
      <c r="N36" s="84"/>
      <c r="O36" s="84"/>
      <c r="P36" s="84"/>
      <c r="Q36" s="84"/>
      <c r="R36" s="84"/>
    </row>
    <row r="37" spans="1:18" ht="18.600000000000001" x14ac:dyDescent="0.4">
      <c r="A37" s="78"/>
      <c r="B37" s="78"/>
      <c r="C37" s="78"/>
      <c r="D37" s="79"/>
      <c r="E37" s="80" t="str">
        <f>IF(A37="","",IF(COUNTIF(D37,"&gt;0")=1,IF(D37="","",IF(INDEX(Barème!$B$2:$AA$2,1,D37)="","hors code",INDEX(Barème!$B$2:$AA$2,1,D37))),""))</f>
        <v/>
      </c>
      <c r="F37" s="81"/>
      <c r="G37" s="80" t="str">
        <f>IF(A37="","",IF(COUNTIF(F37,"&gt;0")=1,IF(F37="","",IF(INDEX(Barème!$B$2:$AA$2,1,F37)="","hors code",INDEX(Barème!$B$2:$AA$2,1,F37))),""))</f>
        <v/>
      </c>
      <c r="H37" s="82"/>
      <c r="I37" s="80" t="str">
        <f>IF(A37="","",IF(COUNTIF(H37,"&gt;0")=1,IF(H37="","",IF(INDEX(Barème!$B$2:$AA$2,1,H37)="","hors code",INDEX(Barème!$B$2:$AA$2,1,H37))),""))</f>
        <v/>
      </c>
      <c r="J37" s="82"/>
      <c r="K37" s="80" t="str">
        <f>IF(A37="","",IF(COUNTIF(J37,"&gt;0")=1,IF(J37="","",IF(INDEX(Barème!$B$2:$AA$2,1,J37)="","hors code",INDEX(Barème!$B$2:$AA$2,1,J37))),""))</f>
        <v/>
      </c>
      <c r="L37" s="82"/>
      <c r="M37" s="80" t="str">
        <f>IF(A37="","",IF(COUNTIF(L37,"&gt;0")=1,IF(L37="","",IF(INDEX(Barème!$B$2:$AA$2,1,L37)="","hors code",INDEX(Barème!$B$2:$AA$2,1,L37))),""))</f>
        <v/>
      </c>
      <c r="N37" s="82"/>
      <c r="O37" s="80" t="str">
        <f>IF(A37="","",IF(COUNTIF(N37,"&gt;0")=1,IF(N37="","",IF(INDEX(Barème!$B$2:$AA$2,1,N37)="","hors code",INDEX(Barème!$B$2:$AA$2,1,N37))),""))</f>
        <v/>
      </c>
      <c r="P37" s="80"/>
      <c r="Q37" s="80"/>
      <c r="R37" s="83" t="str">
        <f>IF(SUM(O37,M37,K37,I37,G37,E37)=0,"",SUM(O37,M37,K37,I37,G37,E37))</f>
        <v/>
      </c>
    </row>
  </sheetData>
  <mergeCells count="17">
    <mergeCell ref="N27:O27"/>
    <mergeCell ref="P27:Q27"/>
    <mergeCell ref="D27:E27"/>
    <mergeCell ref="F27:G27"/>
    <mergeCell ref="H27:I27"/>
    <mergeCell ref="J27:K27"/>
    <mergeCell ref="L27:M27"/>
    <mergeCell ref="A2:R3"/>
    <mergeCell ref="H5:J5"/>
    <mergeCell ref="L5:N5"/>
    <mergeCell ref="D7:E7"/>
    <mergeCell ref="F7:G7"/>
    <mergeCell ref="H7:I7"/>
    <mergeCell ref="J7:K7"/>
    <mergeCell ref="L7:M7"/>
    <mergeCell ref="N7:O7"/>
    <mergeCell ref="P7:Q7"/>
  </mergeCells>
  <conditionalFormatting sqref="R26">
    <cfRule type="cellIs" dxfId="47" priority="2" operator="greaterThan">
      <formula>$C$26</formula>
    </cfRule>
  </conditionalFormatting>
  <conditionalFormatting sqref="R25">
    <cfRule type="cellIs" dxfId="46" priority="3" operator="greaterThan">
      <formula>$C$25</formula>
    </cfRule>
  </conditionalFormatting>
  <conditionalFormatting sqref="R24">
    <cfRule type="cellIs" dxfId="45" priority="4" operator="greaterThan">
      <formula>$C$24</formula>
    </cfRule>
  </conditionalFormatting>
  <conditionalFormatting sqref="R23">
    <cfRule type="cellIs" dxfId="44" priority="5" operator="greaterThan">
      <formula>$C$23</formula>
    </cfRule>
  </conditionalFormatting>
  <conditionalFormatting sqref="R22">
    <cfRule type="cellIs" dxfId="43" priority="6" operator="greaterThan">
      <formula>$C$22</formula>
    </cfRule>
  </conditionalFormatting>
  <conditionalFormatting sqref="R21">
    <cfRule type="cellIs" dxfId="42" priority="7" operator="greaterThan">
      <formula>$C$21</formula>
    </cfRule>
  </conditionalFormatting>
  <conditionalFormatting sqref="R20">
    <cfRule type="cellIs" dxfId="41" priority="8" operator="greaterThan">
      <formula>$C$20</formula>
    </cfRule>
  </conditionalFormatting>
  <conditionalFormatting sqref="R19">
    <cfRule type="cellIs" dxfId="40" priority="9" operator="greaterThan">
      <formula>$C$19</formula>
    </cfRule>
  </conditionalFormatting>
  <conditionalFormatting sqref="R18">
    <cfRule type="cellIs" dxfId="39" priority="10" operator="greaterThan">
      <formula>$C$18</formula>
    </cfRule>
  </conditionalFormatting>
  <conditionalFormatting sqref="R17">
    <cfRule type="cellIs" dxfId="38" priority="11" operator="greaterThan">
      <formula>$C$17</formula>
    </cfRule>
  </conditionalFormatting>
  <conditionalFormatting sqref="R16">
    <cfRule type="cellIs" dxfId="37" priority="12" operator="greaterThan">
      <formula>$C$16</formula>
    </cfRule>
  </conditionalFormatting>
  <conditionalFormatting sqref="R15">
    <cfRule type="cellIs" dxfId="36" priority="13" operator="greaterThan">
      <formula>$C$15</formula>
    </cfRule>
  </conditionalFormatting>
  <conditionalFormatting sqref="R14">
    <cfRule type="cellIs" dxfId="35" priority="14" operator="greaterThan">
      <formula>$C$14</formula>
    </cfRule>
  </conditionalFormatting>
  <conditionalFormatting sqref="R13">
    <cfRule type="cellIs" dxfId="34" priority="15" operator="greaterThan">
      <formula>$C$13</formula>
    </cfRule>
  </conditionalFormatting>
  <conditionalFormatting sqref="R12">
    <cfRule type="cellIs" dxfId="33" priority="16" operator="greaterThan">
      <formula>$C$12</formula>
    </cfRule>
  </conditionalFormatting>
  <conditionalFormatting sqref="R11">
    <cfRule type="cellIs" dxfId="32" priority="17" operator="greaterThan">
      <formula>$C$11</formula>
    </cfRule>
  </conditionalFormatting>
  <conditionalFormatting sqref="R10">
    <cfRule type="cellIs" dxfId="31" priority="18" operator="greaterThan">
      <formula>$C$10</formula>
    </cfRule>
  </conditionalFormatting>
  <pageMargins left="0.35416666666666702" right="0.27569444444444402" top="0.15763888888888899" bottom="0" header="0.511811023622047" footer="0.511811023622047"/>
  <pageSetup paperSize="9" scale="80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F49"/>
  <sheetViews>
    <sheetView showGridLines="0" topLeftCell="A10" zoomScale="79" zoomScaleNormal="79" workbookViewId="0">
      <selection activeCell="P13" sqref="P13"/>
    </sheetView>
  </sheetViews>
  <sheetFormatPr baseColWidth="10" defaultColWidth="0" defaultRowHeight="13.2" zeroHeight="1" x14ac:dyDescent="0.25"/>
  <cols>
    <col min="1" max="1" width="5.77734375" style="85" customWidth="1"/>
    <col min="2" max="2" width="1.77734375" style="85" customWidth="1"/>
    <col min="3" max="9" width="2.77734375" style="85" customWidth="1"/>
    <col min="10" max="10" width="1.77734375" style="85" customWidth="1"/>
    <col min="11" max="74" width="2.77734375" style="85" customWidth="1"/>
    <col min="75" max="75" width="1.77734375" style="85" customWidth="1"/>
    <col min="76" max="76" width="3.77734375" style="85" customWidth="1"/>
    <col min="77" max="77" width="5.77734375" style="85" customWidth="1"/>
    <col min="78" max="84" width="2.77734375" style="85" customWidth="1"/>
    <col min="85" max="16384" width="9.77734375" style="85" hidden="1"/>
  </cols>
  <sheetData>
    <row r="1" spans="1:80" ht="71.25" customHeight="1" x14ac:dyDescent="0.25">
      <c r="A1" s="231"/>
      <c r="B1" s="231"/>
      <c r="C1" s="231"/>
      <c r="D1" s="231"/>
      <c r="E1" s="231"/>
      <c r="F1" s="231"/>
      <c r="G1" s="231"/>
      <c r="H1" s="231"/>
      <c r="I1" s="231"/>
      <c r="J1" s="231"/>
      <c r="K1" s="231"/>
      <c r="L1" s="231"/>
      <c r="M1" s="231"/>
      <c r="N1" s="231"/>
      <c r="O1" s="231"/>
      <c r="P1" s="231"/>
      <c r="Q1" s="231"/>
      <c r="R1" s="231"/>
      <c r="S1" s="231"/>
      <c r="T1" s="231"/>
      <c r="U1" s="231"/>
      <c r="V1" s="231"/>
      <c r="W1" s="231"/>
      <c r="X1" s="231"/>
      <c r="Y1" s="231"/>
      <c r="Z1" s="231"/>
      <c r="AA1" s="231"/>
      <c r="AB1" s="231"/>
      <c r="AC1" s="231"/>
      <c r="AD1" s="231"/>
      <c r="AE1" s="231"/>
      <c r="AF1" s="231"/>
      <c r="AG1" s="231"/>
      <c r="AH1" s="231"/>
      <c r="AI1" s="231"/>
      <c r="AJ1" s="231"/>
      <c r="AK1" s="231"/>
      <c r="AL1" s="231"/>
      <c r="AM1" s="231"/>
      <c r="AN1" s="231"/>
      <c r="AO1" s="231"/>
      <c r="AP1" s="231"/>
      <c r="AQ1" s="231"/>
      <c r="AR1" s="231"/>
      <c r="AS1" s="231"/>
      <c r="AT1" s="231"/>
      <c r="AU1" s="231"/>
      <c r="AV1" s="231"/>
      <c r="AW1" s="231"/>
      <c r="AX1" s="231"/>
      <c r="AY1" s="231"/>
      <c r="AZ1" s="231"/>
      <c r="BA1" s="231"/>
      <c r="BB1" s="231"/>
      <c r="BC1" s="231"/>
      <c r="BD1" s="231"/>
      <c r="BE1" s="231"/>
      <c r="BF1" s="231"/>
      <c r="BG1" s="231"/>
      <c r="BH1" s="231"/>
      <c r="BI1" s="231"/>
      <c r="BJ1" s="231"/>
      <c r="BK1" s="231"/>
      <c r="BL1" s="231"/>
      <c r="BM1" s="231"/>
      <c r="BN1" s="231"/>
      <c r="BO1" s="231"/>
      <c r="BP1" s="231"/>
      <c r="BQ1" s="231"/>
      <c r="BR1" s="231"/>
      <c r="BS1" s="231"/>
      <c r="BT1" s="231"/>
      <c r="BU1" s="231"/>
      <c r="BV1" s="231"/>
      <c r="BW1" s="231"/>
      <c r="BX1" s="231"/>
      <c r="BY1" s="231"/>
    </row>
    <row r="2" spans="1:80" ht="45" customHeight="1" x14ac:dyDescent="0.7">
      <c r="A2" s="232" t="s">
        <v>25</v>
      </c>
      <c r="B2" s="232"/>
      <c r="C2" s="232"/>
      <c r="D2" s="232"/>
      <c r="E2" s="232"/>
      <c r="F2" s="232"/>
      <c r="G2" s="232"/>
      <c r="H2" s="232"/>
      <c r="I2" s="232"/>
      <c r="J2" s="232"/>
      <c r="K2" s="232"/>
      <c r="L2" s="232"/>
      <c r="M2" s="232"/>
      <c r="N2" s="232"/>
      <c r="O2" s="232"/>
      <c r="P2" s="232"/>
      <c r="Q2" s="232"/>
      <c r="R2" s="232"/>
      <c r="S2" s="232"/>
      <c r="T2" s="232"/>
      <c r="U2" s="232"/>
      <c r="V2" s="232"/>
      <c r="W2" s="232"/>
      <c r="X2" s="232"/>
      <c r="Y2" s="232"/>
      <c r="Z2" s="232"/>
      <c r="AA2" s="232"/>
      <c r="AB2" s="232"/>
      <c r="AC2" s="232"/>
      <c r="AD2" s="232"/>
      <c r="AE2" s="232"/>
      <c r="AF2" s="232"/>
      <c r="AG2" s="232"/>
      <c r="AH2" s="232"/>
      <c r="AI2" s="232"/>
      <c r="AJ2" s="232"/>
      <c r="AK2" s="232"/>
      <c r="AL2" s="232"/>
      <c r="AM2" s="232"/>
      <c r="AN2" s="232"/>
      <c r="AO2" s="232"/>
      <c r="AP2" s="233" t="s">
        <v>0</v>
      </c>
      <c r="AQ2" s="233"/>
      <c r="AR2" s="233"/>
      <c r="AS2" s="233"/>
      <c r="AT2" s="233"/>
      <c r="AU2" s="233"/>
      <c r="AV2" s="233"/>
      <c r="AW2" s="233"/>
      <c r="AX2" s="233"/>
      <c r="AY2" s="233"/>
      <c r="AZ2" s="233"/>
      <c r="BA2" s="233"/>
      <c r="BB2" s="233"/>
      <c r="BC2" s="233"/>
      <c r="BD2" s="233"/>
      <c r="BE2" s="233"/>
      <c r="BF2" s="233"/>
      <c r="BG2" s="233"/>
      <c r="BH2" s="233"/>
      <c r="BI2" s="233"/>
      <c r="BJ2" s="233"/>
      <c r="BK2" s="233"/>
      <c r="BL2" s="233"/>
      <c r="BM2" s="233"/>
      <c r="BN2" s="233"/>
      <c r="BO2" s="233"/>
      <c r="BP2" s="233"/>
      <c r="BQ2" s="233"/>
      <c r="BR2" s="233"/>
      <c r="BS2" s="233"/>
      <c r="BT2" s="233"/>
      <c r="BU2" s="233"/>
      <c r="BV2" s="233"/>
      <c r="BW2" s="233"/>
      <c r="BX2" s="233"/>
      <c r="BY2" s="233"/>
    </row>
    <row r="3" spans="1:80" x14ac:dyDescent="0.25">
      <c r="AP3" s="85" t="s">
        <v>26</v>
      </c>
    </row>
    <row r="4" spans="1:80" x14ac:dyDescent="0.25"/>
    <row r="5" spans="1:80" ht="16.5" customHeight="1" x14ac:dyDescent="0.3">
      <c r="A5" s="86" t="s">
        <v>24</v>
      </c>
      <c r="B5" s="87"/>
      <c r="C5" s="234" t="s">
        <v>27</v>
      </c>
      <c r="D5" s="234"/>
      <c r="E5" s="234"/>
      <c r="F5" s="234"/>
      <c r="G5" s="234"/>
      <c r="H5" s="234"/>
      <c r="I5" s="234"/>
      <c r="J5" s="87"/>
      <c r="K5" s="88" t="s">
        <v>28</v>
      </c>
      <c r="L5" s="89"/>
      <c r="M5" s="89"/>
      <c r="N5" s="90"/>
      <c r="O5" s="88" t="s">
        <v>29</v>
      </c>
      <c r="P5" s="89"/>
      <c r="Q5" s="89"/>
      <c r="R5" s="90"/>
      <c r="S5" s="88" t="s">
        <v>30</v>
      </c>
      <c r="T5" s="89"/>
      <c r="U5" s="89"/>
      <c r="V5" s="90"/>
      <c r="W5" s="88" t="s">
        <v>31</v>
      </c>
      <c r="X5" s="89"/>
      <c r="Y5" s="89"/>
      <c r="Z5" s="90"/>
      <c r="AA5" s="88" t="s">
        <v>32</v>
      </c>
      <c r="AB5" s="89"/>
      <c r="AC5" s="89"/>
      <c r="AD5" s="90"/>
      <c r="AE5" s="88" t="s">
        <v>33</v>
      </c>
      <c r="AF5" s="89"/>
      <c r="AG5" s="89"/>
      <c r="AH5" s="90"/>
      <c r="AI5" s="88" t="s">
        <v>34</v>
      </c>
      <c r="AJ5" s="89"/>
      <c r="AK5" s="89"/>
      <c r="AL5" s="90"/>
      <c r="AM5" s="88" t="s">
        <v>35</v>
      </c>
      <c r="AN5" s="89"/>
      <c r="AO5" s="89"/>
      <c r="AP5" s="90"/>
      <c r="AQ5" s="88" t="s">
        <v>36</v>
      </c>
      <c r="AR5" s="89"/>
      <c r="AS5" s="89"/>
      <c r="AT5" s="90"/>
      <c r="AU5" s="88" t="s">
        <v>37</v>
      </c>
      <c r="AV5" s="89"/>
      <c r="AW5" s="89"/>
      <c r="AX5" s="90"/>
      <c r="AY5" s="88" t="s">
        <v>38</v>
      </c>
      <c r="AZ5" s="89"/>
      <c r="BA5" s="89"/>
      <c r="BB5" s="90"/>
      <c r="BC5" s="88" t="s">
        <v>39</v>
      </c>
      <c r="BD5" s="89"/>
      <c r="BE5" s="89"/>
      <c r="BF5" s="90"/>
      <c r="BG5" s="88" t="s">
        <v>40</v>
      </c>
      <c r="BH5" s="89"/>
      <c r="BI5" s="89"/>
      <c r="BJ5" s="90"/>
      <c r="BK5" s="88" t="s">
        <v>41</v>
      </c>
      <c r="BL5" s="89"/>
      <c r="BM5" s="89"/>
      <c r="BN5" s="90"/>
      <c r="BO5" s="88" t="s">
        <v>42</v>
      </c>
      <c r="BP5" s="89"/>
      <c r="BQ5" s="89"/>
      <c r="BR5" s="90"/>
      <c r="BS5" s="91" t="s">
        <v>43</v>
      </c>
      <c r="BT5" s="92"/>
      <c r="BU5" s="92"/>
      <c r="BV5" s="93"/>
      <c r="BW5" s="87"/>
      <c r="BX5" s="234" t="s">
        <v>44</v>
      </c>
      <c r="BY5" s="234"/>
    </row>
    <row r="6" spans="1:80" ht="18.75" customHeight="1" x14ac:dyDescent="0.25">
      <c r="K6" s="94"/>
      <c r="L6" s="95"/>
      <c r="M6" s="95"/>
      <c r="N6" s="96"/>
      <c r="O6" s="94"/>
      <c r="P6" s="95"/>
      <c r="Q6" s="95"/>
      <c r="R6" s="96"/>
      <c r="S6" s="94"/>
      <c r="T6" s="95"/>
      <c r="U6" s="95"/>
      <c r="V6" s="96"/>
      <c r="W6" s="94"/>
      <c r="X6" s="95"/>
      <c r="Y6" s="95"/>
      <c r="Z6" s="96"/>
      <c r="AA6" s="94"/>
      <c r="AB6" s="95"/>
      <c r="AC6" s="95"/>
      <c r="AD6" s="96"/>
      <c r="AE6" s="94"/>
      <c r="AF6" s="95"/>
      <c r="AG6" s="95"/>
      <c r="AH6" s="96"/>
      <c r="AI6" s="94"/>
      <c r="AJ6" s="95"/>
      <c r="AK6" s="95"/>
      <c r="AL6" s="96"/>
      <c r="AM6" s="94"/>
      <c r="AN6" s="95"/>
      <c r="AO6" s="95"/>
      <c r="AP6" s="96"/>
      <c r="AQ6" s="94"/>
      <c r="AR6" s="95"/>
      <c r="AS6" s="95"/>
      <c r="AT6" s="96"/>
      <c r="AU6" s="94"/>
      <c r="AV6" s="95"/>
      <c r="AW6" s="95"/>
      <c r="AX6" s="96"/>
      <c r="AY6" s="94"/>
      <c r="AZ6" s="95"/>
      <c r="BA6" s="95"/>
      <c r="BB6" s="96"/>
      <c r="BC6" s="94"/>
      <c r="BD6" s="95"/>
      <c r="BE6" s="95"/>
      <c r="BF6" s="96"/>
      <c r="BG6" s="94"/>
      <c r="BH6" s="95"/>
      <c r="BI6" s="95"/>
      <c r="BJ6" s="96"/>
      <c r="BK6" s="94"/>
      <c r="BL6" s="95"/>
      <c r="BM6" s="95"/>
      <c r="BN6" s="96"/>
      <c r="BO6" s="94"/>
      <c r="BP6" s="95"/>
      <c r="BQ6" s="95"/>
      <c r="BR6" s="96"/>
      <c r="BS6" s="94"/>
      <c r="BT6" s="95"/>
      <c r="BU6" s="95"/>
      <c r="BV6" s="96"/>
    </row>
    <row r="7" spans="1:80" ht="18.75" customHeight="1" x14ac:dyDescent="0.3">
      <c r="A7" s="86">
        <v>1</v>
      </c>
      <c r="C7" s="97" t="s">
        <v>45</v>
      </c>
      <c r="D7" s="98" t="s">
        <v>46</v>
      </c>
      <c r="E7" s="98" t="s">
        <v>46</v>
      </c>
      <c r="F7" s="98" t="s">
        <v>47</v>
      </c>
      <c r="G7" s="98" t="s">
        <v>48</v>
      </c>
      <c r="H7" s="99" t="s">
        <v>49</v>
      </c>
      <c r="I7" s="99" t="s">
        <v>50</v>
      </c>
      <c r="K7" s="100"/>
      <c r="L7" s="101"/>
      <c r="M7" s="102"/>
      <c r="N7" s="103"/>
      <c r="O7" s="104"/>
      <c r="P7" s="105"/>
      <c r="Q7" s="105"/>
      <c r="R7" s="106"/>
      <c r="S7" s="107"/>
      <c r="T7" s="104"/>
      <c r="U7" s="105"/>
      <c r="V7" s="106"/>
      <c r="W7" s="108"/>
      <c r="X7" s="105"/>
      <c r="Y7" s="105"/>
      <c r="Z7" s="106"/>
      <c r="AA7" s="104"/>
      <c r="AB7" s="105"/>
      <c r="AC7" s="105"/>
      <c r="AD7" s="106"/>
      <c r="AE7" s="104"/>
      <c r="AF7" s="105"/>
      <c r="AG7" s="109"/>
      <c r="AH7" s="110"/>
      <c r="AI7" s="111"/>
      <c r="AJ7" s="102"/>
      <c r="AK7" s="112"/>
      <c r="AL7" s="103"/>
      <c r="AM7" s="113"/>
      <c r="AN7" s="112"/>
      <c r="AO7" s="112"/>
      <c r="AP7" s="103"/>
      <c r="AQ7" s="113"/>
      <c r="AR7" s="112"/>
      <c r="AS7" s="112"/>
      <c r="AT7" s="103"/>
      <c r="AU7" s="113"/>
      <c r="AV7" s="112"/>
      <c r="AW7" s="112"/>
      <c r="AX7" s="110"/>
      <c r="AY7" s="110"/>
      <c r="AZ7" s="101"/>
      <c r="BA7" s="101"/>
      <c r="BB7" s="114"/>
      <c r="BC7" s="100"/>
      <c r="BD7" s="101"/>
      <c r="BE7" s="101"/>
      <c r="BF7" s="114"/>
      <c r="BG7" s="100"/>
      <c r="BH7" s="101"/>
      <c r="BI7" s="101"/>
      <c r="BJ7" s="114"/>
      <c r="BK7" s="100"/>
      <c r="BL7" s="101"/>
      <c r="BM7" s="101"/>
      <c r="BN7" s="114"/>
      <c r="BO7" s="100"/>
      <c r="BP7" s="101"/>
      <c r="BQ7" s="102"/>
      <c r="BR7" s="110"/>
      <c r="BS7" s="111"/>
      <c r="BT7" s="102"/>
      <c r="BU7" s="102"/>
      <c r="BV7" s="110"/>
      <c r="BX7" s="235">
        <v>0.32291666666666702</v>
      </c>
      <c r="BY7" s="235"/>
    </row>
    <row r="8" spans="1:80" ht="18.75" customHeight="1" x14ac:dyDescent="0.25">
      <c r="C8" s="115"/>
      <c r="D8" s="115"/>
      <c r="E8" s="115"/>
      <c r="F8" s="115"/>
      <c r="G8" s="115"/>
      <c r="H8" s="115"/>
      <c r="I8" s="115"/>
      <c r="K8" s="94"/>
      <c r="L8" s="95"/>
      <c r="M8" s="95"/>
      <c r="N8" s="96"/>
      <c r="O8" s="94"/>
      <c r="P8" s="95"/>
      <c r="Q8" s="95"/>
      <c r="R8" s="96"/>
      <c r="S8" s="94"/>
      <c r="T8" s="95"/>
      <c r="U8" s="95"/>
      <c r="V8" s="96"/>
      <c r="W8" s="94"/>
      <c r="X8" s="95"/>
      <c r="Y8" s="95"/>
      <c r="Z8" s="96"/>
      <c r="AA8" s="94"/>
      <c r="AB8" s="95"/>
      <c r="AC8" s="95"/>
      <c r="AD8" s="96"/>
      <c r="AE8" s="94"/>
      <c r="AF8" s="95"/>
      <c r="AG8" s="95"/>
      <c r="AH8" s="96"/>
      <c r="AI8" s="94"/>
      <c r="AJ8" s="95"/>
      <c r="AK8" s="95"/>
      <c r="AL8" s="96"/>
      <c r="AM8" s="94"/>
      <c r="AN8" s="95"/>
      <c r="AO8" s="95"/>
      <c r="AP8" s="96"/>
      <c r="AQ8" s="94"/>
      <c r="AR8" s="95"/>
      <c r="AS8" s="95"/>
      <c r="AT8" s="96"/>
      <c r="AU8" s="94"/>
      <c r="AV8" s="95"/>
      <c r="AW8" s="95"/>
      <c r="AX8" s="96"/>
      <c r="AY8" s="94"/>
      <c r="AZ8" s="95"/>
      <c r="BA8" s="95"/>
      <c r="BB8" s="96"/>
      <c r="BC8" s="94"/>
      <c r="BD8" s="95"/>
      <c r="BE8" s="95"/>
      <c r="BF8" s="96"/>
      <c r="BG8" s="94"/>
      <c r="BH8" s="95"/>
      <c r="BI8" s="95"/>
      <c r="BJ8" s="96"/>
      <c r="BK8" s="94"/>
      <c r="BL8" s="95"/>
      <c r="BM8" s="95"/>
      <c r="BN8" s="96"/>
      <c r="BO8" s="94"/>
      <c r="BP8" s="95"/>
      <c r="BQ8" s="95"/>
      <c r="BR8" s="96"/>
      <c r="BS8" s="94"/>
      <c r="BT8" s="95"/>
      <c r="BU8" s="95"/>
      <c r="BV8" s="96"/>
    </row>
    <row r="9" spans="1:80" ht="18.75" customHeight="1" x14ac:dyDescent="0.3">
      <c r="A9" s="86">
        <v>2</v>
      </c>
      <c r="C9" s="98" t="s">
        <v>45</v>
      </c>
      <c r="D9" s="98" t="s">
        <v>46</v>
      </c>
      <c r="E9" s="98" t="s">
        <v>46</v>
      </c>
      <c r="F9" s="98" t="s">
        <v>47</v>
      </c>
      <c r="G9" s="98" t="s">
        <v>48</v>
      </c>
      <c r="H9" s="98" t="s">
        <v>49</v>
      </c>
      <c r="I9" s="99" t="s">
        <v>50</v>
      </c>
      <c r="K9" s="101"/>
      <c r="L9" s="101"/>
      <c r="M9" s="101"/>
      <c r="N9" s="116"/>
      <c r="O9" s="116"/>
      <c r="P9" s="116"/>
      <c r="Q9" s="116"/>
      <c r="R9" s="116"/>
      <c r="S9" s="116"/>
      <c r="T9" s="116"/>
      <c r="U9" s="116"/>
      <c r="V9" s="117"/>
      <c r="W9" s="118"/>
      <c r="X9" s="118"/>
      <c r="Y9" s="116"/>
      <c r="Z9" s="119"/>
      <c r="AA9" s="118"/>
      <c r="AB9" s="116"/>
      <c r="AC9" s="116"/>
      <c r="AD9" s="117"/>
      <c r="AE9" s="118"/>
      <c r="AF9" s="116"/>
      <c r="AG9" s="105"/>
      <c r="AH9" s="103"/>
      <c r="AI9" s="113"/>
      <c r="AJ9" s="112"/>
      <c r="AK9" s="112"/>
      <c r="AL9" s="114"/>
      <c r="AM9" s="100"/>
      <c r="AN9" s="101"/>
      <c r="AO9" s="101"/>
      <c r="AP9" s="114"/>
      <c r="AQ9" s="100"/>
      <c r="AR9" s="100"/>
      <c r="AS9" s="101"/>
      <c r="AT9" s="101"/>
      <c r="AU9" s="100"/>
      <c r="AV9" s="101"/>
      <c r="AW9" s="101"/>
      <c r="AX9" s="114"/>
      <c r="AY9" s="101"/>
      <c r="AZ9" s="101"/>
      <c r="BA9" s="101"/>
      <c r="BB9" s="114"/>
      <c r="BC9" s="100"/>
      <c r="BD9" s="114"/>
      <c r="BE9" s="120"/>
      <c r="BF9" s="121"/>
      <c r="BG9" s="122"/>
      <c r="BH9" s="101"/>
      <c r="BI9" s="101"/>
      <c r="BJ9" s="114"/>
      <c r="BK9" s="100"/>
      <c r="BL9" s="101"/>
      <c r="BM9" s="101"/>
      <c r="BN9" s="114"/>
      <c r="BO9" s="100"/>
      <c r="BP9" s="101"/>
      <c r="BQ9" s="101"/>
      <c r="BR9" s="114"/>
      <c r="BS9" s="100"/>
      <c r="BT9" s="101"/>
      <c r="BU9" s="101"/>
      <c r="BV9" s="114"/>
      <c r="BX9" s="236">
        <v>0.23958333333333301</v>
      </c>
      <c r="BY9" s="236"/>
    </row>
    <row r="10" spans="1:80" ht="18.75" customHeight="1" x14ac:dyDescent="0.25">
      <c r="C10" s="115"/>
      <c r="D10" s="115"/>
      <c r="E10" s="115"/>
      <c r="F10" s="115"/>
      <c r="G10" s="115"/>
      <c r="H10" s="115"/>
      <c r="I10" s="115"/>
      <c r="K10" s="94"/>
      <c r="L10" s="95"/>
      <c r="M10" s="95"/>
      <c r="N10" s="96"/>
      <c r="O10" s="94"/>
      <c r="P10" s="95"/>
      <c r="Q10" s="95"/>
      <c r="R10" s="96"/>
      <c r="S10" s="94"/>
      <c r="T10" s="95"/>
      <c r="U10" s="95"/>
      <c r="V10" s="96"/>
      <c r="W10" s="94"/>
      <c r="X10" s="95"/>
      <c r="Y10" s="95"/>
      <c r="Z10" s="96"/>
      <c r="AA10" s="94"/>
      <c r="AB10" s="95"/>
      <c r="AC10" s="95"/>
      <c r="AD10" s="96"/>
      <c r="AE10" s="94"/>
      <c r="AF10" s="95"/>
      <c r="AG10" s="95"/>
      <c r="AH10" s="96"/>
      <c r="AI10" s="94"/>
      <c r="AJ10" s="95"/>
      <c r="AK10" s="95"/>
      <c r="AL10" s="96"/>
      <c r="AM10" s="94"/>
      <c r="AN10" s="95"/>
      <c r="AO10" s="95"/>
      <c r="AP10" s="96"/>
      <c r="AQ10" s="94"/>
      <c r="AR10" s="95"/>
      <c r="AS10" s="95"/>
      <c r="AT10" s="96"/>
      <c r="AU10" s="94"/>
      <c r="AV10" s="95"/>
      <c r="AW10" s="95"/>
      <c r="AX10" s="96"/>
      <c r="AY10" s="94"/>
      <c r="AZ10" s="95"/>
      <c r="BA10" s="95"/>
      <c r="BB10" s="96"/>
      <c r="BC10" s="94"/>
      <c r="BD10" s="95"/>
      <c r="BE10" s="95"/>
      <c r="BF10" s="96"/>
      <c r="BG10" s="94"/>
      <c r="BH10" s="95"/>
      <c r="BI10" s="95"/>
      <c r="BJ10" s="96"/>
      <c r="BK10" s="94"/>
      <c r="BL10" s="95"/>
      <c r="BM10" s="95"/>
      <c r="BN10" s="96"/>
      <c r="BO10" s="94"/>
      <c r="BP10" s="95"/>
      <c r="BQ10" s="95"/>
      <c r="BR10" s="96"/>
      <c r="BS10" s="94"/>
      <c r="BT10" s="95"/>
      <c r="BU10" s="95"/>
      <c r="BV10" s="96"/>
    </row>
    <row r="11" spans="1:80" ht="18.75" customHeight="1" x14ac:dyDescent="0.3">
      <c r="A11" s="86">
        <v>3</v>
      </c>
      <c r="C11" s="98" t="s">
        <v>45</v>
      </c>
      <c r="D11" s="98" t="s">
        <v>46</v>
      </c>
      <c r="E11" s="98" t="s">
        <v>46</v>
      </c>
      <c r="F11" s="99" t="s">
        <v>47</v>
      </c>
      <c r="G11" s="98" t="s">
        <v>48</v>
      </c>
      <c r="H11" s="98" t="s">
        <v>49</v>
      </c>
      <c r="I11" s="99" t="s">
        <v>50</v>
      </c>
      <c r="K11" s="111"/>
      <c r="L11" s="102"/>
      <c r="M11" s="101"/>
      <c r="N11" s="103"/>
      <c r="O11" s="104"/>
      <c r="P11" s="105"/>
      <c r="Q11" s="105"/>
      <c r="R11" s="106"/>
      <c r="S11" s="104"/>
      <c r="T11" s="105"/>
      <c r="U11" s="105"/>
      <c r="V11" s="106"/>
      <c r="W11" s="123"/>
      <c r="X11" s="105"/>
      <c r="Y11" s="105"/>
      <c r="Z11" s="106"/>
      <c r="AA11" s="104"/>
      <c r="AB11" s="105"/>
      <c r="AC11" s="112"/>
      <c r="AD11" s="103"/>
      <c r="AE11" s="113"/>
      <c r="AF11" s="112"/>
      <c r="AG11" s="112"/>
      <c r="AH11" s="103"/>
      <c r="AI11" s="113"/>
      <c r="AJ11" s="112"/>
      <c r="AK11" s="101"/>
      <c r="AL11" s="114"/>
      <c r="AM11" s="100"/>
      <c r="AN11" s="101"/>
      <c r="AO11" s="112"/>
      <c r="AP11" s="103"/>
      <c r="AQ11" s="113"/>
      <c r="AR11" s="112"/>
      <c r="AS11" s="112"/>
      <c r="AT11" s="103"/>
      <c r="AU11" s="113"/>
      <c r="AV11" s="112"/>
      <c r="AW11" s="112"/>
      <c r="AX11" s="103"/>
      <c r="AY11" s="113"/>
      <c r="AZ11" s="112"/>
      <c r="BA11" s="101"/>
      <c r="BB11" s="114"/>
      <c r="BC11" s="100"/>
      <c r="BD11" s="101"/>
      <c r="BE11" s="101"/>
      <c r="BF11" s="114"/>
      <c r="BG11" s="100"/>
      <c r="BH11" s="101"/>
      <c r="BI11" s="101"/>
      <c r="BJ11" s="114"/>
      <c r="BK11" s="100"/>
      <c r="BL11" s="101"/>
      <c r="BM11" s="101"/>
      <c r="BN11" s="114"/>
      <c r="BO11" s="100"/>
      <c r="BP11" s="101"/>
      <c r="BQ11" s="102"/>
      <c r="BR11" s="110"/>
      <c r="BS11" s="111"/>
      <c r="BT11" s="102"/>
      <c r="BU11" s="102"/>
      <c r="BV11" s="110"/>
      <c r="BX11" s="236">
        <v>0.35416666666666702</v>
      </c>
      <c r="BY11" s="236"/>
    </row>
    <row r="12" spans="1:80" ht="18.75" customHeight="1" x14ac:dyDescent="0.25">
      <c r="C12" s="115"/>
      <c r="D12" s="115"/>
      <c r="E12" s="115"/>
      <c r="F12" s="115"/>
      <c r="G12" s="115"/>
      <c r="H12" s="115"/>
      <c r="I12" s="115"/>
      <c r="J12" s="115"/>
      <c r="K12" s="94"/>
      <c r="L12" s="95"/>
      <c r="M12" s="95"/>
      <c r="N12" s="96"/>
      <c r="O12" s="94"/>
      <c r="P12" s="95"/>
      <c r="Q12" s="95"/>
      <c r="R12" s="96"/>
      <c r="S12" s="94"/>
      <c r="T12" s="95"/>
      <c r="U12" s="95"/>
      <c r="V12" s="96"/>
      <c r="W12" s="94"/>
      <c r="X12" s="95"/>
      <c r="Y12" s="95"/>
      <c r="Z12" s="96"/>
      <c r="AA12" s="94"/>
      <c r="AB12" s="95"/>
      <c r="AC12" s="95"/>
      <c r="AD12" s="96"/>
      <c r="AE12" s="94"/>
      <c r="AF12" s="95"/>
      <c r="AG12" s="95"/>
      <c r="AH12" s="96"/>
      <c r="AI12" s="94"/>
      <c r="AJ12" s="95"/>
      <c r="AK12" s="95"/>
      <c r="AL12" s="96"/>
      <c r="AM12" s="94"/>
      <c r="AN12" s="95"/>
      <c r="AO12" s="95"/>
      <c r="AP12" s="96"/>
      <c r="AQ12" s="94"/>
      <c r="AR12" s="95"/>
      <c r="AS12" s="95"/>
      <c r="AT12" s="96"/>
      <c r="AU12" s="94"/>
      <c r="AV12" s="95"/>
      <c r="AW12" s="95"/>
      <c r="AX12" s="96"/>
      <c r="AY12" s="94"/>
      <c r="AZ12" s="95"/>
      <c r="BA12" s="95"/>
      <c r="BB12" s="96"/>
      <c r="BC12" s="94"/>
      <c r="BD12" s="95"/>
      <c r="BE12" s="95"/>
      <c r="BF12" s="96"/>
      <c r="BG12" s="94"/>
      <c r="BH12" s="95"/>
      <c r="BI12" s="95"/>
      <c r="BJ12" s="96"/>
      <c r="BK12" s="94"/>
      <c r="BL12" s="95"/>
      <c r="BM12" s="95"/>
      <c r="BN12" s="96"/>
      <c r="BO12" s="94"/>
      <c r="BP12" s="95"/>
      <c r="BQ12" s="95"/>
      <c r="BR12" s="96"/>
      <c r="BS12" s="94"/>
      <c r="BT12" s="95"/>
      <c r="BU12" s="95"/>
      <c r="BV12" s="96"/>
    </row>
    <row r="13" spans="1:80" ht="18.75" customHeight="1" x14ac:dyDescent="0.3">
      <c r="A13" s="86">
        <v>4</v>
      </c>
      <c r="B13" s="115"/>
      <c r="C13" s="98" t="s">
        <v>45</v>
      </c>
      <c r="D13" s="98" t="s">
        <v>46</v>
      </c>
      <c r="E13" s="98" t="s">
        <v>46</v>
      </c>
      <c r="F13" s="98" t="s">
        <v>47</v>
      </c>
      <c r="G13" s="98" t="s">
        <v>48</v>
      </c>
      <c r="H13" s="98" t="s">
        <v>49</v>
      </c>
      <c r="I13" s="99" t="s">
        <v>50</v>
      </c>
      <c r="J13" s="115"/>
      <c r="K13" s="111"/>
      <c r="L13" s="101"/>
      <c r="M13" s="101"/>
      <c r="N13" s="103"/>
      <c r="O13" s="113"/>
      <c r="P13" s="112"/>
      <c r="Q13" s="112"/>
      <c r="R13" s="103"/>
      <c r="S13" s="113"/>
      <c r="T13" s="112"/>
      <c r="U13" s="112"/>
      <c r="V13" s="114"/>
      <c r="W13" s="103"/>
      <c r="X13" s="112"/>
      <c r="Y13" s="112"/>
      <c r="Z13" s="103"/>
      <c r="AA13" s="113"/>
      <c r="AB13" s="112"/>
      <c r="AC13" s="112"/>
      <c r="AD13" s="103"/>
      <c r="AE13" s="113"/>
      <c r="AF13" s="112"/>
      <c r="AG13" s="112"/>
      <c r="AH13" s="103"/>
      <c r="AI13" s="100"/>
      <c r="AJ13" s="101"/>
      <c r="AK13" s="101"/>
      <c r="AL13" s="114"/>
      <c r="AM13" s="113"/>
      <c r="AN13" s="112"/>
      <c r="AO13" s="112"/>
      <c r="AP13" s="103"/>
      <c r="AQ13" s="113"/>
      <c r="AR13" s="112"/>
      <c r="AS13" s="112"/>
      <c r="AT13" s="103"/>
      <c r="AU13" s="113"/>
      <c r="AV13" s="112"/>
      <c r="AW13" s="112"/>
      <c r="AX13" s="103"/>
      <c r="AY13" s="114"/>
      <c r="AZ13" s="101"/>
      <c r="BA13" s="101"/>
      <c r="BB13" s="114"/>
      <c r="BC13" s="100"/>
      <c r="BD13" s="101"/>
      <c r="BE13" s="101"/>
      <c r="BF13" s="114"/>
      <c r="BG13" s="100"/>
      <c r="BH13" s="101"/>
      <c r="BI13" s="101"/>
      <c r="BJ13" s="114"/>
      <c r="BK13" s="100"/>
      <c r="BL13" s="101"/>
      <c r="BM13" s="101"/>
      <c r="BN13" s="114"/>
      <c r="BO13" s="100"/>
      <c r="BP13" s="101"/>
      <c r="BQ13" s="102"/>
      <c r="BR13" s="110"/>
      <c r="BS13" s="111"/>
      <c r="BT13" s="102"/>
      <c r="BU13" s="102"/>
      <c r="BV13" s="110"/>
      <c r="BX13" s="236">
        <v>0.33333333333333298</v>
      </c>
      <c r="BY13" s="236"/>
      <c r="CB13" s="115"/>
    </row>
    <row r="14" spans="1:80" ht="18.75" customHeight="1" x14ac:dyDescent="0.25">
      <c r="C14" s="115"/>
      <c r="D14" s="115"/>
      <c r="E14" s="115"/>
      <c r="F14" s="115"/>
      <c r="G14" s="115"/>
      <c r="H14" s="115"/>
      <c r="I14" s="115"/>
      <c r="J14" s="115"/>
      <c r="K14" s="94"/>
      <c r="L14" s="95"/>
      <c r="M14" s="95"/>
      <c r="N14" s="96"/>
      <c r="O14" s="94"/>
      <c r="P14" s="95"/>
      <c r="Q14" s="95"/>
      <c r="R14" s="96"/>
      <c r="S14" s="94"/>
      <c r="T14" s="95"/>
      <c r="U14" s="95"/>
      <c r="V14" s="96"/>
      <c r="W14" s="94"/>
      <c r="X14" s="95"/>
      <c r="Y14" s="95"/>
      <c r="Z14" s="96"/>
      <c r="AA14" s="94"/>
      <c r="AB14" s="95"/>
      <c r="AC14" s="95"/>
      <c r="AD14" s="96"/>
      <c r="AE14" s="94"/>
      <c r="AF14" s="95"/>
      <c r="AG14" s="95"/>
      <c r="AH14" s="96"/>
      <c r="AI14" s="94"/>
      <c r="AJ14" s="95"/>
      <c r="AK14" s="95"/>
      <c r="AL14" s="96"/>
      <c r="AM14" s="94"/>
      <c r="AN14" s="95"/>
      <c r="AO14" s="95"/>
      <c r="AP14" s="96"/>
      <c r="AQ14" s="94"/>
      <c r="AR14" s="95"/>
      <c r="AS14" s="95"/>
      <c r="AT14" s="96"/>
      <c r="AU14" s="94"/>
      <c r="AV14" s="95"/>
      <c r="AW14" s="95"/>
      <c r="AX14" s="96"/>
      <c r="AY14" s="94"/>
      <c r="AZ14" s="95"/>
      <c r="BA14" s="95"/>
      <c r="BB14" s="96"/>
      <c r="BC14" s="94"/>
      <c r="BD14" s="95"/>
      <c r="BE14" s="95"/>
      <c r="BF14" s="96"/>
      <c r="BG14" s="94"/>
      <c r="BH14" s="95"/>
      <c r="BI14" s="95"/>
      <c r="BJ14" s="96"/>
      <c r="BK14" s="94"/>
      <c r="BL14" s="95"/>
      <c r="BM14" s="95"/>
      <c r="BN14" s="96"/>
      <c r="BO14" s="94"/>
      <c r="BP14" s="95"/>
      <c r="BQ14" s="95"/>
      <c r="BR14" s="96"/>
      <c r="BS14" s="94"/>
      <c r="BT14" s="95"/>
      <c r="BU14" s="95"/>
      <c r="BV14" s="96"/>
    </row>
    <row r="15" spans="1:80" ht="18.75" customHeight="1" x14ac:dyDescent="0.3">
      <c r="A15" s="86">
        <v>5</v>
      </c>
      <c r="B15" s="115"/>
      <c r="C15" s="98" t="s">
        <v>45</v>
      </c>
      <c r="D15" s="98" t="s">
        <v>46</v>
      </c>
      <c r="E15" s="98" t="s">
        <v>46</v>
      </c>
      <c r="F15" s="98" t="s">
        <v>47</v>
      </c>
      <c r="G15" s="98" t="s">
        <v>48</v>
      </c>
      <c r="H15" s="98" t="s">
        <v>49</v>
      </c>
      <c r="I15" s="99" t="s">
        <v>50</v>
      </c>
      <c r="J15" s="115"/>
      <c r="K15" s="100"/>
      <c r="L15" s="101"/>
      <c r="M15" s="101"/>
      <c r="N15" s="114"/>
      <c r="O15" s="100"/>
      <c r="P15" s="124"/>
      <c r="Q15" s="101"/>
      <c r="R15" s="103"/>
      <c r="S15" s="113"/>
      <c r="T15" s="112"/>
      <c r="U15" s="112"/>
      <c r="V15" s="125"/>
      <c r="W15" s="113"/>
      <c r="X15" s="112"/>
      <c r="Y15" s="112"/>
      <c r="Z15" s="114"/>
      <c r="AA15" s="113"/>
      <c r="AB15" s="112"/>
      <c r="AC15" s="112"/>
      <c r="AD15" s="103"/>
      <c r="AE15" s="118"/>
      <c r="AF15" s="116"/>
      <c r="AG15" s="116"/>
      <c r="AH15" s="117"/>
      <c r="AI15" s="113"/>
      <c r="AJ15" s="112"/>
      <c r="AK15" s="101"/>
      <c r="AL15" s="114"/>
      <c r="AM15" s="100"/>
      <c r="AN15" s="101"/>
      <c r="AO15" s="112"/>
      <c r="AP15" s="103"/>
      <c r="AQ15" s="113"/>
      <c r="AR15" s="112"/>
      <c r="AS15" s="112"/>
      <c r="AT15" s="103"/>
      <c r="AU15" s="113"/>
      <c r="AV15" s="112"/>
      <c r="AW15" s="112"/>
      <c r="AX15" s="112"/>
      <c r="AY15" s="112"/>
      <c r="AZ15" s="112"/>
      <c r="BA15" s="112"/>
      <c r="BB15" s="103"/>
      <c r="BC15" s="100"/>
      <c r="BD15" s="101"/>
      <c r="BE15" s="114"/>
      <c r="BF15" s="126"/>
      <c r="BG15" s="100"/>
      <c r="BH15" s="101"/>
      <c r="BI15" s="101"/>
      <c r="BJ15" s="114"/>
      <c r="BK15" s="100"/>
      <c r="BL15" s="101"/>
      <c r="BM15" s="101"/>
      <c r="BN15" s="114"/>
      <c r="BO15" s="100"/>
      <c r="BP15" s="101"/>
      <c r="BQ15" s="101"/>
      <c r="BR15" s="114"/>
      <c r="BS15" s="100"/>
      <c r="BT15" s="101"/>
      <c r="BU15" s="101"/>
      <c r="BV15" s="114"/>
      <c r="BW15" s="115"/>
      <c r="BX15" s="236">
        <v>0.33333333333333298</v>
      </c>
      <c r="BY15" s="236"/>
    </row>
    <row r="16" spans="1:80" ht="18.75" customHeight="1" x14ac:dyDescent="0.25">
      <c r="C16" s="115"/>
      <c r="D16" s="115"/>
      <c r="E16" s="115"/>
      <c r="F16" s="115"/>
      <c r="G16" s="115"/>
      <c r="H16" s="115"/>
      <c r="I16" s="115"/>
      <c r="K16" s="94"/>
      <c r="L16" s="95"/>
      <c r="M16" s="95"/>
      <c r="N16" s="96"/>
      <c r="O16" s="94"/>
      <c r="P16" s="95"/>
      <c r="Q16" s="95"/>
      <c r="R16" s="96"/>
      <c r="S16" s="94"/>
      <c r="T16" s="95"/>
      <c r="U16" s="95"/>
      <c r="V16" s="96"/>
      <c r="W16" s="94"/>
      <c r="X16" s="95"/>
      <c r="Y16" s="95"/>
      <c r="Z16" s="96"/>
      <c r="AA16" s="94"/>
      <c r="AB16" s="95"/>
      <c r="AC16" s="95"/>
      <c r="AD16" s="96"/>
      <c r="AE16" s="94"/>
      <c r="AF16" s="95"/>
      <c r="AG16" s="95"/>
      <c r="AH16" s="96"/>
      <c r="AI16" s="94"/>
      <c r="AJ16" s="95"/>
      <c r="AK16" s="95"/>
      <c r="AL16" s="96"/>
      <c r="AM16" s="94"/>
      <c r="AN16" s="95"/>
      <c r="AO16" s="95"/>
      <c r="AP16" s="96"/>
      <c r="AQ16" s="94"/>
      <c r="AR16" s="95"/>
      <c r="AS16" s="95"/>
      <c r="AT16" s="96"/>
      <c r="AU16" s="94"/>
      <c r="AV16" s="95"/>
      <c r="AW16" s="95"/>
      <c r="AX16" s="96"/>
      <c r="AY16" s="94"/>
      <c r="AZ16" s="95"/>
      <c r="BA16" s="95"/>
      <c r="BB16" s="96"/>
      <c r="BC16" s="94"/>
      <c r="BD16" s="95"/>
      <c r="BE16" s="95"/>
      <c r="BF16" s="96"/>
      <c r="BG16" s="94"/>
      <c r="BH16" s="95"/>
      <c r="BI16" s="95"/>
      <c r="BJ16" s="96"/>
      <c r="BK16" s="94"/>
      <c r="BL16" s="95"/>
      <c r="BM16" s="95"/>
      <c r="BN16" s="96"/>
      <c r="BO16" s="94"/>
      <c r="BP16" s="95"/>
      <c r="BQ16" s="95"/>
      <c r="BR16" s="96"/>
      <c r="BS16" s="94"/>
      <c r="BT16" s="95"/>
      <c r="BU16" s="95"/>
      <c r="BV16" s="96"/>
    </row>
    <row r="17" spans="1:77" ht="18.75" customHeight="1" x14ac:dyDescent="0.3">
      <c r="A17" s="86">
        <v>6</v>
      </c>
      <c r="C17" s="98" t="s">
        <v>45</v>
      </c>
      <c r="D17" s="98" t="s">
        <v>46</v>
      </c>
      <c r="E17" s="98" t="s">
        <v>46</v>
      </c>
      <c r="F17" s="98" t="s">
        <v>47</v>
      </c>
      <c r="G17" s="98" t="s">
        <v>48</v>
      </c>
      <c r="H17" s="99" t="s">
        <v>49</v>
      </c>
      <c r="I17" s="99" t="s">
        <v>50</v>
      </c>
      <c r="J17" s="115"/>
      <c r="K17" s="100"/>
      <c r="L17" s="101"/>
      <c r="M17" s="101"/>
      <c r="N17" s="114"/>
      <c r="O17" s="123"/>
      <c r="P17" s="109"/>
      <c r="Q17" s="109"/>
      <c r="R17" s="106"/>
      <c r="S17" s="104"/>
      <c r="T17" s="105"/>
      <c r="U17" s="105"/>
      <c r="V17" s="106"/>
      <c r="W17" s="104"/>
      <c r="X17" s="105"/>
      <c r="Y17" s="109"/>
      <c r="Z17" s="106"/>
      <c r="AA17" s="104"/>
      <c r="AB17" s="105"/>
      <c r="AC17" s="105"/>
      <c r="AD17" s="106"/>
      <c r="AE17" s="104"/>
      <c r="AF17" s="105"/>
      <c r="AG17" s="105"/>
      <c r="AH17" s="103"/>
      <c r="AI17" s="100"/>
      <c r="AJ17" s="101"/>
      <c r="AK17" s="101"/>
      <c r="AL17" s="114"/>
      <c r="AM17" s="113"/>
      <c r="AN17" s="112"/>
      <c r="AO17" s="112"/>
      <c r="AP17" s="103"/>
      <c r="AQ17" s="113"/>
      <c r="AR17" s="112"/>
      <c r="AS17" s="112"/>
      <c r="AT17" s="103"/>
      <c r="AU17" s="113"/>
      <c r="AV17" s="112"/>
      <c r="AW17" s="112"/>
      <c r="AX17" s="103"/>
      <c r="AY17" s="113"/>
      <c r="AZ17" s="112"/>
      <c r="BA17" s="112"/>
      <c r="BB17" s="103"/>
      <c r="BC17" s="113"/>
      <c r="BD17" s="112"/>
      <c r="BE17" s="101"/>
      <c r="BF17" s="114"/>
      <c r="BG17" s="100"/>
      <c r="BH17" s="101"/>
      <c r="BI17" s="101"/>
      <c r="BJ17" s="114"/>
      <c r="BK17" s="100"/>
      <c r="BL17" s="101"/>
      <c r="BM17" s="101"/>
      <c r="BN17" s="114"/>
      <c r="BO17" s="100"/>
      <c r="BP17" s="101"/>
      <c r="BQ17" s="102"/>
      <c r="BR17" s="110"/>
      <c r="BS17" s="111"/>
      <c r="BT17" s="102"/>
      <c r="BU17" s="102"/>
      <c r="BV17" s="110"/>
      <c r="BX17" s="236">
        <v>0.35416666666666702</v>
      </c>
      <c r="BY17" s="236"/>
    </row>
    <row r="18" spans="1:77" ht="18.75" customHeight="1" x14ac:dyDescent="0.25">
      <c r="C18" s="115"/>
      <c r="D18" s="115"/>
      <c r="E18" s="115"/>
      <c r="F18" s="115"/>
      <c r="G18" s="115"/>
      <c r="H18" s="115"/>
      <c r="I18" s="115"/>
      <c r="K18" s="94"/>
      <c r="L18" s="95"/>
      <c r="M18" s="95"/>
      <c r="N18" s="96"/>
      <c r="O18" s="94"/>
      <c r="P18" s="95"/>
      <c r="Q18" s="95"/>
      <c r="R18" s="96"/>
      <c r="S18" s="94"/>
      <c r="T18" s="95"/>
      <c r="U18" s="95"/>
      <c r="V18" s="96"/>
      <c r="W18" s="94"/>
      <c r="X18" s="95"/>
      <c r="Y18" s="95"/>
      <c r="Z18" s="96"/>
      <c r="AA18" s="94"/>
      <c r="AB18" s="95"/>
      <c r="AC18" s="95"/>
      <c r="AD18" s="96"/>
      <c r="AE18" s="94"/>
      <c r="AF18" s="95"/>
      <c r="AG18" s="95"/>
      <c r="AH18" s="96"/>
      <c r="AI18" s="94"/>
      <c r="AJ18" s="95"/>
      <c r="AK18" s="95"/>
      <c r="AL18" s="96"/>
      <c r="AM18" s="94"/>
      <c r="AN18" s="95"/>
      <c r="AO18" s="95"/>
      <c r="AP18" s="96"/>
      <c r="AQ18" s="94"/>
      <c r="AR18" s="95"/>
      <c r="AS18" s="95"/>
      <c r="AT18" s="96"/>
      <c r="AU18" s="94"/>
      <c r="AV18" s="95"/>
      <c r="AW18" s="95"/>
      <c r="AX18" s="96"/>
      <c r="AY18" s="94"/>
      <c r="AZ18" s="95"/>
      <c r="BA18" s="95"/>
      <c r="BB18" s="96"/>
      <c r="BC18" s="94"/>
      <c r="BD18" s="95"/>
      <c r="BE18" s="95"/>
      <c r="BF18" s="96"/>
      <c r="BG18" s="94"/>
      <c r="BH18" s="95"/>
      <c r="BI18" s="95"/>
      <c r="BJ18" s="96"/>
      <c r="BK18" s="94"/>
      <c r="BL18" s="95"/>
      <c r="BM18" s="95"/>
      <c r="BN18" s="96"/>
      <c r="BO18" s="94"/>
      <c r="BP18" s="95"/>
      <c r="BQ18" s="95"/>
      <c r="BR18" s="96"/>
      <c r="BS18" s="94"/>
      <c r="BT18" s="95"/>
      <c r="BU18" s="95"/>
      <c r="BV18" s="96"/>
      <c r="BW18" s="115"/>
    </row>
    <row r="19" spans="1:77" ht="18.75" customHeight="1" x14ac:dyDescent="0.3">
      <c r="A19" s="86">
        <v>7</v>
      </c>
      <c r="C19" s="98" t="s">
        <v>45</v>
      </c>
      <c r="D19" s="98" t="s">
        <v>46</v>
      </c>
      <c r="E19" s="98" t="s">
        <v>46</v>
      </c>
      <c r="F19" s="98" t="s">
        <v>47</v>
      </c>
      <c r="G19" s="98" t="s">
        <v>48</v>
      </c>
      <c r="H19" s="98" t="s">
        <v>49</v>
      </c>
      <c r="I19" s="99" t="s">
        <v>50</v>
      </c>
      <c r="J19" s="115"/>
      <c r="K19" s="100"/>
      <c r="L19" s="101"/>
      <c r="M19" s="101"/>
      <c r="N19" s="114"/>
      <c r="O19" s="123"/>
      <c r="P19" s="109"/>
      <c r="Q19" s="109"/>
      <c r="R19" s="127"/>
      <c r="S19" s="104"/>
      <c r="T19" s="105"/>
      <c r="U19" s="105"/>
      <c r="V19" s="106"/>
      <c r="W19" s="104"/>
      <c r="X19" s="105"/>
      <c r="Y19" s="105"/>
      <c r="Z19" s="106"/>
      <c r="AA19" s="104"/>
      <c r="AB19" s="105"/>
      <c r="AC19" s="112"/>
      <c r="AD19" s="103"/>
      <c r="AE19" s="113"/>
      <c r="AF19" s="112"/>
      <c r="AG19" s="112"/>
      <c r="AH19" s="127"/>
      <c r="AI19" s="100"/>
      <c r="AJ19" s="100"/>
      <c r="AK19" s="100"/>
      <c r="AL19" s="113"/>
      <c r="AM19" s="113"/>
      <c r="AN19" s="113"/>
      <c r="AO19" s="113"/>
      <c r="AP19" s="113"/>
      <c r="AQ19" s="113"/>
      <c r="AR19" s="113"/>
      <c r="AS19" s="113"/>
      <c r="AT19" s="113"/>
      <c r="AU19" s="100"/>
      <c r="AV19" s="113"/>
      <c r="AW19" s="113"/>
      <c r="AX19" s="113"/>
      <c r="AY19" s="113"/>
      <c r="AZ19" s="113"/>
      <c r="BA19" s="113"/>
      <c r="BB19" s="113"/>
      <c r="BC19" s="113"/>
      <c r="BD19" s="113"/>
      <c r="BE19" s="113"/>
      <c r="BF19" s="113"/>
      <c r="BG19" s="113"/>
      <c r="BH19" s="113"/>
      <c r="BI19" s="113"/>
      <c r="BJ19" s="100"/>
      <c r="BK19" s="100"/>
      <c r="BL19" s="100"/>
      <c r="BM19" s="100"/>
      <c r="BN19" s="100"/>
      <c r="BO19" s="100"/>
      <c r="BP19" s="100"/>
      <c r="BQ19" s="100"/>
      <c r="BR19" s="100"/>
      <c r="BS19" s="100"/>
      <c r="BT19" s="101"/>
      <c r="BU19" s="101"/>
      <c r="BV19" s="110"/>
      <c r="BX19" s="236">
        <v>0.375</v>
      </c>
      <c r="BY19" s="236"/>
    </row>
    <row r="20" spans="1:77" ht="18.75" customHeight="1" x14ac:dyDescent="0.25">
      <c r="C20" s="115"/>
      <c r="D20" s="115"/>
      <c r="E20" s="115"/>
      <c r="F20" s="115"/>
      <c r="G20" s="115"/>
      <c r="H20" s="115"/>
      <c r="I20" s="115"/>
      <c r="J20" s="115"/>
      <c r="K20" s="94"/>
      <c r="L20" s="95"/>
      <c r="M20" s="95"/>
      <c r="N20" s="96"/>
      <c r="O20" s="94"/>
      <c r="P20" s="95"/>
      <c r="Q20" s="95"/>
      <c r="R20" s="96"/>
      <c r="S20" s="94"/>
      <c r="T20" s="95"/>
      <c r="U20" s="95"/>
      <c r="V20" s="96"/>
      <c r="W20" s="94"/>
      <c r="X20" s="95"/>
      <c r="Y20" s="95"/>
      <c r="Z20" s="96"/>
      <c r="AA20" s="94"/>
      <c r="AB20" s="95"/>
      <c r="AC20" s="95"/>
      <c r="AD20" s="96"/>
      <c r="AE20" s="94"/>
      <c r="AF20" s="95"/>
      <c r="AG20" s="95"/>
      <c r="AH20" s="96"/>
      <c r="AI20" s="94"/>
      <c r="AJ20" s="95"/>
      <c r="AK20" s="95"/>
      <c r="AL20" s="96"/>
      <c r="AM20" s="94"/>
      <c r="AN20" s="95"/>
      <c r="AO20" s="95"/>
      <c r="AP20" s="96"/>
      <c r="AQ20" s="94"/>
      <c r="AR20" s="95"/>
      <c r="AS20" s="95"/>
      <c r="AT20" s="96"/>
      <c r="AU20" s="94"/>
      <c r="AV20" s="95"/>
      <c r="AW20" s="95"/>
      <c r="AX20" s="96"/>
      <c r="AY20" s="94"/>
      <c r="AZ20" s="95"/>
      <c r="BA20" s="95"/>
      <c r="BB20" s="96"/>
      <c r="BC20" s="94"/>
      <c r="BD20" s="95"/>
      <c r="BE20" s="95"/>
      <c r="BF20" s="96"/>
      <c r="BG20" s="94"/>
      <c r="BH20" s="95"/>
      <c r="BI20" s="95"/>
      <c r="BJ20" s="96"/>
      <c r="BK20" s="94"/>
      <c r="BL20" s="95"/>
      <c r="BM20" s="95"/>
      <c r="BN20" s="96"/>
      <c r="BO20" s="94"/>
      <c r="BP20" s="95"/>
      <c r="BQ20" s="95"/>
      <c r="BR20" s="96"/>
      <c r="BS20" s="94"/>
      <c r="BT20" s="95"/>
      <c r="BU20" s="95"/>
      <c r="BV20" s="96"/>
    </row>
    <row r="21" spans="1:77" ht="18.75" customHeight="1" x14ac:dyDescent="0.3">
      <c r="A21" s="86">
        <v>8</v>
      </c>
      <c r="C21" s="98" t="s">
        <v>45</v>
      </c>
      <c r="D21" s="98" t="s">
        <v>46</v>
      </c>
      <c r="E21" s="98" t="s">
        <v>46</v>
      </c>
      <c r="F21" s="98" t="s">
        <v>47</v>
      </c>
      <c r="G21" s="98" t="s">
        <v>48</v>
      </c>
      <c r="H21" s="98" t="s">
        <v>49</v>
      </c>
      <c r="I21" s="99" t="s">
        <v>50</v>
      </c>
      <c r="J21" s="115"/>
      <c r="K21" s="111"/>
      <c r="L21" s="101"/>
      <c r="M21" s="101"/>
      <c r="N21" s="114"/>
      <c r="O21" s="100"/>
      <c r="P21" s="101"/>
      <c r="Q21" s="101"/>
      <c r="R21" s="114"/>
      <c r="S21" s="100"/>
      <c r="T21" s="101"/>
      <c r="U21" s="101"/>
      <c r="V21" s="114"/>
      <c r="W21" s="100"/>
      <c r="X21" s="105"/>
      <c r="Y21" s="105"/>
      <c r="Z21" s="103"/>
      <c r="AA21" s="113"/>
      <c r="AB21" s="112"/>
      <c r="AC21" s="112"/>
      <c r="AD21" s="103"/>
      <c r="AE21" s="104"/>
      <c r="AF21" s="105"/>
      <c r="AG21" s="105"/>
      <c r="AH21" s="103"/>
      <c r="AI21" s="100"/>
      <c r="AJ21" s="101"/>
      <c r="AK21" s="101"/>
      <c r="AL21" s="114"/>
      <c r="AM21" s="113"/>
      <c r="AN21" s="112"/>
      <c r="AO21" s="112"/>
      <c r="AP21" s="103"/>
      <c r="AQ21" s="113"/>
      <c r="AR21" s="112"/>
      <c r="AS21" s="101"/>
      <c r="AT21" s="103"/>
      <c r="AU21" s="113"/>
      <c r="AV21" s="112"/>
      <c r="AW21" s="112"/>
      <c r="AX21" s="103"/>
      <c r="AY21" s="113"/>
      <c r="AZ21" s="112"/>
      <c r="BA21" s="112"/>
      <c r="BB21" s="103"/>
      <c r="BC21" s="113"/>
      <c r="BD21" s="112"/>
      <c r="BE21" s="112"/>
      <c r="BF21" s="103"/>
      <c r="BG21" s="113"/>
      <c r="BH21" s="116"/>
      <c r="BI21" s="101"/>
      <c r="BJ21" s="114"/>
      <c r="BK21" s="100"/>
      <c r="BL21" s="101"/>
      <c r="BM21" s="101"/>
      <c r="BN21" s="114"/>
      <c r="BO21" s="100"/>
      <c r="BP21" s="101"/>
      <c r="BQ21" s="102"/>
      <c r="BR21" s="110"/>
      <c r="BS21" s="111"/>
      <c r="BT21" s="102"/>
      <c r="BU21" s="102"/>
      <c r="BV21" s="110"/>
      <c r="BX21" s="236">
        <v>0.33333333333333298</v>
      </c>
      <c r="BY21" s="236"/>
    </row>
    <row r="22" spans="1:77" ht="18.75" customHeight="1" x14ac:dyDescent="0.25">
      <c r="C22" s="115"/>
      <c r="D22" s="115"/>
      <c r="E22" s="115"/>
      <c r="F22" s="115"/>
      <c r="G22" s="115"/>
      <c r="H22" s="115"/>
      <c r="I22" s="115"/>
      <c r="J22" s="115"/>
      <c r="K22" s="94"/>
      <c r="L22" s="95"/>
      <c r="M22" s="95"/>
      <c r="N22" s="96"/>
      <c r="O22" s="94"/>
      <c r="P22" s="95"/>
      <c r="Q22" s="95"/>
      <c r="R22" s="96"/>
      <c r="S22" s="94"/>
      <c r="T22" s="95"/>
      <c r="U22" s="95"/>
      <c r="V22" s="96"/>
      <c r="W22" s="94"/>
      <c r="X22" s="95"/>
      <c r="Y22" s="95"/>
      <c r="Z22" s="96"/>
      <c r="AA22" s="94"/>
      <c r="AB22" s="95"/>
      <c r="AC22" s="95"/>
      <c r="AD22" s="96"/>
      <c r="AE22" s="94"/>
      <c r="AF22" s="95"/>
      <c r="AG22" s="95"/>
      <c r="AH22" s="96"/>
      <c r="AI22" s="94"/>
      <c r="AJ22" s="95"/>
      <c r="AK22" s="95"/>
      <c r="AL22" s="96"/>
      <c r="AM22" s="94"/>
      <c r="AN22" s="95"/>
      <c r="AO22" s="95"/>
      <c r="AP22" s="96"/>
      <c r="AQ22" s="94"/>
      <c r="AR22" s="95"/>
      <c r="AS22" s="95"/>
      <c r="AT22" s="96"/>
      <c r="AU22" s="94"/>
      <c r="AV22" s="95"/>
      <c r="AW22" s="95"/>
      <c r="AX22" s="96"/>
      <c r="AY22" s="94"/>
      <c r="AZ22" s="95"/>
      <c r="BA22" s="95"/>
      <c r="BB22" s="96"/>
      <c r="BC22" s="94"/>
      <c r="BD22" s="95"/>
      <c r="BE22" s="95"/>
      <c r="BF22" s="96"/>
      <c r="BG22" s="94"/>
      <c r="BH22" s="95"/>
      <c r="BI22" s="95"/>
      <c r="BJ22" s="96"/>
      <c r="BK22" s="94"/>
      <c r="BL22" s="95"/>
      <c r="BM22" s="95"/>
      <c r="BN22" s="96"/>
      <c r="BO22" s="94"/>
      <c r="BP22" s="95"/>
      <c r="BQ22" s="95"/>
      <c r="BR22" s="96"/>
      <c r="BS22" s="94"/>
      <c r="BT22" s="95"/>
      <c r="BU22" s="95"/>
      <c r="BV22" s="96"/>
    </row>
    <row r="23" spans="1:77" ht="18.75" customHeight="1" x14ac:dyDescent="0.3">
      <c r="A23" s="86">
        <v>9</v>
      </c>
      <c r="C23" s="98" t="s">
        <v>45</v>
      </c>
      <c r="D23" s="98" t="s">
        <v>46</v>
      </c>
      <c r="E23" s="98" t="s">
        <v>46</v>
      </c>
      <c r="F23" s="98" t="s">
        <v>47</v>
      </c>
      <c r="G23" s="98" t="s">
        <v>48</v>
      </c>
      <c r="H23" s="98" t="s">
        <v>49</v>
      </c>
      <c r="I23" s="99" t="s">
        <v>50</v>
      </c>
      <c r="K23" s="100"/>
      <c r="L23" s="101"/>
      <c r="M23" s="101"/>
      <c r="N23" s="114"/>
      <c r="O23" s="100"/>
      <c r="P23" s="101"/>
      <c r="Q23" s="101"/>
      <c r="R23" s="114"/>
      <c r="S23" s="101"/>
      <c r="T23" s="101"/>
      <c r="U23" s="101"/>
      <c r="V23" s="114"/>
      <c r="W23" s="100"/>
      <c r="X23" s="109"/>
      <c r="Y23" s="109"/>
      <c r="Z23" s="114"/>
      <c r="AA23" s="100"/>
      <c r="AB23" s="101"/>
      <c r="AC23" s="101"/>
      <c r="AD23" s="114"/>
      <c r="AE23" s="104"/>
      <c r="AF23" s="105"/>
      <c r="AG23" s="105"/>
      <c r="AH23" s="103"/>
      <c r="AI23" s="113"/>
      <c r="AJ23" s="112"/>
      <c r="AK23" s="112"/>
      <c r="AL23" s="114"/>
      <c r="AM23" s="100"/>
      <c r="AN23" s="101"/>
      <c r="AO23" s="112"/>
      <c r="AP23" s="103"/>
      <c r="AQ23" s="113"/>
      <c r="AR23" s="112"/>
      <c r="AS23" s="112"/>
      <c r="AT23" s="103"/>
      <c r="AU23" s="113"/>
      <c r="AV23" s="112"/>
      <c r="AW23" s="112"/>
      <c r="AX23" s="103"/>
      <c r="AY23" s="113"/>
      <c r="AZ23" s="112"/>
      <c r="BA23" s="112"/>
      <c r="BB23" s="114"/>
      <c r="BC23" s="100"/>
      <c r="BD23" s="112"/>
      <c r="BE23" s="112"/>
      <c r="BF23" s="103"/>
      <c r="BG23" s="113"/>
      <c r="BH23" s="112"/>
      <c r="BI23" s="112"/>
      <c r="BJ23" s="103"/>
      <c r="BK23" s="100"/>
      <c r="BL23" s="101"/>
      <c r="BM23" s="101"/>
      <c r="BN23" s="114"/>
      <c r="BO23" s="100"/>
      <c r="BP23" s="101"/>
      <c r="BQ23" s="101"/>
      <c r="BR23" s="114"/>
      <c r="BS23" s="111"/>
      <c r="BT23" s="102"/>
      <c r="BU23" s="102"/>
      <c r="BV23" s="110"/>
      <c r="BX23" s="236">
        <v>0.29166666666666702</v>
      </c>
      <c r="BY23" s="236"/>
    </row>
    <row r="24" spans="1:77" ht="18.75" customHeight="1" x14ac:dyDescent="0.25">
      <c r="C24" s="115"/>
      <c r="D24" s="115"/>
      <c r="E24" s="115"/>
      <c r="F24" s="115"/>
      <c r="G24" s="115"/>
      <c r="H24" s="115"/>
      <c r="I24" s="115"/>
      <c r="J24" s="115"/>
      <c r="K24" s="94"/>
      <c r="L24" s="95"/>
      <c r="M24" s="95"/>
      <c r="N24" s="96"/>
      <c r="O24" s="94"/>
      <c r="P24" s="95"/>
      <c r="Q24" s="95"/>
      <c r="R24" s="96"/>
      <c r="S24" s="94"/>
      <c r="T24" s="95"/>
      <c r="U24" s="95"/>
      <c r="V24" s="96"/>
      <c r="W24" s="94"/>
      <c r="X24" s="95"/>
      <c r="Y24" s="95"/>
      <c r="Z24" s="96"/>
      <c r="AA24" s="94"/>
      <c r="AB24" s="95"/>
      <c r="AC24" s="95"/>
      <c r="AD24" s="96"/>
      <c r="AE24" s="94"/>
      <c r="AF24" s="95"/>
      <c r="AG24" s="95"/>
      <c r="AH24" s="96"/>
      <c r="AI24" s="94"/>
      <c r="AJ24" s="95"/>
      <c r="AK24" s="95"/>
      <c r="AL24" s="96"/>
      <c r="AM24" s="94"/>
      <c r="AN24" s="95"/>
      <c r="AO24" s="95"/>
      <c r="AP24" s="96"/>
      <c r="AQ24" s="94"/>
      <c r="AR24" s="95"/>
      <c r="AS24" s="95"/>
      <c r="AT24" s="96"/>
      <c r="AU24" s="94"/>
      <c r="AV24" s="95"/>
      <c r="AW24" s="95"/>
      <c r="AX24" s="96"/>
      <c r="AY24" s="94"/>
      <c r="AZ24" s="95"/>
      <c r="BA24" s="95"/>
      <c r="BB24" s="96"/>
      <c r="BC24" s="94"/>
      <c r="BD24" s="95"/>
      <c r="BE24" s="95"/>
      <c r="BF24" s="96"/>
      <c r="BG24" s="94"/>
      <c r="BH24" s="95"/>
      <c r="BI24" s="95"/>
      <c r="BJ24" s="96"/>
      <c r="BK24" s="94"/>
      <c r="BL24" s="95"/>
      <c r="BM24" s="95"/>
      <c r="BN24" s="96"/>
      <c r="BO24" s="94"/>
      <c r="BP24" s="95"/>
      <c r="BQ24" s="95"/>
      <c r="BR24" s="96"/>
      <c r="BS24" s="94"/>
      <c r="BT24" s="95"/>
      <c r="BU24" s="95"/>
      <c r="BV24" s="96"/>
    </row>
    <row r="25" spans="1:77" ht="18.75" customHeight="1" x14ac:dyDescent="0.3">
      <c r="A25" s="86">
        <v>10</v>
      </c>
      <c r="C25" s="98" t="s">
        <v>45</v>
      </c>
      <c r="D25" s="98" t="s">
        <v>46</v>
      </c>
      <c r="E25" s="98" t="s">
        <v>46</v>
      </c>
      <c r="F25" s="98" t="s">
        <v>47</v>
      </c>
      <c r="G25" s="98" t="s">
        <v>48</v>
      </c>
      <c r="H25" s="98" t="s">
        <v>49</v>
      </c>
      <c r="I25" s="99" t="s">
        <v>50</v>
      </c>
      <c r="K25" s="100"/>
      <c r="L25" s="102"/>
      <c r="M25" s="101"/>
      <c r="N25" s="114"/>
      <c r="O25" s="100"/>
      <c r="P25" s="101"/>
      <c r="Q25" s="101"/>
      <c r="R25" s="114"/>
      <c r="S25" s="100"/>
      <c r="T25" s="101"/>
      <c r="U25" s="101"/>
      <c r="V25" s="114"/>
      <c r="W25" s="123"/>
      <c r="X25" s="109"/>
      <c r="Y25" s="109"/>
      <c r="Z25" s="106"/>
      <c r="AA25" s="113"/>
      <c r="AB25" s="112"/>
      <c r="AC25" s="105"/>
      <c r="AD25" s="103"/>
      <c r="AE25" s="113"/>
      <c r="AF25" s="105"/>
      <c r="AG25" s="105"/>
      <c r="AH25" s="103"/>
      <c r="AI25" s="113"/>
      <c r="AJ25" s="112"/>
      <c r="AK25" s="101"/>
      <c r="AL25" s="114"/>
      <c r="AM25" s="100"/>
      <c r="AN25" s="112"/>
      <c r="AO25" s="112"/>
      <c r="AP25" s="103"/>
      <c r="AQ25" s="113"/>
      <c r="AR25" s="113"/>
      <c r="AS25" s="113"/>
      <c r="AT25" s="103"/>
      <c r="AU25" s="112"/>
      <c r="AV25" s="112"/>
      <c r="AW25" s="112"/>
      <c r="AX25" s="103"/>
      <c r="AY25" s="113"/>
      <c r="AZ25" s="112"/>
      <c r="BA25" s="112"/>
      <c r="BB25" s="114"/>
      <c r="BC25" s="100"/>
      <c r="BD25" s="112"/>
      <c r="BE25" s="112"/>
      <c r="BF25" s="103"/>
      <c r="BG25" s="113"/>
      <c r="BH25" s="112"/>
      <c r="BI25" s="112"/>
      <c r="BJ25" s="103"/>
      <c r="BK25" s="100"/>
      <c r="BL25" s="101"/>
      <c r="BM25" s="101"/>
      <c r="BN25" s="114"/>
      <c r="BO25" s="100"/>
      <c r="BP25" s="101"/>
      <c r="BQ25" s="102"/>
      <c r="BR25" s="110"/>
      <c r="BS25" s="111"/>
      <c r="BT25" s="102"/>
      <c r="BU25" s="102"/>
      <c r="BV25" s="110"/>
      <c r="BX25" s="236">
        <v>0.33333333333333298</v>
      </c>
      <c r="BY25" s="236"/>
    </row>
    <row r="26" spans="1:77" ht="18.75" customHeight="1" x14ac:dyDescent="0.25">
      <c r="C26" s="115"/>
      <c r="D26" s="115"/>
      <c r="E26" s="115"/>
      <c r="F26" s="115"/>
      <c r="G26" s="115"/>
      <c r="H26" s="115"/>
      <c r="I26" s="115"/>
      <c r="J26" s="115"/>
      <c r="K26" s="94"/>
      <c r="L26" s="95"/>
      <c r="M26" s="95"/>
      <c r="N26" s="96"/>
      <c r="O26" s="94"/>
      <c r="P26" s="95"/>
      <c r="Q26" s="95"/>
      <c r="R26" s="96"/>
      <c r="S26" s="94"/>
      <c r="T26" s="95"/>
      <c r="U26" s="95"/>
      <c r="V26" s="96"/>
      <c r="W26" s="94"/>
      <c r="X26" s="95"/>
      <c r="Y26" s="95"/>
      <c r="Z26" s="96"/>
      <c r="AA26" s="94"/>
      <c r="AB26" s="95"/>
      <c r="AC26" s="95"/>
      <c r="AD26" s="96"/>
      <c r="AE26" s="94"/>
      <c r="AF26" s="95"/>
      <c r="AG26" s="95"/>
      <c r="AH26" s="96"/>
      <c r="AI26" s="94"/>
      <c r="AJ26" s="95"/>
      <c r="AK26" s="95"/>
      <c r="AL26" s="96"/>
      <c r="AM26" s="94"/>
      <c r="AN26" s="95"/>
      <c r="AO26" s="95"/>
      <c r="AP26" s="96"/>
      <c r="AQ26" s="94"/>
      <c r="AR26" s="95"/>
      <c r="AS26" s="95"/>
      <c r="AT26" s="96"/>
      <c r="AU26" s="94"/>
      <c r="AV26" s="95"/>
      <c r="AW26" s="95"/>
      <c r="AX26" s="96"/>
      <c r="AY26" s="94"/>
      <c r="AZ26" s="95"/>
      <c r="BA26" s="95"/>
      <c r="BB26" s="96"/>
      <c r="BC26" s="94"/>
      <c r="BD26" s="95"/>
      <c r="BE26" s="95"/>
      <c r="BF26" s="96"/>
      <c r="BG26" s="94"/>
      <c r="BH26" s="95"/>
      <c r="BI26" s="95"/>
      <c r="BJ26" s="96"/>
      <c r="BK26" s="94"/>
      <c r="BL26" s="95"/>
      <c r="BM26" s="95"/>
      <c r="BN26" s="96"/>
      <c r="BO26" s="94"/>
      <c r="BP26" s="95"/>
      <c r="BQ26" s="95"/>
      <c r="BR26" s="96"/>
      <c r="BS26" s="94"/>
      <c r="BT26" s="95"/>
      <c r="BU26" s="95"/>
      <c r="BV26" s="96"/>
    </row>
    <row r="27" spans="1:77" ht="18.75" customHeight="1" x14ac:dyDescent="0.3">
      <c r="A27" s="86">
        <v>11</v>
      </c>
      <c r="C27" s="98" t="s">
        <v>45</v>
      </c>
      <c r="D27" s="98" t="s">
        <v>46</v>
      </c>
      <c r="E27" s="98" t="s">
        <v>46</v>
      </c>
      <c r="F27" s="99" t="s">
        <v>47</v>
      </c>
      <c r="G27" s="98" t="s">
        <v>48</v>
      </c>
      <c r="H27" s="98" t="s">
        <v>49</v>
      </c>
      <c r="I27" s="99" t="s">
        <v>50</v>
      </c>
      <c r="K27" s="100"/>
      <c r="L27" s="101"/>
      <c r="M27" s="101"/>
      <c r="N27" s="114"/>
      <c r="O27" s="123"/>
      <c r="P27" s="109"/>
      <c r="Q27" s="109"/>
      <c r="R27" s="127"/>
      <c r="S27" s="123"/>
      <c r="T27" s="109"/>
      <c r="U27" s="109"/>
      <c r="V27" s="103"/>
      <c r="W27" s="113"/>
      <c r="X27" s="112"/>
      <c r="Y27" s="105"/>
      <c r="Z27" s="106"/>
      <c r="AA27" s="104"/>
      <c r="AB27" s="105"/>
      <c r="AC27" s="105"/>
      <c r="AD27" s="106"/>
      <c r="AE27" s="104"/>
      <c r="AF27" s="105"/>
      <c r="AG27" s="105"/>
      <c r="AH27" s="103"/>
      <c r="AI27" s="113"/>
      <c r="AJ27" s="101"/>
      <c r="AK27" s="101"/>
      <c r="AL27" s="114"/>
      <c r="AM27" s="113"/>
      <c r="AN27" s="112"/>
      <c r="AO27" s="112"/>
      <c r="AP27" s="103"/>
      <c r="AQ27" s="113"/>
      <c r="AR27" s="112"/>
      <c r="AS27" s="112"/>
      <c r="AT27" s="103"/>
      <c r="AU27" s="113"/>
      <c r="AV27" s="112"/>
      <c r="AW27" s="112"/>
      <c r="AX27" s="103"/>
      <c r="AY27" s="113"/>
      <c r="AZ27" s="112"/>
      <c r="BA27" s="112"/>
      <c r="BB27" s="114"/>
      <c r="BC27" s="100"/>
      <c r="BD27" s="112"/>
      <c r="BE27" s="112"/>
      <c r="BF27" s="103"/>
      <c r="BG27" s="113"/>
      <c r="BH27" s="112"/>
      <c r="BI27" s="101"/>
      <c r="BJ27" s="114"/>
      <c r="BK27" s="100"/>
      <c r="BL27" s="101"/>
      <c r="BM27" s="101"/>
      <c r="BN27" s="114"/>
      <c r="BO27" s="100"/>
      <c r="BP27" s="101"/>
      <c r="BQ27" s="101"/>
      <c r="BR27" s="110"/>
      <c r="BS27" s="111"/>
      <c r="BT27" s="102"/>
      <c r="BU27" s="102"/>
      <c r="BV27" s="110"/>
      <c r="BX27" s="236">
        <v>0.35416666666666702</v>
      </c>
      <c r="BY27" s="236"/>
    </row>
    <row r="28" spans="1:77" ht="18.75" customHeight="1" x14ac:dyDescent="0.25">
      <c r="C28" s="237"/>
      <c r="D28" s="237"/>
      <c r="E28" s="237"/>
      <c r="F28" s="237"/>
      <c r="G28" s="237"/>
      <c r="H28" s="237"/>
      <c r="I28" s="128"/>
      <c r="J28" s="115"/>
      <c r="K28" s="94"/>
      <c r="L28" s="95"/>
      <c r="M28" s="95"/>
      <c r="N28" s="96"/>
      <c r="O28" s="94"/>
      <c r="P28" s="95"/>
      <c r="Q28" s="95"/>
      <c r="R28" s="96"/>
      <c r="S28" s="94"/>
      <c r="T28" s="95"/>
      <c r="U28" s="95"/>
      <c r="V28" s="96"/>
      <c r="W28" s="94"/>
      <c r="X28" s="95"/>
      <c r="Y28" s="95"/>
      <c r="Z28" s="96"/>
      <c r="AA28" s="94"/>
      <c r="AB28" s="95"/>
      <c r="AC28" s="95"/>
      <c r="AD28" s="96"/>
      <c r="AE28" s="94"/>
      <c r="AF28" s="95"/>
      <c r="AG28" s="95"/>
      <c r="AH28" s="96"/>
      <c r="AI28" s="94"/>
      <c r="AJ28" s="95"/>
      <c r="AK28" s="95"/>
      <c r="AL28" s="96"/>
      <c r="AM28" s="94"/>
      <c r="AN28" s="95"/>
      <c r="AO28" s="95"/>
      <c r="AP28" s="96"/>
      <c r="AQ28" s="94"/>
      <c r="AR28" s="95"/>
      <c r="AS28" s="95"/>
      <c r="AT28" s="96"/>
      <c r="AU28" s="94"/>
      <c r="AV28" s="95"/>
      <c r="AW28" s="95"/>
      <c r="AX28" s="96"/>
      <c r="AY28" s="94"/>
      <c r="AZ28" s="95"/>
      <c r="BA28" s="95"/>
      <c r="BB28" s="96"/>
      <c r="BC28" s="94"/>
      <c r="BD28" s="95"/>
      <c r="BE28" s="95"/>
      <c r="BF28" s="96"/>
      <c r="BG28" s="94"/>
      <c r="BH28" s="95"/>
      <c r="BI28" s="95"/>
      <c r="BJ28" s="96"/>
      <c r="BK28" s="94"/>
      <c r="BL28" s="95"/>
      <c r="BM28" s="95"/>
      <c r="BN28" s="96"/>
      <c r="BO28" s="94"/>
      <c r="BP28" s="95"/>
      <c r="BQ28" s="95"/>
      <c r="BR28" s="96"/>
      <c r="BS28" s="94"/>
      <c r="BT28" s="95"/>
      <c r="BU28" s="95"/>
      <c r="BV28" s="96"/>
    </row>
    <row r="29" spans="1:77" ht="18.75" customHeight="1" x14ac:dyDescent="0.3">
      <c r="A29" s="86">
        <v>12</v>
      </c>
      <c r="C29" s="98" t="s">
        <v>45</v>
      </c>
      <c r="D29" s="98" t="s">
        <v>46</v>
      </c>
      <c r="E29" s="98" t="s">
        <v>46</v>
      </c>
      <c r="F29" s="99" t="s">
        <v>47</v>
      </c>
      <c r="G29" s="98" t="s">
        <v>48</v>
      </c>
      <c r="H29" s="98" t="s">
        <v>49</v>
      </c>
      <c r="I29" s="99" t="s">
        <v>50</v>
      </c>
      <c r="K29" s="100"/>
      <c r="L29" s="101"/>
      <c r="M29" s="101"/>
      <c r="N29" s="114"/>
      <c r="O29" s="100"/>
      <c r="P29" s="101"/>
      <c r="Q29" s="101"/>
      <c r="R29" s="114"/>
      <c r="S29" s="100"/>
      <c r="T29" s="101"/>
      <c r="U29" s="112"/>
      <c r="V29" s="103"/>
      <c r="W29" s="113"/>
      <c r="X29" s="113"/>
      <c r="Y29" s="105"/>
      <c r="Z29" s="103"/>
      <c r="AA29" s="113"/>
      <c r="AB29" s="112"/>
      <c r="AC29" s="112"/>
      <c r="AD29" s="103"/>
      <c r="AE29" s="104"/>
      <c r="AF29" s="105"/>
      <c r="AG29" s="105"/>
      <c r="AH29" s="114"/>
      <c r="AI29" s="100"/>
      <c r="AJ29" s="101"/>
      <c r="AK29" s="112"/>
      <c r="AL29" s="103"/>
      <c r="AM29" s="113"/>
      <c r="AN29" s="112"/>
      <c r="AO29" s="112"/>
      <c r="AP29" s="103"/>
      <c r="AQ29" s="113"/>
      <c r="AR29" s="112"/>
      <c r="AS29" s="112"/>
      <c r="AT29" s="103"/>
      <c r="AU29" s="113"/>
      <c r="AV29" s="112"/>
      <c r="AW29" s="112"/>
      <c r="AX29" s="103"/>
      <c r="AY29" s="113"/>
      <c r="AZ29" s="101"/>
      <c r="BA29" s="101"/>
      <c r="BB29" s="114"/>
      <c r="BC29" s="113"/>
      <c r="BD29" s="112"/>
      <c r="BE29" s="112"/>
      <c r="BF29" s="103"/>
      <c r="BG29" s="113"/>
      <c r="BH29" s="112"/>
      <c r="BI29" s="112"/>
      <c r="BJ29" s="103"/>
      <c r="BK29" s="100"/>
      <c r="BL29" s="101"/>
      <c r="BM29" s="101"/>
      <c r="BN29" s="114"/>
      <c r="BO29" s="100"/>
      <c r="BP29" s="101"/>
      <c r="BQ29" s="102"/>
      <c r="BR29" s="110"/>
      <c r="BS29" s="111"/>
      <c r="BT29" s="102"/>
      <c r="BU29" s="102"/>
      <c r="BV29" s="110"/>
      <c r="BX29" s="236">
        <v>0.375</v>
      </c>
      <c r="BY29" s="236"/>
    </row>
    <row r="30" spans="1:77" ht="18.75" customHeight="1" x14ac:dyDescent="0.25">
      <c r="C30" s="115"/>
      <c r="D30" s="115"/>
      <c r="E30" s="115"/>
      <c r="F30" s="115"/>
      <c r="G30" s="115"/>
      <c r="H30" s="115"/>
      <c r="I30" s="115"/>
      <c r="J30" s="115"/>
      <c r="K30" s="94"/>
      <c r="L30" s="95"/>
      <c r="M30" s="95"/>
      <c r="N30" s="96"/>
      <c r="O30" s="94"/>
      <c r="P30" s="95"/>
      <c r="Q30" s="95"/>
      <c r="R30" s="96"/>
      <c r="S30" s="94"/>
      <c r="T30" s="95"/>
      <c r="U30" s="95"/>
      <c r="V30" s="96"/>
      <c r="W30" s="94"/>
      <c r="X30" s="95"/>
      <c r="Y30" s="95"/>
      <c r="Z30" s="96"/>
      <c r="AA30" s="94"/>
      <c r="AB30" s="95"/>
      <c r="AC30" s="95"/>
      <c r="AD30" s="96"/>
      <c r="AE30" s="94"/>
      <c r="AF30" s="95"/>
      <c r="AG30" s="95"/>
      <c r="AH30" s="96"/>
      <c r="AI30" s="94"/>
      <c r="AJ30" s="95"/>
      <c r="AK30" s="95"/>
      <c r="AL30" s="96"/>
      <c r="AM30" s="94"/>
      <c r="AN30" s="95"/>
      <c r="AO30" s="95"/>
      <c r="AP30" s="96"/>
      <c r="AQ30" s="94"/>
      <c r="AR30" s="95"/>
      <c r="AS30" s="95"/>
      <c r="AT30" s="96"/>
      <c r="AU30" s="94"/>
      <c r="AV30" s="95"/>
      <c r="AW30" s="95"/>
      <c r="AX30" s="96"/>
      <c r="AY30" s="94"/>
      <c r="AZ30" s="95"/>
      <c r="BA30" s="95"/>
      <c r="BB30" s="96"/>
      <c r="BC30" s="94"/>
      <c r="BD30" s="95"/>
      <c r="BE30" s="95"/>
      <c r="BF30" s="96"/>
      <c r="BG30" s="94"/>
      <c r="BH30" s="95"/>
      <c r="BI30" s="95"/>
      <c r="BJ30" s="96"/>
      <c r="BK30" s="94"/>
      <c r="BL30" s="95"/>
      <c r="BM30" s="95"/>
      <c r="BN30" s="96"/>
      <c r="BO30" s="94"/>
      <c r="BP30" s="95"/>
      <c r="BQ30" s="95"/>
      <c r="BR30" s="96"/>
      <c r="BS30" s="94"/>
      <c r="BT30" s="95"/>
      <c r="BU30" s="95"/>
      <c r="BV30" s="96"/>
    </row>
    <row r="31" spans="1:77" ht="18.75" customHeight="1" x14ac:dyDescent="0.3">
      <c r="A31" s="86">
        <v>13</v>
      </c>
      <c r="C31" s="99" t="s">
        <v>45</v>
      </c>
      <c r="D31" s="99" t="s">
        <v>46</v>
      </c>
      <c r="E31" s="99" t="s">
        <v>46</v>
      </c>
      <c r="F31" s="99" t="s">
        <v>47</v>
      </c>
      <c r="G31" s="99" t="s">
        <v>48</v>
      </c>
      <c r="H31" s="99" t="s">
        <v>49</v>
      </c>
      <c r="I31" s="99" t="s">
        <v>50</v>
      </c>
      <c r="K31" s="111"/>
      <c r="L31" s="101"/>
      <c r="M31" s="101"/>
      <c r="N31" s="114"/>
      <c r="O31" s="123"/>
      <c r="P31" s="109"/>
      <c r="Q31" s="109"/>
      <c r="R31" s="127"/>
      <c r="S31" s="123"/>
      <c r="T31" s="109"/>
      <c r="U31" s="109"/>
      <c r="V31" s="127"/>
      <c r="W31" s="123"/>
      <c r="X31" s="109"/>
      <c r="Y31" s="109"/>
      <c r="Z31" s="127"/>
      <c r="AA31" s="123"/>
      <c r="AB31" s="109"/>
      <c r="AC31" s="101"/>
      <c r="AD31" s="114"/>
      <c r="AE31" s="100"/>
      <c r="AF31" s="101"/>
      <c r="AG31" s="116"/>
      <c r="AH31" s="117"/>
      <c r="AI31" s="118"/>
      <c r="AJ31" s="116"/>
      <c r="AK31" s="116"/>
      <c r="AL31" s="117"/>
      <c r="AM31" s="118"/>
      <c r="AN31" s="124"/>
      <c r="AO31" s="124"/>
      <c r="AP31" s="117"/>
      <c r="AQ31" s="118"/>
      <c r="AR31" s="116"/>
      <c r="AS31" s="116"/>
      <c r="AT31" s="117"/>
      <c r="AU31" s="118"/>
      <c r="AV31" s="116"/>
      <c r="AW31" s="116"/>
      <c r="AX31" s="117"/>
      <c r="AY31" s="118"/>
      <c r="AZ31" s="116"/>
      <c r="BA31" s="116"/>
      <c r="BB31" s="117"/>
      <c r="BC31" s="118"/>
      <c r="BD31" s="124"/>
      <c r="BE31" s="124"/>
      <c r="BF31" s="119"/>
      <c r="BG31" s="118"/>
      <c r="BH31" s="116"/>
      <c r="BI31" s="116"/>
      <c r="BJ31" s="117"/>
      <c r="BK31" s="118"/>
      <c r="BL31" s="116"/>
      <c r="BM31" s="112"/>
      <c r="BN31" s="103"/>
      <c r="BO31" s="100"/>
      <c r="BP31" s="101"/>
      <c r="BQ31" s="102"/>
      <c r="BR31" s="110"/>
      <c r="BS31" s="111"/>
      <c r="BT31" s="102"/>
      <c r="BU31" s="102"/>
      <c r="BV31" s="110"/>
      <c r="BX31" s="236">
        <v>0.30208333333333298</v>
      </c>
      <c r="BY31" s="236"/>
    </row>
    <row r="32" spans="1:77" ht="18.75" customHeight="1" x14ac:dyDescent="0.25">
      <c r="K32" s="94"/>
      <c r="L32" s="95"/>
      <c r="M32" s="95"/>
      <c r="N32" s="96"/>
      <c r="O32" s="94"/>
      <c r="P32" s="95"/>
      <c r="Q32" s="95"/>
      <c r="R32" s="96"/>
      <c r="S32" s="94"/>
      <c r="T32" s="95"/>
      <c r="U32" s="95"/>
      <c r="V32" s="96"/>
      <c r="W32" s="94"/>
      <c r="X32" s="95"/>
      <c r="Y32" s="95"/>
      <c r="Z32" s="96"/>
      <c r="AA32" s="94"/>
      <c r="AB32" s="95"/>
      <c r="AC32" s="95"/>
      <c r="AD32" s="96"/>
      <c r="AE32" s="94"/>
      <c r="AF32" s="95"/>
      <c r="AG32" s="95"/>
      <c r="AH32" s="96"/>
      <c r="AI32" s="94"/>
      <c r="AJ32" s="95"/>
      <c r="AK32" s="95"/>
      <c r="AL32" s="96"/>
      <c r="AM32" s="94"/>
      <c r="AN32" s="95"/>
      <c r="AO32" s="95"/>
      <c r="AP32" s="96"/>
      <c r="AQ32" s="94"/>
      <c r="AR32" s="95"/>
      <c r="AS32" s="95"/>
      <c r="AT32" s="96"/>
      <c r="AU32" s="94"/>
      <c r="AV32" s="95"/>
      <c r="AW32" s="95"/>
      <c r="AX32" s="96"/>
      <c r="AY32" s="94"/>
      <c r="AZ32" s="95"/>
      <c r="BA32" s="95"/>
      <c r="BB32" s="96"/>
      <c r="BC32" s="94"/>
      <c r="BD32" s="95"/>
      <c r="BE32" s="95"/>
      <c r="BF32" s="96"/>
      <c r="BG32" s="94"/>
      <c r="BH32" s="95"/>
      <c r="BI32" s="95"/>
      <c r="BJ32" s="96"/>
      <c r="BK32" s="94"/>
      <c r="BL32" s="95"/>
      <c r="BM32" s="95"/>
      <c r="BN32" s="96"/>
      <c r="BO32" s="94"/>
      <c r="BP32" s="95"/>
      <c r="BQ32" s="95"/>
      <c r="BR32" s="96"/>
      <c r="BS32" s="94"/>
      <c r="BT32" s="95"/>
      <c r="BU32" s="95"/>
      <c r="BV32" s="96"/>
    </row>
    <row r="33" spans="1:77" ht="18.75" customHeight="1" x14ac:dyDescent="0.3">
      <c r="A33" s="86">
        <v>14</v>
      </c>
      <c r="C33" s="99" t="s">
        <v>45</v>
      </c>
      <c r="D33" s="99" t="s">
        <v>46</v>
      </c>
      <c r="E33" s="99" t="s">
        <v>46</v>
      </c>
      <c r="F33" s="99" t="s">
        <v>47</v>
      </c>
      <c r="G33" s="99" t="s">
        <v>48</v>
      </c>
      <c r="H33" s="99" t="s">
        <v>49</v>
      </c>
      <c r="I33" s="99" t="s">
        <v>50</v>
      </c>
      <c r="K33" s="111"/>
      <c r="L33" s="101"/>
      <c r="M33" s="101"/>
      <c r="N33" s="114"/>
      <c r="O33" s="100"/>
      <c r="P33" s="101"/>
      <c r="Q33" s="101"/>
      <c r="R33" s="114"/>
      <c r="S33" s="100"/>
      <c r="T33" s="101"/>
      <c r="U33" s="101"/>
      <c r="V33" s="114"/>
      <c r="W33" s="100"/>
      <c r="X33" s="101"/>
      <c r="Y33" s="101"/>
      <c r="Z33" s="114"/>
      <c r="AA33" s="100"/>
      <c r="AB33" s="101"/>
      <c r="AC33" s="112"/>
      <c r="AD33" s="103"/>
      <c r="AE33" s="116"/>
      <c r="AF33" s="129"/>
      <c r="AG33" s="112"/>
      <c r="AH33" s="103"/>
      <c r="AI33" s="113"/>
      <c r="AJ33" s="112"/>
      <c r="AK33" s="112"/>
      <c r="AL33" s="103"/>
      <c r="AM33" s="100"/>
      <c r="AN33" s="101"/>
      <c r="AO33" s="101"/>
      <c r="AP33" s="103"/>
      <c r="AQ33" s="113"/>
      <c r="AR33" s="112"/>
      <c r="AS33" s="112"/>
      <c r="AT33" s="103"/>
      <c r="AU33" s="113"/>
      <c r="AV33" s="112"/>
      <c r="AW33" s="112"/>
      <c r="AX33" s="103"/>
      <c r="AY33" s="113"/>
      <c r="AZ33" s="112"/>
      <c r="BA33" s="112"/>
      <c r="BB33" s="103"/>
      <c r="BC33" s="113"/>
      <c r="BD33" s="101"/>
      <c r="BE33" s="101"/>
      <c r="BF33" s="114"/>
      <c r="BG33" s="113"/>
      <c r="BH33" s="112"/>
      <c r="BI33" s="112"/>
      <c r="BJ33" s="103"/>
      <c r="BK33" s="113"/>
      <c r="BL33" s="112"/>
      <c r="BM33" s="112"/>
      <c r="BN33" s="103"/>
      <c r="BO33" s="100"/>
      <c r="BP33" s="101"/>
      <c r="BQ33" s="101"/>
      <c r="BR33" s="114"/>
      <c r="BS33" s="100"/>
      <c r="BT33" s="102"/>
      <c r="BU33" s="102"/>
      <c r="BV33" s="110"/>
      <c r="BX33" s="236">
        <v>0.33333333333333298</v>
      </c>
      <c r="BY33" s="236"/>
    </row>
    <row r="34" spans="1:77" ht="18.75" customHeight="1" x14ac:dyDescent="0.25">
      <c r="K34" s="94"/>
      <c r="L34" s="95"/>
      <c r="M34" s="95"/>
      <c r="N34" s="96"/>
      <c r="O34" s="94"/>
      <c r="P34" s="95"/>
      <c r="Q34" s="95"/>
      <c r="R34" s="96"/>
      <c r="S34" s="94"/>
      <c r="T34" s="95"/>
      <c r="U34" s="95"/>
      <c r="V34" s="96"/>
      <c r="W34" s="94"/>
      <c r="X34" s="95"/>
      <c r="Y34" s="95"/>
      <c r="Z34" s="96"/>
      <c r="AA34" s="94"/>
      <c r="AB34" s="95"/>
      <c r="AC34" s="95"/>
      <c r="AD34" s="96"/>
      <c r="AE34" s="94"/>
      <c r="AF34" s="95"/>
      <c r="AG34" s="95"/>
      <c r="AH34" s="96"/>
      <c r="AI34" s="94"/>
      <c r="AJ34" s="95"/>
      <c r="AK34" s="95"/>
      <c r="AL34" s="96"/>
      <c r="AM34" s="94"/>
      <c r="AN34" s="95"/>
      <c r="AO34" s="95"/>
      <c r="AP34" s="96"/>
      <c r="AQ34" s="94"/>
      <c r="AR34" s="95"/>
      <c r="AS34" s="95"/>
      <c r="AT34" s="96"/>
      <c r="AU34" s="94"/>
      <c r="AV34" s="95"/>
      <c r="AW34" s="95"/>
      <c r="AX34" s="96"/>
      <c r="AY34" s="94"/>
      <c r="AZ34" s="95"/>
      <c r="BA34" s="95"/>
      <c r="BB34" s="96"/>
      <c r="BC34" s="94"/>
      <c r="BD34" s="95"/>
      <c r="BE34" s="95"/>
      <c r="BF34" s="96"/>
      <c r="BG34" s="94"/>
      <c r="BH34" s="95"/>
      <c r="BI34" s="95"/>
      <c r="BJ34" s="96"/>
      <c r="BK34" s="94"/>
      <c r="BL34" s="95"/>
      <c r="BM34" s="95"/>
      <c r="BN34" s="96"/>
      <c r="BO34" s="94"/>
      <c r="BP34" s="95"/>
      <c r="BQ34" s="95"/>
      <c r="BR34" s="96"/>
      <c r="BS34" s="94"/>
      <c r="BT34" s="95"/>
      <c r="BU34" s="95"/>
      <c r="BV34" s="96"/>
    </row>
    <row r="35" spans="1:77" ht="18.75" customHeight="1" x14ac:dyDescent="0.3">
      <c r="A35" s="86">
        <v>15</v>
      </c>
      <c r="C35" s="99" t="s">
        <v>45</v>
      </c>
      <c r="D35" s="99" t="s">
        <v>46</v>
      </c>
      <c r="E35" s="99" t="s">
        <v>46</v>
      </c>
      <c r="F35" s="99" t="s">
        <v>47</v>
      </c>
      <c r="G35" s="99" t="s">
        <v>48</v>
      </c>
      <c r="H35" s="98" t="s">
        <v>49</v>
      </c>
      <c r="I35" s="99" t="s">
        <v>50</v>
      </c>
      <c r="K35" s="111"/>
      <c r="L35" s="102"/>
      <c r="M35" s="101"/>
      <c r="N35" s="114"/>
      <c r="O35" s="100"/>
      <c r="P35" s="101"/>
      <c r="Q35" s="101"/>
      <c r="R35" s="114"/>
      <c r="S35" s="100"/>
      <c r="T35" s="101"/>
      <c r="U35" s="101"/>
      <c r="V35" s="114"/>
      <c r="W35" s="100"/>
      <c r="X35" s="100"/>
      <c r="Y35" s="124"/>
      <c r="Z35" s="119"/>
      <c r="AA35" s="118"/>
      <c r="AB35" s="116"/>
      <c r="AC35" s="116"/>
      <c r="AD35" s="117"/>
      <c r="AE35" s="118"/>
      <c r="AF35" s="116"/>
      <c r="AG35" s="116"/>
      <c r="AH35" s="117"/>
      <c r="AI35" s="113"/>
      <c r="AJ35" s="112"/>
      <c r="AK35" s="112"/>
      <c r="AL35" s="114"/>
      <c r="AM35" s="100"/>
      <c r="AN35" s="101"/>
      <c r="AO35" s="112"/>
      <c r="AP35" s="103"/>
      <c r="AQ35" s="113"/>
      <c r="AR35" s="112"/>
      <c r="AS35" s="112"/>
      <c r="AT35" s="103"/>
      <c r="AU35" s="113"/>
      <c r="AV35" s="112"/>
      <c r="AW35" s="112"/>
      <c r="AX35" s="103"/>
      <c r="AY35" s="113"/>
      <c r="AZ35" s="112"/>
      <c r="BA35" s="112"/>
      <c r="BB35" s="103"/>
      <c r="BC35" s="100"/>
      <c r="BD35" s="101"/>
      <c r="BE35" s="101"/>
      <c r="BF35" s="103"/>
      <c r="BG35" s="130"/>
      <c r="BH35" s="131"/>
      <c r="BI35" s="131"/>
      <c r="BJ35" s="132"/>
      <c r="BK35" s="130"/>
      <c r="BL35" s="131"/>
      <c r="BM35" s="112"/>
      <c r="BN35" s="103"/>
      <c r="BO35" s="111"/>
      <c r="BP35" s="102"/>
      <c r="BQ35" s="102"/>
      <c r="BR35" s="110"/>
      <c r="BS35" s="111"/>
      <c r="BT35" s="102"/>
      <c r="BU35" s="102"/>
      <c r="BV35" s="110"/>
      <c r="BX35" s="236">
        <v>0.35416666666666702</v>
      </c>
      <c r="BY35" s="236"/>
    </row>
    <row r="36" spans="1:77" ht="18.75" customHeight="1" x14ac:dyDescent="0.25">
      <c r="F36" s="115"/>
      <c r="K36" s="94"/>
      <c r="L36" s="95"/>
      <c r="M36" s="95"/>
      <c r="N36" s="96"/>
      <c r="O36" s="94"/>
      <c r="P36" s="95"/>
      <c r="Q36" s="95"/>
      <c r="R36" s="96"/>
      <c r="S36" s="94"/>
      <c r="T36" s="95"/>
      <c r="U36" s="95"/>
      <c r="V36" s="96"/>
      <c r="W36" s="94"/>
      <c r="X36" s="95"/>
      <c r="Y36" s="95"/>
      <c r="Z36" s="96"/>
      <c r="AA36" s="133"/>
      <c r="AB36" s="134"/>
      <c r="AC36" s="134"/>
      <c r="AD36" s="135"/>
      <c r="AE36" s="133"/>
      <c r="AF36" s="134"/>
      <c r="AG36" s="134"/>
      <c r="AH36" s="135"/>
      <c r="AI36" s="133"/>
      <c r="AJ36" s="134"/>
      <c r="AK36" s="134"/>
      <c r="AL36" s="135"/>
      <c r="AM36" s="133"/>
      <c r="AN36" s="134"/>
      <c r="AO36" s="134"/>
      <c r="AP36" s="135"/>
      <c r="AQ36" s="133"/>
      <c r="AR36" s="134"/>
      <c r="AS36" s="134"/>
      <c r="AT36" s="135"/>
      <c r="AU36" s="133"/>
      <c r="AV36" s="134"/>
      <c r="AW36" s="134"/>
      <c r="AX36" s="135"/>
      <c r="AY36" s="133"/>
      <c r="AZ36" s="134"/>
      <c r="BA36" s="134"/>
      <c r="BB36" s="135"/>
      <c r="BC36" s="133"/>
      <c r="BD36" s="95"/>
      <c r="BE36" s="95"/>
      <c r="BF36" s="96"/>
      <c r="BG36" s="94"/>
      <c r="BH36" s="136"/>
      <c r="BI36" s="95"/>
      <c r="BJ36" s="96"/>
      <c r="BK36" s="94"/>
      <c r="BL36" s="95"/>
      <c r="BM36" s="95"/>
      <c r="BN36" s="96"/>
      <c r="BO36" s="94"/>
      <c r="BP36" s="95"/>
      <c r="BQ36" s="95"/>
      <c r="BR36" s="96"/>
      <c r="BS36" s="94"/>
      <c r="BT36" s="95"/>
      <c r="BU36" s="95"/>
      <c r="BV36" s="96"/>
    </row>
    <row r="37" spans="1:77" ht="18.75" customHeight="1" x14ac:dyDescent="0.3">
      <c r="A37" s="86">
        <v>16</v>
      </c>
      <c r="C37" s="99" t="s">
        <v>45</v>
      </c>
      <c r="D37" s="99" t="s">
        <v>46</v>
      </c>
      <c r="E37" s="99" t="s">
        <v>46</v>
      </c>
      <c r="F37" s="99" t="s">
        <v>47</v>
      </c>
      <c r="G37" s="99" t="s">
        <v>48</v>
      </c>
      <c r="H37" s="99" t="s">
        <v>49</v>
      </c>
      <c r="I37" s="99" t="s">
        <v>50</v>
      </c>
      <c r="K37" s="111"/>
      <c r="L37" s="102"/>
      <c r="M37" s="102"/>
      <c r="N37" s="110"/>
      <c r="O37" s="108"/>
      <c r="P37" s="137"/>
      <c r="Q37" s="137"/>
      <c r="R37" s="138"/>
      <c r="S37" s="108"/>
      <c r="T37" s="108"/>
      <c r="U37" s="137"/>
      <c r="V37" s="138"/>
      <c r="W37" s="139"/>
      <c r="X37" s="109"/>
      <c r="Y37" s="105"/>
      <c r="Z37" s="106"/>
      <c r="AA37" s="118"/>
      <c r="AB37" s="118"/>
      <c r="AC37" s="118"/>
      <c r="AD37" s="118"/>
      <c r="AE37" s="118"/>
      <c r="AF37" s="118"/>
      <c r="AG37" s="118"/>
      <c r="AH37" s="118"/>
      <c r="AI37" s="139"/>
      <c r="AJ37" s="140"/>
      <c r="AK37" s="140"/>
      <c r="AL37" s="141"/>
      <c r="AM37" s="142"/>
      <c r="AN37" s="143"/>
      <c r="AO37" s="143"/>
      <c r="AP37" s="141"/>
      <c r="AQ37" s="142"/>
      <c r="AR37" s="143"/>
      <c r="AS37" s="143"/>
      <c r="AT37" s="141"/>
      <c r="AU37" s="142"/>
      <c r="AV37" s="143"/>
      <c r="AW37" s="143"/>
      <c r="AX37" s="141"/>
      <c r="AY37" s="142"/>
      <c r="AZ37" s="143"/>
      <c r="BA37" s="143"/>
      <c r="BB37" s="144"/>
      <c r="BC37" s="145"/>
      <c r="BD37" s="140"/>
      <c r="BE37" s="143"/>
      <c r="BF37" s="141"/>
      <c r="BG37" s="142"/>
      <c r="BH37" s="143"/>
      <c r="BI37" s="112"/>
      <c r="BJ37" s="103"/>
      <c r="BK37" s="113"/>
      <c r="BL37" s="112"/>
      <c r="BM37" s="112"/>
      <c r="BN37" s="103"/>
      <c r="BO37" s="100"/>
      <c r="BP37" s="101"/>
      <c r="BQ37" s="102"/>
      <c r="BR37" s="110"/>
      <c r="BS37" s="111"/>
      <c r="BT37" s="102"/>
      <c r="BU37" s="102"/>
      <c r="BV37" s="110"/>
      <c r="BX37" s="236">
        <v>0.375</v>
      </c>
      <c r="BY37" s="236"/>
    </row>
    <row r="38" spans="1:77" ht="18.75" customHeight="1" x14ac:dyDescent="0.25">
      <c r="K38" s="94"/>
      <c r="L38" s="95"/>
      <c r="M38" s="95"/>
      <c r="N38" s="96"/>
      <c r="O38" s="94"/>
      <c r="P38" s="95"/>
      <c r="Q38" s="95"/>
      <c r="R38" s="96"/>
      <c r="S38" s="94"/>
      <c r="T38" s="95"/>
      <c r="U38" s="95"/>
      <c r="V38" s="96"/>
      <c r="W38" s="94"/>
      <c r="X38" s="95"/>
      <c r="Y38" s="95"/>
      <c r="Z38" s="96"/>
      <c r="AA38" s="94"/>
      <c r="AB38" s="95"/>
      <c r="AC38" s="95"/>
      <c r="AD38" s="96"/>
      <c r="AE38" s="94"/>
      <c r="AF38" s="95"/>
      <c r="AG38" s="95"/>
      <c r="AH38" s="96"/>
      <c r="AI38" s="94"/>
      <c r="AJ38" s="95"/>
      <c r="AK38" s="95"/>
      <c r="AL38" s="96"/>
      <c r="AM38" s="94"/>
      <c r="AN38" s="95"/>
      <c r="AO38" s="95"/>
      <c r="AP38" s="96"/>
      <c r="AQ38" s="94"/>
      <c r="AR38" s="95"/>
      <c r="AS38" s="95"/>
      <c r="AT38" s="96"/>
      <c r="AU38" s="94"/>
      <c r="AV38" s="95"/>
      <c r="AW38" s="95"/>
      <c r="AX38" s="96"/>
      <c r="AY38" s="94"/>
      <c r="AZ38" s="95"/>
      <c r="BA38" s="95"/>
      <c r="BB38" s="96"/>
      <c r="BC38" s="94"/>
      <c r="BD38" s="95"/>
      <c r="BE38" s="95"/>
      <c r="BF38" s="96"/>
      <c r="BG38" s="94"/>
      <c r="BH38" s="95"/>
      <c r="BI38" s="95"/>
      <c r="BJ38" s="96"/>
      <c r="BK38" s="94"/>
      <c r="BL38" s="95"/>
      <c r="BM38" s="95"/>
      <c r="BN38" s="96"/>
      <c r="BO38" s="94"/>
      <c r="BP38" s="95"/>
      <c r="BQ38" s="95"/>
      <c r="BR38" s="96"/>
      <c r="BS38" s="94"/>
      <c r="BT38" s="95"/>
      <c r="BU38" s="95"/>
      <c r="BV38" s="96"/>
    </row>
    <row r="39" spans="1:77" ht="18.75" customHeight="1" x14ac:dyDescent="0.3">
      <c r="A39" s="86">
        <v>17</v>
      </c>
      <c r="C39" s="99" t="s">
        <v>45</v>
      </c>
      <c r="D39" s="99" t="s">
        <v>46</v>
      </c>
      <c r="E39" s="99" t="s">
        <v>46</v>
      </c>
      <c r="F39" s="99" t="s">
        <v>47</v>
      </c>
      <c r="G39" s="99" t="s">
        <v>48</v>
      </c>
      <c r="H39" s="99" t="s">
        <v>49</v>
      </c>
      <c r="I39" s="99" t="s">
        <v>50</v>
      </c>
      <c r="K39" s="111"/>
      <c r="L39" s="102"/>
      <c r="M39" s="102"/>
      <c r="N39" s="110"/>
      <c r="O39" s="111"/>
      <c r="P39" s="102"/>
      <c r="Q39" s="102"/>
      <c r="R39" s="110"/>
      <c r="S39" s="100"/>
      <c r="T39" s="101"/>
      <c r="U39" s="101"/>
      <c r="V39" s="114"/>
      <c r="W39" s="100"/>
      <c r="X39" s="101"/>
      <c r="Y39" s="101"/>
      <c r="Z39" s="114"/>
      <c r="AA39" s="100"/>
      <c r="AB39" s="101"/>
      <c r="AC39" s="101"/>
      <c r="AD39" s="114"/>
      <c r="AE39" s="100"/>
      <c r="AF39" s="101"/>
      <c r="AG39" s="101"/>
      <c r="AH39" s="127"/>
      <c r="AI39" s="100"/>
      <c r="AJ39" s="101"/>
      <c r="AK39" s="101"/>
      <c r="AL39" s="114"/>
      <c r="AM39" s="100"/>
      <c r="AN39" s="101"/>
      <c r="AO39" s="101"/>
      <c r="AP39" s="114"/>
      <c r="AQ39" s="100"/>
      <c r="AR39" s="101"/>
      <c r="AS39" s="101"/>
      <c r="AT39" s="114"/>
      <c r="AU39" s="100"/>
      <c r="AV39" s="101"/>
      <c r="AW39" s="101"/>
      <c r="AX39" s="114"/>
      <c r="AY39" s="146"/>
      <c r="AZ39" s="98"/>
      <c r="BA39" s="98"/>
      <c r="BB39" s="147"/>
      <c r="BC39" s="146"/>
      <c r="BD39" s="98"/>
      <c r="BE39" s="98"/>
      <c r="BF39" s="147"/>
      <c r="BG39" s="146"/>
      <c r="BH39" s="98"/>
      <c r="BI39" s="101"/>
      <c r="BJ39" s="114"/>
      <c r="BK39" s="100"/>
      <c r="BL39" s="101"/>
      <c r="BM39" s="101"/>
      <c r="BN39" s="110"/>
      <c r="BO39" s="111"/>
      <c r="BP39" s="102"/>
      <c r="BQ39" s="102"/>
      <c r="BR39" s="110"/>
      <c r="BS39" s="111"/>
      <c r="BT39" s="102"/>
      <c r="BU39" s="102"/>
      <c r="BV39" s="110"/>
      <c r="BX39" s="236">
        <v>0</v>
      </c>
      <c r="BY39" s="236"/>
    </row>
    <row r="40" spans="1:77" ht="18.75" customHeight="1" x14ac:dyDescent="0.25">
      <c r="K40" s="94"/>
      <c r="L40" s="95"/>
      <c r="M40" s="95"/>
      <c r="N40" s="96"/>
      <c r="O40" s="94"/>
      <c r="P40" s="95"/>
      <c r="Q40" s="95"/>
      <c r="R40" s="96"/>
      <c r="S40" s="94"/>
      <c r="T40" s="95"/>
      <c r="U40" s="95"/>
      <c r="V40" s="96"/>
      <c r="W40" s="94"/>
      <c r="X40" s="95"/>
      <c r="Y40" s="95"/>
      <c r="Z40" s="96"/>
      <c r="AA40" s="94"/>
      <c r="AB40" s="95"/>
      <c r="AC40" s="95"/>
      <c r="AD40" s="96"/>
      <c r="AE40" s="94"/>
      <c r="AF40" s="95"/>
      <c r="AG40" s="95"/>
      <c r="AH40" s="96"/>
      <c r="AI40" s="94"/>
      <c r="AJ40" s="95"/>
      <c r="AK40" s="95"/>
      <c r="AL40" s="96"/>
      <c r="AM40" s="94"/>
      <c r="AN40" s="95"/>
      <c r="AO40" s="95"/>
      <c r="AP40" s="96"/>
      <c r="AQ40" s="94"/>
      <c r="AR40" s="95"/>
      <c r="AS40" s="95"/>
      <c r="AT40" s="96"/>
      <c r="AU40" s="94"/>
      <c r="AV40" s="95"/>
      <c r="AW40" s="95"/>
      <c r="AX40" s="96"/>
      <c r="AY40" s="94"/>
      <c r="AZ40" s="95"/>
      <c r="BA40" s="95"/>
      <c r="BB40" s="96"/>
      <c r="BC40" s="94"/>
      <c r="BD40" s="95"/>
      <c r="BE40" s="95"/>
      <c r="BF40" s="96"/>
      <c r="BG40" s="94"/>
      <c r="BH40" s="95"/>
      <c r="BI40" s="95"/>
      <c r="BJ40" s="96"/>
      <c r="BK40" s="94"/>
      <c r="BL40" s="95"/>
      <c r="BM40" s="95"/>
      <c r="BN40" s="96"/>
      <c r="BO40" s="94"/>
      <c r="BP40" s="95"/>
      <c r="BQ40" s="95"/>
      <c r="BR40" s="96"/>
      <c r="BS40" s="94"/>
      <c r="BT40" s="95"/>
      <c r="BU40" s="95"/>
      <c r="BV40" s="96"/>
    </row>
    <row r="41" spans="1:77" ht="18.75" customHeight="1" x14ac:dyDescent="0.3">
      <c r="A41" s="86">
        <v>18</v>
      </c>
      <c r="C41" s="99" t="s">
        <v>45</v>
      </c>
      <c r="D41" s="99" t="s">
        <v>46</v>
      </c>
      <c r="E41" s="99" t="s">
        <v>46</v>
      </c>
      <c r="F41" s="99" t="s">
        <v>47</v>
      </c>
      <c r="G41" s="99" t="s">
        <v>48</v>
      </c>
      <c r="H41" s="99" t="s">
        <v>49</v>
      </c>
      <c r="I41" s="99" t="s">
        <v>50</v>
      </c>
      <c r="K41" s="111"/>
      <c r="L41" s="102"/>
      <c r="M41" s="102"/>
      <c r="N41" s="110"/>
      <c r="O41" s="111"/>
      <c r="P41" s="102"/>
      <c r="Q41" s="102"/>
      <c r="R41" s="110"/>
      <c r="S41" s="111"/>
      <c r="T41" s="102"/>
      <c r="U41" s="102"/>
      <c r="V41" s="110"/>
      <c r="W41" s="111"/>
      <c r="X41" s="102"/>
      <c r="Y41" s="102"/>
      <c r="Z41" s="110"/>
      <c r="AA41" s="111"/>
      <c r="AB41" s="102"/>
      <c r="AC41" s="102"/>
      <c r="AD41" s="110"/>
      <c r="AE41" s="111"/>
      <c r="AF41" s="102"/>
      <c r="AG41" s="102"/>
      <c r="AH41" s="110"/>
      <c r="AI41" s="111"/>
      <c r="AJ41" s="102"/>
      <c r="AK41" s="102"/>
      <c r="AL41" s="110"/>
      <c r="AM41" s="111"/>
      <c r="AN41" s="102"/>
      <c r="AO41" s="102"/>
      <c r="AP41" s="110"/>
      <c r="AQ41" s="111"/>
      <c r="AR41" s="102"/>
      <c r="AS41" s="102"/>
      <c r="AT41" s="110"/>
      <c r="AU41" s="111"/>
      <c r="AV41" s="102"/>
      <c r="AW41" s="102"/>
      <c r="AX41" s="110"/>
      <c r="AY41" s="111"/>
      <c r="AZ41" s="102"/>
      <c r="BA41" s="102"/>
      <c r="BB41" s="110"/>
      <c r="BC41" s="111"/>
      <c r="BD41" s="102"/>
      <c r="BE41" s="102"/>
      <c r="BF41" s="110"/>
      <c r="BG41" s="111"/>
      <c r="BH41" s="102"/>
      <c r="BI41" s="102"/>
      <c r="BJ41" s="110"/>
      <c r="BK41" s="111"/>
      <c r="BL41" s="102"/>
      <c r="BM41" s="102"/>
      <c r="BN41" s="110"/>
      <c r="BO41" s="111"/>
      <c r="BP41" s="102"/>
      <c r="BQ41" s="102"/>
      <c r="BR41" s="110"/>
      <c r="BS41" s="111"/>
      <c r="BT41" s="102"/>
      <c r="BU41" s="102"/>
      <c r="BV41" s="110"/>
      <c r="BX41" s="238"/>
      <c r="BY41" s="238"/>
    </row>
    <row r="42" spans="1:77" ht="18.75" customHeight="1" x14ac:dyDescent="0.25">
      <c r="K42" s="94"/>
      <c r="L42" s="95"/>
      <c r="M42" s="95"/>
      <c r="N42" s="96"/>
      <c r="O42" s="94"/>
      <c r="P42" s="95"/>
      <c r="Q42" s="95"/>
      <c r="R42" s="148"/>
      <c r="S42" s="149"/>
      <c r="T42" s="150"/>
      <c r="U42" s="150"/>
      <c r="V42" s="148"/>
      <c r="W42" s="149"/>
      <c r="X42" s="150"/>
      <c r="Y42" s="150"/>
      <c r="Z42" s="148"/>
      <c r="AA42" s="149"/>
      <c r="AB42" s="150"/>
      <c r="AC42" s="150"/>
      <c r="AD42" s="148"/>
      <c r="AE42" s="149"/>
      <c r="AF42" s="150"/>
      <c r="AG42" s="150"/>
      <c r="AH42" s="148"/>
      <c r="AI42" s="149"/>
      <c r="AJ42" s="150"/>
      <c r="AK42" s="150"/>
      <c r="AL42" s="148"/>
      <c r="AM42" s="149"/>
      <c r="AN42" s="150"/>
      <c r="AO42" s="150"/>
      <c r="AP42" s="148"/>
      <c r="AQ42" s="149"/>
      <c r="AR42" s="150"/>
      <c r="AS42" s="150"/>
      <c r="AT42" s="148"/>
      <c r="AU42" s="94"/>
      <c r="AV42" s="95"/>
      <c r="AW42" s="95"/>
      <c r="AX42" s="96"/>
      <c r="AY42" s="94"/>
      <c r="AZ42" s="95"/>
      <c r="BA42" s="95"/>
      <c r="BB42" s="96"/>
      <c r="BC42" s="94"/>
      <c r="BD42" s="95"/>
      <c r="BE42" s="95"/>
      <c r="BF42" s="96"/>
      <c r="BG42" s="94"/>
      <c r="BH42" s="95"/>
      <c r="BI42" s="95"/>
      <c r="BJ42" s="96"/>
      <c r="BK42" s="94"/>
      <c r="BL42" s="95"/>
      <c r="BM42" s="95"/>
      <c r="BN42" s="96"/>
      <c r="BO42" s="94"/>
      <c r="BP42" s="95"/>
      <c r="BQ42" s="95"/>
      <c r="BR42" s="96"/>
      <c r="BS42" s="94"/>
      <c r="BT42" s="95"/>
      <c r="BU42" s="95"/>
      <c r="BV42" s="96"/>
    </row>
    <row r="43" spans="1:77" ht="18.75" customHeight="1" x14ac:dyDescent="0.3">
      <c r="A43" s="86">
        <v>19</v>
      </c>
      <c r="C43" s="99" t="s">
        <v>45</v>
      </c>
      <c r="D43" s="99" t="s">
        <v>46</v>
      </c>
      <c r="E43" s="99" t="s">
        <v>46</v>
      </c>
      <c r="F43" s="99" t="s">
        <v>47</v>
      </c>
      <c r="G43" s="99" t="s">
        <v>48</v>
      </c>
      <c r="H43" s="99" t="s">
        <v>49</v>
      </c>
      <c r="I43" s="99" t="s">
        <v>50</v>
      </c>
      <c r="K43" s="151"/>
      <c r="L43" s="152"/>
      <c r="M43" s="152"/>
      <c r="N43" s="153"/>
      <c r="O43" s="151"/>
      <c r="P43" s="152"/>
      <c r="Q43" s="152"/>
      <c r="R43" s="153"/>
      <c r="S43" s="154"/>
      <c r="T43" s="152"/>
      <c r="U43" s="152"/>
      <c r="V43" s="153"/>
      <c r="W43" s="155"/>
      <c r="X43" s="156"/>
      <c r="Y43" s="156"/>
      <c r="Z43" s="157"/>
      <c r="AA43" s="158"/>
      <c r="AB43" s="159"/>
      <c r="AC43" s="159"/>
      <c r="AD43" s="157"/>
      <c r="AE43" s="155"/>
      <c r="AF43" s="156"/>
      <c r="AG43" s="156"/>
      <c r="AH43" s="157"/>
      <c r="AI43" s="151"/>
      <c r="AJ43" s="152"/>
      <c r="AK43" s="152"/>
      <c r="AL43" s="153"/>
      <c r="AM43" s="155"/>
      <c r="AN43" s="156"/>
      <c r="AO43" s="156"/>
      <c r="AP43" s="157"/>
      <c r="AQ43" s="151"/>
      <c r="AR43" s="152"/>
      <c r="AS43" s="152"/>
      <c r="AT43" s="153"/>
      <c r="AU43" s="151"/>
      <c r="AV43" s="152"/>
      <c r="AW43" s="152"/>
      <c r="AX43" s="153"/>
      <c r="AY43" s="151"/>
      <c r="AZ43" s="152"/>
      <c r="BA43" s="152"/>
      <c r="BB43" s="153"/>
      <c r="BC43" s="151"/>
      <c r="BD43" s="152"/>
      <c r="BE43" s="152"/>
      <c r="BF43" s="153"/>
      <c r="BG43" s="151"/>
      <c r="BH43" s="152"/>
      <c r="BI43" s="152"/>
      <c r="BJ43" s="153"/>
      <c r="BK43" s="151"/>
      <c r="BL43" s="152"/>
      <c r="BM43" s="152"/>
      <c r="BN43" s="153"/>
      <c r="BO43" s="151"/>
      <c r="BP43" s="152"/>
      <c r="BQ43" s="152"/>
      <c r="BR43" s="153"/>
      <c r="BS43" s="151"/>
      <c r="BT43" s="152"/>
      <c r="BU43" s="152"/>
      <c r="BV43" s="153"/>
      <c r="BX43" s="238" t="s">
        <v>51</v>
      </c>
      <c r="BY43" s="238"/>
    </row>
    <row r="44" spans="1:77" hidden="1" x14ac:dyDescent="0.25">
      <c r="A44" s="160"/>
      <c r="C44" s="160"/>
      <c r="D44" s="160"/>
      <c r="E44" s="160"/>
      <c r="F44" s="160"/>
      <c r="G44" s="160"/>
      <c r="H44" s="160"/>
      <c r="I44" s="160"/>
    </row>
    <row r="48" spans="1:77" ht="15" hidden="1" x14ac:dyDescent="0.25">
      <c r="D48" s="115"/>
      <c r="E48" s="115"/>
      <c r="F48" s="115"/>
      <c r="W48" s="161"/>
      <c r="X48" s="161"/>
      <c r="Y48" s="161"/>
      <c r="Z48" s="161"/>
      <c r="AA48" s="161"/>
      <c r="AB48" s="161"/>
    </row>
    <row r="49" spans="23:28" ht="15" hidden="1" x14ac:dyDescent="0.25">
      <c r="W49" s="161"/>
      <c r="X49" s="161"/>
      <c r="Y49" s="161"/>
      <c r="Z49" s="161"/>
      <c r="AA49" s="161"/>
      <c r="AB49" s="161"/>
    </row>
  </sheetData>
  <sheetProtection algorithmName="SHA-512" hashValue="hDoKNPaNURG0DCO3sci7Ty07GDW//ui95YvtE8ugOi0iHyacS3SFHervJPp93FEmxVNhEfZWnRXaN8UMshjg1w==" saltValue="/CYZwj0AWxXikyR3VTpx1g==" spinCount="100000" sheet="1" objects="1" scenarios="1" formatCells="0"/>
  <mergeCells count="25">
    <mergeCell ref="BX35:BY35"/>
    <mergeCell ref="BX37:BY37"/>
    <mergeCell ref="BX39:BY39"/>
    <mergeCell ref="BX41:BY41"/>
    <mergeCell ref="BX43:BY43"/>
    <mergeCell ref="BX27:BY27"/>
    <mergeCell ref="C28:H28"/>
    <mergeCell ref="BX29:BY29"/>
    <mergeCell ref="BX31:BY31"/>
    <mergeCell ref="BX33:BY33"/>
    <mergeCell ref="BX17:BY17"/>
    <mergeCell ref="BX19:BY19"/>
    <mergeCell ref="BX21:BY21"/>
    <mergeCell ref="BX23:BY23"/>
    <mergeCell ref="BX25:BY25"/>
    <mergeCell ref="BX7:BY7"/>
    <mergeCell ref="BX9:BY9"/>
    <mergeCell ref="BX11:BY11"/>
    <mergeCell ref="BX13:BY13"/>
    <mergeCell ref="BX15:BY15"/>
    <mergeCell ref="A1:BY1"/>
    <mergeCell ref="A2:AO2"/>
    <mergeCell ref="AP2:BY2"/>
    <mergeCell ref="C5:I5"/>
    <mergeCell ref="BX5:BY5"/>
  </mergeCells>
  <pageMargins left="0.196527777777778" right="0.196527777777778" top="0.39374999999999999" bottom="0.196527777777778" header="0.511811023622047" footer="0.511811023622047"/>
  <pageSetup paperSize="9" scale="63" orientation="landscape" horizontalDpi="300" verticalDpi="300" r:id="rId1"/>
  <rowBreaks count="1" manualBreakCount="1">
    <brk id="43" max="16383" man="1"/>
  </row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N181"/>
  <sheetViews>
    <sheetView showGridLines="0" zoomScaleNormal="100" workbookViewId="0">
      <selection activeCell="I16" sqref="I16"/>
    </sheetView>
  </sheetViews>
  <sheetFormatPr baseColWidth="10" defaultColWidth="0" defaultRowHeight="14.4" x14ac:dyDescent="0.25"/>
  <cols>
    <col min="1" max="1" width="2" style="162" customWidth="1"/>
    <col min="2" max="2" width="24.6640625" style="162" customWidth="1"/>
    <col min="3" max="39" width="3.77734375" style="162" customWidth="1"/>
    <col min="40" max="40" width="2" style="162" customWidth="1"/>
    <col min="41" max="16384" width="10.109375" style="162" hidden="1"/>
  </cols>
  <sheetData>
    <row r="1" spans="2:39" s="163" customFormat="1" ht="65.25" customHeight="1" x14ac:dyDescent="0.85">
      <c r="B1" s="164" t="s">
        <v>52</v>
      </c>
      <c r="C1" s="165"/>
      <c r="D1" s="165"/>
      <c r="E1" s="165"/>
      <c r="F1" s="165"/>
      <c r="G1" s="165"/>
      <c r="H1" s="165"/>
      <c r="I1" s="165"/>
      <c r="J1" s="165"/>
      <c r="K1" s="165"/>
      <c r="L1" s="166"/>
      <c r="M1" s="167"/>
      <c r="N1" s="167"/>
      <c r="O1" s="167"/>
      <c r="P1" s="167"/>
      <c r="Q1" s="167"/>
      <c r="R1" s="167"/>
      <c r="S1" s="167"/>
      <c r="T1" s="167"/>
      <c r="U1" s="167"/>
      <c r="V1" s="167"/>
      <c r="W1" s="167"/>
      <c r="X1" s="167"/>
      <c r="Y1" s="167"/>
      <c r="Z1" s="167"/>
      <c r="AA1" s="167"/>
      <c r="AB1" s="167"/>
      <c r="AC1" s="167"/>
      <c r="AD1" s="167"/>
      <c r="AE1" s="167"/>
      <c r="AF1" s="167"/>
      <c r="AG1" s="167"/>
      <c r="AH1" s="239">
        <v>2022</v>
      </c>
      <c r="AI1" s="239"/>
      <c r="AJ1" s="239"/>
      <c r="AK1" s="239"/>
      <c r="AL1" s="239"/>
      <c r="AM1" s="239"/>
    </row>
    <row r="2" spans="2:39" s="168" customFormat="1" ht="9" customHeight="1" x14ac:dyDescent="0.3"/>
    <row r="3" spans="2:39" s="168" customFormat="1" ht="18.75" customHeight="1" x14ac:dyDescent="0.3">
      <c r="K3" s="169"/>
      <c r="L3" s="169" t="s">
        <v>53</v>
      </c>
      <c r="P3" s="169" t="s">
        <v>54</v>
      </c>
      <c r="U3" s="170" t="s">
        <v>55</v>
      </c>
      <c r="Z3" s="170" t="s">
        <v>56</v>
      </c>
      <c r="AA3" s="162"/>
      <c r="AB3" s="162"/>
      <c r="AD3" s="162"/>
      <c r="AE3" s="170" t="s">
        <v>57</v>
      </c>
      <c r="AF3" s="162"/>
      <c r="AG3" s="162"/>
      <c r="AI3" s="162"/>
      <c r="AJ3" s="170" t="s">
        <v>58</v>
      </c>
      <c r="AK3" s="162"/>
      <c r="AL3" s="162"/>
    </row>
    <row r="4" spans="2:39" s="168" customFormat="1" ht="9" customHeight="1" x14ac:dyDescent="0.3"/>
    <row r="5" spans="2:39" s="171" customFormat="1" ht="18.75" customHeight="1" x14ac:dyDescent="0.25">
      <c r="B5" s="240">
        <f>DATE(CalendarYear,1,1)</f>
        <v>44562</v>
      </c>
      <c r="C5" s="172" t="str">
        <f>IF(DAY(JanSun1)=1,"",IF(AND(YEAR(JanSun1+1)=CalendarYear,MONTH(JanSun1+1)=1),JanSun1+1,""))</f>
        <v/>
      </c>
      <c r="D5" s="172" t="str">
        <f>IF(DAY(JanSun1)=1,"",IF(AND(YEAR(JanSun1+2)=CalendarYear,MONTH(JanSun1+2)=1),JanSun1+2,""))</f>
        <v/>
      </c>
      <c r="E5" s="172" t="str">
        <f>IF(DAY(JanSun1)=1,"",IF(AND(YEAR(JanSun1+3)=CalendarYear,MONTH(JanSun1+3)=1),JanSun1+3,""))</f>
        <v/>
      </c>
      <c r="F5" s="172" t="str">
        <f>IF(DAY(JanSun1)=1,"",IF(AND(YEAR(JanSun1+4)=CalendarYear,MONTH(JanSun1+4)=1),JanSun1+4,""))</f>
        <v/>
      </c>
      <c r="G5" s="172" t="str">
        <f>IF(DAY(JanSun1)=1,"",IF(AND(YEAR(JanSun1+5)=CalendarYear,MONTH(JanSun1+5)=1),JanSun1+5,""))</f>
        <v/>
      </c>
      <c r="H5" s="172" t="str">
        <f>IF(DAY(JanSun1)=1,"",IF(AND(YEAR(JanSun1+6)=CalendarYear,MONTH(JanSun1+6)=1),JanSun1+6,""))</f>
        <v/>
      </c>
      <c r="I5" s="172">
        <f>IF(DAY(JanSun1)=1,IF(AND(YEAR(JanSun1)=CalendarYear,MONTH(JanSun1)=1),JanSun1,""),IF(AND(YEAR(JanSun1+7)=CalendarYear,MONTH(JanSun1+7)=1),JanSun1+7,""))</f>
        <v>44562</v>
      </c>
      <c r="J5" s="172">
        <f>IF(DAY(JanSun1)=1,IF(AND(YEAR(JanSun1+1)=CalendarYear,MONTH(JanSun1+1)=1),JanSun1+1,""),IF(AND(YEAR(JanSun1+8)=CalendarYear,MONTH(JanSun1+8)=1),JanSun1+8,""))</f>
        <v>44563</v>
      </c>
      <c r="K5" s="172">
        <f>IF(DAY(JanSun1)=1,IF(AND(YEAR(JanSun1+2)=CalendarYear,MONTH(JanSun1+2)=1),JanSun1+2,""),IF(AND(YEAR(JanSun1+9)=CalendarYear,MONTH(JanSun1+9)=1),JanSun1+9,""))</f>
        <v>44564</v>
      </c>
      <c r="L5" s="172">
        <f>IF(DAY(JanSun1)=1,IF(AND(YEAR(JanSun1+3)=CalendarYear,MONTH(JanSun1+3)=1),JanSun1+3,""),IF(AND(YEAR(JanSun1+10)=CalendarYear,MONTH(JanSun1+10)=1),JanSun1+10,""))</f>
        <v>44565</v>
      </c>
      <c r="M5" s="172">
        <f>IF(DAY(JanSun1)=1,IF(AND(YEAR(JanSun1+4)=CalendarYear,MONTH(JanSun1+4)=1),JanSun1+4,""),IF(AND(YEAR(JanSun1+11)=CalendarYear,MONTH(JanSun1+11)=1),JanSun1+11,""))</f>
        <v>44566</v>
      </c>
      <c r="N5" s="172">
        <f>IF(DAY(JanSun1)=1,IF(AND(YEAR(JanSun1+5)=CalendarYear,MONTH(JanSun1+5)=1),JanSun1+5,""),IF(AND(YEAR(JanSun1+12)=CalendarYear,MONTH(JanSun1+12)=1),JanSun1+12,""))</f>
        <v>44567</v>
      </c>
      <c r="O5" s="172">
        <f>IF(DAY(JanSun1)=1,IF(AND(YEAR(JanSun1+6)=CalendarYear,MONTH(JanSun1+6)=1),JanSun1+6,""),IF(AND(YEAR(JanSun1+13)=CalendarYear,MONTH(JanSun1+13)=1),JanSun1+13,""))</f>
        <v>44568</v>
      </c>
      <c r="P5" s="172">
        <f>IF(DAY(JanSun1)=1,IF(AND(YEAR(JanSun1+7)=CalendarYear,MONTH(JanSun1+7)=1),JanSun1+7,""),IF(AND(YEAR(JanSun1+14)=CalendarYear,MONTH(JanSun1+14)=1),JanSun1+14,""))</f>
        <v>44569</v>
      </c>
      <c r="Q5" s="172">
        <f>IF(DAY(JanSun1)=1,IF(AND(YEAR(JanSun1+8)=CalendarYear,MONTH(JanSun1+8)=1),JanSun1+8,""),IF(AND(YEAR(JanSun1+15)=CalendarYear,MONTH(JanSun1+15)=1),JanSun1+15,""))</f>
        <v>44570</v>
      </c>
      <c r="R5" s="172">
        <f>IF(DAY(JanSun1)=1,IF(AND(YEAR(JanSun1+9)=CalendarYear,MONTH(JanSun1+9)=1),JanSun1+9,""),IF(AND(YEAR(JanSun1+16)=CalendarYear,MONTH(JanSun1+16)=1),JanSun1+16,""))</f>
        <v>44571</v>
      </c>
      <c r="S5" s="172">
        <f>IF(DAY(JanSun1)=1,IF(AND(YEAR(JanSun1+10)=CalendarYear,MONTH(JanSun1+10)=1),JanSun1+10,""),IF(AND(YEAR(JanSun1+17)=CalendarYear,MONTH(JanSun1+17)=1),JanSun1+17,""))</f>
        <v>44572</v>
      </c>
      <c r="T5" s="172">
        <f>IF(DAY(JanSun1)=1,IF(AND(YEAR(JanSun1+11)=CalendarYear,MONTH(JanSun1+11)=1),JanSun1+11,""),IF(AND(YEAR(JanSun1+18)=CalendarYear,MONTH(JanSun1+18)=1),JanSun1+18,""))</f>
        <v>44573</v>
      </c>
      <c r="U5" s="172">
        <f>IF(DAY(JanSun1)=1,IF(AND(YEAR(JanSun1+12)=CalendarYear,MONTH(JanSun1+12)=1),JanSun1+12,""),IF(AND(YEAR(JanSun1+19)=CalendarYear,MONTH(JanSun1+19)=1),JanSun1+19,""))</f>
        <v>44574</v>
      </c>
      <c r="V5" s="172">
        <f>IF(DAY(JanSun1)=1,IF(AND(YEAR(JanSun1+13)=CalendarYear,MONTH(JanSun1+13)=1),JanSun1+13,""),IF(AND(YEAR(JanSun1+20)=CalendarYear,MONTH(JanSun1+20)=1),JanSun1+20,""))</f>
        <v>44575</v>
      </c>
      <c r="W5" s="172">
        <f>IF(DAY(JanSun1)=1,IF(AND(YEAR(JanSun1+14)=CalendarYear,MONTH(JanSun1+14)=1),JanSun1+14,""),IF(AND(YEAR(JanSun1+21)=CalendarYear,MONTH(JanSun1+21)=1),JanSun1+21,""))</f>
        <v>44576</v>
      </c>
      <c r="X5" s="172">
        <f>IF(DAY(JanSun1)=1,IF(AND(YEAR(JanSun1+15)=CalendarYear,MONTH(JanSun1+15)=1),JanSun1+15,""),IF(AND(YEAR(JanSun1+22)=CalendarYear,MONTH(JanSun1+22)=1),JanSun1+22,""))</f>
        <v>44577</v>
      </c>
      <c r="Y5" s="172">
        <f>IF(DAY(JanSun1)=1,IF(AND(YEAR(JanSun1+16)=CalendarYear,MONTH(JanSun1+16)=1),JanSun1+16,""),IF(AND(YEAR(JanSun1+23)=CalendarYear,MONTH(JanSun1+23)=1),JanSun1+23,""))</f>
        <v>44578</v>
      </c>
      <c r="Z5" s="172">
        <f>IF(DAY(JanSun1)=1,IF(AND(YEAR(JanSun1+17)=CalendarYear,MONTH(JanSun1+17)=1),JanSun1+17,""),IF(AND(YEAR(JanSun1+24)=CalendarYear,MONTH(JanSun1+24)=1),JanSun1+24,""))</f>
        <v>44579</v>
      </c>
      <c r="AA5" s="172">
        <f>IF(DAY(JanSun1)=1,IF(AND(YEAR(JanSun1+18)=CalendarYear,MONTH(JanSun1+18)=1),JanSun1+18,""),IF(AND(YEAR(JanSun1+25)=CalendarYear,MONTH(JanSun1+25)=1),JanSun1+25,""))</f>
        <v>44580</v>
      </c>
      <c r="AB5" s="172">
        <f>IF(DAY(JanSun1)=1,IF(AND(YEAR(JanSun1+19)=CalendarYear,MONTH(JanSun1+19)=1),JanSun1+19,""),IF(AND(YEAR(JanSun1+26)=CalendarYear,MONTH(JanSun1+26)=1),JanSun1+26,""))</f>
        <v>44581</v>
      </c>
      <c r="AC5" s="172">
        <f>IF(DAY(JanSun1)=1,IF(AND(YEAR(JanSun1+20)=CalendarYear,MONTH(JanSun1+20)=1),JanSun1+20,""),IF(AND(YEAR(JanSun1+27)=CalendarYear,MONTH(JanSun1+27)=1),JanSun1+27,""))</f>
        <v>44582</v>
      </c>
      <c r="AD5" s="172">
        <f>IF(DAY(JanSun1)=1,IF(AND(YEAR(JanSun1+21)=CalendarYear,MONTH(JanSun1+21)=1),JanSun1+21,""),IF(AND(YEAR(JanSun1+28)=CalendarYear,MONTH(JanSun1+28)=1),JanSun1+28,""))</f>
        <v>44583</v>
      </c>
      <c r="AE5" s="172">
        <f>IF(DAY(JanSun1)=1,IF(AND(YEAR(JanSun1+22)=CalendarYear,MONTH(JanSun1+22)=1),JanSun1+22,""),IF(AND(YEAR(JanSun1+29)=CalendarYear,MONTH(JanSun1+29)=1),JanSun1+29,""))</f>
        <v>44584</v>
      </c>
      <c r="AF5" s="172">
        <f>IF(DAY(JanSun1)=1,IF(AND(YEAR(JanSun1+23)=CalendarYear,MONTH(JanSun1+23)=1),JanSun1+23,""),IF(AND(YEAR(JanSun1+30)=CalendarYear,MONTH(JanSun1+30)=1),JanSun1+30,""))</f>
        <v>44585</v>
      </c>
      <c r="AG5" s="172">
        <f>IF(DAY(JanSun1)=1,IF(AND(YEAR(JanSun1+24)=CalendarYear,MONTH(JanSun1+24)=1),JanSun1+24,""),IF(AND(YEAR(JanSun1+31)=CalendarYear,MONTH(JanSun1+31)=1),JanSun1+31,""))</f>
        <v>44586</v>
      </c>
      <c r="AH5" s="172">
        <f>IF(DAY(JanSun1)=1,IF(AND(YEAR(JanSun1+25)=CalendarYear,MONTH(JanSun1+25)=1),JanSun1+25,""),IF(AND(YEAR(JanSun1+32)=CalendarYear,MONTH(JanSun1+32)=1),JanSun1+32,""))</f>
        <v>44587</v>
      </c>
      <c r="AI5" s="172">
        <f>IF(DAY(JanSun1)=1,IF(AND(YEAR(JanSun1+26)=CalendarYear,MONTH(JanSun1+26)=1),JanSun1+26,""),IF(AND(YEAR(JanSun1+33)=CalendarYear,MONTH(JanSun1+33)=1),JanSun1+33,""))</f>
        <v>44588</v>
      </c>
      <c r="AJ5" s="172">
        <f>IF(DAY(JanSun1)=1,IF(AND(YEAR(JanSun1+27)=CalendarYear,MONTH(JanSun1+27)=1),JanSun1+27,""),IF(AND(YEAR(JanSun1+34)=CalendarYear,MONTH(JanSun1+34)=1),JanSun1+34,""))</f>
        <v>44589</v>
      </c>
      <c r="AK5" s="172">
        <f>IF(DAY(JanSun1)=1,IF(AND(YEAR(JanSun1+28)=CalendarYear,MONTH(JanSun1+28)=1),JanSun1+28,""),IF(AND(YEAR(JanSun1+35)=CalendarYear,MONTH(JanSun1+35)=1),JanSun1+35,""))</f>
        <v>44590</v>
      </c>
      <c r="AL5" s="172">
        <f>IF(DAY(JanSun1)=1,IF(AND(YEAR(JanSun1+29)=CalendarYear,MONTH(JanSun1+29)=1),JanSun1+29,""),IF(AND(YEAR(JanSun1+36)=CalendarYear,MONTH(JanSun1+36)=1),JanSun1+36,""))</f>
        <v>44591</v>
      </c>
      <c r="AM5" s="173">
        <f>IF(DAY(JanSun1)=1,IF(AND(YEAR(JanSun1+30)=CalendarYear,MONTH(JanSun1+30)=1),JanSun1+30,""),IF(AND(YEAR(JanSun1+37)=CalendarYear,MONTH(JanSun1+37)=1),JanSun1+37,""))</f>
        <v>44592</v>
      </c>
    </row>
    <row r="6" spans="2:39" s="171" customFormat="1" ht="18.75" customHeight="1" x14ac:dyDescent="0.25">
      <c r="B6" s="240"/>
      <c r="C6" s="174" t="s">
        <v>59</v>
      </c>
      <c r="D6" s="174" t="s">
        <v>60</v>
      </c>
      <c r="E6" s="174" t="s">
        <v>61</v>
      </c>
      <c r="F6" s="174" t="s">
        <v>62</v>
      </c>
      <c r="G6" s="174" t="s">
        <v>63</v>
      </c>
      <c r="H6" s="174" t="s">
        <v>64</v>
      </c>
      <c r="I6" s="174" t="s">
        <v>65</v>
      </c>
      <c r="J6" s="174" t="s">
        <v>59</v>
      </c>
      <c r="K6" s="174" t="s">
        <v>60</v>
      </c>
      <c r="L6" s="174" t="s">
        <v>61</v>
      </c>
      <c r="M6" s="174" t="s">
        <v>62</v>
      </c>
      <c r="N6" s="174" t="s">
        <v>63</v>
      </c>
      <c r="O6" s="174" t="s">
        <v>64</v>
      </c>
      <c r="P6" s="174" t="s">
        <v>65</v>
      </c>
      <c r="Q6" s="174" t="s">
        <v>59</v>
      </c>
      <c r="R6" s="174" t="s">
        <v>60</v>
      </c>
      <c r="S6" s="174" t="s">
        <v>61</v>
      </c>
      <c r="T6" s="174" t="s">
        <v>62</v>
      </c>
      <c r="U6" s="174" t="s">
        <v>63</v>
      </c>
      <c r="V6" s="174" t="s">
        <v>64</v>
      </c>
      <c r="W6" s="174" t="s">
        <v>65</v>
      </c>
      <c r="X6" s="174" t="s">
        <v>59</v>
      </c>
      <c r="Y6" s="174" t="s">
        <v>60</v>
      </c>
      <c r="Z6" s="174" t="s">
        <v>61</v>
      </c>
      <c r="AA6" s="174" t="s">
        <v>62</v>
      </c>
      <c r="AB6" s="174" t="s">
        <v>63</v>
      </c>
      <c r="AC6" s="174" t="s">
        <v>64</v>
      </c>
      <c r="AD6" s="174" t="s">
        <v>65</v>
      </c>
      <c r="AE6" s="174" t="s">
        <v>59</v>
      </c>
      <c r="AF6" s="174" t="s">
        <v>60</v>
      </c>
      <c r="AG6" s="174" t="s">
        <v>61</v>
      </c>
      <c r="AH6" s="174" t="s">
        <v>62</v>
      </c>
      <c r="AI6" s="174" t="s">
        <v>63</v>
      </c>
      <c r="AJ6" s="174" t="s">
        <v>64</v>
      </c>
      <c r="AK6" s="174" t="s">
        <v>65</v>
      </c>
      <c r="AL6" s="174" t="s">
        <v>59</v>
      </c>
      <c r="AM6" s="175" t="s">
        <v>60</v>
      </c>
    </row>
    <row r="7" spans="2:39" ht="18.75" customHeight="1" x14ac:dyDescent="0.25">
      <c r="B7" s="176"/>
      <c r="C7" s="177"/>
      <c r="D7" s="177"/>
      <c r="E7" s="177"/>
      <c r="F7" s="177"/>
      <c r="G7" s="177"/>
      <c r="H7" s="177"/>
      <c r="I7" s="177"/>
      <c r="J7" s="177"/>
      <c r="K7" s="177"/>
      <c r="L7" s="177"/>
      <c r="M7" s="177"/>
      <c r="N7" s="177"/>
      <c r="O7" s="177"/>
      <c r="P7" s="177"/>
      <c r="Q7" s="177"/>
      <c r="R7" s="177"/>
      <c r="S7" s="177"/>
      <c r="T7" s="177"/>
      <c r="U7" s="177"/>
      <c r="V7" s="177"/>
      <c r="W7" s="177"/>
      <c r="X7" s="177"/>
      <c r="Y7" s="177"/>
      <c r="Z7" s="177"/>
      <c r="AA7" s="177"/>
      <c r="AB7" s="177"/>
      <c r="AC7" s="177"/>
      <c r="AD7" s="177"/>
      <c r="AE7" s="177"/>
      <c r="AF7" s="177"/>
      <c r="AG7" s="177"/>
      <c r="AH7" s="177"/>
      <c r="AI7" s="177"/>
      <c r="AJ7" s="177"/>
      <c r="AK7" s="177"/>
      <c r="AL7" s="177"/>
      <c r="AM7" s="177"/>
    </row>
    <row r="8" spans="2:39" ht="18.75" customHeight="1" x14ac:dyDescent="0.25">
      <c r="B8" s="178"/>
      <c r="C8" s="179"/>
      <c r="D8" s="179"/>
      <c r="E8" s="179"/>
      <c r="F8" s="179"/>
      <c r="G8" s="179"/>
      <c r="H8" s="179"/>
      <c r="I8" s="179"/>
      <c r="J8" s="179"/>
      <c r="K8" s="179"/>
      <c r="L8" s="179"/>
      <c r="M8" s="179"/>
      <c r="N8" s="179"/>
      <c r="O8" s="179"/>
      <c r="P8" s="179"/>
      <c r="Q8" s="179"/>
      <c r="R8" s="179"/>
      <c r="S8" s="179"/>
      <c r="T8" s="179"/>
      <c r="U8" s="179"/>
      <c r="V8" s="179"/>
      <c r="W8" s="179"/>
      <c r="X8" s="179"/>
      <c r="Y8" s="179"/>
      <c r="Z8" s="179"/>
      <c r="AA8" s="179"/>
      <c r="AB8" s="179"/>
      <c r="AC8" s="179"/>
      <c r="AD8" s="179"/>
      <c r="AE8" s="179"/>
      <c r="AF8" s="179"/>
      <c r="AG8" s="179"/>
      <c r="AH8" s="179"/>
      <c r="AI8" s="179"/>
      <c r="AJ8" s="179"/>
      <c r="AK8" s="179"/>
      <c r="AL8" s="179"/>
      <c r="AM8" s="179"/>
    </row>
    <row r="9" spans="2:39" ht="18.75" customHeight="1" x14ac:dyDescent="0.25">
      <c r="B9" s="178"/>
      <c r="C9" s="179"/>
      <c r="D9" s="179"/>
      <c r="E9" s="179"/>
      <c r="F9" s="179"/>
      <c r="G9" s="179"/>
      <c r="H9" s="179"/>
      <c r="I9" s="179"/>
      <c r="J9" s="179"/>
      <c r="K9" s="179"/>
      <c r="L9" s="179"/>
      <c r="M9" s="179"/>
      <c r="N9" s="179"/>
      <c r="O9" s="179"/>
      <c r="P9" s="179"/>
      <c r="Q9" s="179"/>
      <c r="R9" s="179"/>
      <c r="S9" s="179"/>
      <c r="T9" s="179"/>
      <c r="U9" s="179"/>
      <c r="V9" s="179"/>
      <c r="W9" s="179"/>
      <c r="X9" s="179"/>
      <c r="Y9" s="179"/>
      <c r="Z9" s="179"/>
      <c r="AA9" s="179"/>
      <c r="AB9" s="179"/>
      <c r="AC9" s="179"/>
      <c r="AD9" s="179"/>
      <c r="AE9" s="179"/>
      <c r="AF9" s="179"/>
      <c r="AG9" s="179"/>
      <c r="AH9" s="179"/>
      <c r="AI9" s="179"/>
      <c r="AJ9" s="179"/>
      <c r="AK9" s="179"/>
      <c r="AL9" s="179"/>
      <c r="AM9" s="179"/>
    </row>
    <row r="10" spans="2:39" ht="18.75" customHeight="1" x14ac:dyDescent="0.25">
      <c r="B10" s="178"/>
      <c r="C10" s="179"/>
      <c r="D10" s="179"/>
      <c r="E10" s="179"/>
      <c r="F10" s="179"/>
      <c r="G10" s="179"/>
      <c r="H10" s="179"/>
      <c r="I10" s="179"/>
      <c r="J10" s="179"/>
      <c r="K10" s="179"/>
      <c r="L10" s="179"/>
      <c r="M10" s="179"/>
      <c r="N10" s="179"/>
      <c r="O10" s="179"/>
      <c r="P10" s="179"/>
      <c r="Q10" s="179"/>
      <c r="R10" s="179"/>
      <c r="S10" s="179"/>
      <c r="T10" s="179"/>
      <c r="U10" s="179"/>
      <c r="V10" s="179"/>
      <c r="W10" s="179"/>
      <c r="X10" s="179"/>
      <c r="Y10" s="179"/>
      <c r="Z10" s="179"/>
      <c r="AA10" s="179"/>
      <c r="AB10" s="179"/>
      <c r="AC10" s="179"/>
      <c r="AD10" s="179"/>
      <c r="AE10" s="179"/>
      <c r="AF10" s="179"/>
      <c r="AG10" s="179"/>
      <c r="AH10" s="179"/>
      <c r="AI10" s="179"/>
      <c r="AJ10" s="179"/>
      <c r="AK10" s="179"/>
      <c r="AL10" s="179"/>
      <c r="AM10" s="179"/>
    </row>
    <row r="11" spans="2:39" ht="18.75" customHeight="1" x14ac:dyDescent="0.25">
      <c r="B11" s="178"/>
      <c r="C11" s="179"/>
      <c r="D11" s="179"/>
      <c r="E11" s="179"/>
      <c r="F11" s="179"/>
      <c r="G11" s="179"/>
      <c r="H11" s="179"/>
      <c r="I11" s="179"/>
      <c r="J11" s="179"/>
      <c r="K11" s="179"/>
      <c r="L11" s="179"/>
      <c r="M11" s="179"/>
      <c r="N11" s="179"/>
      <c r="O11" s="179"/>
      <c r="P11" s="179"/>
      <c r="Q11" s="179"/>
      <c r="R11" s="179"/>
      <c r="S11" s="179"/>
      <c r="T11" s="179"/>
      <c r="U11" s="179"/>
      <c r="V11" s="179"/>
      <c r="W11" s="179"/>
      <c r="X11" s="179"/>
      <c r="Y11" s="179"/>
      <c r="Z11" s="179"/>
      <c r="AA11" s="179"/>
      <c r="AB11" s="179"/>
      <c r="AC11" s="179"/>
      <c r="AD11" s="179"/>
      <c r="AE11" s="179"/>
      <c r="AF11" s="179"/>
      <c r="AG11" s="179"/>
      <c r="AH11" s="179"/>
      <c r="AI11" s="179"/>
      <c r="AJ11" s="179"/>
      <c r="AK11" s="179"/>
      <c r="AL11" s="179"/>
      <c r="AM11" s="179"/>
    </row>
    <row r="12" spans="2:39" ht="18.75" customHeight="1" x14ac:dyDescent="0.25">
      <c r="B12" s="178"/>
      <c r="C12" s="179"/>
      <c r="D12" s="179"/>
      <c r="E12" s="179"/>
      <c r="F12" s="179"/>
      <c r="G12" s="179"/>
      <c r="H12" s="179"/>
      <c r="I12" s="179"/>
      <c r="J12" s="179"/>
      <c r="K12" s="179"/>
      <c r="L12" s="179"/>
      <c r="M12" s="179"/>
      <c r="N12" s="179"/>
      <c r="O12" s="179"/>
      <c r="P12" s="179"/>
      <c r="Q12" s="179"/>
      <c r="R12" s="179"/>
      <c r="S12" s="179"/>
      <c r="T12" s="179"/>
      <c r="U12" s="179"/>
      <c r="V12" s="179"/>
      <c r="W12" s="179"/>
      <c r="X12" s="179"/>
      <c r="Y12" s="179"/>
      <c r="Z12" s="179"/>
      <c r="AA12" s="179"/>
      <c r="AB12" s="179"/>
      <c r="AC12" s="179"/>
      <c r="AD12" s="179"/>
      <c r="AE12" s="179"/>
      <c r="AF12" s="179"/>
      <c r="AG12" s="179"/>
      <c r="AH12" s="179"/>
      <c r="AI12" s="179"/>
      <c r="AJ12" s="179"/>
      <c r="AK12" s="179"/>
      <c r="AL12" s="179"/>
      <c r="AM12" s="179"/>
    </row>
    <row r="13" spans="2:39" ht="18.75" customHeight="1" x14ac:dyDescent="0.25">
      <c r="B13" s="178"/>
      <c r="C13" s="179"/>
      <c r="D13" s="179"/>
      <c r="E13" s="179"/>
      <c r="F13" s="179"/>
      <c r="G13" s="179"/>
      <c r="H13" s="179"/>
      <c r="I13" s="179"/>
      <c r="J13" s="179"/>
      <c r="K13" s="179"/>
      <c r="L13" s="179"/>
      <c r="M13" s="179"/>
      <c r="N13" s="179"/>
      <c r="O13" s="179"/>
      <c r="P13" s="179"/>
      <c r="Q13" s="179"/>
      <c r="R13" s="179"/>
      <c r="S13" s="179"/>
      <c r="T13" s="179"/>
      <c r="U13" s="179"/>
      <c r="V13" s="179"/>
      <c r="W13" s="179"/>
      <c r="X13" s="179"/>
      <c r="Y13" s="179"/>
      <c r="Z13" s="179"/>
      <c r="AA13" s="179"/>
      <c r="AB13" s="179"/>
      <c r="AC13" s="179"/>
      <c r="AD13" s="179"/>
      <c r="AE13" s="179"/>
      <c r="AF13" s="179"/>
      <c r="AG13" s="179"/>
      <c r="AH13" s="179"/>
      <c r="AI13" s="179"/>
      <c r="AJ13" s="179"/>
      <c r="AK13" s="179"/>
      <c r="AL13" s="179"/>
      <c r="AM13" s="179"/>
    </row>
    <row r="14" spans="2:39" ht="18.75" customHeight="1" x14ac:dyDescent="0.25">
      <c r="B14" s="178"/>
      <c r="C14" s="179"/>
      <c r="D14" s="179"/>
      <c r="E14" s="179"/>
      <c r="F14" s="179"/>
      <c r="G14" s="179"/>
      <c r="H14" s="179"/>
      <c r="I14" s="179"/>
      <c r="J14" s="179"/>
      <c r="K14" s="179"/>
      <c r="L14" s="179"/>
      <c r="M14" s="179"/>
      <c r="N14" s="179"/>
      <c r="O14" s="179"/>
      <c r="P14" s="179"/>
      <c r="Q14" s="179"/>
      <c r="R14" s="179"/>
      <c r="S14" s="179"/>
      <c r="T14" s="179"/>
      <c r="U14" s="179"/>
      <c r="V14" s="179"/>
      <c r="W14" s="179"/>
      <c r="X14" s="179"/>
      <c r="Y14" s="179"/>
      <c r="Z14" s="179"/>
      <c r="AA14" s="179"/>
      <c r="AB14" s="179"/>
      <c r="AC14" s="179"/>
      <c r="AD14" s="179"/>
      <c r="AE14" s="179"/>
      <c r="AF14" s="179"/>
      <c r="AG14" s="179"/>
      <c r="AH14" s="179"/>
      <c r="AI14" s="179"/>
      <c r="AJ14" s="179"/>
      <c r="AK14" s="179"/>
      <c r="AL14" s="179"/>
      <c r="AM14" s="179"/>
    </row>
    <row r="15" spans="2:39" ht="18.75" customHeight="1" x14ac:dyDescent="0.25">
      <c r="B15" s="178"/>
      <c r="C15" s="179"/>
      <c r="D15" s="179"/>
      <c r="E15" s="179"/>
      <c r="F15" s="179"/>
      <c r="G15" s="179"/>
      <c r="H15" s="179"/>
      <c r="I15" s="179"/>
      <c r="J15" s="179"/>
      <c r="K15" s="179"/>
      <c r="L15" s="179"/>
      <c r="M15" s="179"/>
      <c r="N15" s="179"/>
      <c r="O15" s="179"/>
      <c r="P15" s="179"/>
      <c r="Q15" s="179"/>
      <c r="R15" s="179"/>
      <c r="S15" s="179"/>
      <c r="T15" s="179"/>
      <c r="U15" s="179"/>
      <c r="V15" s="179"/>
      <c r="W15" s="179"/>
      <c r="X15" s="179"/>
      <c r="Y15" s="179"/>
      <c r="Z15" s="179"/>
      <c r="AA15" s="179"/>
      <c r="AB15" s="179"/>
      <c r="AC15" s="179"/>
      <c r="AD15" s="179"/>
      <c r="AE15" s="179"/>
      <c r="AF15" s="179"/>
      <c r="AG15" s="179"/>
      <c r="AH15" s="179"/>
      <c r="AI15" s="179"/>
      <c r="AJ15" s="179"/>
      <c r="AK15" s="179"/>
      <c r="AL15" s="179"/>
      <c r="AM15" s="179"/>
    </row>
    <row r="16" spans="2:39" ht="18.75" customHeight="1" x14ac:dyDescent="0.25">
      <c r="B16" s="178"/>
      <c r="C16" s="179"/>
      <c r="D16" s="179"/>
      <c r="E16" s="179"/>
      <c r="F16" s="179"/>
      <c r="G16" s="179"/>
      <c r="H16" s="179"/>
      <c r="I16" s="179"/>
      <c r="J16" s="179"/>
      <c r="K16" s="179"/>
      <c r="L16" s="179"/>
      <c r="M16" s="179"/>
      <c r="N16" s="179"/>
      <c r="O16" s="179"/>
      <c r="P16" s="179"/>
      <c r="Q16" s="179"/>
      <c r="R16" s="179"/>
      <c r="S16" s="179"/>
      <c r="T16" s="179"/>
      <c r="U16" s="179"/>
      <c r="V16" s="179"/>
      <c r="W16" s="179"/>
      <c r="X16" s="179"/>
      <c r="Y16" s="179"/>
      <c r="Z16" s="179"/>
      <c r="AA16" s="179"/>
      <c r="AB16" s="179"/>
      <c r="AC16" s="179"/>
      <c r="AD16" s="179"/>
      <c r="AE16" s="179"/>
      <c r="AF16" s="179"/>
      <c r="AG16" s="179"/>
      <c r="AH16" s="179"/>
      <c r="AI16" s="179"/>
      <c r="AJ16" s="179"/>
      <c r="AK16" s="179"/>
      <c r="AL16" s="179"/>
      <c r="AM16" s="179"/>
    </row>
    <row r="17" spans="2:39" ht="12" customHeight="1" x14ac:dyDescent="0.25"/>
    <row r="18" spans="2:39" s="180" customFormat="1" ht="18.75" customHeight="1" x14ac:dyDescent="0.25">
      <c r="B18" s="240">
        <f>DATE(CalendarYear,2,1)</f>
        <v>44593</v>
      </c>
      <c r="C18" s="172" t="str">
        <f>IF(DAY(FebSun1)=1,"",IF(AND(YEAR(FebSun1+1)=CalendarYear,MONTH(FebSun1+1)=2),FebSun1+1,""))</f>
        <v/>
      </c>
      <c r="D18" s="172" t="str">
        <f>IF(DAY(FebSun1)=1,"",IF(AND(YEAR(FebSun1+2)=CalendarYear,MONTH(FebSun1+2)=2),FebSun1+2,""))</f>
        <v/>
      </c>
      <c r="E18" s="172">
        <f>IF(DAY(FebSun1)=1,"",IF(AND(YEAR(FebSun1+3)=CalendarYear,MONTH(FebSun1+3)=2),FebSun1+3,""))</f>
        <v>44593</v>
      </c>
      <c r="F18" s="172">
        <f>IF(DAY(FebSun1)=1,"",IF(AND(YEAR(FebSun1+4)=CalendarYear,MONTH(FebSun1+4)=2),FebSun1+4,""))</f>
        <v>44594</v>
      </c>
      <c r="G18" s="172">
        <f>IF(DAY(FebSun1)=1,"",IF(AND(YEAR(FebSun1+5)=CalendarYear,MONTH(FebSun1+5)=2),FebSun1+5,""))</f>
        <v>44595</v>
      </c>
      <c r="H18" s="172">
        <f>IF(DAY(FebSun1)=1,"",IF(AND(YEAR(FebSun1+6)=CalendarYear,MONTH(FebSun1+6)=2),FebSun1+6,""))</f>
        <v>44596</v>
      </c>
      <c r="I18" s="172">
        <f>IF(DAY(FebSun1)=1,IF(AND(YEAR(FebSun1)=CalendarYear,MONTH(FebSun1)=2),FebSun1,""),IF(AND(YEAR(FebSun1+7)=CalendarYear,MONTH(FebSun1+7)=2),FebSun1+7,""))</f>
        <v>44597</v>
      </c>
      <c r="J18" s="172">
        <f>IF(DAY(FebSun1)=1,IF(AND(YEAR(FebSun1+1)=CalendarYear,MONTH(FebSun1+1)=2),FebSun1+1,""),IF(AND(YEAR(FebSun1+8)=CalendarYear,MONTH(FebSun1+8)=2),FebSun1+8,""))</f>
        <v>44598</v>
      </c>
      <c r="K18" s="172">
        <f>IF(DAY(FebSun1)=1,IF(AND(YEAR(FebSun1+2)=CalendarYear,MONTH(FebSun1+2)=2),FebSun1+2,""),IF(AND(YEAR(FebSun1+9)=CalendarYear,MONTH(FebSun1+9)=2),FebSun1+9,""))</f>
        <v>44599</v>
      </c>
      <c r="L18" s="172">
        <f>IF(DAY(FebSun1)=1,IF(AND(YEAR(FebSun1+3)=CalendarYear,MONTH(FebSun1+3)=2),FebSun1+3,""),IF(AND(YEAR(FebSun1+10)=CalendarYear,MONTH(FebSun1+10)=2),FebSun1+10,""))</f>
        <v>44600</v>
      </c>
      <c r="M18" s="172">
        <f>IF(DAY(FebSun1)=1,IF(AND(YEAR(FebSun1+4)=CalendarYear,MONTH(FebSun1+4)=2),FebSun1+4,""),IF(AND(YEAR(FebSun1+11)=CalendarYear,MONTH(FebSun1+11)=2),FebSun1+11,""))</f>
        <v>44601</v>
      </c>
      <c r="N18" s="172">
        <f>IF(DAY(FebSun1)=1,IF(AND(YEAR(FebSun1+5)=CalendarYear,MONTH(FebSun1+5)=2),FebSun1+5,""),IF(AND(YEAR(FebSun1+12)=CalendarYear,MONTH(FebSun1+12)=2),FebSun1+12,""))</f>
        <v>44602</v>
      </c>
      <c r="O18" s="172">
        <f>IF(DAY(FebSun1)=1,IF(AND(YEAR(FebSun1+6)=CalendarYear,MONTH(FebSun1+6)=2),FebSun1+6,""),IF(AND(YEAR(FebSun1+13)=CalendarYear,MONTH(FebSun1+13)=2),FebSun1+13,""))</f>
        <v>44603</v>
      </c>
      <c r="P18" s="172">
        <f>IF(DAY(FebSun1)=1,IF(AND(YEAR(FebSun1+7)=CalendarYear,MONTH(FebSun1+7)=2),FebSun1+7,""),IF(AND(YEAR(FebSun1+14)=CalendarYear,MONTH(FebSun1+14)=2),FebSun1+14,""))</f>
        <v>44604</v>
      </c>
      <c r="Q18" s="172">
        <f>IF(DAY(FebSun1)=1,IF(AND(YEAR(FebSun1+8)=CalendarYear,MONTH(FebSun1+8)=2),FebSun1+8,""),IF(AND(YEAR(FebSun1+15)=CalendarYear,MONTH(FebSun1+15)=2),FebSun1+15,""))</f>
        <v>44605</v>
      </c>
      <c r="R18" s="172">
        <f>IF(DAY(FebSun1)=1,IF(AND(YEAR(FebSun1+9)=CalendarYear,MONTH(FebSun1+9)=2),FebSun1+9,""),IF(AND(YEAR(FebSun1+16)=CalendarYear,MONTH(FebSun1+16)=2),FebSun1+16,""))</f>
        <v>44606</v>
      </c>
      <c r="S18" s="172">
        <f>IF(DAY(FebSun1)=1,IF(AND(YEAR(FebSun1+10)=CalendarYear,MONTH(FebSun1+10)=2),FebSun1+10,""),IF(AND(YEAR(FebSun1+17)=CalendarYear,MONTH(FebSun1+17)=2),FebSun1+17,""))</f>
        <v>44607</v>
      </c>
      <c r="T18" s="172">
        <f>IF(DAY(FebSun1)=1,IF(AND(YEAR(FebSun1+11)=CalendarYear,MONTH(FebSun1+11)=2),FebSun1+11,""),IF(AND(YEAR(FebSun1+18)=CalendarYear,MONTH(FebSun1+18)=2),FebSun1+18,""))</f>
        <v>44608</v>
      </c>
      <c r="U18" s="172">
        <f>IF(DAY(FebSun1)=1,IF(AND(YEAR(FebSun1+12)=CalendarYear,MONTH(FebSun1+12)=2),FebSun1+12,""),IF(AND(YEAR(FebSun1+19)=CalendarYear,MONTH(FebSun1+19)=2),FebSun1+19,""))</f>
        <v>44609</v>
      </c>
      <c r="V18" s="172">
        <f>IF(DAY(FebSun1)=1,IF(AND(YEAR(FebSun1+13)=CalendarYear,MONTH(FebSun1+13)=2),FebSun1+13,""),IF(AND(YEAR(FebSun1+20)=CalendarYear,MONTH(FebSun1+20)=2),FebSun1+20,""))</f>
        <v>44610</v>
      </c>
      <c r="W18" s="172">
        <f>IF(DAY(FebSun1)=1,IF(AND(YEAR(FebSun1+14)=CalendarYear,MONTH(FebSun1+14)=2),FebSun1+14,""),IF(AND(YEAR(FebSun1+21)=CalendarYear,MONTH(FebSun1+21)=2),FebSun1+21,""))</f>
        <v>44611</v>
      </c>
      <c r="X18" s="172">
        <f>IF(DAY(FebSun1)=1,IF(AND(YEAR(FebSun1+15)=CalendarYear,MONTH(FebSun1+15)=2),FebSun1+15,""),IF(AND(YEAR(FebSun1+22)=CalendarYear,MONTH(FebSun1+22)=2),FebSun1+22,""))</f>
        <v>44612</v>
      </c>
      <c r="Y18" s="172">
        <f>IF(DAY(FebSun1)=1,IF(AND(YEAR(FebSun1+16)=CalendarYear,MONTH(FebSun1+16)=2),FebSun1+16,""),IF(AND(YEAR(FebSun1+23)=CalendarYear,MONTH(FebSun1+23)=2),FebSun1+23,""))</f>
        <v>44613</v>
      </c>
      <c r="Z18" s="172">
        <f>IF(DAY(FebSun1)=1,IF(AND(YEAR(FebSun1+17)=CalendarYear,MONTH(FebSun1+17)=2),FebSun1+17,""),IF(AND(YEAR(FebSun1+24)=CalendarYear,MONTH(FebSun1+24)=2),FebSun1+24,""))</f>
        <v>44614</v>
      </c>
      <c r="AA18" s="172">
        <f>IF(DAY(FebSun1)=1,IF(AND(YEAR(FebSun1+18)=CalendarYear,MONTH(FebSun1+18)=2),FebSun1+18,""),IF(AND(YEAR(FebSun1+25)=CalendarYear,MONTH(FebSun1+25)=2),FebSun1+25,""))</f>
        <v>44615</v>
      </c>
      <c r="AB18" s="172">
        <f>IF(DAY(FebSun1)=1,IF(AND(YEAR(FebSun1+19)=CalendarYear,MONTH(FebSun1+19)=2),FebSun1+19,""),IF(AND(YEAR(FebSun1+26)=CalendarYear,MONTH(FebSun1+26)=2),FebSun1+26,""))</f>
        <v>44616</v>
      </c>
      <c r="AC18" s="172">
        <f>IF(DAY(FebSun1)=1,IF(AND(YEAR(FebSun1+20)=CalendarYear,MONTH(FebSun1+20)=2),FebSun1+20,""),IF(AND(YEAR(FebSun1+27)=CalendarYear,MONTH(FebSun1+27)=2),FebSun1+27,""))</f>
        <v>44617</v>
      </c>
      <c r="AD18" s="172">
        <f>IF(DAY(FebSun1)=1,IF(AND(YEAR(FebSun1+21)=CalendarYear,MONTH(FebSun1+21)=2),FebSun1+21,""),IF(AND(YEAR(FebSun1+28)=CalendarYear,MONTH(FebSun1+28)=2),FebSun1+28,""))</f>
        <v>44618</v>
      </c>
      <c r="AE18" s="172">
        <f>IF(DAY(FebSun1)=1,IF(AND(YEAR(FebSun1+22)=CalendarYear,MONTH(FebSun1+22)=2),FebSun1+22,""),IF(AND(YEAR(FebSun1+29)=CalendarYear,MONTH(FebSun1+29)=2),FebSun1+29,""))</f>
        <v>44619</v>
      </c>
      <c r="AF18" s="172">
        <f>IF(DAY(FebSun1)=1,IF(AND(YEAR(FebSun1+23)=CalendarYear,MONTH(FebSun1+23)=2),FebSun1+23,""),IF(AND(YEAR(FebSun1+30)=CalendarYear,MONTH(FebSun1+30)=2),FebSun1+30,""))</f>
        <v>44620</v>
      </c>
      <c r="AG18" s="172" t="str">
        <f>IF(DAY(FebSun1)=1,IF(AND(YEAR(FebSun1+24)=CalendarYear,MONTH(FebSun1+24)=2),FebSun1+24,""),IF(AND(YEAR(FebSun1+31)=CalendarYear,MONTH(FebSun1+31)=2),FebSun1+31,""))</f>
        <v/>
      </c>
      <c r="AH18" s="172" t="str">
        <f>IF(DAY(FebSun1)=1,IF(AND(YEAR(FebSun1+25)=CalendarYear,MONTH(FebSun1+25)=2),FebSun1+25,""),IF(AND(YEAR(FebSun1+32)=CalendarYear,MONTH(FebSun1+32)=2),FebSun1+32,""))</f>
        <v/>
      </c>
      <c r="AI18" s="172" t="str">
        <f>IF(DAY(FebSun1)=1,IF(AND(YEAR(FebSun1+26)=CalendarYear,MONTH(FebSun1+26)=2),FebSun1+26,""),IF(AND(YEAR(FebSun1+33)=CalendarYear,MONTH(FebSun1+33)=2),FebSun1+33,""))</f>
        <v/>
      </c>
      <c r="AJ18" s="172" t="str">
        <f>IF(DAY(FebSun1)=1,IF(AND(YEAR(FebSun1+27)=CalendarYear,MONTH(FebSun1+27)=2),FebSun1+27,""),IF(AND(YEAR(FebSun1+34)=CalendarYear,MONTH(FebSun1+34)=2),FebSun1+34,""))</f>
        <v/>
      </c>
      <c r="AK18" s="172" t="str">
        <f>IF(DAY(FebSun1)=1,IF(AND(YEAR(FebSun1+28)=CalendarYear,MONTH(FebSun1+28)=2),FebSun1+28,""),IF(AND(YEAR(FebSun1+35)=CalendarYear,MONTH(FebSun1+35)=2),FebSun1+35,""))</f>
        <v/>
      </c>
      <c r="AL18" s="172" t="str">
        <f>IF(DAY(FebSun1)=1,IF(AND(YEAR(FebSun1+29)=CalendarYear,MONTH(FebSun1+29)=2),FebSun1+29,""),IF(AND(YEAR(FebSun1+36)=CalendarYear,MONTH(FebSun1+36)=2),FebSun1+36,""))</f>
        <v/>
      </c>
      <c r="AM18" s="173" t="str">
        <f>IF(DAY(FebSun1)=1,IF(AND(YEAR(FebSun1+30)=CalendarYear,MONTH(FebSun1+30)=2),FebSun1+30,""),IF(AND(YEAR(FebSun1+37)=CalendarYear,MONTH(FebSun1+37)=2),FebSun1+37,""))</f>
        <v/>
      </c>
    </row>
    <row r="19" spans="2:39" s="180" customFormat="1" ht="18.75" customHeight="1" x14ac:dyDescent="0.25">
      <c r="B19" s="240"/>
      <c r="C19" s="174" t="s">
        <v>59</v>
      </c>
      <c r="D19" s="174" t="s">
        <v>60</v>
      </c>
      <c r="E19" s="174" t="s">
        <v>61</v>
      </c>
      <c r="F19" s="174" t="s">
        <v>62</v>
      </c>
      <c r="G19" s="174" t="s">
        <v>63</v>
      </c>
      <c r="H19" s="174" t="s">
        <v>64</v>
      </c>
      <c r="I19" s="174" t="s">
        <v>65</v>
      </c>
      <c r="J19" s="174" t="s">
        <v>59</v>
      </c>
      <c r="K19" s="174" t="s">
        <v>60</v>
      </c>
      <c r="L19" s="174" t="s">
        <v>61</v>
      </c>
      <c r="M19" s="174" t="s">
        <v>62</v>
      </c>
      <c r="N19" s="174" t="s">
        <v>63</v>
      </c>
      <c r="O19" s="174" t="s">
        <v>64</v>
      </c>
      <c r="P19" s="174" t="s">
        <v>65</v>
      </c>
      <c r="Q19" s="174" t="s">
        <v>59</v>
      </c>
      <c r="R19" s="174" t="s">
        <v>60</v>
      </c>
      <c r="S19" s="174" t="s">
        <v>61</v>
      </c>
      <c r="T19" s="174" t="s">
        <v>62</v>
      </c>
      <c r="U19" s="174" t="s">
        <v>63</v>
      </c>
      <c r="V19" s="174" t="s">
        <v>64</v>
      </c>
      <c r="W19" s="174" t="s">
        <v>65</v>
      </c>
      <c r="X19" s="174" t="s">
        <v>59</v>
      </c>
      <c r="Y19" s="174" t="s">
        <v>60</v>
      </c>
      <c r="Z19" s="174" t="s">
        <v>61</v>
      </c>
      <c r="AA19" s="174" t="s">
        <v>62</v>
      </c>
      <c r="AB19" s="174" t="s">
        <v>63</v>
      </c>
      <c r="AC19" s="174" t="s">
        <v>64</v>
      </c>
      <c r="AD19" s="174" t="s">
        <v>65</v>
      </c>
      <c r="AE19" s="174" t="s">
        <v>59</v>
      </c>
      <c r="AF19" s="174" t="s">
        <v>60</v>
      </c>
      <c r="AG19" s="174" t="s">
        <v>61</v>
      </c>
      <c r="AH19" s="174" t="s">
        <v>62</v>
      </c>
      <c r="AI19" s="174" t="s">
        <v>63</v>
      </c>
      <c r="AJ19" s="174" t="s">
        <v>64</v>
      </c>
      <c r="AK19" s="174" t="s">
        <v>65</v>
      </c>
      <c r="AL19" s="174" t="s">
        <v>59</v>
      </c>
      <c r="AM19" s="175" t="s">
        <v>60</v>
      </c>
    </row>
    <row r="20" spans="2:39" ht="18.75" customHeight="1" x14ac:dyDescent="0.25">
      <c r="B20" s="176"/>
      <c r="C20" s="177"/>
      <c r="D20" s="177"/>
      <c r="E20" s="177"/>
      <c r="F20" s="177"/>
      <c r="G20" s="177"/>
      <c r="H20" s="177"/>
      <c r="I20" s="177"/>
      <c r="J20" s="177"/>
      <c r="K20" s="177"/>
      <c r="L20" s="177"/>
      <c r="M20" s="177"/>
      <c r="N20" s="177"/>
      <c r="O20" s="177"/>
      <c r="P20" s="177"/>
      <c r="Q20" s="177"/>
      <c r="R20" s="177"/>
      <c r="S20" s="177"/>
      <c r="T20" s="177"/>
      <c r="U20" s="177"/>
      <c r="V20" s="177"/>
      <c r="W20" s="177"/>
      <c r="X20" s="177"/>
      <c r="Y20" s="177"/>
      <c r="Z20" s="177"/>
      <c r="AA20" s="177"/>
      <c r="AB20" s="177"/>
      <c r="AC20" s="177"/>
      <c r="AD20" s="177"/>
      <c r="AE20" s="177"/>
      <c r="AF20" s="177"/>
      <c r="AG20" s="177"/>
      <c r="AH20" s="177"/>
      <c r="AI20" s="177"/>
      <c r="AJ20" s="177"/>
      <c r="AK20" s="177"/>
      <c r="AL20" s="177"/>
      <c r="AM20" s="177"/>
    </row>
    <row r="21" spans="2:39" ht="18.75" customHeight="1" x14ac:dyDescent="0.25">
      <c r="B21" s="178"/>
      <c r="C21" s="179"/>
      <c r="D21" s="179"/>
      <c r="E21" s="179"/>
      <c r="F21" s="179"/>
      <c r="G21" s="179"/>
      <c r="H21" s="179"/>
      <c r="I21" s="179"/>
      <c r="J21" s="179"/>
      <c r="K21" s="179"/>
      <c r="L21" s="179"/>
      <c r="M21" s="179"/>
      <c r="N21" s="179"/>
      <c r="O21" s="179"/>
      <c r="P21" s="179"/>
      <c r="Q21" s="179"/>
      <c r="R21" s="179"/>
      <c r="S21" s="179"/>
      <c r="T21" s="179"/>
      <c r="U21" s="179"/>
      <c r="V21" s="179"/>
      <c r="W21" s="179"/>
      <c r="X21" s="179"/>
      <c r="Y21" s="179"/>
      <c r="Z21" s="179"/>
      <c r="AA21" s="179"/>
      <c r="AB21" s="179"/>
      <c r="AC21" s="179"/>
      <c r="AD21" s="179"/>
      <c r="AE21" s="179"/>
      <c r="AF21" s="179"/>
      <c r="AG21" s="179"/>
      <c r="AH21" s="179"/>
      <c r="AI21" s="179"/>
      <c r="AJ21" s="179"/>
      <c r="AK21" s="179"/>
      <c r="AL21" s="179"/>
      <c r="AM21" s="179"/>
    </row>
    <row r="22" spans="2:39" ht="18.75" customHeight="1" x14ac:dyDescent="0.25">
      <c r="B22" s="178"/>
      <c r="C22" s="179"/>
      <c r="D22" s="179"/>
      <c r="E22" s="179"/>
      <c r="F22" s="179"/>
      <c r="G22" s="179"/>
      <c r="H22" s="179"/>
      <c r="I22" s="179"/>
      <c r="J22" s="179"/>
      <c r="K22" s="179"/>
      <c r="L22" s="179"/>
      <c r="M22" s="179"/>
      <c r="N22" s="179"/>
      <c r="O22" s="179"/>
      <c r="P22" s="179"/>
      <c r="Q22" s="179"/>
      <c r="R22" s="179"/>
      <c r="S22" s="179"/>
      <c r="T22" s="179"/>
      <c r="U22" s="179"/>
      <c r="V22" s="179"/>
      <c r="W22" s="179"/>
      <c r="X22" s="179"/>
      <c r="Y22" s="179"/>
      <c r="Z22" s="179"/>
      <c r="AA22" s="179"/>
      <c r="AB22" s="179"/>
      <c r="AC22" s="179"/>
      <c r="AD22" s="179"/>
      <c r="AE22" s="179"/>
      <c r="AF22" s="179"/>
      <c r="AG22" s="179"/>
      <c r="AH22" s="179"/>
      <c r="AI22" s="179"/>
      <c r="AJ22" s="179"/>
      <c r="AK22" s="179"/>
      <c r="AL22" s="179"/>
      <c r="AM22" s="179"/>
    </row>
    <row r="23" spans="2:39" ht="18.75" customHeight="1" x14ac:dyDescent="0.25">
      <c r="B23" s="178"/>
      <c r="C23" s="179"/>
      <c r="D23" s="179"/>
      <c r="E23" s="179"/>
      <c r="F23" s="179"/>
      <c r="G23" s="179"/>
      <c r="H23" s="179"/>
      <c r="I23" s="179"/>
      <c r="J23" s="179"/>
      <c r="K23" s="179"/>
      <c r="L23" s="179"/>
      <c r="M23" s="179"/>
      <c r="N23" s="179"/>
      <c r="O23" s="179"/>
      <c r="P23" s="179"/>
      <c r="Q23" s="179"/>
      <c r="R23" s="179"/>
      <c r="S23" s="179"/>
      <c r="T23" s="179"/>
      <c r="U23" s="179"/>
      <c r="V23" s="179"/>
      <c r="W23" s="179"/>
      <c r="X23" s="179"/>
      <c r="Y23" s="179"/>
      <c r="Z23" s="179"/>
      <c r="AA23" s="179"/>
      <c r="AB23" s="179"/>
      <c r="AC23" s="179"/>
      <c r="AD23" s="179"/>
      <c r="AE23" s="179"/>
      <c r="AF23" s="179"/>
      <c r="AG23" s="179"/>
      <c r="AH23" s="179"/>
      <c r="AI23" s="179"/>
      <c r="AJ23" s="179"/>
      <c r="AK23" s="179"/>
      <c r="AL23" s="179"/>
      <c r="AM23" s="179"/>
    </row>
    <row r="24" spans="2:39" ht="18.75" customHeight="1" x14ac:dyDescent="0.25">
      <c r="B24" s="178"/>
      <c r="C24" s="179"/>
      <c r="D24" s="179"/>
      <c r="E24" s="179"/>
      <c r="F24" s="179"/>
      <c r="G24" s="179"/>
      <c r="H24" s="179"/>
      <c r="I24" s="179"/>
      <c r="J24" s="179"/>
      <c r="K24" s="179"/>
      <c r="L24" s="179"/>
      <c r="M24" s="179"/>
      <c r="N24" s="179"/>
      <c r="O24" s="179"/>
      <c r="P24" s="179"/>
      <c r="Q24" s="179"/>
      <c r="R24" s="179"/>
      <c r="S24" s="179"/>
      <c r="T24" s="179"/>
      <c r="U24" s="179"/>
      <c r="V24" s="179"/>
      <c r="W24" s="179"/>
      <c r="X24" s="179"/>
      <c r="Y24" s="179"/>
      <c r="Z24" s="179"/>
      <c r="AA24" s="179"/>
      <c r="AB24" s="179"/>
      <c r="AC24" s="179"/>
      <c r="AD24" s="179"/>
      <c r="AE24" s="179"/>
      <c r="AF24" s="179"/>
      <c r="AG24" s="179"/>
      <c r="AH24" s="179"/>
      <c r="AI24" s="179"/>
      <c r="AJ24" s="179"/>
      <c r="AK24" s="179"/>
      <c r="AL24" s="179"/>
      <c r="AM24" s="179"/>
    </row>
    <row r="25" spans="2:39" ht="18.75" customHeight="1" x14ac:dyDescent="0.25">
      <c r="B25" s="178"/>
      <c r="C25" s="179"/>
      <c r="D25" s="179"/>
      <c r="E25" s="179"/>
      <c r="F25" s="179"/>
      <c r="G25" s="179"/>
      <c r="H25" s="179"/>
      <c r="I25" s="179"/>
      <c r="J25" s="179"/>
      <c r="K25" s="179"/>
      <c r="L25" s="179"/>
      <c r="M25" s="179"/>
      <c r="N25" s="179"/>
      <c r="O25" s="179"/>
      <c r="P25" s="179"/>
      <c r="Q25" s="179"/>
      <c r="R25" s="179"/>
      <c r="S25" s="179"/>
      <c r="T25" s="179"/>
      <c r="U25" s="179"/>
      <c r="V25" s="179"/>
      <c r="W25" s="179"/>
      <c r="X25" s="179"/>
      <c r="Y25" s="179"/>
      <c r="Z25" s="179"/>
      <c r="AA25" s="179"/>
      <c r="AB25" s="179"/>
      <c r="AC25" s="179"/>
      <c r="AD25" s="179"/>
      <c r="AE25" s="179"/>
      <c r="AF25" s="179"/>
      <c r="AG25" s="179"/>
      <c r="AH25" s="179"/>
      <c r="AI25" s="179"/>
      <c r="AJ25" s="179"/>
      <c r="AK25" s="179"/>
      <c r="AL25" s="179"/>
      <c r="AM25" s="179"/>
    </row>
    <row r="26" spans="2:39" ht="18.75" customHeight="1" x14ac:dyDescent="0.25">
      <c r="B26" s="178"/>
      <c r="C26" s="179"/>
      <c r="D26" s="179"/>
      <c r="E26" s="179"/>
      <c r="F26" s="179"/>
      <c r="G26" s="179"/>
      <c r="H26" s="179"/>
      <c r="I26" s="179"/>
      <c r="J26" s="179"/>
      <c r="K26" s="179"/>
      <c r="L26" s="179"/>
      <c r="M26" s="179"/>
      <c r="N26" s="179"/>
      <c r="O26" s="179"/>
      <c r="P26" s="179"/>
      <c r="Q26" s="179"/>
      <c r="R26" s="179"/>
      <c r="S26" s="179"/>
      <c r="T26" s="179"/>
      <c r="U26" s="179"/>
      <c r="V26" s="179"/>
      <c r="W26" s="179"/>
      <c r="X26" s="179"/>
      <c r="Y26" s="179"/>
      <c r="Z26" s="179"/>
      <c r="AA26" s="179"/>
      <c r="AB26" s="179"/>
      <c r="AC26" s="179"/>
      <c r="AD26" s="179"/>
      <c r="AE26" s="179"/>
      <c r="AF26" s="179"/>
      <c r="AG26" s="179"/>
      <c r="AH26" s="179"/>
      <c r="AI26" s="179"/>
      <c r="AJ26" s="179"/>
      <c r="AK26" s="179"/>
      <c r="AL26" s="179"/>
      <c r="AM26" s="179"/>
    </row>
    <row r="27" spans="2:39" ht="18.75" customHeight="1" x14ac:dyDescent="0.25">
      <c r="B27" s="178"/>
      <c r="C27" s="179"/>
      <c r="D27" s="179"/>
      <c r="E27" s="179"/>
      <c r="F27" s="179"/>
      <c r="G27" s="179"/>
      <c r="H27" s="179"/>
      <c r="I27" s="179"/>
      <c r="J27" s="179"/>
      <c r="K27" s="179"/>
      <c r="L27" s="179"/>
      <c r="M27" s="179"/>
      <c r="N27" s="179"/>
      <c r="O27" s="179"/>
      <c r="P27" s="179"/>
      <c r="Q27" s="179"/>
      <c r="R27" s="179"/>
      <c r="S27" s="179"/>
      <c r="T27" s="179"/>
      <c r="U27" s="179"/>
      <c r="V27" s="179"/>
      <c r="W27" s="179"/>
      <c r="X27" s="179"/>
      <c r="Y27" s="179"/>
      <c r="Z27" s="179"/>
      <c r="AA27" s="179"/>
      <c r="AB27" s="179"/>
      <c r="AC27" s="179"/>
      <c r="AD27" s="179"/>
      <c r="AE27" s="179"/>
      <c r="AF27" s="179"/>
      <c r="AG27" s="179"/>
      <c r="AH27" s="179"/>
      <c r="AI27" s="179"/>
      <c r="AJ27" s="179"/>
      <c r="AK27" s="179"/>
      <c r="AL27" s="179"/>
      <c r="AM27" s="179"/>
    </row>
    <row r="28" spans="2:39" ht="18.75" customHeight="1" x14ac:dyDescent="0.25">
      <c r="B28" s="178"/>
      <c r="C28" s="179"/>
      <c r="D28" s="179"/>
      <c r="E28" s="179"/>
      <c r="F28" s="179"/>
      <c r="G28" s="179"/>
      <c r="H28" s="179"/>
      <c r="I28" s="179"/>
      <c r="J28" s="179"/>
      <c r="K28" s="179"/>
      <c r="L28" s="179"/>
      <c r="M28" s="179"/>
      <c r="N28" s="179"/>
      <c r="O28" s="179"/>
      <c r="P28" s="179"/>
      <c r="Q28" s="179"/>
      <c r="R28" s="179"/>
      <c r="S28" s="179"/>
      <c r="T28" s="179"/>
      <c r="U28" s="179"/>
      <c r="V28" s="179"/>
      <c r="W28" s="179"/>
      <c r="X28" s="179"/>
      <c r="Y28" s="179"/>
      <c r="Z28" s="179"/>
      <c r="AA28" s="179"/>
      <c r="AB28" s="179"/>
      <c r="AC28" s="179"/>
      <c r="AD28" s="179"/>
      <c r="AE28" s="179"/>
      <c r="AF28" s="179"/>
      <c r="AG28" s="179"/>
      <c r="AH28" s="179"/>
      <c r="AI28" s="179"/>
      <c r="AJ28" s="179"/>
      <c r="AK28" s="179"/>
      <c r="AL28" s="179"/>
      <c r="AM28" s="179"/>
    </row>
    <row r="29" spans="2:39" ht="18.75" customHeight="1" x14ac:dyDescent="0.25">
      <c r="B29" s="178"/>
      <c r="C29" s="179"/>
      <c r="D29" s="179"/>
      <c r="E29" s="179"/>
      <c r="F29" s="179"/>
      <c r="G29" s="179"/>
      <c r="H29" s="179"/>
      <c r="I29" s="179"/>
      <c r="J29" s="179"/>
      <c r="K29" s="179"/>
      <c r="L29" s="179"/>
      <c r="M29" s="179"/>
      <c r="N29" s="179"/>
      <c r="O29" s="179"/>
      <c r="P29" s="179"/>
      <c r="Q29" s="179"/>
      <c r="R29" s="179"/>
      <c r="S29" s="179"/>
      <c r="T29" s="179"/>
      <c r="U29" s="179"/>
      <c r="V29" s="179"/>
      <c r="W29" s="179"/>
      <c r="X29" s="179"/>
      <c r="Y29" s="179"/>
      <c r="Z29" s="179"/>
      <c r="AA29" s="179"/>
      <c r="AB29" s="179"/>
      <c r="AC29" s="179"/>
      <c r="AD29" s="179"/>
      <c r="AE29" s="179"/>
      <c r="AF29" s="179"/>
      <c r="AG29" s="179"/>
      <c r="AH29" s="179"/>
      <c r="AI29" s="179"/>
      <c r="AJ29" s="179"/>
      <c r="AK29" s="179"/>
      <c r="AL29" s="179"/>
      <c r="AM29" s="179"/>
    </row>
    <row r="30" spans="2:39" ht="18.75" customHeight="1" x14ac:dyDescent="0.25">
      <c r="B30" s="178"/>
      <c r="C30" s="179"/>
      <c r="D30" s="179"/>
      <c r="E30" s="179"/>
      <c r="F30" s="179"/>
      <c r="G30" s="179"/>
      <c r="H30" s="179"/>
      <c r="I30" s="179"/>
      <c r="J30" s="179"/>
      <c r="K30" s="179"/>
      <c r="L30" s="179"/>
      <c r="M30" s="179"/>
      <c r="N30" s="179"/>
      <c r="O30" s="179"/>
      <c r="P30" s="179"/>
      <c r="Q30" s="179"/>
      <c r="R30" s="179"/>
      <c r="S30" s="179"/>
      <c r="T30" s="179"/>
      <c r="U30" s="179"/>
      <c r="V30" s="179"/>
      <c r="W30" s="179"/>
      <c r="X30" s="179"/>
      <c r="Y30" s="179"/>
      <c r="Z30" s="179"/>
      <c r="AA30" s="179"/>
      <c r="AB30" s="179"/>
      <c r="AC30" s="179"/>
      <c r="AD30" s="179"/>
      <c r="AE30" s="179"/>
      <c r="AF30" s="179"/>
      <c r="AG30" s="179"/>
      <c r="AH30" s="179"/>
      <c r="AI30" s="179"/>
      <c r="AJ30" s="179"/>
      <c r="AK30" s="179"/>
      <c r="AL30" s="179"/>
      <c r="AM30" s="179"/>
    </row>
    <row r="31" spans="2:39" ht="18.75" customHeight="1" x14ac:dyDescent="0.25">
      <c r="B31" s="178"/>
      <c r="C31" s="179"/>
      <c r="D31" s="179"/>
      <c r="E31" s="179"/>
      <c r="F31" s="179"/>
      <c r="G31" s="179"/>
      <c r="H31" s="179"/>
      <c r="I31" s="179"/>
      <c r="J31" s="179"/>
      <c r="K31" s="179"/>
      <c r="L31" s="179"/>
      <c r="M31" s="179"/>
      <c r="N31" s="179"/>
      <c r="O31" s="179"/>
      <c r="P31" s="179"/>
      <c r="Q31" s="179"/>
      <c r="R31" s="179"/>
      <c r="S31" s="179"/>
      <c r="T31" s="179"/>
      <c r="U31" s="179"/>
      <c r="V31" s="179"/>
      <c r="W31" s="179"/>
      <c r="X31" s="179"/>
      <c r="Y31" s="179"/>
      <c r="Z31" s="179"/>
      <c r="AA31" s="179"/>
      <c r="AB31" s="179"/>
      <c r="AC31" s="179"/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</row>
    <row r="32" spans="2:39" ht="18.75" customHeight="1" x14ac:dyDescent="0.25">
      <c r="B32" s="178"/>
      <c r="C32" s="179"/>
      <c r="D32" s="179"/>
      <c r="E32" s="179"/>
      <c r="F32" s="179"/>
      <c r="G32" s="179"/>
      <c r="H32" s="179"/>
      <c r="I32" s="179"/>
      <c r="J32" s="179"/>
      <c r="K32" s="179"/>
      <c r="L32" s="179"/>
      <c r="M32" s="179"/>
      <c r="N32" s="179"/>
      <c r="O32" s="179"/>
      <c r="P32" s="179"/>
      <c r="Q32" s="179"/>
      <c r="R32" s="179"/>
      <c r="S32" s="179"/>
      <c r="T32" s="179"/>
      <c r="U32" s="179"/>
      <c r="V32" s="179"/>
      <c r="W32" s="179"/>
      <c r="X32" s="179"/>
      <c r="Y32" s="179"/>
      <c r="Z32" s="179"/>
      <c r="AA32" s="179"/>
      <c r="AB32" s="179"/>
      <c r="AC32" s="179"/>
      <c r="AD32" s="179"/>
      <c r="AE32" s="179"/>
      <c r="AF32" s="179"/>
      <c r="AG32" s="179"/>
      <c r="AH32" s="179"/>
      <c r="AI32" s="179"/>
      <c r="AJ32" s="179"/>
      <c r="AK32" s="179"/>
      <c r="AL32" s="179"/>
      <c r="AM32" s="179"/>
    </row>
    <row r="33" spans="2:39" ht="12" customHeight="1" x14ac:dyDescent="0.25"/>
    <row r="34" spans="2:39" s="171" customFormat="1" ht="18.75" customHeight="1" x14ac:dyDescent="0.25">
      <c r="B34" s="240">
        <f>DATE(CalendarYear,3,1)</f>
        <v>44621</v>
      </c>
      <c r="C34" s="172" t="str">
        <f>IF(DAY(MarSun1)=1,"",IF(AND(YEAR(MarSun1+1)=CalendarYear,MONTH(MarSun1+1)=3),MarSun1+1,""))</f>
        <v/>
      </c>
      <c r="D34" s="172" t="str">
        <f>IF(DAY(MarSun1)=1,"",IF(AND(YEAR(MarSun1+2)=CalendarYear,MONTH(MarSun1+2)=3),MarSun1+2,""))</f>
        <v/>
      </c>
      <c r="E34" s="172">
        <f>IF(DAY(MarSun1)=1,"",IF(AND(YEAR(MarSun1+3)=CalendarYear,MONTH(MarSun1+3)=3),MarSun1+3,""))</f>
        <v>44621</v>
      </c>
      <c r="F34" s="172">
        <f>IF(DAY(MarSun1)=1,"",IF(AND(YEAR(MarSun1+4)=CalendarYear,MONTH(MarSun1+4)=3),MarSun1+4,""))</f>
        <v>44622</v>
      </c>
      <c r="G34" s="172">
        <f>IF(DAY(MarSun1)=1,"",IF(AND(YEAR(MarSun1+5)=CalendarYear,MONTH(MarSun1+5)=3),MarSun1+5,""))</f>
        <v>44623</v>
      </c>
      <c r="H34" s="172">
        <f>IF(DAY(MarSun1)=1,"",IF(AND(YEAR(MarSun1+6)=CalendarYear,MONTH(MarSun1+6)=3),MarSun1+6,""))</f>
        <v>44624</v>
      </c>
      <c r="I34" s="172">
        <f>IF(DAY(MarSun1)=1,IF(AND(YEAR(MarSun1)=CalendarYear,MONTH(MarSun1)=3),MarSun1,""),IF(AND(YEAR(MarSun1+7)=CalendarYear,MONTH(MarSun1+7)=3),MarSun1+7,""))</f>
        <v>44625</v>
      </c>
      <c r="J34" s="172">
        <f>IF(DAY(MarSun1)=1,IF(AND(YEAR(MarSun1+1)=CalendarYear,MONTH(MarSun1+1)=3),MarSun1+1,""),IF(AND(YEAR(MarSun1+8)=CalendarYear,MONTH(MarSun1+8)=3),MarSun1+8,""))</f>
        <v>44626</v>
      </c>
      <c r="K34" s="172">
        <f>IF(DAY(MarSun1)=1,IF(AND(YEAR(MarSun1+2)=CalendarYear,MONTH(MarSun1+2)=3),MarSun1+2,""),IF(AND(YEAR(MarSun1+9)=CalendarYear,MONTH(MarSun1+9)=3),MarSun1+9,""))</f>
        <v>44627</v>
      </c>
      <c r="L34" s="172">
        <f>IF(DAY(MarSun1)=1,IF(AND(YEAR(MarSun1+3)=CalendarYear,MONTH(MarSun1+3)=3),MarSun1+3,""),IF(AND(YEAR(MarSun1+10)=CalendarYear,MONTH(MarSun1+10)=3),MarSun1+10,""))</f>
        <v>44628</v>
      </c>
      <c r="M34" s="172">
        <f>IF(DAY(MarSun1)=1,IF(AND(YEAR(MarSun1+4)=CalendarYear,MONTH(MarSun1+4)=3),MarSun1+4,""),IF(AND(YEAR(MarSun1+11)=CalendarYear,MONTH(MarSun1+11)=3),MarSun1+11,""))</f>
        <v>44629</v>
      </c>
      <c r="N34" s="172">
        <f>IF(DAY(MarSun1)=1,IF(AND(YEAR(MarSun1+5)=CalendarYear,MONTH(MarSun1+5)=3),MarSun1+5,""),IF(AND(YEAR(MarSun1+12)=CalendarYear,MONTH(MarSun1+12)=3),MarSun1+12,""))</f>
        <v>44630</v>
      </c>
      <c r="O34" s="172">
        <f>IF(DAY(MarSun1)=1,IF(AND(YEAR(MarSun1+6)=CalendarYear,MONTH(MarSun1+6)=3),MarSun1+6,""),IF(AND(YEAR(MarSun1+13)=CalendarYear,MONTH(MarSun1+13)=3),MarSun1+13,""))</f>
        <v>44631</v>
      </c>
      <c r="P34" s="172">
        <f>IF(DAY(MarSun1)=1,IF(AND(YEAR(MarSun1+7)=CalendarYear,MONTH(MarSun1+7)=3),MarSun1+7,""),IF(AND(YEAR(MarSun1+14)=CalendarYear,MONTH(MarSun1+14)=3),MarSun1+14,""))</f>
        <v>44632</v>
      </c>
      <c r="Q34" s="172">
        <f>IF(DAY(MarSun1)=1,IF(AND(YEAR(MarSun1+8)=CalendarYear,MONTH(MarSun1+8)=3),MarSun1+8,""),IF(AND(YEAR(MarSun1+15)=CalendarYear,MONTH(MarSun1+15)=3),MarSun1+15,""))</f>
        <v>44633</v>
      </c>
      <c r="R34" s="172">
        <f>IF(DAY(MarSun1)=1,IF(AND(YEAR(MarSun1+9)=CalendarYear,MONTH(MarSun1+9)=3),MarSun1+9,""),IF(AND(YEAR(MarSun1+16)=CalendarYear,MONTH(MarSun1+16)=3),MarSun1+16,""))</f>
        <v>44634</v>
      </c>
      <c r="S34" s="172">
        <f>IF(DAY(MarSun1)=1,IF(AND(YEAR(MarSun1+10)=CalendarYear,MONTH(MarSun1+10)=3),MarSun1+10,""),IF(AND(YEAR(MarSun1+17)=CalendarYear,MONTH(MarSun1+17)=3),MarSun1+17,""))</f>
        <v>44635</v>
      </c>
      <c r="T34" s="172">
        <f>IF(DAY(MarSun1)=1,IF(AND(YEAR(MarSun1+11)=CalendarYear,MONTH(MarSun1+11)=3),MarSun1+11,""),IF(AND(YEAR(MarSun1+18)=CalendarYear,MONTH(MarSun1+18)=3),MarSun1+18,""))</f>
        <v>44636</v>
      </c>
      <c r="U34" s="172">
        <f>IF(DAY(MarSun1)=1,IF(AND(YEAR(MarSun1+12)=CalendarYear,MONTH(MarSun1+12)=3),MarSun1+12,""),IF(AND(YEAR(MarSun1+19)=CalendarYear,MONTH(MarSun1+19)=3),MarSun1+19,""))</f>
        <v>44637</v>
      </c>
      <c r="V34" s="172">
        <f>IF(DAY(MarSun1)=1,IF(AND(YEAR(MarSun1+13)=CalendarYear,MONTH(MarSun1+13)=3),MarSun1+13,""),IF(AND(YEAR(MarSun1+20)=CalendarYear,MONTH(MarSun1+20)=3),MarSun1+20,""))</f>
        <v>44638</v>
      </c>
      <c r="W34" s="172">
        <f>IF(DAY(MarSun1)=1,IF(AND(YEAR(MarSun1+14)=CalendarYear,MONTH(MarSun1+14)=3),MarSun1+14,""),IF(AND(YEAR(MarSun1+21)=CalendarYear,MONTH(MarSun1+21)=3),MarSun1+21,""))</f>
        <v>44639</v>
      </c>
      <c r="X34" s="172">
        <f>IF(DAY(MarSun1)=1,IF(AND(YEAR(MarSun1+15)=CalendarYear,MONTH(MarSun1+15)=3),MarSun1+15,""),IF(AND(YEAR(MarSun1+22)=CalendarYear,MONTH(MarSun1+22)=3),MarSun1+22,""))</f>
        <v>44640</v>
      </c>
      <c r="Y34" s="172">
        <f>IF(DAY(MarSun1)=1,IF(AND(YEAR(MarSun1+16)=CalendarYear,MONTH(MarSun1+16)=3),MarSun1+16,""),IF(AND(YEAR(MarSun1+23)=CalendarYear,MONTH(MarSun1+23)=3),MarSun1+23,""))</f>
        <v>44641</v>
      </c>
      <c r="Z34" s="172">
        <f>IF(DAY(MarSun1)=1,IF(AND(YEAR(MarSun1+17)=CalendarYear,MONTH(MarSun1+17)=3),MarSun1+17,""),IF(AND(YEAR(MarSun1+24)=CalendarYear,MONTH(MarSun1+24)=3),MarSun1+24,""))</f>
        <v>44642</v>
      </c>
      <c r="AA34" s="172">
        <f>IF(DAY(MarSun1)=1,IF(AND(YEAR(MarSun1+18)=CalendarYear,MONTH(MarSun1+18)=3),MarSun1+18,""),IF(AND(YEAR(MarSun1+25)=CalendarYear,MONTH(MarSun1+25)=3),MarSun1+25,""))</f>
        <v>44643</v>
      </c>
      <c r="AB34" s="172">
        <f>IF(DAY(MarSun1)=1,IF(AND(YEAR(MarSun1+19)=CalendarYear,MONTH(MarSun1+19)=3),MarSun1+19,""),IF(AND(YEAR(MarSun1+26)=CalendarYear,MONTH(MarSun1+26)=3),MarSun1+26,""))</f>
        <v>44644</v>
      </c>
      <c r="AC34" s="172">
        <f>IF(DAY(MarSun1)=1,IF(AND(YEAR(MarSun1+20)=CalendarYear,MONTH(MarSun1+20)=3),MarSun1+20,""),IF(AND(YEAR(MarSun1+27)=CalendarYear,MONTH(MarSun1+27)=3),MarSun1+27,""))</f>
        <v>44645</v>
      </c>
      <c r="AD34" s="172">
        <f>IF(DAY(MarSun1)=1,IF(AND(YEAR(MarSun1+21)=CalendarYear,MONTH(MarSun1+21)=3),MarSun1+21,""),IF(AND(YEAR(MarSun1+28)=CalendarYear,MONTH(MarSun1+28)=3),MarSun1+28,""))</f>
        <v>44646</v>
      </c>
      <c r="AE34" s="172">
        <f>IF(DAY(MarSun1)=1,IF(AND(YEAR(MarSun1+22)=CalendarYear,MONTH(MarSun1+22)=3),MarSun1+22,""),IF(AND(YEAR(MarSun1+29)=CalendarYear,MONTH(MarSun1+29)=3),MarSun1+29,""))</f>
        <v>44647</v>
      </c>
      <c r="AF34" s="172">
        <f>IF(DAY(MarSun1)=1,IF(AND(YEAR(MarSun1+23)=CalendarYear,MONTH(MarSun1+23)=3),MarSun1+23,""),IF(AND(YEAR(MarSun1+30)=CalendarYear,MONTH(MarSun1+30)=3),MarSun1+30,""))</f>
        <v>44648</v>
      </c>
      <c r="AG34" s="172">
        <f>IF(DAY(MarSun1)=1,IF(AND(YEAR(MarSun1+24)=CalendarYear,MONTH(MarSun1+24)=3),MarSun1+24,""),IF(AND(YEAR(MarSun1+31)=CalendarYear,MONTH(MarSun1+31)=3),MarSun1+31,""))</f>
        <v>44649</v>
      </c>
      <c r="AH34" s="172">
        <f>IF(DAY(MarSun1)=1,IF(AND(YEAR(MarSun1+25)=CalendarYear,MONTH(MarSun1+25)=3),MarSun1+25,""),IF(AND(YEAR(MarSun1+32)=CalendarYear,MONTH(MarSun1+32)=3),MarSun1+32,""))</f>
        <v>44650</v>
      </c>
      <c r="AI34" s="172">
        <f>IF(DAY(MarSun1)=1,IF(AND(YEAR(MarSun1+26)=CalendarYear,MONTH(MarSun1+26)=3),MarSun1+26,""),IF(AND(YEAR(MarSun1+33)=CalendarYear,MONTH(MarSun1+33)=3),MarSun1+33,""))</f>
        <v>44651</v>
      </c>
      <c r="AJ34" s="172" t="str">
        <f>IF(DAY(MarSun1)=1,IF(AND(YEAR(MarSun1+27)=CalendarYear,MONTH(MarSun1+27)=3),MarSun1+27,""),IF(AND(YEAR(MarSun1+34)=CalendarYear,MONTH(MarSun1+34)=3),MarSun1+34,""))</f>
        <v/>
      </c>
      <c r="AK34" s="172" t="str">
        <f>IF(DAY(MarSun1)=1,IF(AND(YEAR(MarSun1+28)=CalendarYear,MONTH(MarSun1+28)=3),MarSun1+28,""),IF(AND(YEAR(MarSun1+35)=CalendarYear,MONTH(MarSun1+35)=3),MarSun1+35,""))</f>
        <v/>
      </c>
      <c r="AL34" s="172" t="str">
        <f>IF(DAY(MarSun1)=1,IF(AND(YEAR(MarSun1+29)=CalendarYear,MONTH(MarSun1+29)=3),MarSun1+29,""),IF(AND(YEAR(MarSun1+36)=CalendarYear,MONTH(MarSun1+36)=3),MarSun1+36,""))</f>
        <v/>
      </c>
      <c r="AM34" s="173" t="str">
        <f>IF(DAY(MarSun1)=1,IF(AND(YEAR(MarSun1+30)=CalendarYear,MONTH(MarSun1+30)=3),MarSun1+30,""),IF(AND(YEAR(MarSun1+37)=CalendarYear,MONTH(MarSun1+37)=3),MarSun1+37,""))</f>
        <v/>
      </c>
    </row>
    <row r="35" spans="2:39" s="171" customFormat="1" ht="18.75" customHeight="1" x14ac:dyDescent="0.25">
      <c r="B35" s="240"/>
      <c r="C35" s="174" t="s">
        <v>59</v>
      </c>
      <c r="D35" s="174" t="s">
        <v>60</v>
      </c>
      <c r="E35" s="174" t="s">
        <v>61</v>
      </c>
      <c r="F35" s="174" t="s">
        <v>62</v>
      </c>
      <c r="G35" s="174" t="s">
        <v>63</v>
      </c>
      <c r="H35" s="174" t="s">
        <v>64</v>
      </c>
      <c r="I35" s="174" t="s">
        <v>65</v>
      </c>
      <c r="J35" s="174" t="s">
        <v>59</v>
      </c>
      <c r="K35" s="174" t="s">
        <v>60</v>
      </c>
      <c r="L35" s="174" t="s">
        <v>61</v>
      </c>
      <c r="M35" s="174" t="s">
        <v>62</v>
      </c>
      <c r="N35" s="174" t="s">
        <v>63</v>
      </c>
      <c r="O35" s="174" t="s">
        <v>64</v>
      </c>
      <c r="P35" s="174" t="s">
        <v>65</v>
      </c>
      <c r="Q35" s="174" t="s">
        <v>59</v>
      </c>
      <c r="R35" s="174" t="s">
        <v>60</v>
      </c>
      <c r="S35" s="174" t="s">
        <v>61</v>
      </c>
      <c r="T35" s="174" t="s">
        <v>62</v>
      </c>
      <c r="U35" s="174" t="s">
        <v>63</v>
      </c>
      <c r="V35" s="174" t="s">
        <v>64</v>
      </c>
      <c r="W35" s="174" t="s">
        <v>65</v>
      </c>
      <c r="X35" s="174" t="s">
        <v>59</v>
      </c>
      <c r="Y35" s="174" t="s">
        <v>60</v>
      </c>
      <c r="Z35" s="174" t="s">
        <v>61</v>
      </c>
      <c r="AA35" s="174" t="s">
        <v>62</v>
      </c>
      <c r="AB35" s="174" t="s">
        <v>63</v>
      </c>
      <c r="AC35" s="174" t="s">
        <v>64</v>
      </c>
      <c r="AD35" s="174" t="s">
        <v>65</v>
      </c>
      <c r="AE35" s="174" t="s">
        <v>59</v>
      </c>
      <c r="AF35" s="174" t="s">
        <v>60</v>
      </c>
      <c r="AG35" s="174" t="s">
        <v>61</v>
      </c>
      <c r="AH35" s="174" t="s">
        <v>62</v>
      </c>
      <c r="AI35" s="174" t="s">
        <v>63</v>
      </c>
      <c r="AJ35" s="174" t="s">
        <v>64</v>
      </c>
      <c r="AK35" s="174" t="s">
        <v>65</v>
      </c>
      <c r="AL35" s="174" t="s">
        <v>59</v>
      </c>
      <c r="AM35" s="175" t="s">
        <v>60</v>
      </c>
    </row>
    <row r="36" spans="2:39" ht="18.75" customHeight="1" x14ac:dyDescent="0.25">
      <c r="B36" s="176"/>
      <c r="C36" s="177"/>
      <c r="D36" s="177"/>
      <c r="E36" s="177"/>
      <c r="F36" s="177"/>
      <c r="G36" s="177"/>
      <c r="H36" s="177"/>
      <c r="I36" s="177"/>
      <c r="J36" s="177"/>
      <c r="K36" s="177"/>
      <c r="L36" s="177"/>
      <c r="M36" s="177"/>
      <c r="N36" s="177"/>
      <c r="O36" s="177"/>
      <c r="P36" s="177"/>
      <c r="Q36" s="177"/>
      <c r="R36" s="177"/>
      <c r="S36" s="177"/>
      <c r="T36" s="177"/>
      <c r="U36" s="177"/>
      <c r="V36" s="177"/>
      <c r="W36" s="177"/>
      <c r="X36" s="177"/>
      <c r="Y36" s="177"/>
      <c r="Z36" s="177"/>
      <c r="AA36" s="177"/>
      <c r="AB36" s="177"/>
      <c r="AC36" s="177"/>
      <c r="AD36" s="177"/>
      <c r="AE36" s="177"/>
      <c r="AF36" s="177"/>
      <c r="AG36" s="177"/>
      <c r="AH36" s="177"/>
      <c r="AI36" s="177"/>
      <c r="AJ36" s="177"/>
      <c r="AK36" s="177"/>
      <c r="AL36" s="177"/>
      <c r="AM36" s="177"/>
    </row>
    <row r="37" spans="2:39" ht="18.75" customHeight="1" x14ac:dyDescent="0.25">
      <c r="B37" s="176"/>
      <c r="C37" s="177"/>
      <c r="D37" s="177"/>
      <c r="E37" s="177"/>
      <c r="F37" s="177"/>
      <c r="G37" s="177"/>
      <c r="H37" s="177"/>
      <c r="I37" s="177"/>
      <c r="J37" s="177"/>
      <c r="K37" s="177"/>
      <c r="L37" s="177"/>
      <c r="M37" s="177"/>
      <c r="N37" s="177"/>
      <c r="O37" s="177"/>
      <c r="P37" s="177"/>
      <c r="Q37" s="177"/>
      <c r="R37" s="177"/>
      <c r="S37" s="177"/>
      <c r="T37" s="177"/>
      <c r="U37" s="177"/>
      <c r="V37" s="177"/>
      <c r="W37" s="177"/>
      <c r="X37" s="177"/>
      <c r="Y37" s="177"/>
      <c r="Z37" s="177"/>
      <c r="AA37" s="177"/>
      <c r="AB37" s="177"/>
      <c r="AC37" s="177"/>
      <c r="AD37" s="177"/>
      <c r="AE37" s="177"/>
      <c r="AF37" s="177"/>
      <c r="AG37" s="177"/>
      <c r="AH37" s="177"/>
      <c r="AI37" s="177"/>
      <c r="AJ37" s="177"/>
      <c r="AK37" s="177"/>
      <c r="AL37" s="177"/>
      <c r="AM37" s="177"/>
    </row>
    <row r="38" spans="2:39" ht="18.75" customHeight="1" x14ac:dyDescent="0.25">
      <c r="B38" s="176"/>
      <c r="C38" s="177"/>
      <c r="D38" s="177"/>
      <c r="E38" s="177"/>
      <c r="F38" s="177"/>
      <c r="G38" s="177"/>
      <c r="H38" s="177"/>
      <c r="I38" s="177"/>
      <c r="J38" s="177"/>
      <c r="K38" s="177"/>
      <c r="L38" s="177"/>
      <c r="M38" s="177"/>
      <c r="N38" s="177"/>
      <c r="O38" s="177"/>
      <c r="P38" s="177"/>
      <c r="Q38" s="177"/>
      <c r="R38" s="177"/>
      <c r="S38" s="177"/>
      <c r="T38" s="177"/>
      <c r="U38" s="177"/>
      <c r="V38" s="177"/>
      <c r="W38" s="177"/>
      <c r="X38" s="177"/>
      <c r="Y38" s="177"/>
      <c r="Z38" s="177"/>
      <c r="AA38" s="177"/>
      <c r="AB38" s="177"/>
      <c r="AC38" s="177"/>
      <c r="AD38" s="177"/>
      <c r="AE38" s="177"/>
      <c r="AF38" s="177"/>
      <c r="AG38" s="177"/>
      <c r="AH38" s="177"/>
      <c r="AI38" s="177"/>
      <c r="AJ38" s="177"/>
      <c r="AK38" s="177"/>
      <c r="AL38" s="177"/>
      <c r="AM38" s="177"/>
    </row>
    <row r="39" spans="2:39" ht="18.75" customHeight="1" x14ac:dyDescent="0.25">
      <c r="B39" s="176"/>
      <c r="C39" s="177"/>
      <c r="D39" s="177"/>
      <c r="E39" s="177"/>
      <c r="F39" s="177"/>
      <c r="G39" s="177"/>
      <c r="H39" s="177"/>
      <c r="I39" s="177"/>
      <c r="J39" s="177"/>
      <c r="K39" s="177"/>
      <c r="L39" s="177"/>
      <c r="M39" s="177"/>
      <c r="N39" s="177"/>
      <c r="O39" s="177"/>
      <c r="P39" s="177"/>
      <c r="Q39" s="177"/>
      <c r="R39" s="177"/>
      <c r="S39" s="177"/>
      <c r="T39" s="177"/>
      <c r="U39" s="177"/>
      <c r="V39" s="177"/>
      <c r="W39" s="177"/>
      <c r="X39" s="177"/>
      <c r="Y39" s="177"/>
      <c r="Z39" s="177"/>
      <c r="AA39" s="177"/>
      <c r="AB39" s="177"/>
      <c r="AC39" s="177"/>
      <c r="AD39" s="177"/>
      <c r="AE39" s="177"/>
      <c r="AF39" s="177"/>
      <c r="AG39" s="177"/>
      <c r="AH39" s="177"/>
      <c r="AI39" s="177"/>
      <c r="AJ39" s="177"/>
      <c r="AK39" s="177"/>
      <c r="AL39" s="177"/>
      <c r="AM39" s="177"/>
    </row>
    <row r="40" spans="2:39" ht="18.75" customHeight="1" x14ac:dyDescent="0.25">
      <c r="B40" s="176"/>
      <c r="C40" s="177"/>
      <c r="D40" s="177"/>
      <c r="E40" s="177"/>
      <c r="F40" s="177"/>
      <c r="G40" s="177"/>
      <c r="H40" s="177"/>
      <c r="I40" s="177"/>
      <c r="J40" s="177"/>
      <c r="K40" s="177"/>
      <c r="L40" s="177"/>
      <c r="M40" s="177"/>
      <c r="N40" s="177"/>
      <c r="O40" s="177"/>
      <c r="P40" s="177"/>
      <c r="Q40" s="177"/>
      <c r="R40" s="177"/>
      <c r="S40" s="177"/>
      <c r="T40" s="177"/>
      <c r="U40" s="177"/>
      <c r="V40" s="177"/>
      <c r="W40" s="177"/>
      <c r="X40" s="177"/>
      <c r="Y40" s="177"/>
      <c r="Z40" s="177"/>
      <c r="AA40" s="177"/>
      <c r="AB40" s="177"/>
      <c r="AC40" s="177"/>
      <c r="AD40" s="177"/>
      <c r="AE40" s="177"/>
      <c r="AF40" s="177"/>
      <c r="AG40" s="177"/>
      <c r="AH40" s="177"/>
      <c r="AI40" s="177"/>
      <c r="AJ40" s="177"/>
      <c r="AK40" s="177"/>
      <c r="AL40" s="177"/>
      <c r="AM40" s="177"/>
    </row>
    <row r="41" spans="2:39" ht="18.75" customHeight="1" x14ac:dyDescent="0.25">
      <c r="B41" s="176"/>
      <c r="C41" s="177"/>
      <c r="D41" s="177"/>
      <c r="E41" s="177"/>
      <c r="F41" s="177"/>
      <c r="G41" s="177"/>
      <c r="H41" s="177"/>
      <c r="I41" s="177"/>
      <c r="J41" s="177"/>
      <c r="K41" s="177"/>
      <c r="L41" s="177"/>
      <c r="M41" s="177"/>
      <c r="N41" s="177"/>
      <c r="O41" s="177"/>
      <c r="P41" s="177"/>
      <c r="Q41" s="177"/>
      <c r="R41" s="177"/>
      <c r="S41" s="177"/>
      <c r="T41" s="177"/>
      <c r="U41" s="177"/>
      <c r="V41" s="177"/>
      <c r="W41" s="177"/>
      <c r="X41" s="177"/>
      <c r="Y41" s="177"/>
      <c r="Z41" s="177"/>
      <c r="AA41" s="177"/>
      <c r="AB41" s="177"/>
      <c r="AC41" s="177"/>
      <c r="AD41" s="177"/>
      <c r="AE41" s="177"/>
      <c r="AF41" s="177"/>
      <c r="AG41" s="177"/>
      <c r="AH41" s="177"/>
      <c r="AI41" s="177"/>
      <c r="AJ41" s="177"/>
      <c r="AK41" s="177"/>
      <c r="AL41" s="177"/>
      <c r="AM41" s="177"/>
    </row>
    <row r="42" spans="2:39" ht="18.75" customHeight="1" x14ac:dyDescent="0.25">
      <c r="B42" s="176"/>
      <c r="C42" s="177"/>
      <c r="D42" s="177"/>
      <c r="E42" s="177"/>
      <c r="F42" s="177"/>
      <c r="G42" s="177"/>
      <c r="H42" s="177"/>
      <c r="I42" s="177"/>
      <c r="J42" s="177"/>
      <c r="K42" s="177"/>
      <c r="L42" s="177"/>
      <c r="M42" s="177"/>
      <c r="N42" s="177"/>
      <c r="O42" s="177"/>
      <c r="P42" s="177"/>
      <c r="Q42" s="177"/>
      <c r="R42" s="177"/>
      <c r="S42" s="177"/>
      <c r="T42" s="177"/>
      <c r="U42" s="177"/>
      <c r="V42" s="177"/>
      <c r="W42" s="177"/>
      <c r="X42" s="177"/>
      <c r="Y42" s="177"/>
      <c r="Z42" s="177"/>
      <c r="AA42" s="177"/>
      <c r="AB42" s="177"/>
      <c r="AC42" s="177"/>
      <c r="AD42" s="177"/>
      <c r="AE42" s="177"/>
      <c r="AF42" s="177"/>
      <c r="AG42" s="177"/>
      <c r="AH42" s="177"/>
      <c r="AI42" s="177"/>
      <c r="AJ42" s="177"/>
      <c r="AK42" s="177"/>
      <c r="AL42" s="177"/>
      <c r="AM42" s="177"/>
    </row>
    <row r="43" spans="2:39" ht="18.75" customHeight="1" x14ac:dyDescent="0.25">
      <c r="B43" s="178"/>
      <c r="C43" s="179"/>
      <c r="D43" s="179"/>
      <c r="E43" s="179"/>
      <c r="F43" s="179"/>
      <c r="G43" s="179"/>
      <c r="H43" s="179"/>
      <c r="I43" s="179"/>
      <c r="J43" s="179"/>
      <c r="K43" s="179"/>
      <c r="L43" s="179"/>
      <c r="M43" s="179"/>
      <c r="N43" s="179"/>
      <c r="O43" s="179"/>
      <c r="P43" s="179"/>
      <c r="Q43" s="179"/>
      <c r="R43" s="179"/>
      <c r="S43" s="179"/>
      <c r="T43" s="179"/>
      <c r="U43" s="179"/>
      <c r="V43" s="179"/>
      <c r="W43" s="179"/>
      <c r="X43" s="179"/>
      <c r="Y43" s="179"/>
      <c r="Z43" s="179"/>
      <c r="AA43" s="179"/>
      <c r="AB43" s="179"/>
      <c r="AC43" s="179"/>
      <c r="AD43" s="179"/>
      <c r="AE43" s="179"/>
      <c r="AF43" s="179"/>
      <c r="AG43" s="179"/>
      <c r="AH43" s="179"/>
      <c r="AI43" s="179"/>
      <c r="AJ43" s="179"/>
      <c r="AK43" s="179"/>
      <c r="AL43" s="179"/>
      <c r="AM43" s="179"/>
    </row>
    <row r="44" spans="2:39" ht="18.75" customHeight="1" x14ac:dyDescent="0.25">
      <c r="B44" s="178"/>
      <c r="C44" s="179"/>
      <c r="D44" s="179"/>
      <c r="E44" s="179"/>
      <c r="F44" s="179"/>
      <c r="G44" s="179"/>
      <c r="H44" s="179"/>
      <c r="I44" s="179"/>
      <c r="J44" s="179"/>
      <c r="K44" s="179"/>
      <c r="L44" s="179"/>
      <c r="M44" s="179"/>
      <c r="N44" s="179"/>
      <c r="O44" s="179"/>
      <c r="P44" s="179"/>
      <c r="Q44" s="179"/>
      <c r="R44" s="179"/>
      <c r="S44" s="179"/>
      <c r="T44" s="179"/>
      <c r="U44" s="179"/>
      <c r="V44" s="179"/>
      <c r="W44" s="179"/>
      <c r="X44" s="179"/>
      <c r="Y44" s="179"/>
      <c r="Z44" s="179"/>
      <c r="AA44" s="179"/>
      <c r="AB44" s="179"/>
      <c r="AC44" s="179"/>
      <c r="AD44" s="179"/>
      <c r="AE44" s="179"/>
      <c r="AF44" s="179"/>
      <c r="AG44" s="179"/>
      <c r="AH44" s="179"/>
      <c r="AI44" s="179"/>
      <c r="AJ44" s="179"/>
      <c r="AK44" s="179"/>
      <c r="AL44" s="179"/>
      <c r="AM44" s="179"/>
    </row>
    <row r="45" spans="2:39" ht="18.75" customHeight="1" x14ac:dyDescent="0.25">
      <c r="B45" s="178"/>
      <c r="C45" s="179"/>
      <c r="D45" s="179"/>
      <c r="E45" s="179"/>
      <c r="F45" s="179"/>
      <c r="G45" s="179"/>
      <c r="H45" s="179"/>
      <c r="I45" s="179"/>
      <c r="J45" s="179"/>
      <c r="K45" s="179"/>
      <c r="L45" s="179"/>
      <c r="M45" s="179"/>
      <c r="N45" s="179"/>
      <c r="O45" s="179"/>
      <c r="P45" s="179"/>
      <c r="Q45" s="179"/>
      <c r="R45" s="179"/>
      <c r="S45" s="179"/>
      <c r="T45" s="179"/>
      <c r="U45" s="179"/>
      <c r="V45" s="179"/>
      <c r="W45" s="179"/>
      <c r="X45" s="179"/>
      <c r="Y45" s="179"/>
      <c r="Z45" s="179"/>
      <c r="AA45" s="179"/>
      <c r="AB45" s="179"/>
      <c r="AC45" s="179"/>
      <c r="AD45" s="179"/>
      <c r="AE45" s="179"/>
      <c r="AF45" s="179"/>
      <c r="AG45" s="179"/>
      <c r="AH45" s="179"/>
      <c r="AI45" s="179"/>
      <c r="AJ45" s="179"/>
      <c r="AK45" s="179"/>
      <c r="AL45" s="179"/>
      <c r="AM45" s="179"/>
    </row>
    <row r="46" spans="2:39" ht="18.75" customHeight="1" x14ac:dyDescent="0.25">
      <c r="B46" s="178"/>
      <c r="C46" s="179"/>
      <c r="D46" s="179"/>
      <c r="E46" s="179"/>
      <c r="F46" s="179"/>
      <c r="G46" s="179"/>
      <c r="H46" s="179"/>
      <c r="I46" s="179"/>
      <c r="J46" s="179"/>
      <c r="K46" s="179"/>
      <c r="L46" s="179"/>
      <c r="M46" s="179"/>
      <c r="N46" s="179"/>
      <c r="O46" s="179"/>
      <c r="P46" s="179"/>
      <c r="Q46" s="179"/>
      <c r="R46" s="179"/>
      <c r="S46" s="179"/>
      <c r="T46" s="179"/>
      <c r="U46" s="179"/>
      <c r="V46" s="179"/>
      <c r="W46" s="179"/>
      <c r="X46" s="179"/>
      <c r="Y46" s="179"/>
      <c r="Z46" s="179"/>
      <c r="AA46" s="179"/>
      <c r="AB46" s="179"/>
      <c r="AC46" s="179"/>
      <c r="AD46" s="179"/>
      <c r="AE46" s="179"/>
      <c r="AF46" s="179"/>
      <c r="AG46" s="179"/>
      <c r="AH46" s="179"/>
      <c r="AI46" s="179"/>
      <c r="AJ46" s="179"/>
      <c r="AK46" s="179"/>
      <c r="AL46" s="179"/>
      <c r="AM46" s="179"/>
    </row>
    <row r="47" spans="2:39" ht="18.75" customHeight="1" x14ac:dyDescent="0.25">
      <c r="B47" s="178"/>
      <c r="C47" s="179"/>
      <c r="D47" s="179"/>
      <c r="E47" s="179"/>
      <c r="F47" s="179"/>
      <c r="G47" s="179"/>
      <c r="H47" s="179"/>
      <c r="I47" s="179"/>
      <c r="J47" s="179"/>
      <c r="K47" s="179"/>
      <c r="L47" s="179"/>
      <c r="M47" s="179"/>
      <c r="N47" s="179"/>
      <c r="O47" s="179"/>
      <c r="P47" s="179"/>
      <c r="Q47" s="179"/>
      <c r="R47" s="179"/>
      <c r="S47" s="179"/>
      <c r="T47" s="179"/>
      <c r="U47" s="179"/>
      <c r="V47" s="179"/>
      <c r="W47" s="179"/>
      <c r="X47" s="179"/>
      <c r="Y47" s="179"/>
      <c r="Z47" s="179"/>
      <c r="AA47" s="179"/>
      <c r="AB47" s="179"/>
      <c r="AC47" s="179"/>
      <c r="AD47" s="179"/>
      <c r="AE47" s="179"/>
      <c r="AF47" s="179"/>
      <c r="AG47" s="179"/>
      <c r="AH47" s="179"/>
      <c r="AI47" s="179"/>
      <c r="AJ47" s="179"/>
      <c r="AK47" s="179"/>
      <c r="AL47" s="179"/>
      <c r="AM47" s="179"/>
    </row>
    <row r="48" spans="2:39" ht="18.75" customHeight="1" x14ac:dyDescent="0.25">
      <c r="B48" s="178"/>
      <c r="C48" s="179"/>
      <c r="D48" s="179"/>
      <c r="E48" s="179"/>
      <c r="F48" s="179"/>
      <c r="G48" s="179"/>
      <c r="H48" s="179"/>
      <c r="I48" s="179"/>
      <c r="J48" s="179"/>
      <c r="K48" s="179"/>
      <c r="L48" s="179"/>
      <c r="M48" s="179"/>
      <c r="N48" s="179"/>
      <c r="O48" s="179"/>
      <c r="P48" s="179"/>
      <c r="Q48" s="179"/>
      <c r="R48" s="179"/>
      <c r="S48" s="179"/>
      <c r="T48" s="179"/>
      <c r="U48" s="179"/>
      <c r="V48" s="179"/>
      <c r="W48" s="179"/>
      <c r="X48" s="179"/>
      <c r="Y48" s="179"/>
      <c r="Z48" s="179"/>
      <c r="AA48" s="179"/>
      <c r="AB48" s="179"/>
      <c r="AC48" s="179"/>
      <c r="AD48" s="179"/>
      <c r="AE48" s="179"/>
      <c r="AF48" s="179"/>
      <c r="AG48" s="179"/>
      <c r="AH48" s="179"/>
      <c r="AI48" s="179"/>
      <c r="AJ48" s="179"/>
      <c r="AK48" s="179"/>
      <c r="AL48" s="179"/>
      <c r="AM48" s="179"/>
    </row>
    <row r="49" spans="2:39" ht="12" customHeight="1" x14ac:dyDescent="0.25"/>
    <row r="50" spans="2:39" s="171" customFormat="1" ht="18.75" customHeight="1" x14ac:dyDescent="0.25">
      <c r="B50" s="240">
        <f>DATE(CalendarYear,4,1)</f>
        <v>44652</v>
      </c>
      <c r="C50" s="172" t="str">
        <f>IF(DAY(AprSun1)=1,"",IF(AND(YEAR(AprSun1+1)=CalendarYear,MONTH(AprSun1+1)=4),AprSun1+1,""))</f>
        <v/>
      </c>
      <c r="D50" s="172" t="str">
        <f>IF(DAY(AprSun1)=1,"",IF(AND(YEAR(AprSun1+2)=CalendarYear,MONTH(AprSun1+2)=4),AprSun1+2,""))</f>
        <v/>
      </c>
      <c r="E50" s="172" t="str">
        <f>IF(DAY(AprSun1)=1,"",IF(AND(YEAR(AprSun1+3)=CalendarYear,MONTH(AprSun1+3)=4),AprSun1+3,""))</f>
        <v/>
      </c>
      <c r="F50" s="172" t="str">
        <f>IF(DAY(AprSun1)=1,"",IF(AND(YEAR(AprSun1+4)=CalendarYear,MONTH(AprSun1+4)=4),AprSun1+4,""))</f>
        <v/>
      </c>
      <c r="G50" s="172" t="str">
        <f>IF(DAY(AprSun1)=1,"",IF(AND(YEAR(AprSun1+5)=CalendarYear,MONTH(AprSun1+5)=4),AprSun1+5,""))</f>
        <v/>
      </c>
      <c r="H50" s="172">
        <f>IF(DAY(AprSun1)=1,"",IF(AND(YEAR(AprSun1+6)=CalendarYear,MONTH(AprSun1+6)=4),AprSun1+6,""))</f>
        <v>44652</v>
      </c>
      <c r="I50" s="172">
        <f>IF(DAY(AprSun1)=1,IF(AND(YEAR(AprSun1)=CalendarYear,MONTH(AprSun1)=4),AprSun1,""),IF(AND(YEAR(AprSun1+7)=CalendarYear,MONTH(AprSun1+7)=4),AprSun1+7,""))</f>
        <v>44653</v>
      </c>
      <c r="J50" s="172">
        <f>IF(DAY(AprSun1)=1,IF(AND(YEAR(AprSun1+1)=CalendarYear,MONTH(AprSun1+1)=4),AprSun1+1,""),IF(AND(YEAR(AprSun1+8)=CalendarYear,MONTH(AprSun1+8)=4),AprSun1+8,""))</f>
        <v>44654</v>
      </c>
      <c r="K50" s="172">
        <f>IF(DAY(AprSun1)=1,IF(AND(YEAR(AprSun1+2)=CalendarYear,MONTH(AprSun1+2)=4),AprSun1+2,""),IF(AND(YEAR(AprSun1+9)=CalendarYear,MONTH(AprSun1+9)=4),AprSun1+9,""))</f>
        <v>44655</v>
      </c>
      <c r="L50" s="172">
        <f>IF(DAY(AprSun1)=1,IF(AND(YEAR(AprSun1+3)=CalendarYear,MONTH(AprSun1+3)=4),AprSun1+3,""),IF(AND(YEAR(AprSun1+10)=CalendarYear,MONTH(AprSun1+10)=4),AprSun1+10,""))</f>
        <v>44656</v>
      </c>
      <c r="M50" s="172">
        <f>IF(DAY(AprSun1)=1,IF(AND(YEAR(AprSun1+4)=CalendarYear,MONTH(AprSun1+4)=4),AprSun1+4,""),IF(AND(YEAR(AprSun1+11)=CalendarYear,MONTH(AprSun1+11)=4),AprSun1+11,""))</f>
        <v>44657</v>
      </c>
      <c r="N50" s="172">
        <f>IF(DAY(AprSun1)=1,IF(AND(YEAR(AprSun1+5)=CalendarYear,MONTH(AprSun1+5)=4),AprSun1+5,""),IF(AND(YEAR(AprSun1+12)=CalendarYear,MONTH(AprSun1+12)=4),AprSun1+12,""))</f>
        <v>44658</v>
      </c>
      <c r="O50" s="172">
        <f>IF(DAY(AprSun1)=1,IF(AND(YEAR(AprSun1+6)=CalendarYear,MONTH(AprSun1+6)=4),AprSun1+6,""),IF(AND(YEAR(AprSun1+13)=CalendarYear,MONTH(AprSun1+13)=4),AprSun1+13,""))</f>
        <v>44659</v>
      </c>
      <c r="P50" s="172">
        <f>IF(DAY(AprSun1)=1,IF(AND(YEAR(AprSun1+7)=CalendarYear,MONTH(AprSun1+7)=4),AprSun1+7,""),IF(AND(YEAR(AprSun1+14)=CalendarYear,MONTH(AprSun1+14)=4),AprSun1+14,""))</f>
        <v>44660</v>
      </c>
      <c r="Q50" s="172">
        <f>IF(DAY(AprSun1)=1,IF(AND(YEAR(AprSun1+8)=CalendarYear,MONTH(AprSun1+8)=4),AprSun1+8,""),IF(AND(YEAR(AprSun1+15)=CalendarYear,MONTH(AprSun1+15)=4),AprSun1+15,""))</f>
        <v>44661</v>
      </c>
      <c r="R50" s="172">
        <f>IF(DAY(AprSun1)=1,IF(AND(YEAR(AprSun1+9)=CalendarYear,MONTH(AprSun1+9)=4),AprSun1+9,""),IF(AND(YEAR(AprSun1+16)=CalendarYear,MONTH(AprSun1+16)=4),AprSun1+16,""))</f>
        <v>44662</v>
      </c>
      <c r="S50" s="172">
        <f>IF(DAY(AprSun1)=1,IF(AND(YEAR(AprSun1+10)=CalendarYear,MONTH(AprSun1+10)=4),AprSun1+10,""),IF(AND(YEAR(AprSun1+17)=CalendarYear,MONTH(AprSun1+17)=4),AprSun1+17,""))</f>
        <v>44663</v>
      </c>
      <c r="T50" s="172">
        <f>IF(DAY(AprSun1)=1,IF(AND(YEAR(AprSun1+11)=CalendarYear,MONTH(AprSun1+11)=4),AprSun1+11,""),IF(AND(YEAR(AprSun1+18)=CalendarYear,MONTH(AprSun1+18)=4),AprSun1+18,""))</f>
        <v>44664</v>
      </c>
      <c r="U50" s="172">
        <f>IF(DAY(AprSun1)=1,IF(AND(YEAR(AprSun1+12)=CalendarYear,MONTH(AprSun1+12)=4),AprSun1+12,""),IF(AND(YEAR(AprSun1+19)=CalendarYear,MONTH(AprSun1+19)=4),AprSun1+19,""))</f>
        <v>44665</v>
      </c>
      <c r="V50" s="172">
        <f>IF(DAY(AprSun1)=1,IF(AND(YEAR(AprSun1+13)=CalendarYear,MONTH(AprSun1+13)=4),AprSun1+13,""),IF(AND(YEAR(AprSun1+20)=CalendarYear,MONTH(AprSun1+20)=4),AprSun1+20,""))</f>
        <v>44666</v>
      </c>
      <c r="W50" s="172">
        <f>IF(DAY(AprSun1)=1,IF(AND(YEAR(AprSun1+14)=CalendarYear,MONTH(AprSun1+14)=4),AprSun1+14,""),IF(AND(YEAR(AprSun1+21)=CalendarYear,MONTH(AprSun1+21)=4),AprSun1+21,""))</f>
        <v>44667</v>
      </c>
      <c r="X50" s="172">
        <f>IF(DAY(AprSun1)=1,IF(AND(YEAR(AprSun1+15)=CalendarYear,MONTH(AprSun1+15)=4),AprSun1+15,""),IF(AND(YEAR(AprSun1+22)=CalendarYear,MONTH(AprSun1+22)=4),AprSun1+22,""))</f>
        <v>44668</v>
      </c>
      <c r="Y50" s="172">
        <f>IF(DAY(AprSun1)=1,IF(AND(YEAR(AprSun1+16)=CalendarYear,MONTH(AprSun1+16)=4),AprSun1+16,""),IF(AND(YEAR(AprSun1+23)=CalendarYear,MONTH(AprSun1+23)=4),AprSun1+23,""))</f>
        <v>44669</v>
      </c>
      <c r="Z50" s="172">
        <f>IF(DAY(AprSun1)=1,IF(AND(YEAR(AprSun1+17)=CalendarYear,MONTH(AprSun1+17)=4),AprSun1+17,""),IF(AND(YEAR(AprSun1+24)=CalendarYear,MONTH(AprSun1+24)=4),AprSun1+24,""))</f>
        <v>44670</v>
      </c>
      <c r="AA50" s="172">
        <f>IF(DAY(AprSun1)=1,IF(AND(YEAR(AprSun1+18)=CalendarYear,MONTH(AprSun1+18)=4),AprSun1+18,""),IF(AND(YEAR(AprSun1+25)=CalendarYear,MONTH(AprSun1+25)=4),AprSun1+25,""))</f>
        <v>44671</v>
      </c>
      <c r="AB50" s="172">
        <f>IF(DAY(AprSun1)=1,IF(AND(YEAR(AprSun1+19)=CalendarYear,MONTH(AprSun1+19)=4),AprSun1+19,""),IF(AND(YEAR(AprSun1+26)=CalendarYear,MONTH(AprSun1+26)=4),AprSun1+26,""))</f>
        <v>44672</v>
      </c>
      <c r="AC50" s="172">
        <f>IF(DAY(AprSun1)=1,IF(AND(YEAR(AprSun1+20)=CalendarYear,MONTH(AprSun1+20)=4),AprSun1+20,""),IF(AND(YEAR(AprSun1+27)=CalendarYear,MONTH(AprSun1+27)=4),AprSun1+27,""))</f>
        <v>44673</v>
      </c>
      <c r="AD50" s="172">
        <f>IF(DAY(AprSun1)=1,IF(AND(YEAR(AprSun1+21)=CalendarYear,MONTH(AprSun1+21)=4),AprSun1+21,""),IF(AND(YEAR(AprSun1+28)=CalendarYear,MONTH(AprSun1+28)=4),AprSun1+28,""))</f>
        <v>44674</v>
      </c>
      <c r="AE50" s="172">
        <f>IF(DAY(AprSun1)=1,IF(AND(YEAR(AprSun1+22)=CalendarYear,MONTH(AprSun1+22)=4),AprSun1+22,""),IF(AND(YEAR(AprSun1+29)=CalendarYear,MONTH(AprSun1+29)=4),AprSun1+29,""))</f>
        <v>44675</v>
      </c>
      <c r="AF50" s="172">
        <f>IF(DAY(AprSun1)=1,IF(AND(YEAR(AprSun1+23)=CalendarYear,MONTH(AprSun1+23)=4),AprSun1+23,""),IF(AND(YEAR(AprSun1+30)=CalendarYear,MONTH(AprSun1+30)=4),AprSun1+30,""))</f>
        <v>44676</v>
      </c>
      <c r="AG50" s="172">
        <f>IF(DAY(AprSun1)=1,IF(AND(YEAR(AprSun1+24)=CalendarYear,MONTH(AprSun1+24)=4),AprSun1+24,""),IF(AND(YEAR(AprSun1+31)=CalendarYear,MONTH(AprSun1+31)=4),AprSun1+31,""))</f>
        <v>44677</v>
      </c>
      <c r="AH50" s="172">
        <f>IF(DAY(AprSun1)=1,IF(AND(YEAR(AprSun1+25)=CalendarYear,MONTH(AprSun1+25)=4),AprSun1+25,""),IF(AND(YEAR(AprSun1+32)=CalendarYear,MONTH(AprSun1+32)=4),AprSun1+32,""))</f>
        <v>44678</v>
      </c>
      <c r="AI50" s="172">
        <f>IF(DAY(AprSun1)=1,IF(AND(YEAR(AprSun1+26)=CalendarYear,MONTH(AprSun1+26)=4),AprSun1+26,""),IF(AND(YEAR(AprSun1+33)=CalendarYear,MONTH(AprSun1+33)=4),AprSun1+33,""))</f>
        <v>44679</v>
      </c>
      <c r="AJ50" s="172">
        <f>IF(DAY(AprSun1)=1,IF(AND(YEAR(AprSun1+27)=CalendarYear,MONTH(AprSun1+27)=4),AprSun1+27,""),IF(AND(YEAR(AprSun1+34)=CalendarYear,MONTH(AprSun1+34)=4),AprSun1+34,""))</f>
        <v>44680</v>
      </c>
      <c r="AK50" s="172">
        <f>IF(DAY(AprSun1)=1,IF(AND(YEAR(AprSun1+28)=CalendarYear,MONTH(AprSun1+28)=4),AprSun1+28,""),IF(AND(YEAR(AprSun1+35)=CalendarYear,MONTH(AprSun1+35)=4),AprSun1+35,""))</f>
        <v>44681</v>
      </c>
      <c r="AL50" s="172" t="str">
        <f>IF(DAY(AprSun1)=1,IF(AND(YEAR(AprSun1+29)=CalendarYear,MONTH(AprSun1+29)=4),AprSun1+29,""),IF(AND(YEAR(AprSun1+36)=CalendarYear,MONTH(AprSun1+36)=4),AprSun1+36,""))</f>
        <v/>
      </c>
      <c r="AM50" s="173" t="str">
        <f>IF(DAY(AprSun1)=1,IF(AND(YEAR(AprSun1+30)=CalendarYear,MONTH(AprSun1+30)=4),AprSun1+30,""),IF(AND(YEAR(AprSun1+37)=CalendarYear,MONTH(AprSun1+37)=4),AprSun1+37,""))</f>
        <v/>
      </c>
    </row>
    <row r="51" spans="2:39" s="171" customFormat="1" ht="18.75" customHeight="1" x14ac:dyDescent="0.25">
      <c r="B51" s="240"/>
      <c r="C51" s="174" t="s">
        <v>59</v>
      </c>
      <c r="D51" s="174" t="s">
        <v>60</v>
      </c>
      <c r="E51" s="174" t="s">
        <v>61</v>
      </c>
      <c r="F51" s="174" t="s">
        <v>62</v>
      </c>
      <c r="G51" s="174" t="s">
        <v>63</v>
      </c>
      <c r="H51" s="174" t="s">
        <v>64</v>
      </c>
      <c r="I51" s="174" t="s">
        <v>65</v>
      </c>
      <c r="J51" s="174" t="s">
        <v>59</v>
      </c>
      <c r="K51" s="174" t="s">
        <v>60</v>
      </c>
      <c r="L51" s="174" t="s">
        <v>61</v>
      </c>
      <c r="M51" s="174" t="s">
        <v>62</v>
      </c>
      <c r="N51" s="174" t="s">
        <v>63</v>
      </c>
      <c r="O51" s="174" t="s">
        <v>64</v>
      </c>
      <c r="P51" s="174" t="s">
        <v>65</v>
      </c>
      <c r="Q51" s="174" t="s">
        <v>59</v>
      </c>
      <c r="R51" s="174" t="s">
        <v>60</v>
      </c>
      <c r="S51" s="174" t="s">
        <v>61</v>
      </c>
      <c r="T51" s="174" t="s">
        <v>62</v>
      </c>
      <c r="U51" s="174" t="s">
        <v>63</v>
      </c>
      <c r="V51" s="174" t="s">
        <v>64</v>
      </c>
      <c r="W51" s="174" t="s">
        <v>65</v>
      </c>
      <c r="X51" s="174" t="s">
        <v>59</v>
      </c>
      <c r="Y51" s="174" t="s">
        <v>60</v>
      </c>
      <c r="Z51" s="174" t="s">
        <v>61</v>
      </c>
      <c r="AA51" s="174" t="s">
        <v>62</v>
      </c>
      <c r="AB51" s="174" t="s">
        <v>63</v>
      </c>
      <c r="AC51" s="174" t="s">
        <v>64</v>
      </c>
      <c r="AD51" s="174" t="s">
        <v>65</v>
      </c>
      <c r="AE51" s="174" t="s">
        <v>59</v>
      </c>
      <c r="AF51" s="174" t="s">
        <v>60</v>
      </c>
      <c r="AG51" s="174" t="s">
        <v>61</v>
      </c>
      <c r="AH51" s="174" t="s">
        <v>62</v>
      </c>
      <c r="AI51" s="174" t="s">
        <v>63</v>
      </c>
      <c r="AJ51" s="174" t="s">
        <v>64</v>
      </c>
      <c r="AK51" s="174" t="s">
        <v>65</v>
      </c>
      <c r="AL51" s="174" t="s">
        <v>59</v>
      </c>
      <c r="AM51" s="175" t="s">
        <v>60</v>
      </c>
    </row>
    <row r="52" spans="2:39" ht="18.75" customHeight="1" x14ac:dyDescent="0.25">
      <c r="B52" s="176"/>
      <c r="C52" s="177"/>
      <c r="D52" s="177"/>
      <c r="E52" s="177"/>
      <c r="F52" s="177"/>
      <c r="G52" s="177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T52" s="177"/>
      <c r="U52" s="177"/>
      <c r="V52" s="177"/>
      <c r="W52" s="177"/>
      <c r="X52" s="177"/>
      <c r="Y52" s="177"/>
      <c r="Z52" s="177"/>
      <c r="AA52" s="177"/>
      <c r="AB52" s="177"/>
      <c r="AC52" s="177"/>
      <c r="AD52" s="177"/>
      <c r="AE52" s="177"/>
      <c r="AF52" s="177"/>
      <c r="AG52" s="177"/>
      <c r="AH52" s="177"/>
      <c r="AI52" s="177"/>
      <c r="AJ52" s="177"/>
      <c r="AK52" s="177"/>
      <c r="AL52" s="177"/>
      <c r="AM52" s="177"/>
    </row>
    <row r="53" spans="2:39" ht="18.75" customHeight="1" x14ac:dyDescent="0.25">
      <c r="B53" s="176"/>
      <c r="C53" s="177"/>
      <c r="D53" s="177"/>
      <c r="E53" s="177"/>
      <c r="F53" s="177"/>
      <c r="G53" s="177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77"/>
      <c r="AE53" s="177"/>
      <c r="AF53" s="177"/>
      <c r="AG53" s="177"/>
      <c r="AH53" s="177"/>
      <c r="AI53" s="177"/>
      <c r="AJ53" s="177"/>
      <c r="AK53" s="177"/>
      <c r="AL53" s="177"/>
      <c r="AM53" s="177"/>
    </row>
    <row r="54" spans="2:39" ht="18.75" customHeight="1" x14ac:dyDescent="0.25">
      <c r="B54" s="178"/>
      <c r="C54" s="179"/>
      <c r="D54" s="179"/>
      <c r="E54" s="179"/>
      <c r="F54" s="179"/>
      <c r="G54" s="179"/>
      <c r="H54" s="179"/>
      <c r="I54" s="179"/>
      <c r="J54" s="179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  <c r="AC54" s="179"/>
      <c r="AD54" s="179"/>
      <c r="AE54" s="179"/>
      <c r="AF54" s="179"/>
      <c r="AG54" s="179"/>
      <c r="AH54" s="179"/>
      <c r="AI54" s="179"/>
      <c r="AJ54" s="179"/>
      <c r="AK54" s="179"/>
      <c r="AL54" s="179"/>
      <c r="AM54" s="179"/>
    </row>
    <row r="55" spans="2:39" ht="18.75" customHeight="1" x14ac:dyDescent="0.25">
      <c r="B55" s="178"/>
      <c r="C55" s="179"/>
      <c r="D55" s="179"/>
      <c r="E55" s="179"/>
      <c r="F55" s="179"/>
      <c r="G55" s="179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  <c r="AB55" s="179"/>
      <c r="AC55" s="179"/>
      <c r="AD55" s="179"/>
      <c r="AE55" s="179"/>
      <c r="AF55" s="179"/>
      <c r="AG55" s="179"/>
      <c r="AH55" s="179"/>
      <c r="AI55" s="179"/>
      <c r="AJ55" s="179"/>
      <c r="AK55" s="179"/>
      <c r="AL55" s="179"/>
      <c r="AM55" s="179"/>
    </row>
    <row r="56" spans="2:39" ht="18.75" customHeight="1" x14ac:dyDescent="0.25">
      <c r="B56" s="178"/>
      <c r="C56" s="179"/>
      <c r="D56" s="179"/>
      <c r="E56" s="179"/>
      <c r="F56" s="179"/>
      <c r="G56" s="179"/>
      <c r="H56" s="179"/>
      <c r="I56" s="179"/>
      <c r="J56" s="179"/>
      <c r="K56" s="179"/>
      <c r="L56" s="179"/>
      <c r="M56" s="179"/>
      <c r="N56" s="179"/>
      <c r="O56" s="179"/>
      <c r="P56" s="179"/>
      <c r="Q56" s="179"/>
      <c r="R56" s="179"/>
      <c r="S56" s="179"/>
      <c r="T56" s="179"/>
      <c r="U56" s="179"/>
      <c r="V56" s="179"/>
      <c r="W56" s="179"/>
      <c r="X56" s="179"/>
      <c r="Y56" s="179"/>
      <c r="Z56" s="179"/>
      <c r="AA56" s="179"/>
      <c r="AB56" s="179"/>
      <c r="AC56" s="179"/>
      <c r="AD56" s="179"/>
      <c r="AE56" s="179"/>
      <c r="AF56" s="179"/>
      <c r="AG56" s="179"/>
      <c r="AH56" s="179"/>
      <c r="AI56" s="179"/>
      <c r="AJ56" s="179"/>
      <c r="AK56" s="179"/>
      <c r="AL56" s="179"/>
      <c r="AM56" s="179"/>
    </row>
    <row r="57" spans="2:39" ht="18.75" customHeight="1" x14ac:dyDescent="0.25">
      <c r="B57" s="178"/>
      <c r="C57" s="179"/>
      <c r="D57" s="179"/>
      <c r="E57" s="179"/>
      <c r="F57" s="179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79"/>
      <c r="AE57" s="179"/>
      <c r="AF57" s="179"/>
      <c r="AG57" s="179"/>
      <c r="AH57" s="179"/>
      <c r="AI57" s="179"/>
      <c r="AJ57" s="179"/>
      <c r="AK57" s="179"/>
      <c r="AL57" s="179"/>
      <c r="AM57" s="179"/>
    </row>
    <row r="58" spans="2:39" ht="18.75" customHeight="1" x14ac:dyDescent="0.25">
      <c r="B58" s="178"/>
      <c r="C58" s="179"/>
      <c r="D58" s="179"/>
      <c r="E58" s="179"/>
      <c r="F58" s="179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79"/>
      <c r="AE58" s="179"/>
      <c r="AF58" s="179"/>
      <c r="AG58" s="179"/>
      <c r="AH58" s="179"/>
      <c r="AI58" s="179"/>
      <c r="AJ58" s="179"/>
      <c r="AK58" s="179"/>
      <c r="AL58" s="179"/>
      <c r="AM58" s="179"/>
    </row>
    <row r="59" spans="2:39" ht="18.75" customHeight="1" x14ac:dyDescent="0.25">
      <c r="B59" s="178"/>
      <c r="C59" s="179"/>
      <c r="D59" s="179"/>
      <c r="E59" s="179"/>
      <c r="F59" s="179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79"/>
      <c r="AE59" s="179"/>
      <c r="AF59" s="179"/>
      <c r="AG59" s="179"/>
      <c r="AH59" s="179"/>
      <c r="AI59" s="179"/>
      <c r="AJ59" s="179"/>
      <c r="AK59" s="179"/>
      <c r="AL59" s="179"/>
      <c r="AM59" s="179"/>
    </row>
    <row r="60" spans="2:39" ht="18.75" customHeight="1" x14ac:dyDescent="0.25">
      <c r="B60" s="178"/>
      <c r="C60" s="179"/>
      <c r="D60" s="179"/>
      <c r="E60" s="179"/>
      <c r="F60" s="179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79"/>
      <c r="AE60" s="179"/>
      <c r="AF60" s="179"/>
      <c r="AG60" s="179"/>
      <c r="AH60" s="179"/>
      <c r="AI60" s="179"/>
      <c r="AJ60" s="179"/>
      <c r="AK60" s="179"/>
      <c r="AL60" s="179"/>
      <c r="AM60" s="179"/>
    </row>
    <row r="61" spans="2:39" ht="18.75" customHeight="1" x14ac:dyDescent="0.25">
      <c r="B61" s="178"/>
      <c r="C61" s="179"/>
      <c r="D61" s="179"/>
      <c r="E61" s="179"/>
      <c r="F61" s="179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79"/>
      <c r="AE61" s="179"/>
      <c r="AF61" s="179"/>
      <c r="AG61" s="179"/>
      <c r="AH61" s="179"/>
      <c r="AI61" s="179"/>
      <c r="AJ61" s="179"/>
      <c r="AK61" s="179"/>
      <c r="AL61" s="179"/>
      <c r="AM61" s="179"/>
    </row>
    <row r="62" spans="2:39" ht="18.75" customHeight="1" x14ac:dyDescent="0.25">
      <c r="B62" s="178"/>
      <c r="C62" s="179"/>
      <c r="D62" s="179"/>
      <c r="E62" s="179"/>
      <c r="F62" s="179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79"/>
      <c r="AE62" s="179"/>
      <c r="AF62" s="179"/>
      <c r="AG62" s="179"/>
      <c r="AH62" s="179"/>
      <c r="AI62" s="179"/>
      <c r="AJ62" s="179"/>
      <c r="AK62" s="179"/>
      <c r="AL62" s="179"/>
      <c r="AM62" s="179"/>
    </row>
    <row r="63" spans="2:39" ht="18.75" customHeight="1" x14ac:dyDescent="0.25">
      <c r="B63" s="178"/>
      <c r="C63" s="179"/>
      <c r="D63" s="179"/>
      <c r="E63" s="179"/>
      <c r="F63" s="179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79"/>
      <c r="AE63" s="179"/>
      <c r="AF63" s="179"/>
      <c r="AG63" s="179"/>
      <c r="AH63" s="179"/>
      <c r="AI63" s="179"/>
      <c r="AJ63" s="179"/>
      <c r="AK63" s="179"/>
      <c r="AL63" s="179"/>
      <c r="AM63" s="179"/>
    </row>
    <row r="64" spans="2:39" ht="18.75" customHeight="1" x14ac:dyDescent="0.25">
      <c r="B64" s="178"/>
      <c r="C64" s="179"/>
      <c r="D64" s="179"/>
      <c r="E64" s="179"/>
      <c r="F64" s="179"/>
      <c r="G64" s="179"/>
      <c r="H64" s="179"/>
      <c r="I64" s="179"/>
      <c r="J64" s="179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79"/>
      <c r="V64" s="179"/>
      <c r="W64" s="179"/>
      <c r="X64" s="179"/>
      <c r="Y64" s="179"/>
      <c r="Z64" s="179"/>
      <c r="AA64" s="179"/>
      <c r="AB64" s="179"/>
      <c r="AC64" s="179"/>
      <c r="AD64" s="179"/>
      <c r="AE64" s="179"/>
      <c r="AF64" s="179"/>
      <c r="AG64" s="179"/>
      <c r="AH64" s="179"/>
      <c r="AI64" s="179"/>
      <c r="AJ64" s="179"/>
      <c r="AK64" s="179"/>
      <c r="AL64" s="179"/>
      <c r="AM64" s="179"/>
    </row>
    <row r="65" spans="2:39" ht="12" customHeight="1" x14ac:dyDescent="0.25"/>
    <row r="66" spans="2:39" s="171" customFormat="1" ht="18.75" customHeight="1" x14ac:dyDescent="0.25">
      <c r="B66" s="240">
        <f>DATE(CalendarYear,5,1)</f>
        <v>44682</v>
      </c>
      <c r="C66" s="172">
        <f>IF(DAY(MaySun1)=1,"",IF(AND(YEAR(MaySun1+1)=CalendarYear,MONTH(MaySun1+1)=5),MaySun1+1,""))</f>
        <v>44682</v>
      </c>
      <c r="D66" s="172">
        <f>IF(DAY(MaySun1)=1,"",IF(AND(YEAR(MaySun1+2)=CalendarYear,MONTH(MaySun1+2)=5),MaySun1+2,""))</f>
        <v>44683</v>
      </c>
      <c r="E66" s="172">
        <f>IF(DAY(MaySun1)=1,"",IF(AND(YEAR(MaySun1+3)=CalendarYear,MONTH(MaySun1+3)=5),MaySun1+3,""))</f>
        <v>44684</v>
      </c>
      <c r="F66" s="172">
        <f>IF(DAY(MaySun1)=1,"",IF(AND(YEAR(MaySun1+4)=CalendarYear,MONTH(MaySun1+4)=5),MaySun1+4,""))</f>
        <v>44685</v>
      </c>
      <c r="G66" s="172">
        <f>IF(DAY(MaySun1)=1,"",IF(AND(YEAR(MaySun1+5)=CalendarYear,MONTH(MaySun1+5)=5),MaySun1+5,""))</f>
        <v>44686</v>
      </c>
      <c r="H66" s="172">
        <f>IF(DAY(MaySun1)=1,"",IF(AND(YEAR(MaySun1+6)=CalendarYear,MONTH(MaySun1+6)=5),MaySun1+6,""))</f>
        <v>44687</v>
      </c>
      <c r="I66" s="172">
        <f>IF(DAY(MaySun1)=1,IF(AND(YEAR(MaySun1)=CalendarYear,MONTH(MaySun1)=5),MaySun1,""),IF(AND(YEAR(MaySun1+7)=CalendarYear,MONTH(MaySun1+7)=5),MaySun1+7,""))</f>
        <v>44688</v>
      </c>
      <c r="J66" s="172">
        <f>IF(DAY(MaySun1)=1,IF(AND(YEAR(MaySun1+1)=CalendarYear,MONTH(MaySun1+1)=5),MaySun1+1,""),IF(AND(YEAR(MaySun1+8)=CalendarYear,MONTH(MaySun1+8)=5),MaySun1+8,""))</f>
        <v>44689</v>
      </c>
      <c r="K66" s="172">
        <f>IF(DAY(MaySun1)=1,IF(AND(YEAR(MaySun1+2)=CalendarYear,MONTH(MaySun1+2)=5),MaySun1+2,""),IF(AND(YEAR(MaySun1+9)=CalendarYear,MONTH(MaySun1+9)=5),MaySun1+9,""))</f>
        <v>44690</v>
      </c>
      <c r="L66" s="172">
        <f>IF(DAY(MaySun1)=1,IF(AND(YEAR(MaySun1+3)=CalendarYear,MONTH(MaySun1+3)=5),MaySun1+3,""),IF(AND(YEAR(MaySun1+10)=CalendarYear,MONTH(MaySun1+10)=5),MaySun1+10,""))</f>
        <v>44691</v>
      </c>
      <c r="M66" s="172">
        <f>IF(DAY(MaySun1)=1,IF(AND(YEAR(MaySun1+4)=CalendarYear,MONTH(MaySun1+4)=5),MaySun1+4,""),IF(AND(YEAR(MaySun1+11)=CalendarYear,MONTH(MaySun1+11)=5),MaySun1+11,""))</f>
        <v>44692</v>
      </c>
      <c r="N66" s="172">
        <f>IF(DAY(MaySun1)=1,IF(AND(YEAR(MaySun1+5)=CalendarYear,MONTH(MaySun1+5)=5),MaySun1+5,""),IF(AND(YEAR(MaySun1+12)=CalendarYear,MONTH(MaySun1+12)=5),MaySun1+12,""))</f>
        <v>44693</v>
      </c>
      <c r="O66" s="172">
        <f>IF(DAY(MaySun1)=1,IF(AND(YEAR(MaySun1+6)=CalendarYear,MONTH(MaySun1+6)=5),MaySun1+6,""),IF(AND(YEAR(MaySun1+13)=CalendarYear,MONTH(MaySun1+13)=5),MaySun1+13,""))</f>
        <v>44694</v>
      </c>
      <c r="P66" s="172">
        <f>IF(DAY(MaySun1)=1,IF(AND(YEAR(MaySun1+7)=CalendarYear,MONTH(MaySun1+7)=5),MaySun1+7,""),IF(AND(YEAR(MaySun1+14)=CalendarYear,MONTH(MaySun1+14)=5),MaySun1+14,""))</f>
        <v>44695</v>
      </c>
      <c r="Q66" s="172">
        <f>IF(DAY(MaySun1)=1,IF(AND(YEAR(MaySun1+8)=CalendarYear,MONTH(MaySun1+8)=5),MaySun1+8,""),IF(AND(YEAR(MaySun1+15)=CalendarYear,MONTH(MaySun1+15)=5),MaySun1+15,""))</f>
        <v>44696</v>
      </c>
      <c r="R66" s="172">
        <f>IF(DAY(MaySun1)=1,IF(AND(YEAR(MaySun1+9)=CalendarYear,MONTH(MaySun1+9)=5),MaySun1+9,""),IF(AND(YEAR(MaySun1+16)=CalendarYear,MONTH(MaySun1+16)=5),MaySun1+16,""))</f>
        <v>44697</v>
      </c>
      <c r="S66" s="172">
        <f>IF(DAY(MaySun1)=1,IF(AND(YEAR(MaySun1+10)=CalendarYear,MONTH(MaySun1+10)=5),MaySun1+10,""),IF(AND(YEAR(MaySun1+17)=CalendarYear,MONTH(MaySun1+17)=5),MaySun1+17,""))</f>
        <v>44698</v>
      </c>
      <c r="T66" s="172">
        <f>IF(DAY(MaySun1)=1,IF(AND(YEAR(MaySun1+11)=CalendarYear,MONTH(MaySun1+11)=5),MaySun1+11,""),IF(AND(YEAR(MaySun1+18)=CalendarYear,MONTH(MaySun1+18)=5),MaySun1+18,""))</f>
        <v>44699</v>
      </c>
      <c r="U66" s="172">
        <f>IF(DAY(MaySun1)=1,IF(AND(YEAR(MaySun1+12)=CalendarYear,MONTH(MaySun1+12)=5),MaySun1+12,""),IF(AND(YEAR(MaySun1+19)=CalendarYear,MONTH(MaySun1+19)=5),MaySun1+19,""))</f>
        <v>44700</v>
      </c>
      <c r="V66" s="172">
        <f>IF(DAY(MaySun1)=1,IF(AND(YEAR(MaySun1+13)=CalendarYear,MONTH(MaySun1+13)=5),MaySun1+13,""),IF(AND(YEAR(MaySun1+20)=CalendarYear,MONTH(MaySun1+20)=5),MaySun1+20,""))</f>
        <v>44701</v>
      </c>
      <c r="W66" s="172">
        <f>IF(DAY(MaySun1)=1,IF(AND(YEAR(MaySun1+14)=CalendarYear,MONTH(MaySun1+14)=5),MaySun1+14,""),IF(AND(YEAR(MaySun1+21)=CalendarYear,MONTH(MaySun1+21)=5),MaySun1+21,""))</f>
        <v>44702</v>
      </c>
      <c r="X66" s="172">
        <f>IF(DAY(MaySun1)=1,IF(AND(YEAR(MaySun1+15)=CalendarYear,MONTH(MaySun1+15)=5),MaySun1+15,""),IF(AND(YEAR(MaySun1+22)=CalendarYear,MONTH(MaySun1+22)=5),MaySun1+22,""))</f>
        <v>44703</v>
      </c>
      <c r="Y66" s="172">
        <f>IF(DAY(MaySun1)=1,IF(AND(YEAR(MaySun1+16)=CalendarYear,MONTH(MaySun1+16)=5),MaySun1+16,""),IF(AND(YEAR(MaySun1+23)=CalendarYear,MONTH(MaySun1+23)=5),MaySun1+23,""))</f>
        <v>44704</v>
      </c>
      <c r="Z66" s="172">
        <f>IF(DAY(MaySun1)=1,IF(AND(YEAR(MaySun1+17)=CalendarYear,MONTH(MaySun1+17)=5),MaySun1+17,""),IF(AND(YEAR(MaySun1+24)=CalendarYear,MONTH(MaySun1+24)=5),MaySun1+24,""))</f>
        <v>44705</v>
      </c>
      <c r="AA66" s="172">
        <f>IF(DAY(MaySun1)=1,IF(AND(YEAR(MaySun1+18)=CalendarYear,MONTH(MaySun1+18)=5),MaySun1+18,""),IF(AND(YEAR(MaySun1+25)=CalendarYear,MONTH(MaySun1+25)=5),MaySun1+25,""))</f>
        <v>44706</v>
      </c>
      <c r="AB66" s="172">
        <f>IF(DAY(MaySun1)=1,IF(AND(YEAR(MaySun1+19)=CalendarYear,MONTH(MaySun1+19)=5),MaySun1+19,""),IF(AND(YEAR(MaySun1+26)=CalendarYear,MONTH(MaySun1+26)=5),MaySun1+26,""))</f>
        <v>44707</v>
      </c>
      <c r="AC66" s="172">
        <f>IF(DAY(MaySun1)=1,IF(AND(YEAR(MaySun1+20)=CalendarYear,MONTH(MaySun1+20)=5),MaySun1+20,""),IF(AND(YEAR(MaySun1+27)=CalendarYear,MONTH(MaySun1+27)=5),MaySun1+27,""))</f>
        <v>44708</v>
      </c>
      <c r="AD66" s="172">
        <f>IF(DAY(MaySun1)=1,IF(AND(YEAR(MaySun1+21)=CalendarYear,MONTH(MaySun1+21)=5),MaySun1+21,""),IF(AND(YEAR(MaySun1+28)=CalendarYear,MONTH(MaySun1+28)=5),MaySun1+28,""))</f>
        <v>44709</v>
      </c>
      <c r="AE66" s="172">
        <f>IF(DAY(MaySun1)=1,IF(AND(YEAR(MaySun1+22)=CalendarYear,MONTH(MaySun1+22)=5),MaySun1+22,""),IF(AND(YEAR(MaySun1+29)=CalendarYear,MONTH(MaySun1+29)=5),MaySun1+29,""))</f>
        <v>44710</v>
      </c>
      <c r="AF66" s="172">
        <f>IF(DAY(MaySun1)=1,IF(AND(YEAR(MaySun1+23)=CalendarYear,MONTH(MaySun1+23)=5),MaySun1+23,""),IF(AND(YEAR(MaySun1+30)=CalendarYear,MONTH(MaySun1+30)=5),MaySun1+30,""))</f>
        <v>44711</v>
      </c>
      <c r="AG66" s="172">
        <f>IF(DAY(MaySun1)=1,IF(AND(YEAR(MaySun1+24)=CalendarYear,MONTH(MaySun1+24)=5),MaySun1+24,""),IF(AND(YEAR(MaySun1+31)=CalendarYear,MONTH(MaySun1+31)=5),MaySun1+31,""))</f>
        <v>44712</v>
      </c>
      <c r="AH66" s="172" t="str">
        <f>IF(DAY(MaySun1)=1,IF(AND(YEAR(MaySun1+25)=CalendarYear,MONTH(MaySun1+25)=5),MaySun1+25,""),IF(AND(YEAR(MaySun1+32)=CalendarYear,MONTH(MaySun1+32)=5),MaySun1+32,""))</f>
        <v/>
      </c>
      <c r="AI66" s="172" t="str">
        <f>IF(DAY(MaySun1)=1,IF(AND(YEAR(MaySun1+26)=CalendarYear,MONTH(MaySun1+26)=5),MaySun1+26,""),IF(AND(YEAR(MaySun1+33)=CalendarYear,MONTH(MaySun1+33)=5),MaySun1+33,""))</f>
        <v/>
      </c>
      <c r="AJ66" s="172" t="str">
        <f>IF(DAY(MaySun1)=1,IF(AND(YEAR(MaySun1+27)=CalendarYear,MONTH(MaySun1+27)=5),MaySun1+27,""),IF(AND(YEAR(MaySun1+34)=CalendarYear,MONTH(MaySun1+34)=5),MaySun1+34,""))</f>
        <v/>
      </c>
      <c r="AK66" s="172" t="str">
        <f>IF(DAY(MaySun1)=1,IF(AND(YEAR(MaySun1+28)=CalendarYear,MONTH(MaySun1+28)=5),MaySun1+28,""),IF(AND(YEAR(MaySun1+35)=CalendarYear,MONTH(MaySun1+35)=5),MaySun1+35,""))</f>
        <v/>
      </c>
      <c r="AL66" s="172" t="str">
        <f>IF(DAY(MaySun1)=1,IF(AND(YEAR(MaySun1+29)=CalendarYear,MONTH(MaySun1+29)=5),MaySun1+29,""),IF(AND(YEAR(MaySun1+36)=CalendarYear,MONTH(MaySun1+36)=5),MaySun1+36,""))</f>
        <v/>
      </c>
      <c r="AM66" s="173" t="str">
        <f>IF(DAY(MaySun1)=1,IF(AND(YEAR(MaySun1+30)=CalendarYear,MONTH(MaySun1+30)=5),MaySun1+30,""),IF(AND(YEAR(MaySun1+37)=CalendarYear,MONTH(MaySun1+37)=5),MaySun1+37,""))</f>
        <v/>
      </c>
    </row>
    <row r="67" spans="2:39" s="171" customFormat="1" ht="18.75" customHeight="1" x14ac:dyDescent="0.25">
      <c r="B67" s="240"/>
      <c r="C67" s="174" t="s">
        <v>59</v>
      </c>
      <c r="D67" s="174" t="s">
        <v>60</v>
      </c>
      <c r="E67" s="174" t="s">
        <v>61</v>
      </c>
      <c r="F67" s="174" t="s">
        <v>62</v>
      </c>
      <c r="G67" s="174" t="s">
        <v>63</v>
      </c>
      <c r="H67" s="174" t="s">
        <v>64</v>
      </c>
      <c r="I67" s="174" t="s">
        <v>65</v>
      </c>
      <c r="J67" s="174" t="s">
        <v>59</v>
      </c>
      <c r="K67" s="174" t="s">
        <v>60</v>
      </c>
      <c r="L67" s="174" t="s">
        <v>61</v>
      </c>
      <c r="M67" s="174" t="s">
        <v>62</v>
      </c>
      <c r="N67" s="174" t="s">
        <v>63</v>
      </c>
      <c r="O67" s="174" t="s">
        <v>64</v>
      </c>
      <c r="P67" s="174" t="s">
        <v>65</v>
      </c>
      <c r="Q67" s="174" t="s">
        <v>59</v>
      </c>
      <c r="R67" s="174" t="s">
        <v>60</v>
      </c>
      <c r="S67" s="174" t="s">
        <v>61</v>
      </c>
      <c r="T67" s="174" t="s">
        <v>62</v>
      </c>
      <c r="U67" s="174" t="s">
        <v>63</v>
      </c>
      <c r="V67" s="174" t="s">
        <v>64</v>
      </c>
      <c r="W67" s="174" t="s">
        <v>65</v>
      </c>
      <c r="X67" s="174" t="s">
        <v>59</v>
      </c>
      <c r="Y67" s="174" t="s">
        <v>60</v>
      </c>
      <c r="Z67" s="174" t="s">
        <v>61</v>
      </c>
      <c r="AA67" s="174" t="s">
        <v>62</v>
      </c>
      <c r="AB67" s="174" t="s">
        <v>63</v>
      </c>
      <c r="AC67" s="174" t="s">
        <v>64</v>
      </c>
      <c r="AD67" s="174" t="s">
        <v>65</v>
      </c>
      <c r="AE67" s="174" t="s">
        <v>59</v>
      </c>
      <c r="AF67" s="174" t="s">
        <v>60</v>
      </c>
      <c r="AG67" s="174" t="s">
        <v>61</v>
      </c>
      <c r="AH67" s="174" t="s">
        <v>62</v>
      </c>
      <c r="AI67" s="174" t="s">
        <v>63</v>
      </c>
      <c r="AJ67" s="174" t="s">
        <v>64</v>
      </c>
      <c r="AK67" s="174" t="s">
        <v>65</v>
      </c>
      <c r="AL67" s="174" t="s">
        <v>59</v>
      </c>
      <c r="AM67" s="175" t="s">
        <v>60</v>
      </c>
    </row>
    <row r="68" spans="2:39" ht="18.75" customHeight="1" x14ac:dyDescent="0.25">
      <c r="B68" s="176"/>
      <c r="C68" s="177"/>
      <c r="D68" s="177"/>
      <c r="E68" s="177"/>
      <c r="F68" s="177"/>
      <c r="G68" s="177"/>
      <c r="H68" s="177"/>
      <c r="I68" s="177"/>
      <c r="J68" s="177"/>
      <c r="K68" s="177"/>
      <c r="L68" s="177"/>
      <c r="M68" s="177"/>
      <c r="N68" s="177"/>
      <c r="O68" s="177"/>
      <c r="P68" s="177"/>
      <c r="Q68" s="177"/>
      <c r="R68" s="177"/>
      <c r="S68" s="177"/>
      <c r="T68" s="177"/>
      <c r="U68" s="177"/>
      <c r="V68" s="177"/>
      <c r="W68" s="177"/>
      <c r="X68" s="177"/>
      <c r="Y68" s="177"/>
      <c r="Z68" s="177"/>
      <c r="AA68" s="177"/>
      <c r="AB68" s="177"/>
      <c r="AC68" s="177"/>
      <c r="AD68" s="177"/>
      <c r="AE68" s="177"/>
      <c r="AF68" s="177"/>
      <c r="AG68" s="177"/>
      <c r="AH68" s="177"/>
      <c r="AI68" s="177"/>
      <c r="AJ68" s="177"/>
      <c r="AK68" s="177"/>
      <c r="AL68" s="177"/>
      <c r="AM68" s="177"/>
    </row>
    <row r="69" spans="2:39" ht="18.75" customHeight="1" x14ac:dyDescent="0.25">
      <c r="B69" s="178"/>
      <c r="C69" s="179"/>
      <c r="D69" s="179"/>
      <c r="E69" s="179"/>
      <c r="F69" s="179"/>
      <c r="G69" s="179"/>
      <c r="H69" s="179"/>
      <c r="I69" s="179"/>
      <c r="J69" s="179"/>
      <c r="K69" s="179"/>
      <c r="L69" s="179"/>
      <c r="M69" s="179"/>
      <c r="N69" s="179"/>
      <c r="O69" s="179"/>
      <c r="P69" s="179"/>
      <c r="Q69" s="179"/>
      <c r="R69" s="179"/>
      <c r="S69" s="179"/>
      <c r="T69" s="179"/>
      <c r="U69" s="179"/>
      <c r="V69" s="179"/>
      <c r="W69" s="179"/>
      <c r="X69" s="179"/>
      <c r="Y69" s="179"/>
      <c r="Z69" s="179"/>
      <c r="AA69" s="179"/>
      <c r="AB69" s="179"/>
      <c r="AC69" s="179"/>
      <c r="AD69" s="179"/>
      <c r="AE69" s="179"/>
      <c r="AF69" s="179"/>
      <c r="AG69" s="179"/>
      <c r="AH69" s="179"/>
      <c r="AI69" s="179"/>
      <c r="AJ69" s="179"/>
      <c r="AK69" s="179"/>
      <c r="AL69" s="179"/>
      <c r="AM69" s="179"/>
    </row>
    <row r="70" spans="2:39" ht="18.75" customHeight="1" x14ac:dyDescent="0.25">
      <c r="B70" s="178"/>
      <c r="C70" s="179"/>
      <c r="D70" s="179"/>
      <c r="E70" s="179"/>
      <c r="F70" s="179"/>
      <c r="G70" s="179"/>
      <c r="H70" s="179"/>
      <c r="I70" s="179"/>
      <c r="J70" s="179"/>
      <c r="K70" s="179"/>
      <c r="L70" s="179"/>
      <c r="M70" s="179"/>
      <c r="N70" s="179"/>
      <c r="O70" s="179"/>
      <c r="P70" s="179"/>
      <c r="Q70" s="179"/>
      <c r="R70" s="179"/>
      <c r="S70" s="179"/>
      <c r="T70" s="179"/>
      <c r="U70" s="179"/>
      <c r="V70" s="179"/>
      <c r="W70" s="179"/>
      <c r="X70" s="179"/>
      <c r="Y70" s="179"/>
      <c r="Z70" s="179"/>
      <c r="AA70" s="179"/>
      <c r="AB70" s="179"/>
      <c r="AC70" s="179"/>
      <c r="AD70" s="179"/>
      <c r="AE70" s="179"/>
      <c r="AF70" s="179"/>
      <c r="AG70" s="179"/>
      <c r="AH70" s="179"/>
      <c r="AI70" s="179"/>
      <c r="AJ70" s="179"/>
      <c r="AK70" s="179"/>
      <c r="AL70" s="179"/>
      <c r="AM70" s="179"/>
    </row>
    <row r="71" spans="2:39" ht="18.75" customHeight="1" x14ac:dyDescent="0.25">
      <c r="B71" s="178"/>
      <c r="C71" s="179"/>
      <c r="D71" s="179"/>
      <c r="E71" s="179"/>
      <c r="F71" s="179"/>
      <c r="G71" s="179"/>
      <c r="H71" s="179"/>
      <c r="I71" s="179"/>
      <c r="J71" s="179"/>
      <c r="K71" s="179"/>
      <c r="L71" s="179"/>
      <c r="M71" s="179"/>
      <c r="N71" s="179"/>
      <c r="O71" s="179"/>
      <c r="P71" s="179"/>
      <c r="Q71" s="179"/>
      <c r="R71" s="179"/>
      <c r="S71" s="179"/>
      <c r="T71" s="179"/>
      <c r="U71" s="179"/>
      <c r="V71" s="179"/>
      <c r="W71" s="179"/>
      <c r="X71" s="179"/>
      <c r="Y71" s="179"/>
      <c r="Z71" s="179"/>
      <c r="AA71" s="179"/>
      <c r="AB71" s="179"/>
      <c r="AC71" s="179"/>
      <c r="AD71" s="179"/>
      <c r="AE71" s="179"/>
      <c r="AF71" s="179"/>
      <c r="AG71" s="179"/>
      <c r="AH71" s="179"/>
      <c r="AI71" s="179"/>
      <c r="AJ71" s="179"/>
      <c r="AK71" s="179"/>
      <c r="AL71" s="179"/>
      <c r="AM71" s="179"/>
    </row>
    <row r="72" spans="2:39" ht="18.75" customHeight="1" x14ac:dyDescent="0.25">
      <c r="B72" s="178"/>
      <c r="C72" s="179"/>
      <c r="D72" s="179"/>
      <c r="E72" s="179"/>
      <c r="F72" s="179"/>
      <c r="G72" s="179"/>
      <c r="H72" s="179"/>
      <c r="I72" s="179"/>
      <c r="J72" s="179"/>
      <c r="K72" s="179"/>
      <c r="L72" s="179"/>
      <c r="M72" s="179"/>
      <c r="N72" s="179"/>
      <c r="O72" s="179"/>
      <c r="P72" s="179"/>
      <c r="Q72" s="179"/>
      <c r="R72" s="179"/>
      <c r="S72" s="179"/>
      <c r="T72" s="179"/>
      <c r="U72" s="179"/>
      <c r="V72" s="179"/>
      <c r="W72" s="179"/>
      <c r="X72" s="179"/>
      <c r="Y72" s="179"/>
      <c r="Z72" s="179"/>
      <c r="AA72" s="179"/>
      <c r="AB72" s="179"/>
      <c r="AC72" s="179"/>
      <c r="AD72" s="179"/>
      <c r="AE72" s="179"/>
      <c r="AF72" s="179"/>
      <c r="AG72" s="179"/>
      <c r="AH72" s="179"/>
      <c r="AI72" s="179"/>
      <c r="AJ72" s="179"/>
      <c r="AK72" s="179"/>
      <c r="AL72" s="179"/>
      <c r="AM72" s="179"/>
    </row>
    <row r="73" spans="2:39" ht="18.75" customHeight="1" x14ac:dyDescent="0.25">
      <c r="B73" s="178"/>
      <c r="C73" s="179"/>
      <c r="D73" s="179"/>
      <c r="E73" s="179"/>
      <c r="F73" s="179"/>
      <c r="G73" s="179"/>
      <c r="H73" s="179"/>
      <c r="I73" s="179"/>
      <c r="J73" s="179"/>
      <c r="K73" s="179"/>
      <c r="L73" s="179"/>
      <c r="M73" s="179"/>
      <c r="N73" s="179"/>
      <c r="O73" s="179"/>
      <c r="P73" s="179"/>
      <c r="Q73" s="179"/>
      <c r="R73" s="179"/>
      <c r="S73" s="179"/>
      <c r="T73" s="179"/>
      <c r="U73" s="179"/>
      <c r="V73" s="179"/>
      <c r="W73" s="179"/>
      <c r="X73" s="179"/>
      <c r="Y73" s="179"/>
      <c r="Z73" s="179"/>
      <c r="AA73" s="179"/>
      <c r="AB73" s="179"/>
      <c r="AC73" s="179"/>
      <c r="AD73" s="179"/>
      <c r="AE73" s="179"/>
      <c r="AF73" s="179"/>
      <c r="AG73" s="179"/>
      <c r="AH73" s="179"/>
      <c r="AI73" s="179"/>
      <c r="AJ73" s="179"/>
      <c r="AK73" s="179"/>
      <c r="AL73" s="179"/>
      <c r="AM73" s="179"/>
    </row>
    <row r="74" spans="2:39" ht="18.75" customHeight="1" x14ac:dyDescent="0.25">
      <c r="B74" s="178"/>
      <c r="C74" s="179"/>
      <c r="D74" s="179"/>
      <c r="E74" s="179"/>
      <c r="F74" s="179"/>
      <c r="G74" s="179"/>
      <c r="H74" s="179"/>
      <c r="I74" s="179"/>
      <c r="J74" s="179"/>
      <c r="K74" s="179"/>
      <c r="L74" s="179"/>
      <c r="M74" s="179"/>
      <c r="N74" s="179"/>
      <c r="O74" s="179"/>
      <c r="P74" s="179"/>
      <c r="Q74" s="179"/>
      <c r="R74" s="179"/>
      <c r="S74" s="179"/>
      <c r="T74" s="179"/>
      <c r="U74" s="179"/>
      <c r="V74" s="179"/>
      <c r="W74" s="179"/>
      <c r="X74" s="179"/>
      <c r="Y74" s="179"/>
      <c r="Z74" s="179"/>
      <c r="AA74" s="179"/>
      <c r="AB74" s="179"/>
      <c r="AC74" s="179"/>
      <c r="AD74" s="179"/>
      <c r="AE74" s="179"/>
      <c r="AF74" s="179"/>
      <c r="AG74" s="179"/>
      <c r="AH74" s="179"/>
      <c r="AI74" s="179"/>
      <c r="AJ74" s="179"/>
      <c r="AK74" s="179"/>
      <c r="AL74" s="179"/>
      <c r="AM74" s="179"/>
    </row>
    <row r="75" spans="2:39" ht="18.75" customHeight="1" x14ac:dyDescent="0.25">
      <c r="B75" s="178"/>
      <c r="C75" s="179"/>
      <c r="D75" s="179"/>
      <c r="E75" s="179"/>
      <c r="F75" s="179"/>
      <c r="G75" s="179"/>
      <c r="H75" s="179"/>
      <c r="I75" s="179"/>
      <c r="J75" s="179"/>
      <c r="K75" s="179"/>
      <c r="L75" s="179"/>
      <c r="M75" s="179"/>
      <c r="N75" s="179"/>
      <c r="O75" s="179"/>
      <c r="P75" s="179"/>
      <c r="Q75" s="179"/>
      <c r="R75" s="179"/>
      <c r="S75" s="179"/>
      <c r="T75" s="179"/>
      <c r="U75" s="179"/>
      <c r="V75" s="179"/>
      <c r="W75" s="179"/>
      <c r="X75" s="179"/>
      <c r="Y75" s="179"/>
      <c r="Z75" s="179"/>
      <c r="AA75" s="179"/>
      <c r="AB75" s="179"/>
      <c r="AC75" s="179"/>
      <c r="AD75" s="179"/>
      <c r="AE75" s="179"/>
      <c r="AF75" s="179"/>
      <c r="AG75" s="179"/>
      <c r="AH75" s="179"/>
      <c r="AI75" s="179"/>
      <c r="AJ75" s="179"/>
      <c r="AK75" s="179"/>
      <c r="AL75" s="179"/>
      <c r="AM75" s="179"/>
    </row>
    <row r="76" spans="2:39" ht="18.75" customHeight="1" x14ac:dyDescent="0.25">
      <c r="B76" s="178"/>
      <c r="C76" s="179"/>
      <c r="D76" s="179"/>
      <c r="E76" s="179"/>
      <c r="F76" s="179"/>
      <c r="G76" s="179"/>
      <c r="H76" s="179"/>
      <c r="I76" s="179"/>
      <c r="J76" s="179"/>
      <c r="K76" s="179"/>
      <c r="L76" s="179"/>
      <c r="M76" s="179"/>
      <c r="N76" s="179"/>
      <c r="O76" s="179"/>
      <c r="P76" s="179"/>
      <c r="Q76" s="179"/>
      <c r="R76" s="179"/>
      <c r="S76" s="179"/>
      <c r="T76" s="179"/>
      <c r="U76" s="179"/>
      <c r="V76" s="179"/>
      <c r="W76" s="179"/>
      <c r="X76" s="179"/>
      <c r="Y76" s="179"/>
      <c r="Z76" s="179"/>
      <c r="AA76" s="179"/>
      <c r="AB76" s="179"/>
      <c r="AC76" s="179"/>
      <c r="AD76" s="179"/>
      <c r="AE76" s="179"/>
      <c r="AF76" s="179"/>
      <c r="AG76" s="179"/>
      <c r="AH76" s="179"/>
      <c r="AI76" s="179"/>
      <c r="AJ76" s="179"/>
      <c r="AK76" s="179"/>
      <c r="AL76" s="179"/>
      <c r="AM76" s="179"/>
    </row>
    <row r="77" spans="2:39" ht="18.75" customHeight="1" x14ac:dyDescent="0.25">
      <c r="B77" s="178"/>
      <c r="C77" s="179"/>
      <c r="D77" s="179"/>
      <c r="E77" s="179"/>
      <c r="F77" s="179"/>
      <c r="G77" s="179"/>
      <c r="H77" s="179"/>
      <c r="I77" s="179"/>
      <c r="J77" s="179"/>
      <c r="K77" s="179"/>
      <c r="L77" s="179"/>
      <c r="M77" s="179"/>
      <c r="N77" s="179"/>
      <c r="O77" s="179"/>
      <c r="P77" s="179"/>
      <c r="Q77" s="179"/>
      <c r="R77" s="179"/>
      <c r="S77" s="179"/>
      <c r="T77" s="179"/>
      <c r="U77" s="179"/>
      <c r="V77" s="179"/>
      <c r="W77" s="179"/>
      <c r="X77" s="179"/>
      <c r="Y77" s="179"/>
      <c r="Z77" s="179"/>
      <c r="AA77" s="179"/>
      <c r="AB77" s="179"/>
      <c r="AC77" s="179"/>
      <c r="AD77" s="179"/>
      <c r="AE77" s="179"/>
      <c r="AF77" s="179"/>
      <c r="AG77" s="179"/>
      <c r="AH77" s="179"/>
      <c r="AI77" s="179"/>
      <c r="AJ77" s="179"/>
      <c r="AK77" s="179"/>
      <c r="AL77" s="179"/>
      <c r="AM77" s="179"/>
    </row>
    <row r="78" spans="2:39" ht="18.75" customHeight="1" x14ac:dyDescent="0.25">
      <c r="B78" s="178"/>
      <c r="C78" s="179"/>
      <c r="D78" s="179"/>
      <c r="E78" s="179"/>
      <c r="F78" s="179"/>
      <c r="G78" s="179"/>
      <c r="H78" s="179"/>
      <c r="I78" s="179"/>
      <c r="J78" s="179"/>
      <c r="K78" s="179"/>
      <c r="L78" s="179"/>
      <c r="M78" s="179"/>
      <c r="N78" s="179"/>
      <c r="O78" s="179"/>
      <c r="P78" s="179"/>
      <c r="Q78" s="179"/>
      <c r="R78" s="179"/>
      <c r="S78" s="179"/>
      <c r="T78" s="179"/>
      <c r="U78" s="179"/>
      <c r="V78" s="179"/>
      <c r="W78" s="179"/>
      <c r="X78" s="179"/>
      <c r="Y78" s="179"/>
      <c r="Z78" s="179"/>
      <c r="AA78" s="179"/>
      <c r="AB78" s="179"/>
      <c r="AC78" s="179"/>
      <c r="AD78" s="179"/>
      <c r="AE78" s="179"/>
      <c r="AF78" s="179"/>
      <c r="AG78" s="179"/>
      <c r="AH78" s="179"/>
      <c r="AI78" s="179"/>
      <c r="AJ78" s="179"/>
      <c r="AK78" s="179"/>
      <c r="AL78" s="179"/>
      <c r="AM78" s="179"/>
    </row>
    <row r="79" spans="2:39" ht="18.75" customHeight="1" x14ac:dyDescent="0.25">
      <c r="B79" s="178"/>
      <c r="C79" s="179"/>
      <c r="D79" s="179"/>
      <c r="E79" s="179"/>
      <c r="F79" s="179"/>
      <c r="G79" s="179"/>
      <c r="H79" s="179"/>
      <c r="I79" s="179"/>
      <c r="J79" s="179"/>
      <c r="K79" s="179"/>
      <c r="L79" s="179"/>
      <c r="M79" s="179"/>
      <c r="N79" s="179"/>
      <c r="O79" s="179"/>
      <c r="P79" s="179"/>
      <c r="Q79" s="179"/>
      <c r="R79" s="179"/>
      <c r="S79" s="179"/>
      <c r="T79" s="179"/>
      <c r="U79" s="179"/>
      <c r="V79" s="179"/>
      <c r="W79" s="179"/>
      <c r="X79" s="179"/>
      <c r="Y79" s="179"/>
      <c r="Z79" s="179"/>
      <c r="AA79" s="179"/>
      <c r="AB79" s="179"/>
      <c r="AC79" s="179"/>
      <c r="AD79" s="179"/>
      <c r="AE79" s="179"/>
      <c r="AF79" s="179"/>
      <c r="AG79" s="179"/>
      <c r="AH79" s="179"/>
      <c r="AI79" s="179"/>
      <c r="AJ79" s="179"/>
      <c r="AK79" s="179"/>
      <c r="AL79" s="179"/>
      <c r="AM79" s="179"/>
    </row>
    <row r="80" spans="2:39" ht="18.75" customHeight="1" x14ac:dyDescent="0.25">
      <c r="B80" s="178"/>
      <c r="C80" s="179"/>
      <c r="D80" s="179"/>
      <c r="E80" s="179"/>
      <c r="F80" s="179"/>
      <c r="G80" s="179"/>
      <c r="H80" s="179"/>
      <c r="I80" s="179"/>
      <c r="J80" s="179"/>
      <c r="K80" s="179"/>
      <c r="L80" s="179"/>
      <c r="M80" s="179"/>
      <c r="N80" s="179"/>
      <c r="O80" s="179"/>
      <c r="P80" s="179"/>
      <c r="Q80" s="179"/>
      <c r="R80" s="179"/>
      <c r="S80" s="179"/>
      <c r="T80" s="179"/>
      <c r="U80" s="179"/>
      <c r="V80" s="179"/>
      <c r="W80" s="179"/>
      <c r="X80" s="179"/>
      <c r="Y80" s="179"/>
      <c r="Z80" s="179"/>
      <c r="AA80" s="179"/>
      <c r="AB80" s="179"/>
      <c r="AC80" s="179"/>
      <c r="AD80" s="179"/>
      <c r="AE80" s="179"/>
      <c r="AF80" s="179"/>
      <c r="AG80" s="179"/>
      <c r="AH80" s="179"/>
      <c r="AI80" s="179"/>
      <c r="AJ80" s="179"/>
      <c r="AK80" s="179"/>
      <c r="AL80" s="179"/>
      <c r="AM80" s="179"/>
    </row>
    <row r="81" spans="2:39" ht="12" customHeight="1" x14ac:dyDescent="0.25"/>
    <row r="82" spans="2:39" s="171" customFormat="1" ht="18.75" customHeight="1" x14ac:dyDescent="0.25">
      <c r="B82" s="240">
        <f>DATE(CalendarYear,6,1)</f>
        <v>44713</v>
      </c>
      <c r="C82" s="172" t="str">
        <f>IF(DAY(JunSun1)=1,"",IF(AND(YEAR(JunSun1+1)=CalendarYear,MONTH(JunSun1+1)=6),JunSun1+1,""))</f>
        <v/>
      </c>
      <c r="D82" s="172" t="str">
        <f>IF(DAY(JunSun1)=1,"",IF(AND(YEAR(JunSun1+2)=CalendarYear,MONTH(JunSun1+2)=6),JunSun1+2,""))</f>
        <v/>
      </c>
      <c r="E82" s="172" t="str">
        <f>IF(DAY(JunSun1)=1,"",IF(AND(YEAR(JunSun1+3)=CalendarYear,MONTH(JunSun1+3)=6),JunSun1+3,""))</f>
        <v/>
      </c>
      <c r="F82" s="172">
        <f>IF(DAY(JunSun1)=1,"",IF(AND(YEAR(JunSun1+4)=CalendarYear,MONTH(JunSun1+4)=6),JunSun1+4,""))</f>
        <v>44713</v>
      </c>
      <c r="G82" s="172">
        <f>IF(DAY(JunSun1)=1,"",IF(AND(YEAR(JunSun1+5)=CalendarYear,MONTH(JunSun1+5)=6),JunSun1+5,""))</f>
        <v>44714</v>
      </c>
      <c r="H82" s="172">
        <f>IF(DAY(JunSun1)=1,"",IF(AND(YEAR(JunSun1+6)=CalendarYear,MONTH(JunSun1+6)=6),JunSun1+6,""))</f>
        <v>44715</v>
      </c>
      <c r="I82" s="172">
        <f>IF(DAY(JunSun1)=1,IF(AND(YEAR(JunSun1)=CalendarYear,MONTH(JunSun1)=6),JunSun1,""),IF(AND(YEAR(JunSun1+7)=CalendarYear,MONTH(JunSun1+7)=6),JunSun1+7,""))</f>
        <v>44716</v>
      </c>
      <c r="J82" s="172">
        <f>IF(DAY(JunSun1)=1,IF(AND(YEAR(JunSun1+1)=CalendarYear,MONTH(JunSun1+1)=6),JunSun1+1,""),IF(AND(YEAR(JunSun1+8)=CalendarYear,MONTH(JunSun1+8)=6),JunSun1+8,""))</f>
        <v>44717</v>
      </c>
      <c r="K82" s="172">
        <f>IF(DAY(JunSun1)=1,IF(AND(YEAR(JunSun1+2)=CalendarYear,MONTH(JunSun1+2)=6),JunSun1+2,""),IF(AND(YEAR(JunSun1+9)=CalendarYear,MONTH(JunSun1+9)=6),JunSun1+9,""))</f>
        <v>44718</v>
      </c>
      <c r="L82" s="172">
        <f>IF(DAY(JunSun1)=1,IF(AND(YEAR(JunSun1+3)=CalendarYear,MONTH(JunSun1+3)=6),JunSun1+3,""),IF(AND(YEAR(JunSun1+10)=CalendarYear,MONTH(JunSun1+10)=6),JunSun1+10,""))</f>
        <v>44719</v>
      </c>
      <c r="M82" s="172">
        <f>IF(DAY(JunSun1)=1,IF(AND(YEAR(JunSun1+4)=CalendarYear,MONTH(JunSun1+4)=6),JunSun1+4,""),IF(AND(YEAR(JunSun1+11)=CalendarYear,MONTH(JunSun1+11)=6),JunSun1+11,""))</f>
        <v>44720</v>
      </c>
      <c r="N82" s="172">
        <f>IF(DAY(JunSun1)=1,IF(AND(YEAR(JunSun1+5)=CalendarYear,MONTH(JunSun1+5)=6),JunSun1+5,""),IF(AND(YEAR(JunSun1+12)=CalendarYear,MONTH(JunSun1+12)=6),JunSun1+12,""))</f>
        <v>44721</v>
      </c>
      <c r="O82" s="172">
        <f>IF(DAY(JunSun1)=1,IF(AND(YEAR(JunSun1+6)=CalendarYear,MONTH(JunSun1+6)=6),JunSun1+6,""),IF(AND(YEAR(JunSun1+13)=CalendarYear,MONTH(JunSun1+13)=6),JunSun1+13,""))</f>
        <v>44722</v>
      </c>
      <c r="P82" s="172">
        <f>IF(DAY(JunSun1)=1,IF(AND(YEAR(JunSun1+7)=CalendarYear,MONTH(JunSun1+7)=6),JunSun1+7,""),IF(AND(YEAR(JunSun1+14)=CalendarYear,MONTH(JunSun1+14)=6),JunSun1+14,""))</f>
        <v>44723</v>
      </c>
      <c r="Q82" s="172">
        <f>IF(DAY(JunSun1)=1,IF(AND(YEAR(JunSun1+8)=CalendarYear,MONTH(JunSun1+8)=6),JunSun1+8,""),IF(AND(YEAR(JunSun1+15)=CalendarYear,MONTH(JunSun1+15)=6),JunSun1+15,""))</f>
        <v>44724</v>
      </c>
      <c r="R82" s="172">
        <f>IF(DAY(JunSun1)=1,IF(AND(YEAR(JunSun1+9)=CalendarYear,MONTH(JunSun1+9)=6),JunSun1+9,""),IF(AND(YEAR(JunSun1+16)=CalendarYear,MONTH(JunSun1+16)=6),JunSun1+16,""))</f>
        <v>44725</v>
      </c>
      <c r="S82" s="172">
        <f>IF(DAY(JunSun1)=1,IF(AND(YEAR(JunSun1+10)=CalendarYear,MONTH(JunSun1+10)=6),JunSun1+10,""),IF(AND(YEAR(JunSun1+17)=CalendarYear,MONTH(JunSun1+17)=6),JunSun1+17,""))</f>
        <v>44726</v>
      </c>
      <c r="T82" s="172">
        <f>IF(DAY(JunSun1)=1,IF(AND(YEAR(JunSun1+11)=CalendarYear,MONTH(JunSun1+11)=6),JunSun1+11,""),IF(AND(YEAR(JunSun1+18)=CalendarYear,MONTH(JunSun1+18)=6),JunSun1+18,""))</f>
        <v>44727</v>
      </c>
      <c r="U82" s="172">
        <f>IF(DAY(JunSun1)=1,IF(AND(YEAR(JunSun1+12)=CalendarYear,MONTH(JunSun1+12)=6),JunSun1+12,""),IF(AND(YEAR(JunSun1+19)=CalendarYear,MONTH(JunSun1+19)=6),JunSun1+19,""))</f>
        <v>44728</v>
      </c>
      <c r="V82" s="172">
        <f>IF(DAY(JunSun1)=1,IF(AND(YEAR(JunSun1+13)=CalendarYear,MONTH(JunSun1+13)=6),JunSun1+13,""),IF(AND(YEAR(JunSun1+20)=CalendarYear,MONTH(JunSun1+20)=6),JunSun1+20,""))</f>
        <v>44729</v>
      </c>
      <c r="W82" s="172">
        <f>IF(DAY(JunSun1)=1,IF(AND(YEAR(JunSun1+14)=CalendarYear,MONTH(JunSun1+14)=6),JunSun1+14,""),IF(AND(YEAR(JunSun1+21)=CalendarYear,MONTH(JunSun1+21)=6),JunSun1+21,""))</f>
        <v>44730</v>
      </c>
      <c r="X82" s="172">
        <f>IF(DAY(JunSun1)=1,IF(AND(YEAR(JunSun1+15)=CalendarYear,MONTH(JunSun1+15)=6),JunSun1+15,""),IF(AND(YEAR(JunSun1+22)=CalendarYear,MONTH(JunSun1+22)=6),JunSun1+22,""))</f>
        <v>44731</v>
      </c>
      <c r="Y82" s="172">
        <f>IF(DAY(JunSun1)=1,IF(AND(YEAR(JunSun1+16)=CalendarYear,MONTH(JunSun1+16)=6),JunSun1+16,""),IF(AND(YEAR(JunSun1+23)=CalendarYear,MONTH(JunSun1+23)=6),JunSun1+23,""))</f>
        <v>44732</v>
      </c>
      <c r="Z82" s="172">
        <f>IF(DAY(JunSun1)=1,IF(AND(YEAR(JunSun1+17)=CalendarYear,MONTH(JunSun1+17)=6),JunSun1+17,""),IF(AND(YEAR(JunSun1+24)=CalendarYear,MONTH(JunSun1+24)=6),JunSun1+24,""))</f>
        <v>44733</v>
      </c>
      <c r="AA82" s="172">
        <f>IF(DAY(JunSun1)=1,IF(AND(YEAR(JunSun1+18)=CalendarYear,MONTH(JunSun1+18)=6),JunSun1+18,""),IF(AND(YEAR(JunSun1+25)=CalendarYear,MONTH(JunSun1+25)=6),JunSun1+25,""))</f>
        <v>44734</v>
      </c>
      <c r="AB82" s="172">
        <f>IF(DAY(JunSun1)=1,IF(AND(YEAR(JunSun1+19)=CalendarYear,MONTH(JunSun1+19)=6),JunSun1+19,""),IF(AND(YEAR(JunSun1+26)=CalendarYear,MONTH(JunSun1+26)=6),JunSun1+26,""))</f>
        <v>44735</v>
      </c>
      <c r="AC82" s="172">
        <f>IF(DAY(JunSun1)=1,IF(AND(YEAR(JunSun1+20)=CalendarYear,MONTH(JunSun1+20)=6),JunSun1+20,""),IF(AND(YEAR(JunSun1+27)=CalendarYear,MONTH(JunSun1+27)=6),JunSun1+27,""))</f>
        <v>44736</v>
      </c>
      <c r="AD82" s="172">
        <f>IF(DAY(JunSun1)=1,IF(AND(YEAR(JunSun1+21)=CalendarYear,MONTH(JunSun1+21)=6),JunSun1+21,""),IF(AND(YEAR(JunSun1+28)=CalendarYear,MONTH(JunSun1+28)=6),JunSun1+28,""))</f>
        <v>44737</v>
      </c>
      <c r="AE82" s="172">
        <f>IF(DAY(JunSun1)=1,IF(AND(YEAR(JunSun1+22)=CalendarYear,MONTH(JunSun1+22)=6),JunSun1+22,""),IF(AND(YEAR(JunSun1+29)=CalendarYear,MONTH(JunSun1+29)=6),JunSun1+29,""))</f>
        <v>44738</v>
      </c>
      <c r="AF82" s="172">
        <f>IF(DAY(JunSun1)=1,IF(AND(YEAR(JunSun1+23)=CalendarYear,MONTH(JunSun1+23)=6),JunSun1+23,""),IF(AND(YEAR(JunSun1+30)=CalendarYear,MONTH(JunSun1+30)=6),JunSun1+30,""))</f>
        <v>44739</v>
      </c>
      <c r="AG82" s="172">
        <f>IF(DAY(JunSun1)=1,IF(AND(YEAR(JunSun1+24)=CalendarYear,MONTH(JunSun1+24)=6),JunSun1+24,""),IF(AND(YEAR(JunSun1+31)=CalendarYear,MONTH(JunSun1+31)=6),JunSun1+31,""))</f>
        <v>44740</v>
      </c>
      <c r="AH82" s="172">
        <f>IF(DAY(JunSun1)=1,IF(AND(YEAR(JunSun1+25)=CalendarYear,MONTH(JunSun1+25)=6),JunSun1+25,""),IF(AND(YEAR(JunSun1+32)=CalendarYear,MONTH(JunSun1+32)=6),JunSun1+32,""))</f>
        <v>44741</v>
      </c>
      <c r="AI82" s="172">
        <f>IF(DAY(JunSun1)=1,IF(AND(YEAR(JunSun1+26)=CalendarYear,MONTH(JunSun1+26)=6),JunSun1+26,""),IF(AND(YEAR(JunSun1+33)=CalendarYear,MONTH(JunSun1+33)=6),JunSun1+33,""))</f>
        <v>44742</v>
      </c>
      <c r="AJ82" s="172" t="str">
        <f>IF(DAY(JunSun1)=1,IF(AND(YEAR(JunSun1+27)=CalendarYear,MONTH(JunSun1+27)=6),JunSun1+27,""),IF(AND(YEAR(JunSun1+34)=CalendarYear,MONTH(JunSun1+34)=6),JunSun1+34,""))</f>
        <v/>
      </c>
      <c r="AK82" s="172" t="str">
        <f>IF(DAY(JunSun1)=1,IF(AND(YEAR(JunSun1+28)=CalendarYear,MONTH(JunSun1+28)=6),JunSun1+28,""),IF(AND(YEAR(JunSun1+35)=CalendarYear,MONTH(JunSun1+35)=6),JunSun1+35,""))</f>
        <v/>
      </c>
      <c r="AL82" s="172" t="str">
        <f>IF(DAY(JunSun1)=1,IF(AND(YEAR(JunSun1+29)=CalendarYear,MONTH(JunSun1+29)=6),JunSun1+29,""),IF(AND(YEAR(JunSun1+36)=CalendarYear,MONTH(JunSun1+36)=6),JunSun1+36,""))</f>
        <v/>
      </c>
      <c r="AM82" s="173" t="str">
        <f>IF(DAY(JunSun1)=1,IF(AND(YEAR(JunSun1+30)=CalendarYear,MONTH(JunSun1+30)=6),JunSun1+30,""),IF(AND(YEAR(JunSun1+37)=CalendarYear,MONTH(JunSun1+37)=6),JunSun1+37,""))</f>
        <v/>
      </c>
    </row>
    <row r="83" spans="2:39" s="171" customFormat="1" ht="18.75" customHeight="1" x14ac:dyDescent="0.25">
      <c r="B83" s="240"/>
      <c r="C83" s="174" t="s">
        <v>59</v>
      </c>
      <c r="D83" s="174" t="s">
        <v>60</v>
      </c>
      <c r="E83" s="174" t="s">
        <v>61</v>
      </c>
      <c r="F83" s="174" t="s">
        <v>62</v>
      </c>
      <c r="G83" s="174" t="s">
        <v>63</v>
      </c>
      <c r="H83" s="174" t="s">
        <v>64</v>
      </c>
      <c r="I83" s="174" t="s">
        <v>65</v>
      </c>
      <c r="J83" s="174" t="s">
        <v>59</v>
      </c>
      <c r="K83" s="174" t="s">
        <v>60</v>
      </c>
      <c r="L83" s="174" t="s">
        <v>61</v>
      </c>
      <c r="M83" s="174" t="s">
        <v>62</v>
      </c>
      <c r="N83" s="174" t="s">
        <v>63</v>
      </c>
      <c r="O83" s="174" t="s">
        <v>64</v>
      </c>
      <c r="P83" s="174" t="s">
        <v>65</v>
      </c>
      <c r="Q83" s="174" t="s">
        <v>59</v>
      </c>
      <c r="R83" s="174" t="s">
        <v>60</v>
      </c>
      <c r="S83" s="174" t="s">
        <v>61</v>
      </c>
      <c r="T83" s="174" t="s">
        <v>62</v>
      </c>
      <c r="U83" s="174" t="s">
        <v>63</v>
      </c>
      <c r="V83" s="174" t="s">
        <v>64</v>
      </c>
      <c r="W83" s="174" t="s">
        <v>65</v>
      </c>
      <c r="X83" s="174" t="s">
        <v>59</v>
      </c>
      <c r="Y83" s="174" t="s">
        <v>60</v>
      </c>
      <c r="Z83" s="174" t="s">
        <v>61</v>
      </c>
      <c r="AA83" s="174" t="s">
        <v>62</v>
      </c>
      <c r="AB83" s="174" t="s">
        <v>63</v>
      </c>
      <c r="AC83" s="174" t="s">
        <v>64</v>
      </c>
      <c r="AD83" s="174" t="s">
        <v>65</v>
      </c>
      <c r="AE83" s="174" t="s">
        <v>59</v>
      </c>
      <c r="AF83" s="174" t="s">
        <v>60</v>
      </c>
      <c r="AG83" s="174" t="s">
        <v>61</v>
      </c>
      <c r="AH83" s="174" t="s">
        <v>62</v>
      </c>
      <c r="AI83" s="174" t="s">
        <v>63</v>
      </c>
      <c r="AJ83" s="174" t="s">
        <v>64</v>
      </c>
      <c r="AK83" s="174" t="s">
        <v>65</v>
      </c>
      <c r="AL83" s="174" t="s">
        <v>59</v>
      </c>
      <c r="AM83" s="175" t="s">
        <v>60</v>
      </c>
    </row>
    <row r="84" spans="2:39" ht="18.75" customHeight="1" x14ac:dyDescent="0.25">
      <c r="B84" s="176"/>
      <c r="C84" s="177"/>
      <c r="D84" s="177"/>
      <c r="E84" s="177"/>
      <c r="F84" s="177"/>
      <c r="G84" s="177"/>
      <c r="H84" s="177"/>
      <c r="I84" s="177"/>
      <c r="J84" s="177"/>
      <c r="K84" s="177"/>
      <c r="L84" s="177"/>
      <c r="M84" s="177"/>
      <c r="N84" s="177"/>
      <c r="O84" s="177"/>
      <c r="P84" s="177"/>
      <c r="Q84" s="177"/>
      <c r="R84" s="177"/>
      <c r="S84" s="177"/>
      <c r="T84" s="177"/>
      <c r="U84" s="177"/>
      <c r="V84" s="177"/>
      <c r="W84" s="177"/>
      <c r="X84" s="177"/>
      <c r="Y84" s="177"/>
      <c r="Z84" s="177"/>
      <c r="AA84" s="177"/>
      <c r="AB84" s="177"/>
      <c r="AC84" s="177"/>
      <c r="AD84" s="177"/>
      <c r="AE84" s="177"/>
      <c r="AF84" s="177"/>
      <c r="AG84" s="177"/>
      <c r="AH84" s="177"/>
      <c r="AI84" s="177"/>
      <c r="AJ84" s="177"/>
      <c r="AK84" s="177"/>
      <c r="AL84" s="177"/>
      <c r="AM84" s="177"/>
    </row>
    <row r="85" spans="2:39" ht="18.75" customHeight="1" x14ac:dyDescent="0.25">
      <c r="B85" s="178"/>
      <c r="C85" s="179"/>
      <c r="D85" s="179"/>
      <c r="E85" s="179"/>
      <c r="F85" s="179"/>
      <c r="G85" s="179"/>
      <c r="H85" s="179"/>
      <c r="I85" s="179"/>
      <c r="J85" s="179"/>
      <c r="K85" s="179"/>
      <c r="L85" s="179"/>
      <c r="M85" s="179"/>
      <c r="N85" s="179"/>
      <c r="O85" s="179"/>
      <c r="P85" s="179"/>
      <c r="Q85" s="179"/>
      <c r="R85" s="179"/>
      <c r="S85" s="179"/>
      <c r="T85" s="179"/>
      <c r="U85" s="179"/>
      <c r="V85" s="179"/>
      <c r="W85" s="179"/>
      <c r="X85" s="179"/>
      <c r="Y85" s="179"/>
      <c r="Z85" s="179"/>
      <c r="AA85" s="179"/>
      <c r="AB85" s="179"/>
      <c r="AC85" s="179"/>
      <c r="AD85" s="179"/>
      <c r="AE85" s="179"/>
      <c r="AF85" s="179"/>
      <c r="AG85" s="179"/>
      <c r="AH85" s="179"/>
      <c r="AI85" s="179"/>
      <c r="AJ85" s="179"/>
      <c r="AK85" s="179"/>
      <c r="AL85" s="179"/>
      <c r="AM85" s="179"/>
    </row>
    <row r="86" spans="2:39" ht="18.75" customHeight="1" x14ac:dyDescent="0.25">
      <c r="B86" s="178"/>
      <c r="C86" s="179"/>
      <c r="D86" s="179"/>
      <c r="E86" s="179"/>
      <c r="F86" s="179"/>
      <c r="G86" s="179"/>
      <c r="H86" s="179"/>
      <c r="I86" s="179"/>
      <c r="J86" s="179"/>
      <c r="K86" s="179"/>
      <c r="L86" s="179"/>
      <c r="M86" s="179"/>
      <c r="N86" s="179"/>
      <c r="O86" s="179"/>
      <c r="P86" s="179"/>
      <c r="Q86" s="179"/>
      <c r="R86" s="179"/>
      <c r="S86" s="179"/>
      <c r="T86" s="179"/>
      <c r="U86" s="179"/>
      <c r="V86" s="179"/>
      <c r="W86" s="179"/>
      <c r="X86" s="179"/>
      <c r="Y86" s="179"/>
      <c r="Z86" s="179"/>
      <c r="AA86" s="179"/>
      <c r="AB86" s="179"/>
      <c r="AC86" s="179"/>
      <c r="AD86" s="179"/>
      <c r="AE86" s="179"/>
      <c r="AF86" s="179"/>
      <c r="AG86" s="179"/>
      <c r="AH86" s="179"/>
      <c r="AI86" s="179"/>
      <c r="AJ86" s="179"/>
      <c r="AK86" s="179"/>
      <c r="AL86" s="179"/>
      <c r="AM86" s="179"/>
    </row>
    <row r="87" spans="2:39" ht="18.75" customHeight="1" x14ac:dyDescent="0.25">
      <c r="B87" s="178"/>
      <c r="C87" s="179"/>
      <c r="D87" s="179"/>
      <c r="E87" s="179"/>
      <c r="F87" s="179"/>
      <c r="G87" s="179"/>
      <c r="H87" s="179"/>
      <c r="I87" s="179"/>
      <c r="J87" s="179"/>
      <c r="K87" s="179"/>
      <c r="L87" s="179"/>
      <c r="M87" s="179"/>
      <c r="N87" s="179"/>
      <c r="O87" s="179"/>
      <c r="P87" s="179"/>
      <c r="Q87" s="179"/>
      <c r="R87" s="179"/>
      <c r="S87" s="179"/>
      <c r="T87" s="179"/>
      <c r="U87" s="179"/>
      <c r="V87" s="179"/>
      <c r="W87" s="179"/>
      <c r="X87" s="179"/>
      <c r="Y87" s="179"/>
      <c r="Z87" s="179"/>
      <c r="AA87" s="179"/>
      <c r="AB87" s="179"/>
      <c r="AC87" s="179"/>
      <c r="AD87" s="179"/>
      <c r="AE87" s="179"/>
      <c r="AF87" s="179"/>
      <c r="AG87" s="179"/>
      <c r="AH87" s="179"/>
      <c r="AI87" s="179"/>
      <c r="AJ87" s="179"/>
      <c r="AK87" s="179"/>
      <c r="AL87" s="179"/>
      <c r="AM87" s="179"/>
    </row>
    <row r="88" spans="2:39" ht="18.75" customHeight="1" x14ac:dyDescent="0.25">
      <c r="B88" s="178"/>
      <c r="C88" s="179"/>
      <c r="D88" s="179"/>
      <c r="E88" s="179"/>
      <c r="F88" s="179"/>
      <c r="G88" s="179"/>
      <c r="H88" s="179"/>
      <c r="I88" s="179"/>
      <c r="J88" s="179"/>
      <c r="K88" s="179"/>
      <c r="L88" s="179"/>
      <c r="M88" s="179"/>
      <c r="N88" s="179"/>
      <c r="O88" s="179"/>
      <c r="P88" s="179"/>
      <c r="Q88" s="179"/>
      <c r="R88" s="179"/>
      <c r="S88" s="179"/>
      <c r="T88" s="179"/>
      <c r="U88" s="179"/>
      <c r="V88" s="179"/>
      <c r="W88" s="179"/>
      <c r="X88" s="179"/>
      <c r="Y88" s="179"/>
      <c r="Z88" s="179"/>
      <c r="AA88" s="179"/>
      <c r="AB88" s="179"/>
      <c r="AC88" s="179"/>
      <c r="AD88" s="179"/>
      <c r="AE88" s="179"/>
      <c r="AF88" s="179"/>
      <c r="AG88" s="179"/>
      <c r="AH88" s="179"/>
      <c r="AI88" s="179"/>
      <c r="AJ88" s="179"/>
      <c r="AK88" s="179"/>
      <c r="AL88" s="179"/>
      <c r="AM88" s="179"/>
    </row>
    <row r="89" spans="2:39" ht="18.75" customHeight="1" x14ac:dyDescent="0.25">
      <c r="B89" s="178"/>
      <c r="C89" s="179"/>
      <c r="D89" s="179"/>
      <c r="E89" s="179"/>
      <c r="F89" s="179"/>
      <c r="G89" s="179"/>
      <c r="H89" s="179"/>
      <c r="I89" s="179"/>
      <c r="J89" s="179"/>
      <c r="K89" s="179"/>
      <c r="L89" s="179"/>
      <c r="M89" s="179"/>
      <c r="N89" s="179"/>
      <c r="O89" s="179"/>
      <c r="P89" s="179"/>
      <c r="Q89" s="179"/>
      <c r="R89" s="179"/>
      <c r="S89" s="179"/>
      <c r="T89" s="179"/>
      <c r="U89" s="179"/>
      <c r="V89" s="179"/>
      <c r="W89" s="179"/>
      <c r="X89" s="179"/>
      <c r="Y89" s="179"/>
      <c r="Z89" s="179"/>
      <c r="AA89" s="179"/>
      <c r="AB89" s="179"/>
      <c r="AC89" s="179"/>
      <c r="AD89" s="179"/>
      <c r="AE89" s="179"/>
      <c r="AF89" s="179"/>
      <c r="AG89" s="179"/>
      <c r="AH89" s="179"/>
      <c r="AI89" s="179"/>
      <c r="AJ89" s="179"/>
      <c r="AK89" s="179"/>
      <c r="AL89" s="179"/>
      <c r="AM89" s="179"/>
    </row>
    <row r="90" spans="2:39" ht="18.75" customHeight="1" x14ac:dyDescent="0.25">
      <c r="B90" s="178"/>
      <c r="C90" s="179"/>
      <c r="D90" s="179"/>
      <c r="E90" s="179"/>
      <c r="F90" s="179"/>
      <c r="G90" s="179"/>
      <c r="H90" s="179"/>
      <c r="I90" s="179"/>
      <c r="J90" s="179"/>
      <c r="K90" s="179"/>
      <c r="L90" s="179"/>
      <c r="M90" s="179"/>
      <c r="N90" s="179"/>
      <c r="O90" s="179"/>
      <c r="P90" s="179"/>
      <c r="Q90" s="179"/>
      <c r="R90" s="179"/>
      <c r="S90" s="179"/>
      <c r="T90" s="179"/>
      <c r="U90" s="179"/>
      <c r="V90" s="179"/>
      <c r="W90" s="179"/>
      <c r="X90" s="179"/>
      <c r="Y90" s="179"/>
      <c r="Z90" s="179"/>
      <c r="AA90" s="179"/>
      <c r="AB90" s="179"/>
      <c r="AC90" s="179"/>
      <c r="AD90" s="179"/>
      <c r="AE90" s="179"/>
      <c r="AF90" s="179"/>
      <c r="AG90" s="179"/>
      <c r="AH90" s="179"/>
      <c r="AI90" s="179"/>
      <c r="AJ90" s="179"/>
      <c r="AK90" s="179"/>
      <c r="AL90" s="179"/>
      <c r="AM90" s="179"/>
    </row>
    <row r="91" spans="2:39" ht="18.75" customHeight="1" x14ac:dyDescent="0.25">
      <c r="B91" s="178"/>
      <c r="C91" s="179"/>
      <c r="D91" s="179"/>
      <c r="E91" s="179"/>
      <c r="F91" s="179"/>
      <c r="G91" s="179"/>
      <c r="H91" s="179"/>
      <c r="I91" s="179"/>
      <c r="J91" s="179"/>
      <c r="K91" s="179"/>
      <c r="L91" s="179"/>
      <c r="M91" s="179"/>
      <c r="N91" s="179"/>
      <c r="O91" s="179"/>
      <c r="P91" s="179"/>
      <c r="Q91" s="179"/>
      <c r="R91" s="179"/>
      <c r="S91" s="179"/>
      <c r="T91" s="179"/>
      <c r="U91" s="179"/>
      <c r="V91" s="179"/>
      <c r="W91" s="179"/>
      <c r="X91" s="179"/>
      <c r="Y91" s="179"/>
      <c r="Z91" s="179"/>
      <c r="AA91" s="179"/>
      <c r="AB91" s="179"/>
      <c r="AC91" s="179"/>
      <c r="AD91" s="179"/>
      <c r="AE91" s="179"/>
      <c r="AF91" s="179"/>
      <c r="AG91" s="179"/>
      <c r="AH91" s="179"/>
      <c r="AI91" s="179"/>
      <c r="AJ91" s="179"/>
      <c r="AK91" s="179"/>
      <c r="AL91" s="179"/>
      <c r="AM91" s="179"/>
    </row>
    <row r="92" spans="2:39" ht="18.75" customHeight="1" x14ac:dyDescent="0.25">
      <c r="B92" s="178"/>
      <c r="C92" s="179"/>
      <c r="D92" s="179"/>
      <c r="E92" s="179"/>
      <c r="F92" s="179"/>
      <c r="G92" s="179"/>
      <c r="H92" s="179"/>
      <c r="I92" s="179"/>
      <c r="J92" s="179"/>
      <c r="K92" s="179"/>
      <c r="L92" s="179"/>
      <c r="M92" s="179"/>
      <c r="N92" s="179"/>
      <c r="O92" s="179"/>
      <c r="P92" s="179"/>
      <c r="Q92" s="179"/>
      <c r="R92" s="179"/>
      <c r="S92" s="179"/>
      <c r="T92" s="179"/>
      <c r="U92" s="179"/>
      <c r="V92" s="179"/>
      <c r="W92" s="179"/>
      <c r="X92" s="179"/>
      <c r="Y92" s="179"/>
      <c r="Z92" s="179"/>
      <c r="AA92" s="179"/>
      <c r="AB92" s="179"/>
      <c r="AC92" s="179"/>
      <c r="AD92" s="179"/>
      <c r="AE92" s="179"/>
      <c r="AF92" s="179"/>
      <c r="AG92" s="179"/>
      <c r="AH92" s="179"/>
      <c r="AI92" s="179"/>
      <c r="AJ92" s="179"/>
      <c r="AK92" s="179"/>
      <c r="AL92" s="179"/>
      <c r="AM92" s="179"/>
    </row>
    <row r="93" spans="2:39" ht="18.75" customHeight="1" x14ac:dyDescent="0.25">
      <c r="B93" s="178"/>
      <c r="C93" s="179"/>
      <c r="D93" s="179"/>
      <c r="E93" s="179"/>
      <c r="F93" s="179"/>
      <c r="G93" s="179"/>
      <c r="H93" s="179"/>
      <c r="I93" s="179"/>
      <c r="J93" s="179"/>
      <c r="K93" s="179"/>
      <c r="L93" s="179"/>
      <c r="M93" s="179"/>
      <c r="N93" s="179"/>
      <c r="O93" s="179"/>
      <c r="P93" s="179"/>
      <c r="Q93" s="179"/>
      <c r="R93" s="179"/>
      <c r="S93" s="179"/>
      <c r="T93" s="179"/>
      <c r="U93" s="179"/>
      <c r="V93" s="179"/>
      <c r="W93" s="179"/>
      <c r="X93" s="179"/>
      <c r="Y93" s="179"/>
      <c r="Z93" s="179"/>
      <c r="AA93" s="179"/>
      <c r="AB93" s="179"/>
      <c r="AC93" s="179"/>
      <c r="AD93" s="179"/>
      <c r="AE93" s="179"/>
      <c r="AF93" s="179"/>
      <c r="AG93" s="179"/>
      <c r="AH93" s="179"/>
      <c r="AI93" s="179"/>
      <c r="AJ93" s="179"/>
      <c r="AK93" s="179"/>
      <c r="AL93" s="179"/>
      <c r="AM93" s="179"/>
    </row>
    <row r="94" spans="2:39" ht="18.75" customHeight="1" x14ac:dyDescent="0.25">
      <c r="B94" s="178"/>
      <c r="C94" s="179"/>
      <c r="D94" s="179"/>
      <c r="E94" s="179"/>
      <c r="F94" s="179"/>
      <c r="G94" s="179"/>
      <c r="H94" s="179"/>
      <c r="I94" s="179"/>
      <c r="J94" s="179"/>
      <c r="K94" s="179"/>
      <c r="L94" s="179"/>
      <c r="M94" s="179"/>
      <c r="N94" s="179"/>
      <c r="O94" s="179"/>
      <c r="P94" s="179"/>
      <c r="Q94" s="179"/>
      <c r="R94" s="179"/>
      <c r="S94" s="179"/>
      <c r="T94" s="179"/>
      <c r="U94" s="179"/>
      <c r="V94" s="179"/>
      <c r="W94" s="179"/>
      <c r="X94" s="179"/>
      <c r="Y94" s="179"/>
      <c r="Z94" s="179"/>
      <c r="AA94" s="179"/>
      <c r="AB94" s="179"/>
      <c r="AC94" s="179"/>
      <c r="AD94" s="179"/>
      <c r="AE94" s="179"/>
      <c r="AF94" s="179"/>
      <c r="AG94" s="179"/>
      <c r="AH94" s="179"/>
      <c r="AI94" s="179"/>
      <c r="AJ94" s="179"/>
      <c r="AK94" s="179"/>
      <c r="AL94" s="179"/>
      <c r="AM94" s="179"/>
    </row>
    <row r="95" spans="2:39" ht="18.75" customHeight="1" x14ac:dyDescent="0.25">
      <c r="B95" s="178"/>
      <c r="C95" s="179"/>
      <c r="D95" s="179"/>
      <c r="E95" s="179"/>
      <c r="F95" s="179"/>
      <c r="G95" s="179"/>
      <c r="H95" s="179"/>
      <c r="I95" s="179"/>
      <c r="J95" s="179"/>
      <c r="K95" s="179"/>
      <c r="L95" s="179"/>
      <c r="M95" s="179"/>
      <c r="N95" s="179"/>
      <c r="O95" s="179"/>
      <c r="P95" s="179"/>
      <c r="Q95" s="179"/>
      <c r="R95" s="179"/>
      <c r="S95" s="179"/>
      <c r="T95" s="179"/>
      <c r="U95" s="179"/>
      <c r="V95" s="179"/>
      <c r="W95" s="179"/>
      <c r="X95" s="179"/>
      <c r="Y95" s="179"/>
      <c r="Z95" s="179"/>
      <c r="AA95" s="179"/>
      <c r="AB95" s="179"/>
      <c r="AC95" s="179"/>
      <c r="AD95" s="179"/>
      <c r="AE95" s="179"/>
      <c r="AF95" s="179"/>
      <c r="AG95" s="179"/>
      <c r="AH95" s="179"/>
      <c r="AI95" s="179"/>
      <c r="AJ95" s="179"/>
      <c r="AK95" s="179"/>
      <c r="AL95" s="179"/>
      <c r="AM95" s="179"/>
    </row>
    <row r="96" spans="2:39" ht="18.75" customHeight="1" x14ac:dyDescent="0.25">
      <c r="B96" s="178"/>
      <c r="C96" s="179"/>
      <c r="D96" s="179"/>
      <c r="E96" s="179"/>
      <c r="F96" s="179"/>
      <c r="G96" s="179"/>
      <c r="H96" s="179"/>
      <c r="I96" s="179"/>
      <c r="J96" s="179"/>
      <c r="K96" s="179"/>
      <c r="L96" s="179"/>
      <c r="M96" s="179"/>
      <c r="N96" s="179"/>
      <c r="O96" s="179"/>
      <c r="P96" s="179"/>
      <c r="Q96" s="179"/>
      <c r="R96" s="179"/>
      <c r="S96" s="179"/>
      <c r="T96" s="179"/>
      <c r="U96" s="179"/>
      <c r="V96" s="179"/>
      <c r="W96" s="179"/>
      <c r="X96" s="179"/>
      <c r="Y96" s="179"/>
      <c r="Z96" s="179"/>
      <c r="AA96" s="179"/>
      <c r="AB96" s="179"/>
      <c r="AC96" s="179"/>
      <c r="AD96" s="179"/>
      <c r="AE96" s="179"/>
      <c r="AF96" s="179"/>
      <c r="AG96" s="179"/>
      <c r="AH96" s="179"/>
      <c r="AI96" s="179"/>
      <c r="AJ96" s="179"/>
      <c r="AK96" s="179"/>
      <c r="AL96" s="179"/>
      <c r="AM96" s="179"/>
    </row>
    <row r="97" spans="2:39" ht="12" customHeight="1" x14ac:dyDescent="0.25"/>
    <row r="98" spans="2:39" s="171" customFormat="1" ht="18.75" customHeight="1" x14ac:dyDescent="0.25">
      <c r="B98" s="240">
        <f>DATE(CalendarYear,7,1)</f>
        <v>44743</v>
      </c>
      <c r="C98" s="172" t="str">
        <f>IF(DAY(JulSun1)=1,"",IF(AND(YEAR(JulSun1+1)=CalendarYear,MONTH(JulSun1+1)=7),JulSun1+1,""))</f>
        <v/>
      </c>
      <c r="D98" s="172" t="str">
        <f>IF(DAY(JulSun1)=1,"",IF(AND(YEAR(JulSun1+2)=CalendarYear,MONTH(JulSun1+2)=7),JulSun1+2,""))</f>
        <v/>
      </c>
      <c r="E98" s="172" t="str">
        <f>IF(DAY(JulSun1)=1,"",IF(AND(YEAR(JulSun1+3)=CalendarYear,MONTH(JulSun1+3)=7),JulSun1+3,""))</f>
        <v/>
      </c>
      <c r="F98" s="172" t="str">
        <f>IF(DAY(JulSun1)=1,"",IF(AND(YEAR(JulSun1+4)=CalendarYear,MONTH(JulSun1+4)=7),JulSun1+4,""))</f>
        <v/>
      </c>
      <c r="G98" s="172" t="str">
        <f>IF(DAY(JulSun1)=1,"",IF(AND(YEAR(JulSun1+5)=CalendarYear,MONTH(JulSun1+5)=7),JulSun1+5,""))</f>
        <v/>
      </c>
      <c r="H98" s="172">
        <f>IF(DAY(JulSun1)=1,"",IF(AND(YEAR(JulSun1+6)=CalendarYear,MONTH(JulSun1+6)=7),JulSun1+6,""))</f>
        <v>44743</v>
      </c>
      <c r="I98" s="172">
        <f>IF(DAY(JulSun1)=1,IF(AND(YEAR(JulSun1)=CalendarYear,MONTH(JulSun1)=7),JulSun1,""),IF(AND(YEAR(JulSun1+7)=CalendarYear,MONTH(JulSun1+7)=7),JulSun1+7,""))</f>
        <v>44744</v>
      </c>
      <c r="J98" s="172">
        <f>IF(DAY(JulSun1)=1,IF(AND(YEAR(JulSun1+1)=CalendarYear,MONTH(JulSun1+1)=7),JulSun1+1,""),IF(AND(YEAR(JulSun1+8)=CalendarYear,MONTH(JulSun1+8)=7),JulSun1+8,""))</f>
        <v>44745</v>
      </c>
      <c r="K98" s="172">
        <f>IF(DAY(JulSun1)=1,IF(AND(YEAR(JulSun1+2)=CalendarYear,MONTH(JulSun1+2)=7),JulSun1+2,""),IF(AND(YEAR(JulSun1+9)=CalendarYear,MONTH(JulSun1+9)=7),JulSun1+9,""))</f>
        <v>44746</v>
      </c>
      <c r="L98" s="172">
        <f>IF(DAY(JulSun1)=1,IF(AND(YEAR(JulSun1+3)=CalendarYear,MONTH(JulSun1+3)=7),JulSun1+3,""),IF(AND(YEAR(JulSun1+10)=CalendarYear,MONTH(JulSun1+10)=7),JulSun1+10,""))</f>
        <v>44747</v>
      </c>
      <c r="M98" s="172">
        <f>IF(DAY(JulSun1)=1,IF(AND(YEAR(JulSun1+4)=CalendarYear,MONTH(JulSun1+4)=7),JulSun1+4,""),IF(AND(YEAR(JulSun1+11)=CalendarYear,MONTH(JulSun1+11)=7),JulSun1+11,""))</f>
        <v>44748</v>
      </c>
      <c r="N98" s="172">
        <f>IF(DAY(JulSun1)=1,IF(AND(YEAR(JulSun1+5)=CalendarYear,MONTH(JulSun1+5)=7),JulSun1+5,""),IF(AND(YEAR(JulSun1+12)=CalendarYear,MONTH(JulSun1+12)=7),JulSun1+12,""))</f>
        <v>44749</v>
      </c>
      <c r="O98" s="172">
        <f>IF(DAY(JulSun1)=1,IF(AND(YEAR(JulSun1+6)=CalendarYear,MONTH(JulSun1+6)=7),JulSun1+6,""),IF(AND(YEAR(JulSun1+13)=CalendarYear,MONTH(JulSun1+13)=7),JulSun1+13,""))</f>
        <v>44750</v>
      </c>
      <c r="P98" s="172">
        <f>IF(DAY(JulSun1)=1,IF(AND(YEAR(JulSun1+7)=CalendarYear,MONTH(JulSun1+7)=7),JulSun1+7,""),IF(AND(YEAR(JulSun1+14)=CalendarYear,MONTH(JulSun1+14)=7),JulSun1+14,""))</f>
        <v>44751</v>
      </c>
      <c r="Q98" s="172">
        <f>IF(DAY(JulSun1)=1,IF(AND(YEAR(JulSun1+8)=CalendarYear,MONTH(JulSun1+8)=7),JulSun1+8,""),IF(AND(YEAR(JulSun1+15)=CalendarYear,MONTH(JulSun1+15)=7),JulSun1+15,""))</f>
        <v>44752</v>
      </c>
      <c r="R98" s="172">
        <f>IF(DAY(JulSun1)=1,IF(AND(YEAR(JulSun1+9)=CalendarYear,MONTH(JulSun1+9)=7),JulSun1+9,""),IF(AND(YEAR(JulSun1+16)=CalendarYear,MONTH(JulSun1+16)=7),JulSun1+16,""))</f>
        <v>44753</v>
      </c>
      <c r="S98" s="172">
        <f>IF(DAY(JulSun1)=1,IF(AND(YEAR(JulSun1+10)=CalendarYear,MONTH(JulSun1+10)=7),JulSun1+10,""),IF(AND(YEAR(JulSun1+17)=CalendarYear,MONTH(JulSun1+17)=7),JulSun1+17,""))</f>
        <v>44754</v>
      </c>
      <c r="T98" s="172">
        <f>IF(DAY(JulSun1)=1,IF(AND(YEAR(JulSun1+11)=CalendarYear,MONTH(JulSun1+11)=7),JulSun1+11,""),IF(AND(YEAR(JulSun1+18)=CalendarYear,MONTH(JulSun1+18)=7),JulSun1+18,""))</f>
        <v>44755</v>
      </c>
      <c r="U98" s="172">
        <f>IF(DAY(JulSun1)=1,IF(AND(YEAR(JulSun1+12)=CalendarYear,MONTH(JulSun1+12)=7),JulSun1+12,""),IF(AND(YEAR(JulSun1+19)=CalendarYear,MONTH(JulSun1+19)=7),JulSun1+19,""))</f>
        <v>44756</v>
      </c>
      <c r="V98" s="172">
        <f>IF(DAY(JulSun1)=1,IF(AND(YEAR(JulSun1+13)=CalendarYear,MONTH(JulSun1+13)=7),JulSun1+13,""),IF(AND(YEAR(JulSun1+20)=CalendarYear,MONTH(JulSun1+20)=7),JulSun1+20,""))</f>
        <v>44757</v>
      </c>
      <c r="W98" s="172">
        <f>IF(DAY(JulSun1)=1,IF(AND(YEAR(JulSun1+14)=CalendarYear,MONTH(JulSun1+14)=7),JulSun1+14,""),IF(AND(YEAR(JulSun1+21)=CalendarYear,MONTH(JulSun1+21)=7),JulSun1+21,""))</f>
        <v>44758</v>
      </c>
      <c r="X98" s="172">
        <f>IF(DAY(JulSun1)=1,IF(AND(YEAR(JulSun1+15)=CalendarYear,MONTH(JulSun1+15)=7),JulSun1+15,""),IF(AND(YEAR(JulSun1+22)=CalendarYear,MONTH(JulSun1+22)=7),JulSun1+22,""))</f>
        <v>44759</v>
      </c>
      <c r="Y98" s="172">
        <f>IF(DAY(JulSun1)=1,IF(AND(YEAR(JulSun1+16)=CalendarYear,MONTH(JulSun1+16)=7),JulSun1+16,""),IF(AND(YEAR(JulSun1+23)=CalendarYear,MONTH(JulSun1+23)=7),JulSun1+23,""))</f>
        <v>44760</v>
      </c>
      <c r="Z98" s="172">
        <f>IF(DAY(JulSun1)=1,IF(AND(YEAR(JulSun1+17)=CalendarYear,MONTH(JulSun1+17)=7),JulSun1+17,""),IF(AND(YEAR(JulSun1+24)=CalendarYear,MONTH(JulSun1+24)=7),JulSun1+24,""))</f>
        <v>44761</v>
      </c>
      <c r="AA98" s="172">
        <f>IF(DAY(JulSun1)=1,IF(AND(YEAR(JulSun1+18)=CalendarYear,MONTH(JulSun1+18)=7),JulSun1+18,""),IF(AND(YEAR(JulSun1+25)=CalendarYear,MONTH(JulSun1+25)=7),JulSun1+25,""))</f>
        <v>44762</v>
      </c>
      <c r="AB98" s="172">
        <f>IF(DAY(JulSun1)=1,IF(AND(YEAR(JulSun1+19)=CalendarYear,MONTH(JulSun1+19)=7),JulSun1+19,""),IF(AND(YEAR(JulSun1+26)=CalendarYear,MONTH(JulSun1+26)=7),JulSun1+26,""))</f>
        <v>44763</v>
      </c>
      <c r="AC98" s="172">
        <f>IF(DAY(JulSun1)=1,IF(AND(YEAR(JulSun1+20)=CalendarYear,MONTH(JulSun1+20)=7),JulSun1+20,""),IF(AND(YEAR(JulSun1+27)=CalendarYear,MONTH(JulSun1+27)=7),JulSun1+27,""))</f>
        <v>44764</v>
      </c>
      <c r="AD98" s="172">
        <f>IF(DAY(JulSun1)=1,IF(AND(YEAR(JulSun1+21)=CalendarYear,MONTH(JulSun1+21)=7),JulSun1+21,""),IF(AND(YEAR(JulSun1+28)=CalendarYear,MONTH(JulSun1+28)=7),JulSun1+28,""))</f>
        <v>44765</v>
      </c>
      <c r="AE98" s="172">
        <f>IF(DAY(JulSun1)=1,IF(AND(YEAR(JulSun1+22)=CalendarYear,MONTH(JulSun1+22)=7),JulSun1+22,""),IF(AND(YEAR(JulSun1+29)=CalendarYear,MONTH(JulSun1+29)=7),JulSun1+29,""))</f>
        <v>44766</v>
      </c>
      <c r="AF98" s="172">
        <f>IF(DAY(JulSun1)=1,IF(AND(YEAR(JulSun1+23)=CalendarYear,MONTH(JulSun1+23)=7),JulSun1+23,""),IF(AND(YEAR(JulSun1+30)=CalendarYear,MONTH(JulSun1+30)=7),JulSun1+30,""))</f>
        <v>44767</v>
      </c>
      <c r="AG98" s="172">
        <f>IF(DAY(JulSun1)=1,IF(AND(YEAR(JulSun1+24)=CalendarYear,MONTH(JulSun1+24)=7),JulSun1+24,""),IF(AND(YEAR(JulSun1+31)=CalendarYear,MONTH(JulSun1+31)=7),JulSun1+31,""))</f>
        <v>44768</v>
      </c>
      <c r="AH98" s="172">
        <f>IF(DAY(JulSun1)=1,IF(AND(YEAR(JulSun1+25)=CalendarYear,MONTH(JulSun1+25)=7),JulSun1+25,""),IF(AND(YEAR(JulSun1+32)=CalendarYear,MONTH(JulSun1+32)=7),JulSun1+32,""))</f>
        <v>44769</v>
      </c>
      <c r="AI98" s="172">
        <f>IF(DAY(JulSun1)=1,IF(AND(YEAR(JulSun1+26)=CalendarYear,MONTH(JulSun1+26)=7),JulSun1+26,""),IF(AND(YEAR(JulSun1+33)=CalendarYear,MONTH(JulSun1+33)=7),JulSun1+33,""))</f>
        <v>44770</v>
      </c>
      <c r="AJ98" s="172">
        <f>IF(DAY(JulSun1)=1,IF(AND(YEAR(JulSun1+27)=CalendarYear,MONTH(JulSun1+27)=7),JulSun1+27,""),IF(AND(YEAR(JulSun1+34)=CalendarYear,MONTH(JulSun1+34)=7),JulSun1+34,""))</f>
        <v>44771</v>
      </c>
      <c r="AK98" s="172">
        <f>IF(DAY(JulSun1)=1,IF(AND(YEAR(JulSun1+28)=CalendarYear,MONTH(JulSun1+28)=7),JulSun1+28,""),IF(AND(YEAR(JulSun1+35)=CalendarYear,MONTH(JulSun1+35)=7),JulSun1+35,""))</f>
        <v>44772</v>
      </c>
      <c r="AL98" s="172">
        <f>IF(DAY(JulSun1)=1,IF(AND(YEAR(JulSun1+29)=CalendarYear,MONTH(JulSun1+29)=7),JulSun1+29,""),IF(AND(YEAR(JulSun1+36)=CalendarYear,MONTH(JulSun1+36)=7),JulSun1+36,""))</f>
        <v>44773</v>
      </c>
      <c r="AM98" s="173" t="str">
        <f>IF(DAY(JulSun1)=1,IF(AND(YEAR(JulSun1+30)=CalendarYear,MONTH(JulSun1+30)=7),JulSun1+30,""),IF(AND(YEAR(JulSun1+37)=CalendarYear,MONTH(JulSun1+37)=7),JulSun1+37,""))</f>
        <v/>
      </c>
    </row>
    <row r="99" spans="2:39" s="171" customFormat="1" ht="18.75" customHeight="1" x14ac:dyDescent="0.25">
      <c r="B99" s="240"/>
      <c r="C99" s="174" t="s">
        <v>59</v>
      </c>
      <c r="D99" s="174" t="s">
        <v>60</v>
      </c>
      <c r="E99" s="174" t="s">
        <v>61</v>
      </c>
      <c r="F99" s="174" t="s">
        <v>62</v>
      </c>
      <c r="G99" s="174" t="s">
        <v>63</v>
      </c>
      <c r="H99" s="174" t="s">
        <v>64</v>
      </c>
      <c r="I99" s="174" t="s">
        <v>65</v>
      </c>
      <c r="J99" s="174" t="s">
        <v>59</v>
      </c>
      <c r="K99" s="174" t="s">
        <v>60</v>
      </c>
      <c r="L99" s="174" t="s">
        <v>61</v>
      </c>
      <c r="M99" s="174" t="s">
        <v>62</v>
      </c>
      <c r="N99" s="174" t="s">
        <v>63</v>
      </c>
      <c r="O99" s="174" t="s">
        <v>64</v>
      </c>
      <c r="P99" s="174" t="s">
        <v>65</v>
      </c>
      <c r="Q99" s="174" t="s">
        <v>59</v>
      </c>
      <c r="R99" s="174" t="s">
        <v>60</v>
      </c>
      <c r="S99" s="174" t="s">
        <v>61</v>
      </c>
      <c r="T99" s="174" t="s">
        <v>62</v>
      </c>
      <c r="U99" s="174" t="s">
        <v>63</v>
      </c>
      <c r="V99" s="174" t="s">
        <v>64</v>
      </c>
      <c r="W99" s="174" t="s">
        <v>65</v>
      </c>
      <c r="X99" s="174" t="s">
        <v>59</v>
      </c>
      <c r="Y99" s="174" t="s">
        <v>60</v>
      </c>
      <c r="Z99" s="174" t="s">
        <v>61</v>
      </c>
      <c r="AA99" s="174" t="s">
        <v>62</v>
      </c>
      <c r="AB99" s="174" t="s">
        <v>63</v>
      </c>
      <c r="AC99" s="174" t="s">
        <v>64</v>
      </c>
      <c r="AD99" s="174" t="s">
        <v>65</v>
      </c>
      <c r="AE99" s="174" t="s">
        <v>59</v>
      </c>
      <c r="AF99" s="174" t="s">
        <v>60</v>
      </c>
      <c r="AG99" s="174" t="s">
        <v>61</v>
      </c>
      <c r="AH99" s="174" t="s">
        <v>62</v>
      </c>
      <c r="AI99" s="174" t="s">
        <v>63</v>
      </c>
      <c r="AJ99" s="174" t="s">
        <v>64</v>
      </c>
      <c r="AK99" s="174" t="s">
        <v>65</v>
      </c>
      <c r="AL99" s="174" t="s">
        <v>59</v>
      </c>
      <c r="AM99" s="175" t="s">
        <v>60</v>
      </c>
    </row>
    <row r="100" spans="2:39" ht="18.75" customHeight="1" x14ac:dyDescent="0.25">
      <c r="B100" s="176"/>
      <c r="C100" s="177"/>
      <c r="D100" s="177"/>
      <c r="E100" s="177"/>
      <c r="F100" s="177"/>
      <c r="G100" s="177"/>
      <c r="H100" s="177"/>
      <c r="I100" s="177"/>
      <c r="J100" s="177"/>
      <c r="K100" s="177"/>
      <c r="L100" s="177"/>
      <c r="M100" s="177"/>
      <c r="N100" s="177"/>
      <c r="O100" s="177"/>
      <c r="P100" s="177"/>
      <c r="Q100" s="177"/>
      <c r="R100" s="177"/>
      <c r="S100" s="177"/>
      <c r="T100" s="177"/>
      <c r="U100" s="177"/>
      <c r="V100" s="177"/>
      <c r="W100" s="177"/>
      <c r="X100" s="177"/>
      <c r="Y100" s="177"/>
      <c r="Z100" s="177"/>
      <c r="AA100" s="177"/>
      <c r="AB100" s="177"/>
      <c r="AC100" s="177"/>
      <c r="AD100" s="177"/>
      <c r="AE100" s="177"/>
      <c r="AF100" s="177"/>
      <c r="AG100" s="177"/>
      <c r="AH100" s="177"/>
      <c r="AI100" s="177"/>
      <c r="AJ100" s="177"/>
      <c r="AK100" s="177"/>
      <c r="AL100" s="177"/>
      <c r="AM100" s="177"/>
    </row>
    <row r="101" spans="2:39" ht="18.75" customHeight="1" x14ac:dyDescent="0.25">
      <c r="B101" s="176"/>
      <c r="C101" s="177"/>
      <c r="D101" s="177"/>
      <c r="E101" s="177"/>
      <c r="F101" s="177"/>
      <c r="G101" s="177"/>
      <c r="H101" s="177"/>
      <c r="I101" s="177"/>
      <c r="J101" s="177"/>
      <c r="K101" s="177"/>
      <c r="L101" s="177"/>
      <c r="M101" s="177"/>
      <c r="N101" s="177"/>
      <c r="O101" s="177"/>
      <c r="P101" s="177"/>
      <c r="Q101" s="177"/>
      <c r="R101" s="177"/>
      <c r="S101" s="177"/>
      <c r="T101" s="177"/>
      <c r="U101" s="177"/>
      <c r="V101" s="177"/>
      <c r="W101" s="177"/>
      <c r="X101" s="177"/>
      <c r="Y101" s="177"/>
      <c r="Z101" s="177"/>
      <c r="AA101" s="177"/>
      <c r="AB101" s="177"/>
      <c r="AC101" s="177"/>
      <c r="AD101" s="177"/>
      <c r="AE101" s="177"/>
      <c r="AF101" s="177"/>
      <c r="AG101" s="177"/>
      <c r="AH101" s="177"/>
      <c r="AI101" s="177"/>
      <c r="AJ101" s="177"/>
      <c r="AK101" s="177"/>
      <c r="AL101" s="177"/>
      <c r="AM101" s="177"/>
    </row>
    <row r="102" spans="2:39" ht="18.75" customHeight="1" x14ac:dyDescent="0.25">
      <c r="B102" s="176"/>
      <c r="C102" s="177"/>
      <c r="D102" s="177"/>
      <c r="E102" s="177"/>
      <c r="F102" s="177"/>
      <c r="G102" s="177"/>
      <c r="H102" s="177"/>
      <c r="I102" s="177"/>
      <c r="J102" s="177"/>
      <c r="K102" s="177"/>
      <c r="L102" s="177"/>
      <c r="M102" s="177"/>
      <c r="N102" s="177"/>
      <c r="O102" s="177"/>
      <c r="P102" s="177"/>
      <c r="Q102" s="177"/>
      <c r="R102" s="177"/>
      <c r="S102" s="177"/>
      <c r="T102" s="177"/>
      <c r="U102" s="177"/>
      <c r="V102" s="177"/>
      <c r="W102" s="177"/>
      <c r="X102" s="177"/>
      <c r="Y102" s="177"/>
      <c r="Z102" s="177"/>
      <c r="AA102" s="177"/>
      <c r="AB102" s="177"/>
      <c r="AC102" s="177"/>
      <c r="AD102" s="177"/>
      <c r="AE102" s="177"/>
      <c r="AF102" s="177"/>
      <c r="AG102" s="177"/>
      <c r="AH102" s="177"/>
      <c r="AI102" s="177"/>
      <c r="AJ102" s="177"/>
      <c r="AK102" s="177"/>
      <c r="AL102" s="177"/>
      <c r="AM102" s="177"/>
    </row>
    <row r="103" spans="2:39" ht="18.75" customHeight="1" x14ac:dyDescent="0.25">
      <c r="B103" s="176"/>
      <c r="C103" s="177"/>
      <c r="D103" s="177"/>
      <c r="E103" s="177"/>
      <c r="F103" s="177"/>
      <c r="G103" s="177"/>
      <c r="H103" s="177"/>
      <c r="I103" s="177"/>
      <c r="J103" s="177"/>
      <c r="K103" s="177"/>
      <c r="L103" s="177"/>
      <c r="M103" s="177"/>
      <c r="N103" s="177"/>
      <c r="O103" s="177"/>
      <c r="P103" s="177"/>
      <c r="Q103" s="177"/>
      <c r="R103" s="177"/>
      <c r="S103" s="177"/>
      <c r="T103" s="177"/>
      <c r="U103" s="177"/>
      <c r="V103" s="177"/>
      <c r="W103" s="177"/>
      <c r="X103" s="177"/>
      <c r="Y103" s="177"/>
      <c r="Z103" s="177"/>
      <c r="AA103" s="177"/>
      <c r="AB103" s="177"/>
      <c r="AC103" s="177"/>
      <c r="AD103" s="177"/>
      <c r="AE103" s="177"/>
      <c r="AF103" s="177"/>
      <c r="AG103" s="177"/>
      <c r="AH103" s="177"/>
      <c r="AI103" s="177"/>
      <c r="AJ103" s="177"/>
      <c r="AK103" s="177"/>
      <c r="AL103" s="177"/>
      <c r="AM103" s="177"/>
    </row>
    <row r="104" spans="2:39" ht="18.75" customHeight="1" x14ac:dyDescent="0.25">
      <c r="B104" s="176"/>
      <c r="C104" s="177"/>
      <c r="D104" s="177"/>
      <c r="E104" s="177"/>
      <c r="F104" s="177"/>
      <c r="G104" s="177"/>
      <c r="H104" s="177"/>
      <c r="I104" s="177"/>
      <c r="J104" s="177"/>
      <c r="K104" s="177"/>
      <c r="L104" s="177"/>
      <c r="M104" s="177"/>
      <c r="N104" s="177"/>
      <c r="O104" s="177"/>
      <c r="P104" s="177"/>
      <c r="Q104" s="177"/>
      <c r="R104" s="177"/>
      <c r="S104" s="177"/>
      <c r="T104" s="177"/>
      <c r="U104" s="177"/>
      <c r="V104" s="177"/>
      <c r="W104" s="177"/>
      <c r="X104" s="177"/>
      <c r="Y104" s="177"/>
      <c r="Z104" s="177"/>
      <c r="AA104" s="177"/>
      <c r="AB104" s="177"/>
      <c r="AC104" s="177"/>
      <c r="AD104" s="177"/>
      <c r="AE104" s="177"/>
      <c r="AF104" s="177"/>
      <c r="AG104" s="177"/>
      <c r="AH104" s="177"/>
      <c r="AI104" s="177"/>
      <c r="AJ104" s="177"/>
      <c r="AK104" s="177"/>
      <c r="AL104" s="177"/>
      <c r="AM104" s="177"/>
    </row>
    <row r="105" spans="2:39" ht="18.75" customHeight="1" x14ac:dyDescent="0.25">
      <c r="B105" s="176"/>
      <c r="C105" s="177"/>
      <c r="D105" s="177"/>
      <c r="E105" s="177"/>
      <c r="F105" s="177"/>
      <c r="G105" s="177"/>
      <c r="H105" s="177"/>
      <c r="I105" s="177"/>
      <c r="J105" s="177"/>
      <c r="K105" s="177"/>
      <c r="L105" s="177"/>
      <c r="M105" s="177"/>
      <c r="N105" s="177"/>
      <c r="O105" s="177"/>
      <c r="P105" s="177"/>
      <c r="Q105" s="177"/>
      <c r="R105" s="177"/>
      <c r="S105" s="177"/>
      <c r="T105" s="177"/>
      <c r="U105" s="177"/>
      <c r="V105" s="177"/>
      <c r="W105" s="177"/>
      <c r="X105" s="177"/>
      <c r="Y105" s="177"/>
      <c r="Z105" s="177"/>
      <c r="AA105" s="177"/>
      <c r="AB105" s="177"/>
      <c r="AC105" s="177"/>
      <c r="AD105" s="177"/>
      <c r="AE105" s="177"/>
      <c r="AF105" s="177"/>
      <c r="AG105" s="177"/>
      <c r="AH105" s="177"/>
      <c r="AI105" s="177"/>
      <c r="AJ105" s="177"/>
      <c r="AK105" s="177"/>
      <c r="AL105" s="177"/>
      <c r="AM105" s="177"/>
    </row>
    <row r="106" spans="2:39" ht="18.75" customHeight="1" x14ac:dyDescent="0.25">
      <c r="B106" s="176"/>
      <c r="C106" s="177"/>
      <c r="D106" s="177"/>
      <c r="E106" s="177"/>
      <c r="F106" s="177"/>
      <c r="G106" s="177"/>
      <c r="H106" s="177"/>
      <c r="I106" s="177"/>
      <c r="J106" s="177"/>
      <c r="K106" s="177"/>
      <c r="L106" s="177"/>
      <c r="M106" s="177"/>
      <c r="N106" s="177"/>
      <c r="O106" s="177"/>
      <c r="P106" s="177"/>
      <c r="Q106" s="177"/>
      <c r="R106" s="177"/>
      <c r="S106" s="177"/>
      <c r="T106" s="177"/>
      <c r="U106" s="177"/>
      <c r="V106" s="177"/>
      <c r="W106" s="177"/>
      <c r="X106" s="177"/>
      <c r="Y106" s="177"/>
      <c r="Z106" s="177"/>
      <c r="AA106" s="177"/>
      <c r="AB106" s="177"/>
      <c r="AC106" s="177"/>
      <c r="AD106" s="177"/>
      <c r="AE106" s="177"/>
      <c r="AF106" s="177"/>
      <c r="AG106" s="177"/>
      <c r="AH106" s="177"/>
      <c r="AI106" s="177"/>
      <c r="AJ106" s="177"/>
      <c r="AK106" s="177"/>
      <c r="AL106" s="177"/>
      <c r="AM106" s="177"/>
    </row>
    <row r="107" spans="2:39" ht="18.75" customHeight="1" x14ac:dyDescent="0.25">
      <c r="B107" s="178"/>
      <c r="C107" s="179"/>
      <c r="D107" s="179"/>
      <c r="E107" s="179"/>
      <c r="F107" s="179"/>
      <c r="G107" s="179"/>
      <c r="H107" s="179"/>
      <c r="I107" s="179"/>
      <c r="J107" s="179"/>
      <c r="K107" s="179"/>
      <c r="L107" s="179"/>
      <c r="M107" s="179"/>
      <c r="N107" s="179"/>
      <c r="O107" s="179"/>
      <c r="P107" s="179"/>
      <c r="Q107" s="179"/>
      <c r="R107" s="179"/>
      <c r="S107" s="179"/>
      <c r="T107" s="179"/>
      <c r="U107" s="179"/>
      <c r="V107" s="179"/>
      <c r="W107" s="179"/>
      <c r="X107" s="179"/>
      <c r="Y107" s="179"/>
      <c r="Z107" s="179"/>
      <c r="AA107" s="179"/>
      <c r="AB107" s="179"/>
      <c r="AC107" s="179"/>
      <c r="AD107" s="179"/>
      <c r="AE107" s="179"/>
      <c r="AF107" s="179"/>
      <c r="AG107" s="179"/>
      <c r="AH107" s="179"/>
      <c r="AI107" s="179"/>
      <c r="AJ107" s="179"/>
      <c r="AK107" s="179"/>
      <c r="AL107" s="179"/>
      <c r="AM107" s="179"/>
    </row>
    <row r="108" spans="2:39" ht="18.75" customHeight="1" x14ac:dyDescent="0.25">
      <c r="B108" s="178"/>
      <c r="C108" s="179"/>
      <c r="D108" s="179"/>
      <c r="E108" s="179"/>
      <c r="F108" s="179"/>
      <c r="G108" s="179"/>
      <c r="H108" s="179"/>
      <c r="I108" s="179"/>
      <c r="J108" s="179"/>
      <c r="K108" s="179"/>
      <c r="L108" s="179"/>
      <c r="M108" s="179"/>
      <c r="N108" s="179"/>
      <c r="O108" s="179"/>
      <c r="P108" s="179"/>
      <c r="Q108" s="179"/>
      <c r="R108" s="179"/>
      <c r="S108" s="179"/>
      <c r="T108" s="179"/>
      <c r="U108" s="179"/>
      <c r="V108" s="179"/>
      <c r="W108" s="179"/>
      <c r="X108" s="179"/>
      <c r="Y108" s="179"/>
      <c r="Z108" s="179"/>
      <c r="AA108" s="179"/>
      <c r="AB108" s="179"/>
      <c r="AC108" s="179"/>
      <c r="AD108" s="179"/>
      <c r="AE108" s="179"/>
      <c r="AF108" s="179"/>
      <c r="AG108" s="179"/>
      <c r="AH108" s="179"/>
      <c r="AI108" s="179"/>
      <c r="AJ108" s="179"/>
      <c r="AK108" s="179"/>
      <c r="AL108" s="179"/>
      <c r="AM108" s="179"/>
    </row>
    <row r="109" spans="2:39" ht="18.75" customHeight="1" x14ac:dyDescent="0.25">
      <c r="B109" s="178"/>
      <c r="C109" s="179"/>
      <c r="D109" s="179"/>
      <c r="E109" s="179"/>
      <c r="F109" s="179"/>
      <c r="G109" s="179"/>
      <c r="H109" s="179"/>
      <c r="I109" s="179"/>
      <c r="J109" s="179"/>
      <c r="K109" s="179"/>
      <c r="L109" s="179"/>
      <c r="M109" s="179"/>
      <c r="N109" s="179"/>
      <c r="O109" s="179"/>
      <c r="P109" s="179"/>
      <c r="Q109" s="179"/>
      <c r="R109" s="179"/>
      <c r="S109" s="179"/>
      <c r="T109" s="179"/>
      <c r="U109" s="179"/>
      <c r="V109" s="179"/>
      <c r="W109" s="179"/>
      <c r="X109" s="179"/>
      <c r="Y109" s="179"/>
      <c r="Z109" s="179"/>
      <c r="AA109" s="179"/>
      <c r="AB109" s="179"/>
      <c r="AC109" s="179"/>
      <c r="AD109" s="179"/>
      <c r="AE109" s="179"/>
      <c r="AF109" s="179"/>
      <c r="AG109" s="179"/>
      <c r="AH109" s="179"/>
      <c r="AI109" s="179"/>
      <c r="AJ109" s="179"/>
      <c r="AK109" s="179"/>
      <c r="AL109" s="179"/>
      <c r="AM109" s="179"/>
    </row>
    <row r="110" spans="2:39" ht="18.75" customHeight="1" x14ac:dyDescent="0.25">
      <c r="B110" s="178"/>
      <c r="C110" s="179"/>
      <c r="D110" s="179"/>
      <c r="E110" s="179"/>
      <c r="F110" s="179"/>
      <c r="G110" s="179"/>
      <c r="H110" s="179"/>
      <c r="I110" s="179"/>
      <c r="J110" s="179"/>
      <c r="K110" s="179"/>
      <c r="L110" s="179"/>
      <c r="M110" s="179"/>
      <c r="N110" s="179"/>
      <c r="O110" s="179"/>
      <c r="P110" s="179"/>
      <c r="Q110" s="179"/>
      <c r="R110" s="179"/>
      <c r="S110" s="179"/>
      <c r="T110" s="179"/>
      <c r="U110" s="179"/>
      <c r="V110" s="179"/>
      <c r="W110" s="179"/>
      <c r="X110" s="179"/>
      <c r="Y110" s="179"/>
      <c r="Z110" s="179"/>
      <c r="AA110" s="179"/>
      <c r="AB110" s="179"/>
      <c r="AC110" s="179"/>
      <c r="AD110" s="179"/>
      <c r="AE110" s="179"/>
      <c r="AF110" s="179"/>
      <c r="AG110" s="179"/>
      <c r="AH110" s="179"/>
      <c r="AI110" s="179"/>
      <c r="AJ110" s="179"/>
      <c r="AK110" s="179"/>
      <c r="AL110" s="179"/>
      <c r="AM110" s="179"/>
    </row>
    <row r="111" spans="2:39" ht="18.75" customHeight="1" x14ac:dyDescent="0.25">
      <c r="B111" s="178"/>
      <c r="C111" s="179"/>
      <c r="D111" s="179"/>
      <c r="E111" s="179"/>
      <c r="F111" s="179"/>
      <c r="G111" s="179"/>
      <c r="H111" s="179"/>
      <c r="I111" s="179"/>
      <c r="J111" s="179"/>
      <c r="K111" s="179"/>
      <c r="L111" s="179"/>
      <c r="M111" s="179"/>
      <c r="N111" s="179"/>
      <c r="O111" s="179"/>
      <c r="P111" s="179"/>
      <c r="Q111" s="179"/>
      <c r="R111" s="179"/>
      <c r="S111" s="179"/>
      <c r="T111" s="179"/>
      <c r="U111" s="179"/>
      <c r="V111" s="179"/>
      <c r="W111" s="179"/>
      <c r="X111" s="179"/>
      <c r="Y111" s="179"/>
      <c r="Z111" s="179"/>
      <c r="AA111" s="179"/>
      <c r="AB111" s="179"/>
      <c r="AC111" s="179"/>
      <c r="AD111" s="179"/>
      <c r="AE111" s="179"/>
      <c r="AF111" s="179"/>
      <c r="AG111" s="179"/>
      <c r="AH111" s="179"/>
      <c r="AI111" s="179"/>
      <c r="AJ111" s="179"/>
      <c r="AK111" s="179"/>
      <c r="AL111" s="179"/>
      <c r="AM111" s="179"/>
    </row>
    <row r="112" spans="2:39" ht="12" customHeight="1" x14ac:dyDescent="0.25"/>
    <row r="113" spans="2:39" s="171" customFormat="1" ht="18.75" customHeight="1" x14ac:dyDescent="0.25">
      <c r="B113" s="240">
        <f>DATE(CalendarYear,8,1)</f>
        <v>44774</v>
      </c>
      <c r="C113" s="172" t="str">
        <f>IF(DAY(AugSun1)=1,"",IF(AND(YEAR(AugSun1+1)=CalendarYear,MONTH(AugSun1+1)=8),AugSun1+1,""))</f>
        <v/>
      </c>
      <c r="D113" s="172">
        <f>IF(DAY(AugSun1)=1,"",IF(AND(YEAR(AugSun1+2)=CalendarYear,MONTH(AugSun1+2)=8),AugSun1+2,""))</f>
        <v>44774</v>
      </c>
      <c r="E113" s="172">
        <f>IF(DAY(AugSun1)=1,"",IF(AND(YEAR(AugSun1+3)=CalendarYear,MONTH(AugSun1+3)=8),AugSun1+3,""))</f>
        <v>44775</v>
      </c>
      <c r="F113" s="172">
        <f>IF(DAY(AugSun1)=1,"",IF(AND(YEAR(AugSun1+4)=CalendarYear,MONTH(AugSun1+4)=8),AugSun1+4,""))</f>
        <v>44776</v>
      </c>
      <c r="G113" s="172">
        <f>IF(DAY(AugSun1)=1,"",IF(AND(YEAR(AugSun1+5)=CalendarYear,MONTH(AugSun1+5)=8),AugSun1+5,""))</f>
        <v>44777</v>
      </c>
      <c r="H113" s="172">
        <f>IF(DAY(AugSun1)=1,"",IF(AND(YEAR(AugSun1+6)=CalendarYear,MONTH(AugSun1+6)=8),AugSun1+6,""))</f>
        <v>44778</v>
      </c>
      <c r="I113" s="172">
        <f>IF(DAY(AugSun1)=1,IF(AND(YEAR(AugSun1)=CalendarYear,MONTH(AugSun1)=8),AugSun1,""),IF(AND(YEAR(AugSun1+7)=CalendarYear,MONTH(AugSun1+7)=8),AugSun1+7,""))</f>
        <v>44779</v>
      </c>
      <c r="J113" s="172">
        <f>IF(DAY(AugSun1)=1,IF(AND(YEAR(AugSun1+1)=CalendarYear,MONTH(AugSun1+1)=8),AugSun1+1,""),IF(AND(YEAR(AugSun1+8)=CalendarYear,MONTH(AugSun1+8)=8),AugSun1+8,""))</f>
        <v>44780</v>
      </c>
      <c r="K113" s="172">
        <f>IF(DAY(AugSun1)=1,IF(AND(YEAR(AugSun1+2)=CalendarYear,MONTH(AugSun1+2)=8),AugSun1+2,""),IF(AND(YEAR(AugSun1+9)=CalendarYear,MONTH(AugSun1+9)=8),AugSun1+9,""))</f>
        <v>44781</v>
      </c>
      <c r="L113" s="172">
        <f>IF(DAY(AugSun1)=1,IF(AND(YEAR(AugSun1+3)=CalendarYear,MONTH(AugSun1+3)=8),AugSun1+3,""),IF(AND(YEAR(AugSun1+10)=CalendarYear,MONTH(AugSun1+10)=8),AugSun1+10,""))</f>
        <v>44782</v>
      </c>
      <c r="M113" s="172">
        <f>IF(DAY(AugSun1)=1,IF(AND(YEAR(AugSun1+4)=CalendarYear,MONTH(AugSun1+4)=8),AugSun1+4,""),IF(AND(YEAR(AugSun1+11)=CalendarYear,MONTH(AugSun1+11)=8),AugSun1+11,""))</f>
        <v>44783</v>
      </c>
      <c r="N113" s="172">
        <f>IF(DAY(AugSun1)=1,IF(AND(YEAR(AugSun1+5)=CalendarYear,MONTH(AugSun1+5)=8),AugSun1+5,""),IF(AND(YEAR(AugSun1+12)=CalendarYear,MONTH(AugSun1+12)=8),AugSun1+12,""))</f>
        <v>44784</v>
      </c>
      <c r="O113" s="172">
        <f>IF(DAY(AugSun1)=1,IF(AND(YEAR(AugSun1+6)=CalendarYear,MONTH(AugSun1+6)=8),AugSun1+6,""),IF(AND(YEAR(AugSun1+13)=CalendarYear,MONTH(AugSun1+13)=8),AugSun1+13,""))</f>
        <v>44785</v>
      </c>
      <c r="P113" s="172">
        <f>IF(DAY(AugSun1)=1,IF(AND(YEAR(AugSun1+7)=CalendarYear,MONTH(AugSun1+7)=8),AugSun1+7,""),IF(AND(YEAR(AugSun1+14)=CalendarYear,MONTH(AugSun1+14)=8),AugSun1+14,""))</f>
        <v>44786</v>
      </c>
      <c r="Q113" s="172">
        <f>IF(DAY(AugSun1)=1,IF(AND(YEAR(AugSun1+8)=CalendarYear,MONTH(AugSun1+8)=8),AugSun1+8,""),IF(AND(YEAR(AugSun1+15)=CalendarYear,MONTH(AugSun1+15)=8),AugSun1+15,""))</f>
        <v>44787</v>
      </c>
      <c r="R113" s="172">
        <f>IF(DAY(AugSun1)=1,IF(AND(YEAR(AugSun1+9)=CalendarYear,MONTH(AugSun1+9)=8),AugSun1+9,""),IF(AND(YEAR(AugSun1+16)=CalendarYear,MONTH(AugSun1+16)=8),AugSun1+16,""))</f>
        <v>44788</v>
      </c>
      <c r="S113" s="172">
        <f>IF(DAY(AugSun1)=1,IF(AND(YEAR(AugSun1+10)=CalendarYear,MONTH(AugSun1+10)=8),AugSun1+10,""),IF(AND(YEAR(AugSun1+17)=CalendarYear,MONTH(AugSun1+17)=8),AugSun1+17,""))</f>
        <v>44789</v>
      </c>
      <c r="T113" s="172">
        <f>IF(DAY(AugSun1)=1,IF(AND(YEAR(AugSun1+11)=CalendarYear,MONTH(AugSun1+11)=8),AugSun1+11,""),IF(AND(YEAR(AugSun1+18)=CalendarYear,MONTH(AugSun1+18)=8),AugSun1+18,""))</f>
        <v>44790</v>
      </c>
      <c r="U113" s="172">
        <f>IF(DAY(AugSun1)=1,IF(AND(YEAR(AugSun1+12)=CalendarYear,MONTH(AugSun1+12)=8),AugSun1+12,""),IF(AND(YEAR(AugSun1+19)=CalendarYear,MONTH(AugSun1+19)=8),AugSun1+19,""))</f>
        <v>44791</v>
      </c>
      <c r="V113" s="172">
        <f>IF(DAY(AugSun1)=1,IF(AND(YEAR(AugSun1+13)=CalendarYear,MONTH(AugSun1+13)=8),AugSun1+13,""),IF(AND(YEAR(AugSun1+20)=CalendarYear,MONTH(AugSun1+20)=8),AugSun1+20,""))</f>
        <v>44792</v>
      </c>
      <c r="W113" s="172">
        <f>IF(DAY(AugSun1)=1,IF(AND(YEAR(AugSun1+14)=CalendarYear,MONTH(AugSun1+14)=8),AugSun1+14,""),IF(AND(YEAR(AugSun1+21)=CalendarYear,MONTH(AugSun1+21)=8),AugSun1+21,""))</f>
        <v>44793</v>
      </c>
      <c r="X113" s="172">
        <f>IF(DAY(AugSun1)=1,IF(AND(YEAR(AugSun1+15)=CalendarYear,MONTH(AugSun1+15)=8),AugSun1+15,""),IF(AND(YEAR(AugSun1+22)=CalendarYear,MONTH(AugSun1+22)=8),AugSun1+22,""))</f>
        <v>44794</v>
      </c>
      <c r="Y113" s="172">
        <f>IF(DAY(AugSun1)=1,IF(AND(YEAR(AugSun1+16)=CalendarYear,MONTH(AugSun1+16)=8),AugSun1+16,""),IF(AND(YEAR(AugSun1+23)=CalendarYear,MONTH(AugSun1+23)=8),AugSun1+23,""))</f>
        <v>44795</v>
      </c>
      <c r="Z113" s="172">
        <f>IF(DAY(AugSun1)=1,IF(AND(YEAR(AugSun1+17)=CalendarYear,MONTH(AugSun1+17)=8),AugSun1+17,""),IF(AND(YEAR(AugSun1+24)=CalendarYear,MONTH(AugSun1+24)=8),AugSun1+24,""))</f>
        <v>44796</v>
      </c>
      <c r="AA113" s="172">
        <f>IF(DAY(AugSun1)=1,IF(AND(YEAR(AugSun1+18)=CalendarYear,MONTH(AugSun1+18)=8),AugSun1+18,""),IF(AND(YEAR(AugSun1+25)=CalendarYear,MONTH(AugSun1+25)=8),AugSun1+25,""))</f>
        <v>44797</v>
      </c>
      <c r="AB113" s="172">
        <f>IF(DAY(AugSun1)=1,IF(AND(YEAR(AugSun1+19)=CalendarYear,MONTH(AugSun1+19)=8),AugSun1+19,""),IF(AND(YEAR(AugSun1+26)=CalendarYear,MONTH(AugSun1+26)=8),AugSun1+26,""))</f>
        <v>44798</v>
      </c>
      <c r="AC113" s="172">
        <f>IF(DAY(AugSun1)=1,IF(AND(YEAR(AugSun1+20)=CalendarYear,MONTH(AugSun1+20)=8),AugSun1+20,""),IF(AND(YEAR(AugSun1+27)=CalendarYear,MONTH(AugSun1+27)=8),AugSun1+27,""))</f>
        <v>44799</v>
      </c>
      <c r="AD113" s="172">
        <f>IF(DAY(AugSun1)=1,IF(AND(YEAR(AugSun1+21)=CalendarYear,MONTH(AugSun1+21)=8),AugSun1+21,""),IF(AND(YEAR(AugSun1+28)=CalendarYear,MONTH(AugSun1+28)=8),AugSun1+28,""))</f>
        <v>44800</v>
      </c>
      <c r="AE113" s="172">
        <f>IF(DAY(AugSun1)=1,IF(AND(YEAR(AugSun1+22)=CalendarYear,MONTH(AugSun1+22)=8),AugSun1+22,""),IF(AND(YEAR(AugSun1+29)=CalendarYear,MONTH(AugSun1+29)=8),AugSun1+29,""))</f>
        <v>44801</v>
      </c>
      <c r="AF113" s="172">
        <f>IF(DAY(AugSun1)=1,IF(AND(YEAR(AugSun1+23)=CalendarYear,MONTH(AugSun1+23)=8),AugSun1+23,""),IF(AND(YEAR(AugSun1+30)=CalendarYear,MONTH(AugSun1+30)=8),AugSun1+30,""))</f>
        <v>44802</v>
      </c>
      <c r="AG113" s="172">
        <f>IF(DAY(AugSun1)=1,IF(AND(YEAR(AugSun1+24)=CalendarYear,MONTH(AugSun1+24)=8),AugSun1+24,""),IF(AND(YEAR(AugSun1+31)=CalendarYear,MONTH(AugSun1+31)=8),AugSun1+31,""))</f>
        <v>44803</v>
      </c>
      <c r="AH113" s="172">
        <f>IF(DAY(AugSun1)=1,IF(AND(YEAR(AugSun1+25)=CalendarYear,MONTH(AugSun1+25)=8),AugSun1+25,""),IF(AND(YEAR(AugSun1+32)=CalendarYear,MONTH(AugSun1+32)=8),AugSun1+32,""))</f>
        <v>44804</v>
      </c>
      <c r="AI113" s="172" t="str">
        <f>IF(DAY(AugSun1)=1,IF(AND(YEAR(AugSun1+26)=CalendarYear,MONTH(AugSun1+26)=8),AugSun1+26,""),IF(AND(YEAR(AugSun1+33)=CalendarYear,MONTH(AugSun1+33)=8),AugSun1+33,""))</f>
        <v/>
      </c>
      <c r="AJ113" s="172" t="str">
        <f>IF(DAY(AugSun1)=1,IF(AND(YEAR(AugSun1+27)=CalendarYear,MONTH(AugSun1+27)=8),AugSun1+27,""),IF(AND(YEAR(AugSun1+34)=CalendarYear,MONTH(AugSun1+34)=8),AugSun1+34,""))</f>
        <v/>
      </c>
      <c r="AK113" s="172" t="str">
        <f>IF(DAY(AugSun1)=1,IF(AND(YEAR(AugSun1+28)=CalendarYear,MONTH(AugSun1+28)=8),AugSun1+28,""),IF(AND(YEAR(AugSun1+35)=CalendarYear,MONTH(AugSun1+35)=8),AugSun1+35,""))</f>
        <v/>
      </c>
      <c r="AL113" s="172" t="str">
        <f>IF(DAY(AugSun1)=1,IF(AND(YEAR(AugSun1+29)=CalendarYear,MONTH(AugSun1+29)=8),AugSun1+29,""),IF(AND(YEAR(AugSun1+36)=CalendarYear,MONTH(AugSun1+36)=8),AugSun1+36,""))</f>
        <v/>
      </c>
      <c r="AM113" s="173" t="str">
        <f>IF(DAY(AugSun1)=1,IF(AND(YEAR(AugSun1+30)=CalendarYear,MONTH(AugSun1+30)=8),AugSun1+30,""),IF(AND(YEAR(AugSun1+37)=CalendarYear,MONTH(AugSun1+37)=8),AugSun1+37,""))</f>
        <v/>
      </c>
    </row>
    <row r="114" spans="2:39" s="171" customFormat="1" ht="18.75" customHeight="1" x14ac:dyDescent="0.25">
      <c r="B114" s="240"/>
      <c r="C114" s="174" t="s">
        <v>59</v>
      </c>
      <c r="D114" s="174" t="s">
        <v>60</v>
      </c>
      <c r="E114" s="174" t="s">
        <v>61</v>
      </c>
      <c r="F114" s="174" t="s">
        <v>62</v>
      </c>
      <c r="G114" s="174" t="s">
        <v>63</v>
      </c>
      <c r="H114" s="174" t="s">
        <v>64</v>
      </c>
      <c r="I114" s="174" t="s">
        <v>65</v>
      </c>
      <c r="J114" s="174" t="s">
        <v>59</v>
      </c>
      <c r="K114" s="174" t="s">
        <v>60</v>
      </c>
      <c r="L114" s="174" t="s">
        <v>61</v>
      </c>
      <c r="M114" s="174" t="s">
        <v>62</v>
      </c>
      <c r="N114" s="174" t="s">
        <v>63</v>
      </c>
      <c r="O114" s="174" t="s">
        <v>64</v>
      </c>
      <c r="P114" s="174" t="s">
        <v>65</v>
      </c>
      <c r="Q114" s="174" t="s">
        <v>59</v>
      </c>
      <c r="R114" s="174" t="s">
        <v>60</v>
      </c>
      <c r="S114" s="174" t="s">
        <v>61</v>
      </c>
      <c r="T114" s="174" t="s">
        <v>62</v>
      </c>
      <c r="U114" s="174" t="s">
        <v>63</v>
      </c>
      <c r="V114" s="174" t="s">
        <v>64</v>
      </c>
      <c r="W114" s="174" t="s">
        <v>65</v>
      </c>
      <c r="X114" s="174" t="s">
        <v>59</v>
      </c>
      <c r="Y114" s="174" t="s">
        <v>60</v>
      </c>
      <c r="Z114" s="174" t="s">
        <v>61</v>
      </c>
      <c r="AA114" s="174" t="s">
        <v>62</v>
      </c>
      <c r="AB114" s="174" t="s">
        <v>63</v>
      </c>
      <c r="AC114" s="174" t="s">
        <v>64</v>
      </c>
      <c r="AD114" s="174" t="s">
        <v>65</v>
      </c>
      <c r="AE114" s="174" t="s">
        <v>59</v>
      </c>
      <c r="AF114" s="174" t="s">
        <v>60</v>
      </c>
      <c r="AG114" s="174" t="s">
        <v>61</v>
      </c>
      <c r="AH114" s="174" t="s">
        <v>62</v>
      </c>
      <c r="AI114" s="174" t="s">
        <v>63</v>
      </c>
      <c r="AJ114" s="174" t="s">
        <v>64</v>
      </c>
      <c r="AK114" s="174" t="s">
        <v>65</v>
      </c>
      <c r="AL114" s="174" t="s">
        <v>59</v>
      </c>
      <c r="AM114" s="175" t="s">
        <v>60</v>
      </c>
    </row>
    <row r="115" spans="2:39" ht="18.75" customHeight="1" x14ac:dyDescent="0.25">
      <c r="B115" s="176"/>
      <c r="C115" s="177"/>
      <c r="D115" s="177"/>
      <c r="E115" s="177"/>
      <c r="F115" s="177"/>
      <c r="G115" s="177"/>
      <c r="H115" s="177"/>
      <c r="I115" s="177"/>
      <c r="J115" s="177"/>
      <c r="K115" s="177"/>
      <c r="L115" s="177"/>
      <c r="M115" s="177"/>
      <c r="N115" s="177"/>
      <c r="O115" s="177"/>
      <c r="P115" s="177"/>
      <c r="Q115" s="177"/>
      <c r="R115" s="177"/>
      <c r="S115" s="177"/>
      <c r="T115" s="177"/>
      <c r="U115" s="177"/>
      <c r="V115" s="177"/>
      <c r="W115" s="177"/>
      <c r="X115" s="177"/>
      <c r="Y115" s="177"/>
      <c r="Z115" s="177"/>
      <c r="AA115" s="177"/>
      <c r="AB115" s="177"/>
      <c r="AC115" s="177"/>
      <c r="AD115" s="177"/>
      <c r="AE115" s="177"/>
      <c r="AF115" s="177"/>
      <c r="AG115" s="177"/>
      <c r="AH115" s="177"/>
      <c r="AI115" s="177"/>
      <c r="AJ115" s="177"/>
      <c r="AK115" s="177"/>
      <c r="AL115" s="177"/>
      <c r="AM115" s="177"/>
    </row>
    <row r="116" spans="2:39" ht="18.75" customHeight="1" x14ac:dyDescent="0.25">
      <c r="B116" s="176"/>
      <c r="C116" s="177"/>
      <c r="D116" s="177"/>
      <c r="E116" s="177"/>
      <c r="F116" s="177"/>
      <c r="G116" s="177"/>
      <c r="H116" s="177"/>
      <c r="I116" s="177"/>
      <c r="J116" s="177"/>
      <c r="K116" s="177"/>
      <c r="L116" s="177"/>
      <c r="M116" s="177"/>
      <c r="N116" s="177"/>
      <c r="O116" s="177"/>
      <c r="P116" s="177"/>
      <c r="Q116" s="177"/>
      <c r="R116" s="177"/>
      <c r="S116" s="177"/>
      <c r="T116" s="177"/>
      <c r="U116" s="177"/>
      <c r="V116" s="177"/>
      <c r="W116" s="177"/>
      <c r="X116" s="177"/>
      <c r="Y116" s="177"/>
      <c r="Z116" s="177"/>
      <c r="AA116" s="177"/>
      <c r="AB116" s="177"/>
      <c r="AC116" s="177"/>
      <c r="AD116" s="177"/>
      <c r="AE116" s="177"/>
      <c r="AF116" s="177"/>
      <c r="AG116" s="177"/>
      <c r="AH116" s="177"/>
      <c r="AI116" s="177"/>
      <c r="AJ116" s="177"/>
      <c r="AK116" s="177"/>
      <c r="AL116" s="177"/>
      <c r="AM116" s="177"/>
    </row>
    <row r="117" spans="2:39" ht="18.75" customHeight="1" x14ac:dyDescent="0.25">
      <c r="B117" s="176"/>
      <c r="C117" s="177"/>
      <c r="D117" s="177"/>
      <c r="E117" s="177"/>
      <c r="F117" s="177"/>
      <c r="G117" s="177"/>
      <c r="H117" s="177"/>
      <c r="I117" s="177"/>
      <c r="J117" s="177"/>
      <c r="K117" s="177"/>
      <c r="L117" s="177"/>
      <c r="M117" s="177"/>
      <c r="N117" s="177"/>
      <c r="O117" s="177"/>
      <c r="P117" s="177"/>
      <c r="Q117" s="177"/>
      <c r="R117" s="177"/>
      <c r="S117" s="177"/>
      <c r="T117" s="177"/>
      <c r="U117" s="177"/>
      <c r="V117" s="177"/>
      <c r="W117" s="177"/>
      <c r="X117" s="177"/>
      <c r="Y117" s="177"/>
      <c r="Z117" s="177"/>
      <c r="AA117" s="177"/>
      <c r="AB117" s="177"/>
      <c r="AC117" s="177"/>
      <c r="AD117" s="177"/>
      <c r="AE117" s="177"/>
      <c r="AF117" s="177"/>
      <c r="AG117" s="177"/>
      <c r="AH117" s="177"/>
      <c r="AI117" s="177"/>
      <c r="AJ117" s="177"/>
      <c r="AK117" s="177"/>
      <c r="AL117" s="177"/>
      <c r="AM117" s="177"/>
    </row>
    <row r="118" spans="2:39" ht="18.75" customHeight="1" x14ac:dyDescent="0.25">
      <c r="B118" s="176"/>
      <c r="C118" s="177"/>
      <c r="D118" s="177"/>
      <c r="E118" s="177"/>
      <c r="F118" s="177"/>
      <c r="G118" s="177"/>
      <c r="H118" s="177"/>
      <c r="I118" s="177"/>
      <c r="J118" s="177"/>
      <c r="K118" s="177"/>
      <c r="L118" s="177"/>
      <c r="M118" s="177"/>
      <c r="N118" s="177"/>
      <c r="O118" s="177"/>
      <c r="P118" s="177"/>
      <c r="Q118" s="177"/>
      <c r="R118" s="177"/>
      <c r="S118" s="177"/>
      <c r="T118" s="177"/>
      <c r="U118" s="177"/>
      <c r="V118" s="177"/>
      <c r="W118" s="177"/>
      <c r="X118" s="177"/>
      <c r="Y118" s="177"/>
      <c r="Z118" s="177"/>
      <c r="AA118" s="177"/>
      <c r="AB118" s="177"/>
      <c r="AC118" s="177"/>
      <c r="AD118" s="177"/>
      <c r="AE118" s="177"/>
      <c r="AF118" s="177"/>
      <c r="AG118" s="177"/>
      <c r="AH118" s="177"/>
      <c r="AI118" s="177"/>
      <c r="AJ118" s="177"/>
      <c r="AK118" s="177"/>
      <c r="AL118" s="177"/>
      <c r="AM118" s="177"/>
    </row>
    <row r="119" spans="2:39" ht="18.75" customHeight="1" x14ac:dyDescent="0.25">
      <c r="B119" s="176"/>
      <c r="C119" s="177"/>
      <c r="D119" s="177"/>
      <c r="E119" s="177"/>
      <c r="F119" s="177"/>
      <c r="G119" s="177"/>
      <c r="H119" s="177"/>
      <c r="I119" s="177"/>
      <c r="J119" s="177"/>
      <c r="K119" s="177"/>
      <c r="L119" s="177"/>
      <c r="M119" s="177"/>
      <c r="N119" s="177"/>
      <c r="O119" s="177"/>
      <c r="P119" s="177"/>
      <c r="Q119" s="177"/>
      <c r="R119" s="177"/>
      <c r="S119" s="177"/>
      <c r="T119" s="177"/>
      <c r="U119" s="177"/>
      <c r="V119" s="177"/>
      <c r="W119" s="177"/>
      <c r="X119" s="177"/>
      <c r="Y119" s="177"/>
      <c r="Z119" s="177"/>
      <c r="AA119" s="177"/>
      <c r="AB119" s="177"/>
      <c r="AC119" s="177"/>
      <c r="AD119" s="177"/>
      <c r="AE119" s="177"/>
      <c r="AF119" s="177"/>
      <c r="AG119" s="177"/>
      <c r="AH119" s="177"/>
      <c r="AI119" s="177"/>
      <c r="AJ119" s="177"/>
      <c r="AK119" s="177"/>
      <c r="AL119" s="177"/>
      <c r="AM119" s="177"/>
    </row>
    <row r="120" spans="2:39" ht="18.75" customHeight="1" x14ac:dyDescent="0.25">
      <c r="B120" s="176"/>
      <c r="C120" s="177"/>
      <c r="D120" s="177"/>
      <c r="E120" s="177"/>
      <c r="F120" s="177"/>
      <c r="G120" s="177"/>
      <c r="H120" s="177"/>
      <c r="I120" s="177"/>
      <c r="J120" s="177"/>
      <c r="K120" s="177"/>
      <c r="L120" s="177"/>
      <c r="M120" s="177"/>
      <c r="N120" s="177"/>
      <c r="O120" s="177"/>
      <c r="P120" s="177"/>
      <c r="Q120" s="177"/>
      <c r="R120" s="177"/>
      <c r="S120" s="177"/>
      <c r="T120" s="177"/>
      <c r="U120" s="177"/>
      <c r="V120" s="177"/>
      <c r="W120" s="177"/>
      <c r="X120" s="177"/>
      <c r="Y120" s="177"/>
      <c r="Z120" s="177"/>
      <c r="AA120" s="177"/>
      <c r="AB120" s="177"/>
      <c r="AC120" s="177"/>
      <c r="AD120" s="177"/>
      <c r="AE120" s="177"/>
      <c r="AF120" s="177"/>
      <c r="AG120" s="177"/>
      <c r="AH120" s="177"/>
      <c r="AI120" s="177"/>
      <c r="AJ120" s="177"/>
      <c r="AK120" s="177"/>
      <c r="AL120" s="177"/>
      <c r="AM120" s="177"/>
    </row>
    <row r="121" spans="2:39" ht="18.75" customHeight="1" x14ac:dyDescent="0.25">
      <c r="B121" s="176"/>
      <c r="C121" s="177"/>
      <c r="D121" s="177"/>
      <c r="E121" s="177"/>
      <c r="F121" s="177"/>
      <c r="G121" s="177"/>
      <c r="H121" s="177"/>
      <c r="I121" s="177"/>
      <c r="J121" s="177"/>
      <c r="K121" s="177"/>
      <c r="L121" s="177"/>
      <c r="M121" s="177"/>
      <c r="N121" s="177"/>
      <c r="O121" s="177"/>
      <c r="P121" s="177"/>
      <c r="Q121" s="177"/>
      <c r="R121" s="177"/>
      <c r="S121" s="177"/>
      <c r="T121" s="177"/>
      <c r="U121" s="177"/>
      <c r="V121" s="177"/>
      <c r="W121" s="177"/>
      <c r="X121" s="177"/>
      <c r="Y121" s="177"/>
      <c r="Z121" s="177"/>
      <c r="AA121" s="177"/>
      <c r="AB121" s="177"/>
      <c r="AC121" s="177"/>
      <c r="AD121" s="177"/>
      <c r="AE121" s="177"/>
      <c r="AF121" s="177"/>
      <c r="AG121" s="177"/>
      <c r="AH121" s="177"/>
      <c r="AI121" s="177"/>
      <c r="AJ121" s="177"/>
      <c r="AK121" s="177"/>
      <c r="AL121" s="177"/>
      <c r="AM121" s="177"/>
    </row>
    <row r="122" spans="2:39" ht="18.75" customHeight="1" x14ac:dyDescent="0.25">
      <c r="B122" s="176"/>
      <c r="C122" s="177"/>
      <c r="D122" s="177"/>
      <c r="E122" s="177"/>
      <c r="F122" s="177"/>
      <c r="G122" s="177"/>
      <c r="H122" s="177"/>
      <c r="I122" s="177"/>
      <c r="J122" s="177"/>
      <c r="K122" s="177"/>
      <c r="L122" s="177"/>
      <c r="M122" s="177"/>
      <c r="N122" s="177"/>
      <c r="O122" s="177"/>
      <c r="P122" s="177"/>
      <c r="Q122" s="177"/>
      <c r="R122" s="177"/>
      <c r="S122" s="177"/>
      <c r="T122" s="177"/>
      <c r="U122" s="177"/>
      <c r="V122" s="177"/>
      <c r="W122" s="177"/>
      <c r="X122" s="177"/>
      <c r="Y122" s="177"/>
      <c r="Z122" s="177"/>
      <c r="AA122" s="177"/>
      <c r="AB122" s="177"/>
      <c r="AC122" s="177"/>
      <c r="AD122" s="177"/>
      <c r="AE122" s="177"/>
      <c r="AF122" s="177"/>
      <c r="AG122" s="177"/>
      <c r="AH122" s="177"/>
      <c r="AI122" s="177"/>
      <c r="AJ122" s="177"/>
      <c r="AK122" s="177"/>
      <c r="AL122" s="177"/>
      <c r="AM122" s="177"/>
    </row>
    <row r="123" spans="2:39" ht="18.75" customHeight="1" x14ac:dyDescent="0.25">
      <c r="B123" s="176"/>
      <c r="C123" s="177"/>
      <c r="D123" s="177"/>
      <c r="E123" s="177"/>
      <c r="F123" s="177"/>
      <c r="G123" s="177"/>
      <c r="H123" s="177"/>
      <c r="I123" s="177"/>
      <c r="J123" s="177"/>
      <c r="K123" s="177"/>
      <c r="L123" s="177"/>
      <c r="M123" s="177"/>
      <c r="N123" s="177"/>
      <c r="O123" s="177"/>
      <c r="P123" s="177"/>
      <c r="Q123" s="177"/>
      <c r="R123" s="177"/>
      <c r="S123" s="177"/>
      <c r="T123" s="177"/>
      <c r="U123" s="177"/>
      <c r="V123" s="177"/>
      <c r="W123" s="177"/>
      <c r="X123" s="177"/>
      <c r="Y123" s="177"/>
      <c r="Z123" s="177"/>
      <c r="AA123" s="177"/>
      <c r="AB123" s="177"/>
      <c r="AC123" s="177"/>
      <c r="AD123" s="177"/>
      <c r="AE123" s="177"/>
      <c r="AF123" s="177"/>
      <c r="AG123" s="177"/>
      <c r="AH123" s="177"/>
      <c r="AI123" s="177"/>
      <c r="AJ123" s="177"/>
      <c r="AK123" s="177"/>
      <c r="AL123" s="177"/>
      <c r="AM123" s="177"/>
    </row>
    <row r="124" spans="2:39" ht="18.75" customHeight="1" x14ac:dyDescent="0.25">
      <c r="B124" s="178"/>
      <c r="C124" s="179"/>
      <c r="D124" s="179"/>
      <c r="E124" s="179"/>
      <c r="F124" s="179"/>
      <c r="G124" s="179"/>
      <c r="H124" s="179"/>
      <c r="I124" s="179"/>
      <c r="J124" s="179"/>
      <c r="K124" s="179"/>
      <c r="L124" s="179"/>
      <c r="M124" s="179"/>
      <c r="N124" s="179"/>
      <c r="O124" s="179"/>
      <c r="P124" s="179"/>
      <c r="Q124" s="179"/>
      <c r="R124" s="179"/>
      <c r="S124" s="179"/>
      <c r="T124" s="179"/>
      <c r="U124" s="179"/>
      <c r="V124" s="179"/>
      <c r="W124" s="179"/>
      <c r="X124" s="179"/>
      <c r="Y124" s="179"/>
      <c r="Z124" s="179"/>
      <c r="AA124" s="179"/>
      <c r="AB124" s="179"/>
      <c r="AC124" s="179"/>
      <c r="AD124" s="179"/>
      <c r="AE124" s="179"/>
      <c r="AF124" s="179"/>
      <c r="AG124" s="179"/>
      <c r="AH124" s="179"/>
      <c r="AI124" s="179"/>
      <c r="AJ124" s="179"/>
      <c r="AK124" s="179"/>
      <c r="AL124" s="179"/>
      <c r="AM124" s="179"/>
    </row>
    <row r="125" spans="2:39" ht="18.75" customHeight="1" x14ac:dyDescent="0.25">
      <c r="B125" s="178"/>
      <c r="C125" s="179"/>
      <c r="D125" s="179"/>
      <c r="E125" s="179"/>
      <c r="F125" s="179"/>
      <c r="G125" s="179"/>
      <c r="H125" s="179"/>
      <c r="I125" s="179"/>
      <c r="J125" s="179"/>
      <c r="K125" s="179"/>
      <c r="L125" s="179"/>
      <c r="M125" s="179"/>
      <c r="N125" s="179"/>
      <c r="O125" s="179"/>
      <c r="P125" s="179"/>
      <c r="Q125" s="179"/>
      <c r="R125" s="179"/>
      <c r="S125" s="179"/>
      <c r="T125" s="179"/>
      <c r="U125" s="179"/>
      <c r="V125" s="179"/>
      <c r="W125" s="179"/>
      <c r="X125" s="179"/>
      <c r="Y125" s="179"/>
      <c r="Z125" s="179"/>
      <c r="AA125" s="179"/>
      <c r="AB125" s="179"/>
      <c r="AC125" s="179"/>
      <c r="AD125" s="179"/>
      <c r="AE125" s="179"/>
      <c r="AF125" s="179"/>
      <c r="AG125" s="179"/>
      <c r="AH125" s="179"/>
      <c r="AI125" s="179"/>
      <c r="AJ125" s="179"/>
      <c r="AK125" s="179"/>
      <c r="AL125" s="179"/>
      <c r="AM125" s="179"/>
    </row>
    <row r="126" spans="2:39" ht="12" customHeight="1" x14ac:dyDescent="0.25"/>
    <row r="127" spans="2:39" s="171" customFormat="1" ht="18.75" customHeight="1" x14ac:dyDescent="0.25">
      <c r="B127" s="240">
        <f>DATE(CalendarYear,9,1)</f>
        <v>44805</v>
      </c>
      <c r="C127" s="172" t="str">
        <f>IF(DAY(SepSun1)=1,"",IF(AND(YEAR(SepSun1+1)=CalendarYear,MONTH(SepSun1+1)=9),SepSun1+1,""))</f>
        <v/>
      </c>
      <c r="D127" s="172" t="str">
        <f>IF(DAY(SepSun1)=1,"",IF(AND(YEAR(SepSun1+2)=CalendarYear,MONTH(SepSun1+2)=9),SepSun1+2,""))</f>
        <v/>
      </c>
      <c r="E127" s="172" t="str">
        <f>IF(DAY(SepSun1)=1,"",IF(AND(YEAR(SepSun1+3)=CalendarYear,MONTH(SepSun1+3)=9),SepSun1+3,""))</f>
        <v/>
      </c>
      <c r="F127" s="172" t="str">
        <f>IF(DAY(SepSun1)=1,"",IF(AND(YEAR(SepSun1+4)=CalendarYear,MONTH(SepSun1+4)=9),SepSun1+4,""))</f>
        <v/>
      </c>
      <c r="G127" s="172">
        <f>IF(DAY(SepSun1)=1,"",IF(AND(YEAR(SepSun1+5)=CalendarYear,MONTH(SepSun1+5)=9),SepSun1+5,""))</f>
        <v>44805</v>
      </c>
      <c r="H127" s="172">
        <f>IF(DAY(SepSun1)=1,"",IF(AND(YEAR(SepSun1+6)=CalendarYear,MONTH(SepSun1+6)=9),SepSun1+6,""))</f>
        <v>44806</v>
      </c>
      <c r="I127" s="172">
        <f>IF(DAY(SepSun1)=1,IF(AND(YEAR(SepSun1)=CalendarYear,MONTH(SepSun1)=9),SepSun1,""),IF(AND(YEAR(SepSun1+7)=CalendarYear,MONTH(SepSun1+7)=9),SepSun1+7,""))</f>
        <v>44807</v>
      </c>
      <c r="J127" s="172">
        <f>IF(DAY(SepSun1)=1,IF(AND(YEAR(SepSun1+1)=CalendarYear,MONTH(SepSun1+1)=9),SepSun1+1,""),IF(AND(YEAR(SepSun1+8)=CalendarYear,MONTH(SepSun1+8)=9),SepSun1+8,""))</f>
        <v>44808</v>
      </c>
      <c r="K127" s="172">
        <f>IF(DAY(SepSun1)=1,IF(AND(YEAR(SepSun1+2)=CalendarYear,MONTH(SepSun1+2)=9),SepSun1+2,""),IF(AND(YEAR(SepSun1+9)=CalendarYear,MONTH(SepSun1+9)=9),SepSun1+9,""))</f>
        <v>44809</v>
      </c>
      <c r="L127" s="172">
        <f>IF(DAY(SepSun1)=1,IF(AND(YEAR(SepSun1+3)=CalendarYear,MONTH(SepSun1+3)=9),SepSun1+3,""),IF(AND(YEAR(SepSun1+10)=CalendarYear,MONTH(SepSun1+10)=9),SepSun1+10,""))</f>
        <v>44810</v>
      </c>
      <c r="M127" s="172">
        <f>IF(DAY(SepSun1)=1,IF(AND(YEAR(SepSun1+4)=CalendarYear,MONTH(SepSun1+4)=9),SepSun1+4,""),IF(AND(YEAR(SepSun1+11)=CalendarYear,MONTH(SepSun1+11)=9),SepSun1+11,""))</f>
        <v>44811</v>
      </c>
      <c r="N127" s="172">
        <f>IF(DAY(SepSun1)=1,IF(AND(YEAR(SepSun1+5)=CalendarYear,MONTH(SepSun1+5)=9),SepSun1+5,""),IF(AND(YEAR(SepSun1+12)=CalendarYear,MONTH(SepSun1+12)=9),SepSun1+12,""))</f>
        <v>44812</v>
      </c>
      <c r="O127" s="172">
        <f>IF(DAY(SepSun1)=1,IF(AND(YEAR(SepSun1+6)=CalendarYear,MONTH(SepSun1+6)=9),SepSun1+6,""),IF(AND(YEAR(SepSun1+13)=CalendarYear,MONTH(SepSun1+13)=9),SepSun1+13,""))</f>
        <v>44813</v>
      </c>
      <c r="P127" s="172">
        <f>IF(DAY(SepSun1)=1,IF(AND(YEAR(SepSun1+7)=CalendarYear,MONTH(SepSun1+7)=9),SepSun1+7,""),IF(AND(YEAR(SepSun1+14)=CalendarYear,MONTH(SepSun1+14)=9),SepSun1+14,""))</f>
        <v>44814</v>
      </c>
      <c r="Q127" s="172">
        <f>IF(DAY(SepSun1)=1,IF(AND(YEAR(SepSun1+8)=CalendarYear,MONTH(SepSun1+8)=9),SepSun1+8,""),IF(AND(YEAR(SepSun1+15)=CalendarYear,MONTH(SepSun1+15)=9),SepSun1+15,""))</f>
        <v>44815</v>
      </c>
      <c r="R127" s="172">
        <f>IF(DAY(SepSun1)=1,IF(AND(YEAR(SepSun1+9)=CalendarYear,MONTH(SepSun1+9)=9),SepSun1+9,""),IF(AND(YEAR(SepSun1+16)=CalendarYear,MONTH(SepSun1+16)=9),SepSun1+16,""))</f>
        <v>44816</v>
      </c>
      <c r="S127" s="172">
        <f>IF(DAY(SepSun1)=1,IF(AND(YEAR(SepSun1+10)=CalendarYear,MONTH(SepSun1+10)=9),SepSun1+10,""),IF(AND(YEAR(SepSun1+17)=CalendarYear,MONTH(SepSun1+17)=9),SepSun1+17,""))</f>
        <v>44817</v>
      </c>
      <c r="T127" s="172">
        <f>IF(DAY(SepSun1)=1,IF(AND(YEAR(SepSun1+11)=CalendarYear,MONTH(SepSun1+11)=9),SepSun1+11,""),IF(AND(YEAR(SepSun1+18)=CalendarYear,MONTH(SepSun1+18)=9),SepSun1+18,""))</f>
        <v>44818</v>
      </c>
      <c r="U127" s="172">
        <f>IF(DAY(SepSun1)=1,IF(AND(YEAR(SepSun1+12)=CalendarYear,MONTH(SepSun1+12)=9),SepSun1+12,""),IF(AND(YEAR(SepSun1+19)=CalendarYear,MONTH(SepSun1+19)=9),SepSun1+19,""))</f>
        <v>44819</v>
      </c>
      <c r="V127" s="172">
        <f>IF(DAY(SepSun1)=1,IF(AND(YEAR(SepSun1+13)=CalendarYear,MONTH(SepSun1+13)=9),SepSun1+13,""),IF(AND(YEAR(SepSun1+20)=CalendarYear,MONTH(SepSun1+20)=9),SepSun1+20,""))</f>
        <v>44820</v>
      </c>
      <c r="W127" s="172">
        <f>IF(DAY(SepSun1)=1,IF(AND(YEAR(SepSun1+14)=CalendarYear,MONTH(SepSun1+14)=9),SepSun1+14,""),IF(AND(YEAR(SepSun1+21)=CalendarYear,MONTH(SepSun1+21)=9),SepSun1+21,""))</f>
        <v>44821</v>
      </c>
      <c r="X127" s="172">
        <f>IF(DAY(SepSun1)=1,IF(AND(YEAR(SepSun1+15)=CalendarYear,MONTH(SepSun1+15)=9),SepSun1+15,""),IF(AND(YEAR(SepSun1+22)=CalendarYear,MONTH(SepSun1+22)=9),SepSun1+22,""))</f>
        <v>44822</v>
      </c>
      <c r="Y127" s="172">
        <f>IF(DAY(SepSun1)=1,IF(AND(YEAR(SepSun1+16)=CalendarYear,MONTH(SepSun1+16)=9),SepSun1+16,""),IF(AND(YEAR(SepSun1+23)=CalendarYear,MONTH(SepSun1+23)=9),SepSun1+23,""))</f>
        <v>44823</v>
      </c>
      <c r="Z127" s="172">
        <f>IF(DAY(SepSun1)=1,IF(AND(YEAR(SepSun1+17)=CalendarYear,MONTH(SepSun1+17)=9),SepSun1+17,""),IF(AND(YEAR(SepSun1+24)=CalendarYear,MONTH(SepSun1+24)=9),SepSun1+24,""))</f>
        <v>44824</v>
      </c>
      <c r="AA127" s="172">
        <f>IF(DAY(SepSun1)=1,IF(AND(YEAR(SepSun1+18)=CalendarYear,MONTH(SepSun1+18)=9),SepSun1+18,""),IF(AND(YEAR(SepSun1+25)=CalendarYear,MONTH(SepSun1+25)=9),SepSun1+25,""))</f>
        <v>44825</v>
      </c>
      <c r="AB127" s="172">
        <f>IF(DAY(SepSun1)=1,IF(AND(YEAR(SepSun1+19)=CalendarYear,MONTH(SepSun1+19)=9),SepSun1+19,""),IF(AND(YEAR(SepSun1+26)=CalendarYear,MONTH(SepSun1+26)=9),SepSun1+26,""))</f>
        <v>44826</v>
      </c>
      <c r="AC127" s="172">
        <f>IF(DAY(SepSun1)=1,IF(AND(YEAR(SepSun1+20)=CalendarYear,MONTH(SepSun1+20)=9),SepSun1+20,""),IF(AND(YEAR(SepSun1+27)=CalendarYear,MONTH(SepSun1+27)=9),SepSun1+27,""))</f>
        <v>44827</v>
      </c>
      <c r="AD127" s="172">
        <f>IF(DAY(SepSun1)=1,IF(AND(YEAR(SepSun1+21)=CalendarYear,MONTH(SepSun1+21)=9),SepSun1+21,""),IF(AND(YEAR(SepSun1+28)=CalendarYear,MONTH(SepSun1+28)=9),SepSun1+28,""))</f>
        <v>44828</v>
      </c>
      <c r="AE127" s="172">
        <f>IF(DAY(SepSun1)=1,IF(AND(YEAR(SepSun1+22)=CalendarYear,MONTH(SepSun1+22)=9),SepSun1+22,""),IF(AND(YEAR(SepSun1+29)=CalendarYear,MONTH(SepSun1+29)=9),SepSun1+29,""))</f>
        <v>44829</v>
      </c>
      <c r="AF127" s="172">
        <f>IF(DAY(SepSun1)=1,IF(AND(YEAR(SepSun1+23)=CalendarYear,MONTH(SepSun1+23)=9),SepSun1+23,""),IF(AND(YEAR(SepSun1+30)=CalendarYear,MONTH(SepSun1+30)=9),SepSun1+30,""))</f>
        <v>44830</v>
      </c>
      <c r="AG127" s="172">
        <f>IF(DAY(SepSun1)=1,IF(AND(YEAR(SepSun1+24)=CalendarYear,MONTH(SepSun1+24)=9),SepSun1+24,""),IF(AND(YEAR(SepSun1+31)=CalendarYear,MONTH(SepSun1+31)=9),SepSun1+31,""))</f>
        <v>44831</v>
      </c>
      <c r="AH127" s="172">
        <f>IF(DAY(SepSun1)=1,IF(AND(YEAR(SepSun1+25)=CalendarYear,MONTH(SepSun1+25)=9),SepSun1+25,""),IF(AND(YEAR(SepSun1+32)=CalendarYear,MONTH(SepSun1+32)=9),SepSun1+32,""))</f>
        <v>44832</v>
      </c>
      <c r="AI127" s="172">
        <f>IF(DAY(SepSun1)=1,IF(AND(YEAR(SepSun1+26)=CalendarYear,MONTH(SepSun1+26)=9),SepSun1+26,""),IF(AND(YEAR(SepSun1+33)=CalendarYear,MONTH(SepSun1+33)=9),SepSun1+33,""))</f>
        <v>44833</v>
      </c>
      <c r="AJ127" s="172">
        <f>IF(DAY(SepSun1)=1,IF(AND(YEAR(SepSun1+27)=CalendarYear,MONTH(SepSun1+27)=9),SepSun1+27,""),IF(AND(YEAR(SepSun1+34)=CalendarYear,MONTH(SepSun1+34)=9),SepSun1+34,""))</f>
        <v>44834</v>
      </c>
      <c r="AK127" s="172" t="str">
        <f>IF(DAY(SepSun1)=1,IF(AND(YEAR(SepSun1+28)=CalendarYear,MONTH(SepSun1+28)=9),SepSun1+28,""),IF(AND(YEAR(SepSun1+35)=CalendarYear,MONTH(SepSun1+35)=9),SepSun1+35,""))</f>
        <v/>
      </c>
      <c r="AL127" s="172" t="str">
        <f>IF(DAY(SepSun1)=1,IF(AND(YEAR(SepSun1+29)=CalendarYear,MONTH(SepSun1+29)=9),SepSun1+29,""),IF(AND(YEAR(SepSun1+36)=CalendarYear,MONTH(SepSun1+36)=9),SepSun1+36,""))</f>
        <v/>
      </c>
      <c r="AM127" s="173" t="str">
        <f>IF(DAY(SepSun1)=1,IF(AND(YEAR(SepSun1+30)=CalendarYear,MONTH(SepSun1+30)=9),SepSun1+30,""),IF(AND(YEAR(SepSun1+37)=CalendarYear,MONTH(SepSun1+37)=9),SepSun1+37,""))</f>
        <v/>
      </c>
    </row>
    <row r="128" spans="2:39" s="171" customFormat="1" ht="18.75" customHeight="1" x14ac:dyDescent="0.25">
      <c r="B128" s="240"/>
      <c r="C128" s="174" t="s">
        <v>59</v>
      </c>
      <c r="D128" s="174" t="s">
        <v>60</v>
      </c>
      <c r="E128" s="174" t="s">
        <v>61</v>
      </c>
      <c r="F128" s="174" t="s">
        <v>62</v>
      </c>
      <c r="G128" s="174" t="s">
        <v>63</v>
      </c>
      <c r="H128" s="174" t="s">
        <v>64</v>
      </c>
      <c r="I128" s="174" t="s">
        <v>65</v>
      </c>
      <c r="J128" s="174" t="s">
        <v>59</v>
      </c>
      <c r="K128" s="174" t="s">
        <v>60</v>
      </c>
      <c r="L128" s="174" t="s">
        <v>61</v>
      </c>
      <c r="M128" s="174" t="s">
        <v>62</v>
      </c>
      <c r="N128" s="174" t="s">
        <v>63</v>
      </c>
      <c r="O128" s="174" t="s">
        <v>64</v>
      </c>
      <c r="P128" s="174" t="s">
        <v>65</v>
      </c>
      <c r="Q128" s="174" t="s">
        <v>59</v>
      </c>
      <c r="R128" s="174" t="s">
        <v>60</v>
      </c>
      <c r="S128" s="174" t="s">
        <v>61</v>
      </c>
      <c r="T128" s="174" t="s">
        <v>62</v>
      </c>
      <c r="U128" s="174" t="s">
        <v>63</v>
      </c>
      <c r="V128" s="174" t="s">
        <v>64</v>
      </c>
      <c r="W128" s="174" t="s">
        <v>65</v>
      </c>
      <c r="X128" s="174" t="s">
        <v>59</v>
      </c>
      <c r="Y128" s="174" t="s">
        <v>60</v>
      </c>
      <c r="Z128" s="174" t="s">
        <v>61</v>
      </c>
      <c r="AA128" s="174" t="s">
        <v>62</v>
      </c>
      <c r="AB128" s="174" t="s">
        <v>63</v>
      </c>
      <c r="AC128" s="174" t="s">
        <v>64</v>
      </c>
      <c r="AD128" s="174" t="s">
        <v>65</v>
      </c>
      <c r="AE128" s="174" t="s">
        <v>59</v>
      </c>
      <c r="AF128" s="174" t="s">
        <v>60</v>
      </c>
      <c r="AG128" s="174" t="s">
        <v>61</v>
      </c>
      <c r="AH128" s="174" t="s">
        <v>62</v>
      </c>
      <c r="AI128" s="174" t="s">
        <v>63</v>
      </c>
      <c r="AJ128" s="174" t="s">
        <v>64</v>
      </c>
      <c r="AK128" s="174" t="s">
        <v>65</v>
      </c>
      <c r="AL128" s="174" t="s">
        <v>59</v>
      </c>
      <c r="AM128" s="175" t="s">
        <v>60</v>
      </c>
    </row>
    <row r="129" spans="2:39" ht="18.75" customHeight="1" x14ac:dyDescent="0.25">
      <c r="B129" s="176"/>
      <c r="C129" s="177"/>
      <c r="D129" s="177"/>
      <c r="E129" s="177"/>
      <c r="F129" s="177"/>
      <c r="G129" s="177"/>
      <c r="H129" s="177"/>
      <c r="I129" s="177"/>
      <c r="J129" s="177"/>
      <c r="K129" s="177"/>
      <c r="L129" s="177"/>
      <c r="M129" s="177"/>
      <c r="N129" s="177"/>
      <c r="O129" s="177"/>
      <c r="P129" s="177"/>
      <c r="Q129" s="177"/>
      <c r="R129" s="177"/>
      <c r="S129" s="177"/>
      <c r="T129" s="177"/>
      <c r="U129" s="177"/>
      <c r="V129" s="177"/>
      <c r="W129" s="177"/>
      <c r="X129" s="177"/>
      <c r="Y129" s="177"/>
      <c r="Z129" s="177"/>
      <c r="AA129" s="177"/>
      <c r="AB129" s="177"/>
      <c r="AC129" s="177"/>
      <c r="AD129" s="177"/>
      <c r="AE129" s="177"/>
      <c r="AF129" s="177"/>
      <c r="AG129" s="177"/>
      <c r="AH129" s="177"/>
      <c r="AI129" s="177"/>
      <c r="AJ129" s="177"/>
      <c r="AK129" s="177"/>
      <c r="AL129" s="177"/>
      <c r="AM129" s="177"/>
    </row>
    <row r="130" spans="2:39" ht="18.75" customHeight="1" x14ac:dyDescent="0.25">
      <c r="B130" s="176"/>
      <c r="C130" s="177"/>
      <c r="D130" s="177"/>
      <c r="E130" s="177"/>
      <c r="F130" s="177"/>
      <c r="G130" s="177"/>
      <c r="H130" s="177"/>
      <c r="I130" s="177"/>
      <c r="J130" s="177"/>
      <c r="K130" s="177"/>
      <c r="L130" s="177"/>
      <c r="M130" s="177"/>
      <c r="N130" s="177"/>
      <c r="O130" s="177"/>
      <c r="P130" s="177"/>
      <c r="Q130" s="177"/>
      <c r="R130" s="177"/>
      <c r="S130" s="177"/>
      <c r="T130" s="177"/>
      <c r="U130" s="177"/>
      <c r="V130" s="177"/>
      <c r="W130" s="177"/>
      <c r="X130" s="177"/>
      <c r="Y130" s="177"/>
      <c r="Z130" s="177"/>
      <c r="AA130" s="177"/>
      <c r="AB130" s="177"/>
      <c r="AC130" s="177"/>
      <c r="AD130" s="177"/>
      <c r="AE130" s="177"/>
      <c r="AF130" s="177"/>
      <c r="AG130" s="177"/>
      <c r="AH130" s="177"/>
      <c r="AI130" s="177"/>
      <c r="AJ130" s="177"/>
      <c r="AK130" s="177"/>
      <c r="AL130" s="177"/>
      <c r="AM130" s="177"/>
    </row>
    <row r="131" spans="2:39" ht="18.75" customHeight="1" x14ac:dyDescent="0.25">
      <c r="B131" s="176"/>
      <c r="C131" s="177"/>
      <c r="D131" s="177"/>
      <c r="E131" s="177"/>
      <c r="F131" s="177"/>
      <c r="G131" s="177"/>
      <c r="H131" s="177"/>
      <c r="I131" s="177"/>
      <c r="J131" s="177"/>
      <c r="K131" s="177"/>
      <c r="L131" s="177"/>
      <c r="M131" s="177"/>
      <c r="N131" s="177"/>
      <c r="O131" s="177"/>
      <c r="P131" s="177"/>
      <c r="Q131" s="177"/>
      <c r="R131" s="177"/>
      <c r="S131" s="177"/>
      <c r="T131" s="177"/>
      <c r="U131" s="177"/>
      <c r="V131" s="177"/>
      <c r="W131" s="177"/>
      <c r="X131" s="177"/>
      <c r="Y131" s="177"/>
      <c r="Z131" s="177"/>
      <c r="AA131" s="177"/>
      <c r="AB131" s="177"/>
      <c r="AC131" s="177"/>
      <c r="AD131" s="177"/>
      <c r="AE131" s="177"/>
      <c r="AF131" s="177"/>
      <c r="AG131" s="177"/>
      <c r="AH131" s="177"/>
      <c r="AI131" s="177"/>
      <c r="AJ131" s="177"/>
      <c r="AK131" s="177"/>
      <c r="AL131" s="177"/>
      <c r="AM131" s="177"/>
    </row>
    <row r="132" spans="2:39" ht="18.75" customHeight="1" x14ac:dyDescent="0.25">
      <c r="B132" s="176"/>
      <c r="C132" s="177"/>
      <c r="D132" s="177"/>
      <c r="E132" s="177"/>
      <c r="F132" s="177"/>
      <c r="G132" s="177"/>
      <c r="H132" s="177"/>
      <c r="I132" s="177"/>
      <c r="J132" s="177"/>
      <c r="K132" s="177"/>
      <c r="L132" s="177"/>
      <c r="M132" s="177"/>
      <c r="N132" s="177"/>
      <c r="O132" s="177"/>
      <c r="P132" s="177"/>
      <c r="Q132" s="177"/>
      <c r="R132" s="177"/>
      <c r="S132" s="177"/>
      <c r="T132" s="177"/>
      <c r="U132" s="177"/>
      <c r="V132" s="177"/>
      <c r="W132" s="177"/>
      <c r="X132" s="177"/>
      <c r="Y132" s="177"/>
      <c r="Z132" s="177"/>
      <c r="AA132" s="177"/>
      <c r="AB132" s="177"/>
      <c r="AC132" s="177"/>
      <c r="AD132" s="177"/>
      <c r="AE132" s="177"/>
      <c r="AF132" s="177"/>
      <c r="AG132" s="177"/>
      <c r="AH132" s="177"/>
      <c r="AI132" s="177"/>
      <c r="AJ132" s="177"/>
      <c r="AK132" s="177"/>
      <c r="AL132" s="177"/>
      <c r="AM132" s="177"/>
    </row>
    <row r="133" spans="2:39" ht="18.75" customHeight="1" x14ac:dyDescent="0.25">
      <c r="B133" s="176"/>
      <c r="C133" s="177"/>
      <c r="D133" s="177"/>
      <c r="E133" s="177"/>
      <c r="F133" s="177"/>
      <c r="G133" s="177"/>
      <c r="H133" s="177"/>
      <c r="I133" s="177"/>
      <c r="J133" s="177"/>
      <c r="K133" s="177"/>
      <c r="L133" s="177"/>
      <c r="M133" s="177"/>
      <c r="N133" s="177"/>
      <c r="O133" s="177"/>
      <c r="P133" s="177"/>
      <c r="Q133" s="177"/>
      <c r="R133" s="177"/>
      <c r="S133" s="177"/>
      <c r="T133" s="177"/>
      <c r="U133" s="177"/>
      <c r="V133" s="177"/>
      <c r="W133" s="177"/>
      <c r="X133" s="177"/>
      <c r="Y133" s="177"/>
      <c r="Z133" s="177"/>
      <c r="AA133" s="177"/>
      <c r="AB133" s="177"/>
      <c r="AC133" s="177"/>
      <c r="AD133" s="177"/>
      <c r="AE133" s="177"/>
      <c r="AF133" s="177"/>
      <c r="AG133" s="177"/>
      <c r="AH133" s="177"/>
      <c r="AI133" s="177"/>
      <c r="AJ133" s="177"/>
      <c r="AK133" s="177"/>
      <c r="AL133" s="177"/>
      <c r="AM133" s="177"/>
    </row>
    <row r="134" spans="2:39" ht="18.75" customHeight="1" x14ac:dyDescent="0.25">
      <c r="B134" s="176"/>
      <c r="C134" s="177"/>
      <c r="D134" s="177"/>
      <c r="E134" s="177"/>
      <c r="F134" s="177"/>
      <c r="G134" s="177"/>
      <c r="H134" s="177"/>
      <c r="I134" s="177"/>
      <c r="J134" s="177"/>
      <c r="K134" s="177"/>
      <c r="L134" s="177"/>
      <c r="M134" s="177"/>
      <c r="N134" s="177"/>
      <c r="O134" s="177"/>
      <c r="P134" s="177"/>
      <c r="Q134" s="177"/>
      <c r="R134" s="177"/>
      <c r="S134" s="177"/>
      <c r="T134" s="177"/>
      <c r="U134" s="177"/>
      <c r="V134" s="177"/>
      <c r="W134" s="177"/>
      <c r="X134" s="177"/>
      <c r="Y134" s="177"/>
      <c r="Z134" s="177"/>
      <c r="AA134" s="177"/>
      <c r="AB134" s="177"/>
      <c r="AC134" s="177"/>
      <c r="AD134" s="177"/>
      <c r="AE134" s="177"/>
      <c r="AF134" s="177"/>
      <c r="AG134" s="177"/>
      <c r="AH134" s="177"/>
      <c r="AI134" s="177"/>
      <c r="AJ134" s="177"/>
      <c r="AK134" s="177"/>
      <c r="AL134" s="177"/>
      <c r="AM134" s="177"/>
    </row>
    <row r="135" spans="2:39" ht="18.75" customHeight="1" x14ac:dyDescent="0.25">
      <c r="B135" s="176"/>
      <c r="C135" s="177"/>
      <c r="D135" s="177"/>
      <c r="E135" s="177"/>
      <c r="F135" s="177"/>
      <c r="G135" s="177"/>
      <c r="H135" s="177"/>
      <c r="I135" s="177"/>
      <c r="J135" s="177"/>
      <c r="K135" s="177"/>
      <c r="L135" s="177"/>
      <c r="M135" s="177"/>
      <c r="N135" s="177"/>
      <c r="O135" s="177"/>
      <c r="P135" s="177"/>
      <c r="Q135" s="177"/>
      <c r="R135" s="177"/>
      <c r="S135" s="177"/>
      <c r="T135" s="177"/>
      <c r="U135" s="177"/>
      <c r="V135" s="177"/>
      <c r="W135" s="177"/>
      <c r="X135" s="177"/>
      <c r="Y135" s="177"/>
      <c r="Z135" s="177"/>
      <c r="AA135" s="177"/>
      <c r="AB135" s="177"/>
      <c r="AC135" s="177"/>
      <c r="AD135" s="177"/>
      <c r="AE135" s="177"/>
      <c r="AF135" s="177"/>
      <c r="AG135" s="177"/>
      <c r="AH135" s="177"/>
      <c r="AI135" s="177"/>
      <c r="AJ135" s="177"/>
      <c r="AK135" s="177"/>
      <c r="AL135" s="177"/>
      <c r="AM135" s="177"/>
    </row>
    <row r="136" spans="2:39" ht="18.75" customHeight="1" x14ac:dyDescent="0.25">
      <c r="B136" s="176"/>
      <c r="C136" s="177"/>
      <c r="D136" s="177"/>
      <c r="E136" s="177"/>
      <c r="F136" s="177"/>
      <c r="G136" s="177"/>
      <c r="H136" s="177"/>
      <c r="I136" s="177"/>
      <c r="J136" s="177"/>
      <c r="K136" s="177"/>
      <c r="L136" s="177"/>
      <c r="M136" s="177"/>
      <c r="N136" s="177"/>
      <c r="O136" s="177"/>
      <c r="P136" s="177"/>
      <c r="Q136" s="177"/>
      <c r="R136" s="177"/>
      <c r="S136" s="177"/>
      <c r="T136" s="177"/>
      <c r="U136" s="177"/>
      <c r="V136" s="177"/>
      <c r="W136" s="177"/>
      <c r="X136" s="177"/>
      <c r="Y136" s="177"/>
      <c r="Z136" s="177"/>
      <c r="AA136" s="177"/>
      <c r="AB136" s="177"/>
      <c r="AC136" s="177"/>
      <c r="AD136" s="177"/>
      <c r="AE136" s="177"/>
      <c r="AF136" s="177"/>
      <c r="AG136" s="177"/>
      <c r="AH136" s="177"/>
      <c r="AI136" s="177"/>
      <c r="AJ136" s="177"/>
      <c r="AK136" s="177"/>
      <c r="AL136" s="177"/>
      <c r="AM136" s="177"/>
    </row>
    <row r="137" spans="2:39" ht="18.75" customHeight="1" x14ac:dyDescent="0.25">
      <c r="B137" s="176"/>
      <c r="C137" s="177"/>
      <c r="D137" s="177"/>
      <c r="E137" s="177"/>
      <c r="F137" s="177"/>
      <c r="G137" s="177"/>
      <c r="H137" s="177"/>
      <c r="I137" s="177"/>
      <c r="J137" s="177"/>
      <c r="K137" s="177"/>
      <c r="L137" s="177"/>
      <c r="M137" s="177"/>
      <c r="N137" s="177"/>
      <c r="O137" s="177"/>
      <c r="P137" s="177"/>
      <c r="Q137" s="177"/>
      <c r="R137" s="177"/>
      <c r="S137" s="177"/>
      <c r="T137" s="177"/>
      <c r="U137" s="177"/>
      <c r="V137" s="177"/>
      <c r="W137" s="177"/>
      <c r="X137" s="177"/>
      <c r="Y137" s="177"/>
      <c r="Z137" s="177"/>
      <c r="AA137" s="177"/>
      <c r="AB137" s="177"/>
      <c r="AC137" s="177"/>
      <c r="AD137" s="177"/>
      <c r="AE137" s="177"/>
      <c r="AF137" s="177"/>
      <c r="AG137" s="177"/>
      <c r="AH137" s="177"/>
      <c r="AI137" s="177"/>
      <c r="AJ137" s="177"/>
      <c r="AK137" s="177"/>
      <c r="AL137" s="177"/>
      <c r="AM137" s="177"/>
    </row>
    <row r="138" spans="2:39" ht="18.75" customHeight="1" x14ac:dyDescent="0.25">
      <c r="B138" s="178"/>
      <c r="C138" s="179"/>
      <c r="D138" s="179"/>
      <c r="E138" s="179"/>
      <c r="F138" s="179"/>
      <c r="G138" s="179"/>
      <c r="H138" s="179"/>
      <c r="I138" s="179"/>
      <c r="J138" s="179"/>
      <c r="K138" s="179"/>
      <c r="L138" s="179"/>
      <c r="M138" s="179"/>
      <c r="N138" s="179"/>
      <c r="O138" s="179"/>
      <c r="P138" s="179"/>
      <c r="Q138" s="179"/>
      <c r="R138" s="179"/>
      <c r="S138" s="179"/>
      <c r="T138" s="179"/>
      <c r="U138" s="179"/>
      <c r="V138" s="179"/>
      <c r="W138" s="179"/>
      <c r="X138" s="179"/>
      <c r="Y138" s="179"/>
      <c r="Z138" s="179"/>
      <c r="AA138" s="179"/>
      <c r="AB138" s="179"/>
      <c r="AC138" s="179"/>
      <c r="AD138" s="179"/>
      <c r="AE138" s="179"/>
      <c r="AF138" s="179"/>
      <c r="AG138" s="179"/>
      <c r="AH138" s="179"/>
      <c r="AI138" s="179"/>
      <c r="AJ138" s="179"/>
      <c r="AK138" s="179"/>
      <c r="AL138" s="179"/>
      <c r="AM138" s="179"/>
    </row>
    <row r="139" spans="2:39" ht="18.75" customHeight="1" x14ac:dyDescent="0.25">
      <c r="B139" s="178"/>
      <c r="C139" s="179"/>
      <c r="D139" s="179"/>
      <c r="E139" s="179"/>
      <c r="F139" s="179"/>
      <c r="G139" s="179"/>
      <c r="H139" s="179"/>
      <c r="I139" s="179"/>
      <c r="J139" s="179"/>
      <c r="K139" s="179"/>
      <c r="L139" s="179"/>
      <c r="M139" s="179"/>
      <c r="N139" s="179"/>
      <c r="O139" s="179"/>
      <c r="P139" s="179"/>
      <c r="Q139" s="179"/>
      <c r="R139" s="179"/>
      <c r="S139" s="179"/>
      <c r="T139" s="179"/>
      <c r="U139" s="179"/>
      <c r="V139" s="179"/>
      <c r="W139" s="179"/>
      <c r="X139" s="179"/>
      <c r="Y139" s="179"/>
      <c r="Z139" s="179"/>
      <c r="AA139" s="179"/>
      <c r="AB139" s="179"/>
      <c r="AC139" s="179"/>
      <c r="AD139" s="179"/>
      <c r="AE139" s="179"/>
      <c r="AF139" s="179"/>
      <c r="AG139" s="179"/>
      <c r="AH139" s="179"/>
      <c r="AI139" s="179"/>
      <c r="AJ139" s="179"/>
      <c r="AK139" s="179"/>
      <c r="AL139" s="179"/>
      <c r="AM139" s="179"/>
    </row>
    <row r="140" spans="2:39" ht="12" customHeight="1" x14ac:dyDescent="0.25"/>
    <row r="141" spans="2:39" s="171" customFormat="1" ht="18.75" customHeight="1" x14ac:dyDescent="0.25">
      <c r="B141" s="240">
        <f>DATE(CalendarYear,10,1)</f>
        <v>44835</v>
      </c>
      <c r="C141" s="172" t="str">
        <f>IF(DAY(OctSun1)=1,"",IF(AND(YEAR(OctSun1+1)=CalendarYear,MONTH(OctSun1+1)=10),OctSun1+1,""))</f>
        <v/>
      </c>
      <c r="D141" s="172" t="str">
        <f>IF(DAY(OctSun1)=1,"",IF(AND(YEAR(OctSun1+2)=CalendarYear,MONTH(OctSun1+2)=10),OctSun1+2,""))</f>
        <v/>
      </c>
      <c r="E141" s="172" t="str">
        <f>IF(DAY(OctSun1)=1,"",IF(AND(YEAR(OctSun1+3)=CalendarYear,MONTH(OctSun1+3)=10),OctSun1+3,""))</f>
        <v/>
      </c>
      <c r="F141" s="172" t="str">
        <f>IF(DAY(OctSun1)=1,"",IF(AND(YEAR(OctSun1+4)=CalendarYear,MONTH(OctSun1+4)=10),OctSun1+4,""))</f>
        <v/>
      </c>
      <c r="G141" s="172" t="str">
        <f>IF(DAY(OctSun1)=1,"",IF(AND(YEAR(OctSun1+5)=CalendarYear,MONTH(OctSun1+5)=10),OctSun1+5,""))</f>
        <v/>
      </c>
      <c r="H141" s="172" t="str">
        <f>IF(DAY(OctSun1)=1,"",IF(AND(YEAR(OctSun1+6)=CalendarYear,MONTH(OctSun1+6)=10),OctSun1+6,""))</f>
        <v/>
      </c>
      <c r="I141" s="172">
        <f>IF(DAY(OctSun1)=1,IF(AND(YEAR(OctSun1)=CalendarYear,MONTH(OctSun1)=10),OctSun1,""),IF(AND(YEAR(OctSun1+7)=CalendarYear,MONTH(OctSun1+7)=10),OctSun1+7,""))</f>
        <v>44835</v>
      </c>
      <c r="J141" s="172">
        <f>IF(DAY(OctSun1)=1,IF(AND(YEAR(OctSun1+1)=CalendarYear,MONTH(OctSun1+1)=10),OctSun1+1,""),IF(AND(YEAR(OctSun1+8)=CalendarYear,MONTH(OctSun1+8)=10),OctSun1+8,""))</f>
        <v>44836</v>
      </c>
      <c r="K141" s="172">
        <f>IF(DAY(OctSun1)=1,IF(AND(YEAR(OctSun1+2)=CalendarYear,MONTH(OctSun1+2)=10),OctSun1+2,""),IF(AND(YEAR(OctSun1+9)=CalendarYear,MONTH(OctSun1+9)=10),OctSun1+9,""))</f>
        <v>44837</v>
      </c>
      <c r="L141" s="172">
        <f>IF(DAY(OctSun1)=1,IF(AND(YEAR(OctSun1+3)=CalendarYear,MONTH(OctSun1+3)=10),OctSun1+3,""),IF(AND(YEAR(OctSun1+10)=CalendarYear,MONTH(OctSun1+10)=10),OctSun1+10,""))</f>
        <v>44838</v>
      </c>
      <c r="M141" s="172">
        <f>IF(DAY(OctSun1)=1,IF(AND(YEAR(OctSun1+4)=CalendarYear,MONTH(OctSun1+4)=10),OctSun1+4,""),IF(AND(YEAR(OctSun1+11)=CalendarYear,MONTH(OctSun1+11)=10),OctSun1+11,""))</f>
        <v>44839</v>
      </c>
      <c r="N141" s="172">
        <f>IF(DAY(OctSun1)=1,IF(AND(YEAR(OctSun1+5)=CalendarYear,MONTH(OctSun1+5)=10),OctSun1+5,""),IF(AND(YEAR(OctSun1+12)=CalendarYear,MONTH(OctSun1+12)=10),OctSun1+12,""))</f>
        <v>44840</v>
      </c>
      <c r="O141" s="172">
        <f>IF(DAY(OctSun1)=1,IF(AND(YEAR(OctSun1+6)=CalendarYear,MONTH(OctSun1+6)=10),OctSun1+6,""),IF(AND(YEAR(OctSun1+13)=CalendarYear,MONTH(OctSun1+13)=10),OctSun1+13,""))</f>
        <v>44841</v>
      </c>
      <c r="P141" s="172">
        <f>IF(DAY(OctSun1)=1,IF(AND(YEAR(OctSun1+7)=CalendarYear,MONTH(OctSun1+7)=10),OctSun1+7,""),IF(AND(YEAR(OctSun1+14)=CalendarYear,MONTH(OctSun1+14)=10),OctSun1+14,""))</f>
        <v>44842</v>
      </c>
      <c r="Q141" s="172">
        <f>IF(DAY(OctSun1)=1,IF(AND(YEAR(OctSun1+8)=CalendarYear,MONTH(OctSun1+8)=10),OctSun1+8,""),IF(AND(YEAR(OctSun1+15)=CalendarYear,MONTH(OctSun1+15)=10),OctSun1+15,""))</f>
        <v>44843</v>
      </c>
      <c r="R141" s="172">
        <f>IF(DAY(OctSun1)=1,IF(AND(YEAR(OctSun1+9)=CalendarYear,MONTH(OctSun1+9)=10),OctSun1+9,""),IF(AND(YEAR(OctSun1+16)=CalendarYear,MONTH(OctSun1+16)=10),OctSun1+16,""))</f>
        <v>44844</v>
      </c>
      <c r="S141" s="172">
        <f>IF(DAY(OctSun1)=1,IF(AND(YEAR(OctSun1+10)=CalendarYear,MONTH(OctSun1+10)=10),OctSun1+10,""),IF(AND(YEAR(OctSun1+17)=CalendarYear,MONTH(OctSun1+17)=10),OctSun1+17,""))</f>
        <v>44845</v>
      </c>
      <c r="T141" s="172">
        <f>IF(DAY(OctSun1)=1,IF(AND(YEAR(OctSun1+11)=CalendarYear,MONTH(OctSun1+11)=10),OctSun1+11,""),IF(AND(YEAR(OctSun1+18)=CalendarYear,MONTH(OctSun1+18)=10),OctSun1+18,""))</f>
        <v>44846</v>
      </c>
      <c r="U141" s="172">
        <f>IF(DAY(OctSun1)=1,IF(AND(YEAR(OctSun1+12)=CalendarYear,MONTH(OctSun1+12)=10),OctSun1+12,""),IF(AND(YEAR(OctSun1+19)=CalendarYear,MONTH(OctSun1+19)=10),OctSun1+19,""))</f>
        <v>44847</v>
      </c>
      <c r="V141" s="172">
        <f>IF(DAY(OctSun1)=1,IF(AND(YEAR(OctSun1+13)=CalendarYear,MONTH(OctSun1+13)=10),OctSun1+13,""),IF(AND(YEAR(OctSun1+20)=CalendarYear,MONTH(OctSun1+20)=10),OctSun1+20,""))</f>
        <v>44848</v>
      </c>
      <c r="W141" s="172">
        <f>IF(DAY(OctSun1)=1,IF(AND(YEAR(OctSun1+14)=CalendarYear,MONTH(OctSun1+14)=10),OctSun1+14,""),IF(AND(YEAR(OctSun1+21)=CalendarYear,MONTH(OctSun1+21)=10),OctSun1+21,""))</f>
        <v>44849</v>
      </c>
      <c r="X141" s="172">
        <f>IF(DAY(OctSun1)=1,IF(AND(YEAR(OctSun1+15)=CalendarYear,MONTH(OctSun1+15)=10),OctSun1+15,""),IF(AND(YEAR(OctSun1+22)=CalendarYear,MONTH(OctSun1+22)=10),OctSun1+22,""))</f>
        <v>44850</v>
      </c>
      <c r="Y141" s="172">
        <f>IF(DAY(OctSun1)=1,IF(AND(YEAR(OctSun1+16)=CalendarYear,MONTH(OctSun1+16)=10),OctSun1+16,""),IF(AND(YEAR(OctSun1+23)=CalendarYear,MONTH(OctSun1+23)=10),OctSun1+23,""))</f>
        <v>44851</v>
      </c>
      <c r="Z141" s="172">
        <f>IF(DAY(OctSun1)=1,IF(AND(YEAR(OctSun1+17)=CalendarYear,MONTH(OctSun1+17)=10),OctSun1+17,""),IF(AND(YEAR(OctSun1+24)=CalendarYear,MONTH(OctSun1+24)=10),OctSun1+24,""))</f>
        <v>44852</v>
      </c>
      <c r="AA141" s="172">
        <f>IF(DAY(OctSun1)=1,IF(AND(YEAR(OctSun1+18)=CalendarYear,MONTH(OctSun1+18)=10),OctSun1+18,""),IF(AND(YEAR(OctSun1+25)=CalendarYear,MONTH(OctSun1+25)=10),OctSun1+25,""))</f>
        <v>44853</v>
      </c>
      <c r="AB141" s="172">
        <f>IF(DAY(OctSun1)=1,IF(AND(YEAR(OctSun1+19)=CalendarYear,MONTH(OctSun1+19)=10),OctSun1+19,""),IF(AND(YEAR(OctSun1+26)=CalendarYear,MONTH(OctSun1+26)=10),OctSun1+26,""))</f>
        <v>44854</v>
      </c>
      <c r="AC141" s="172">
        <f>IF(DAY(OctSun1)=1,IF(AND(YEAR(OctSun1+20)=CalendarYear,MONTH(OctSun1+20)=10),OctSun1+20,""),IF(AND(YEAR(OctSun1+27)=CalendarYear,MONTH(OctSun1+27)=10),OctSun1+27,""))</f>
        <v>44855</v>
      </c>
      <c r="AD141" s="172">
        <f>IF(DAY(OctSun1)=1,IF(AND(YEAR(OctSun1+21)=CalendarYear,MONTH(OctSun1+21)=10),OctSun1+21,""),IF(AND(YEAR(OctSun1+28)=CalendarYear,MONTH(OctSun1+28)=10),OctSun1+28,""))</f>
        <v>44856</v>
      </c>
      <c r="AE141" s="172">
        <f>IF(DAY(OctSun1)=1,IF(AND(YEAR(OctSun1+22)=CalendarYear,MONTH(OctSun1+22)=10),OctSun1+22,""),IF(AND(YEAR(OctSun1+29)=CalendarYear,MONTH(OctSun1+29)=10),OctSun1+29,""))</f>
        <v>44857</v>
      </c>
      <c r="AF141" s="172">
        <f>IF(DAY(OctSun1)=1,IF(AND(YEAR(OctSun1+23)=CalendarYear,MONTH(OctSun1+23)=10),OctSun1+23,""),IF(AND(YEAR(OctSun1+30)=CalendarYear,MONTH(OctSun1+30)=10),OctSun1+30,""))</f>
        <v>44858</v>
      </c>
      <c r="AG141" s="172">
        <f>IF(DAY(OctSun1)=1,IF(AND(YEAR(OctSun1+24)=CalendarYear,MONTH(OctSun1+24)=10),OctSun1+24,""),IF(AND(YEAR(OctSun1+31)=CalendarYear,MONTH(OctSun1+31)=10),OctSun1+31,""))</f>
        <v>44859</v>
      </c>
      <c r="AH141" s="172">
        <f>IF(DAY(OctSun1)=1,IF(AND(YEAR(OctSun1+25)=CalendarYear,MONTH(OctSun1+25)=10),OctSun1+25,""),IF(AND(YEAR(OctSun1+32)=CalendarYear,MONTH(OctSun1+32)=10),OctSun1+32,""))</f>
        <v>44860</v>
      </c>
      <c r="AI141" s="172">
        <f>IF(DAY(OctSun1)=1,IF(AND(YEAR(OctSun1+26)=CalendarYear,MONTH(OctSun1+26)=10),OctSun1+26,""),IF(AND(YEAR(OctSun1+33)=CalendarYear,MONTH(OctSun1+33)=10),OctSun1+33,""))</f>
        <v>44861</v>
      </c>
      <c r="AJ141" s="172">
        <f>IF(DAY(OctSun1)=1,IF(AND(YEAR(OctSun1+27)=CalendarYear,MONTH(OctSun1+27)=10),OctSun1+27,""),IF(AND(YEAR(OctSun1+34)=CalendarYear,MONTH(OctSun1+34)=10),OctSun1+34,""))</f>
        <v>44862</v>
      </c>
      <c r="AK141" s="172">
        <f>IF(DAY(OctSun1)=1,IF(AND(YEAR(OctSun1+28)=CalendarYear,MONTH(OctSun1+28)=10),OctSun1+28,""),IF(AND(YEAR(OctSun1+35)=CalendarYear,MONTH(OctSun1+35)=10),OctSun1+35,""))</f>
        <v>44863</v>
      </c>
      <c r="AL141" s="172">
        <f>IF(DAY(OctSun1)=1,IF(AND(YEAR(OctSun1+29)=CalendarYear,MONTH(OctSun1+29)=10),OctSun1+29,""),IF(AND(YEAR(OctSun1+36)=CalendarYear,MONTH(OctSun1+36)=10),OctSun1+36,""))</f>
        <v>44864</v>
      </c>
      <c r="AM141" s="173">
        <f>IF(DAY(OctSun1)=1,IF(AND(YEAR(OctSun1+30)=CalendarYear,MONTH(OctSun1+30)=10),OctSun1+30,""),IF(AND(YEAR(OctSun1+37)=CalendarYear,MONTH(OctSun1+37)=10),OctSun1+37,""))</f>
        <v>44865</v>
      </c>
    </row>
    <row r="142" spans="2:39" s="171" customFormat="1" ht="18.75" customHeight="1" x14ac:dyDescent="0.25">
      <c r="B142" s="240"/>
      <c r="C142" s="174" t="s">
        <v>59</v>
      </c>
      <c r="D142" s="174" t="s">
        <v>60</v>
      </c>
      <c r="E142" s="174" t="s">
        <v>61</v>
      </c>
      <c r="F142" s="174" t="s">
        <v>62</v>
      </c>
      <c r="G142" s="174" t="s">
        <v>63</v>
      </c>
      <c r="H142" s="174" t="s">
        <v>64</v>
      </c>
      <c r="I142" s="174" t="s">
        <v>65</v>
      </c>
      <c r="J142" s="174" t="s">
        <v>59</v>
      </c>
      <c r="K142" s="174" t="s">
        <v>60</v>
      </c>
      <c r="L142" s="174" t="s">
        <v>61</v>
      </c>
      <c r="M142" s="174" t="s">
        <v>62</v>
      </c>
      <c r="N142" s="174" t="s">
        <v>63</v>
      </c>
      <c r="O142" s="174" t="s">
        <v>64</v>
      </c>
      <c r="P142" s="174" t="s">
        <v>65</v>
      </c>
      <c r="Q142" s="174" t="s">
        <v>59</v>
      </c>
      <c r="R142" s="174" t="s">
        <v>60</v>
      </c>
      <c r="S142" s="174" t="s">
        <v>61</v>
      </c>
      <c r="T142" s="174" t="s">
        <v>62</v>
      </c>
      <c r="U142" s="174" t="s">
        <v>63</v>
      </c>
      <c r="V142" s="174" t="s">
        <v>64</v>
      </c>
      <c r="W142" s="174" t="s">
        <v>65</v>
      </c>
      <c r="X142" s="174" t="s">
        <v>59</v>
      </c>
      <c r="Y142" s="174" t="s">
        <v>60</v>
      </c>
      <c r="Z142" s="174" t="s">
        <v>61</v>
      </c>
      <c r="AA142" s="174" t="s">
        <v>62</v>
      </c>
      <c r="AB142" s="174" t="s">
        <v>63</v>
      </c>
      <c r="AC142" s="174" t="s">
        <v>64</v>
      </c>
      <c r="AD142" s="174" t="s">
        <v>65</v>
      </c>
      <c r="AE142" s="174" t="s">
        <v>59</v>
      </c>
      <c r="AF142" s="174" t="s">
        <v>60</v>
      </c>
      <c r="AG142" s="174" t="s">
        <v>61</v>
      </c>
      <c r="AH142" s="174" t="s">
        <v>62</v>
      </c>
      <c r="AI142" s="174" t="s">
        <v>63</v>
      </c>
      <c r="AJ142" s="174" t="s">
        <v>64</v>
      </c>
      <c r="AK142" s="174" t="s">
        <v>65</v>
      </c>
      <c r="AL142" s="174" t="s">
        <v>59</v>
      </c>
      <c r="AM142" s="175" t="s">
        <v>60</v>
      </c>
    </row>
    <row r="143" spans="2:39" ht="18.75" customHeight="1" x14ac:dyDescent="0.25">
      <c r="B143" s="176"/>
      <c r="C143" s="177"/>
      <c r="D143" s="177"/>
      <c r="E143" s="177"/>
      <c r="F143" s="177"/>
      <c r="G143" s="177"/>
      <c r="H143" s="177"/>
      <c r="I143" s="177"/>
      <c r="J143" s="177"/>
      <c r="K143" s="177"/>
      <c r="L143" s="177"/>
      <c r="M143" s="177"/>
      <c r="N143" s="177"/>
      <c r="O143" s="177"/>
      <c r="P143" s="177"/>
      <c r="Q143" s="177"/>
      <c r="R143" s="177"/>
      <c r="S143" s="177"/>
      <c r="T143" s="177"/>
      <c r="U143" s="177"/>
      <c r="V143" s="177"/>
      <c r="W143" s="177"/>
      <c r="X143" s="177"/>
      <c r="Y143" s="177"/>
      <c r="Z143" s="177"/>
      <c r="AA143" s="177"/>
      <c r="AB143" s="177"/>
      <c r="AC143" s="177"/>
      <c r="AD143" s="177"/>
      <c r="AE143" s="177"/>
      <c r="AF143" s="177"/>
      <c r="AG143" s="177"/>
      <c r="AH143" s="177"/>
      <c r="AI143" s="177"/>
      <c r="AJ143" s="177"/>
      <c r="AK143" s="177"/>
      <c r="AL143" s="177"/>
      <c r="AM143" s="177"/>
    </row>
    <row r="144" spans="2:39" ht="18.75" customHeight="1" x14ac:dyDescent="0.25">
      <c r="B144" s="176"/>
      <c r="C144" s="177"/>
      <c r="D144" s="177"/>
      <c r="E144" s="177"/>
      <c r="F144" s="177"/>
      <c r="G144" s="177"/>
      <c r="H144" s="177"/>
      <c r="I144" s="177"/>
      <c r="J144" s="177"/>
      <c r="K144" s="177"/>
      <c r="L144" s="177"/>
      <c r="M144" s="177"/>
      <c r="N144" s="177"/>
      <c r="O144" s="177"/>
      <c r="P144" s="177"/>
      <c r="Q144" s="177"/>
      <c r="R144" s="177"/>
      <c r="S144" s="177"/>
      <c r="T144" s="177"/>
      <c r="U144" s="177"/>
      <c r="V144" s="177"/>
      <c r="W144" s="177"/>
      <c r="X144" s="177"/>
      <c r="Y144" s="177"/>
      <c r="Z144" s="177"/>
      <c r="AA144" s="177"/>
      <c r="AB144" s="177"/>
      <c r="AC144" s="177"/>
      <c r="AD144" s="177"/>
      <c r="AE144" s="177"/>
      <c r="AF144" s="177"/>
      <c r="AG144" s="177"/>
      <c r="AH144" s="177"/>
      <c r="AI144" s="177"/>
      <c r="AJ144" s="177"/>
      <c r="AK144" s="177"/>
      <c r="AL144" s="177"/>
      <c r="AM144" s="177"/>
    </row>
    <row r="145" spans="2:39" ht="18.75" customHeight="1" x14ac:dyDescent="0.25">
      <c r="B145" s="176"/>
      <c r="C145" s="177"/>
      <c r="D145" s="177"/>
      <c r="E145" s="177"/>
      <c r="F145" s="177"/>
      <c r="G145" s="177"/>
      <c r="H145" s="177"/>
      <c r="I145" s="177"/>
      <c r="J145" s="177"/>
      <c r="K145" s="177"/>
      <c r="L145" s="177"/>
      <c r="M145" s="177"/>
      <c r="N145" s="177"/>
      <c r="O145" s="177"/>
      <c r="P145" s="177"/>
      <c r="Q145" s="177"/>
      <c r="R145" s="177"/>
      <c r="S145" s="177"/>
      <c r="T145" s="177"/>
      <c r="U145" s="177"/>
      <c r="V145" s="177"/>
      <c r="W145" s="177"/>
      <c r="X145" s="177"/>
      <c r="Y145" s="177"/>
      <c r="Z145" s="177"/>
      <c r="AA145" s="177"/>
      <c r="AB145" s="177"/>
      <c r="AC145" s="177"/>
      <c r="AD145" s="177"/>
      <c r="AE145" s="177"/>
      <c r="AF145" s="177"/>
      <c r="AG145" s="177"/>
      <c r="AH145" s="177"/>
      <c r="AI145" s="177"/>
      <c r="AJ145" s="177"/>
      <c r="AK145" s="177"/>
      <c r="AL145" s="177"/>
      <c r="AM145" s="177"/>
    </row>
    <row r="146" spans="2:39" ht="18.75" customHeight="1" x14ac:dyDescent="0.25">
      <c r="B146" s="176"/>
      <c r="C146" s="177"/>
      <c r="D146" s="177"/>
      <c r="E146" s="177"/>
      <c r="F146" s="177"/>
      <c r="G146" s="177"/>
      <c r="H146" s="177"/>
      <c r="I146" s="177"/>
      <c r="J146" s="177"/>
      <c r="K146" s="177"/>
      <c r="L146" s="177"/>
      <c r="M146" s="177"/>
      <c r="N146" s="177"/>
      <c r="O146" s="177"/>
      <c r="P146" s="177"/>
      <c r="Q146" s="177"/>
      <c r="R146" s="177"/>
      <c r="S146" s="177"/>
      <c r="T146" s="177"/>
      <c r="U146" s="177"/>
      <c r="V146" s="177"/>
      <c r="W146" s="177"/>
      <c r="X146" s="177"/>
      <c r="Y146" s="177"/>
      <c r="Z146" s="177"/>
      <c r="AA146" s="177"/>
      <c r="AB146" s="177"/>
      <c r="AC146" s="177"/>
      <c r="AD146" s="177"/>
      <c r="AE146" s="177"/>
      <c r="AF146" s="177"/>
      <c r="AG146" s="177"/>
      <c r="AH146" s="177"/>
      <c r="AI146" s="177"/>
      <c r="AJ146" s="177"/>
      <c r="AK146" s="177"/>
      <c r="AL146" s="177"/>
      <c r="AM146" s="177"/>
    </row>
    <row r="147" spans="2:39" ht="18.75" customHeight="1" x14ac:dyDescent="0.25">
      <c r="B147" s="176"/>
      <c r="C147" s="177"/>
      <c r="D147" s="177"/>
      <c r="E147" s="177"/>
      <c r="F147" s="177"/>
      <c r="G147" s="177"/>
      <c r="H147" s="177"/>
      <c r="I147" s="177"/>
      <c r="J147" s="177"/>
      <c r="K147" s="177"/>
      <c r="L147" s="177"/>
      <c r="M147" s="177"/>
      <c r="N147" s="177"/>
      <c r="O147" s="177"/>
      <c r="P147" s="177"/>
      <c r="Q147" s="177"/>
      <c r="R147" s="177"/>
      <c r="S147" s="177"/>
      <c r="T147" s="177"/>
      <c r="U147" s="177"/>
      <c r="V147" s="177"/>
      <c r="W147" s="177"/>
      <c r="X147" s="177"/>
      <c r="Y147" s="177"/>
      <c r="Z147" s="177"/>
      <c r="AA147" s="177"/>
      <c r="AB147" s="177"/>
      <c r="AC147" s="177"/>
      <c r="AD147" s="177"/>
      <c r="AE147" s="177"/>
      <c r="AF147" s="177"/>
      <c r="AG147" s="177"/>
      <c r="AH147" s="177"/>
      <c r="AI147" s="177"/>
      <c r="AJ147" s="177"/>
      <c r="AK147" s="177"/>
      <c r="AL147" s="177"/>
      <c r="AM147" s="177"/>
    </row>
    <row r="148" spans="2:39" ht="18.75" customHeight="1" x14ac:dyDescent="0.25">
      <c r="B148" s="176"/>
      <c r="C148" s="177"/>
      <c r="D148" s="177"/>
      <c r="E148" s="177"/>
      <c r="F148" s="177"/>
      <c r="G148" s="177"/>
      <c r="H148" s="177"/>
      <c r="I148" s="177"/>
      <c r="J148" s="177"/>
      <c r="K148" s="177"/>
      <c r="L148" s="177"/>
      <c r="M148" s="177"/>
      <c r="N148" s="177"/>
      <c r="O148" s="177"/>
      <c r="P148" s="177"/>
      <c r="Q148" s="177"/>
      <c r="R148" s="177"/>
      <c r="S148" s="177"/>
      <c r="T148" s="177"/>
      <c r="U148" s="177"/>
      <c r="V148" s="177"/>
      <c r="W148" s="177"/>
      <c r="X148" s="177"/>
      <c r="Y148" s="177"/>
      <c r="Z148" s="177"/>
      <c r="AA148" s="177"/>
      <c r="AB148" s="177"/>
      <c r="AC148" s="177"/>
      <c r="AD148" s="177"/>
      <c r="AE148" s="177"/>
      <c r="AF148" s="177"/>
      <c r="AG148" s="177"/>
      <c r="AH148" s="177"/>
      <c r="AI148" s="177"/>
      <c r="AJ148" s="177"/>
      <c r="AK148" s="177"/>
      <c r="AL148" s="177"/>
      <c r="AM148" s="177"/>
    </row>
    <row r="149" spans="2:39" ht="18.75" customHeight="1" x14ac:dyDescent="0.25">
      <c r="B149" s="176"/>
      <c r="C149" s="177"/>
      <c r="D149" s="177"/>
      <c r="E149" s="177"/>
      <c r="F149" s="177"/>
      <c r="G149" s="177"/>
      <c r="H149" s="177"/>
      <c r="I149" s="177"/>
      <c r="J149" s="177"/>
      <c r="K149" s="177"/>
      <c r="L149" s="177"/>
      <c r="M149" s="177"/>
      <c r="N149" s="177"/>
      <c r="O149" s="177"/>
      <c r="P149" s="177"/>
      <c r="Q149" s="177"/>
      <c r="R149" s="177"/>
      <c r="S149" s="177"/>
      <c r="T149" s="177"/>
      <c r="U149" s="177"/>
      <c r="V149" s="177"/>
      <c r="W149" s="177"/>
      <c r="X149" s="177"/>
      <c r="Y149" s="177"/>
      <c r="Z149" s="177"/>
      <c r="AA149" s="177"/>
      <c r="AB149" s="177"/>
      <c r="AC149" s="177"/>
      <c r="AD149" s="177"/>
      <c r="AE149" s="177"/>
      <c r="AF149" s="177"/>
      <c r="AG149" s="177"/>
      <c r="AH149" s="177"/>
      <c r="AI149" s="177"/>
      <c r="AJ149" s="177"/>
      <c r="AK149" s="177"/>
      <c r="AL149" s="177"/>
      <c r="AM149" s="177"/>
    </row>
    <row r="150" spans="2:39" ht="18.75" customHeight="1" x14ac:dyDescent="0.25">
      <c r="B150" s="176"/>
      <c r="C150" s="177"/>
      <c r="D150" s="177"/>
      <c r="E150" s="177"/>
      <c r="F150" s="177"/>
      <c r="G150" s="177"/>
      <c r="H150" s="177"/>
      <c r="I150" s="177"/>
      <c r="J150" s="177"/>
      <c r="K150" s="177"/>
      <c r="L150" s="177"/>
      <c r="M150" s="177"/>
      <c r="N150" s="177"/>
      <c r="O150" s="177"/>
      <c r="P150" s="177"/>
      <c r="Q150" s="177"/>
      <c r="R150" s="177"/>
      <c r="S150" s="177"/>
      <c r="T150" s="177"/>
      <c r="U150" s="177"/>
      <c r="V150" s="177"/>
      <c r="W150" s="177"/>
      <c r="X150" s="177"/>
      <c r="Y150" s="177"/>
      <c r="Z150" s="177"/>
      <c r="AA150" s="177"/>
      <c r="AB150" s="177"/>
      <c r="AC150" s="177"/>
      <c r="AD150" s="177"/>
      <c r="AE150" s="177"/>
      <c r="AF150" s="177"/>
      <c r="AG150" s="177"/>
      <c r="AH150" s="177"/>
      <c r="AI150" s="177"/>
      <c r="AJ150" s="177"/>
      <c r="AK150" s="177"/>
      <c r="AL150" s="177"/>
      <c r="AM150" s="177"/>
    </row>
    <row r="151" spans="2:39" ht="18.75" customHeight="1" x14ac:dyDescent="0.25">
      <c r="B151" s="176"/>
      <c r="C151" s="177"/>
      <c r="D151" s="177"/>
      <c r="E151" s="177"/>
      <c r="F151" s="177"/>
      <c r="G151" s="177"/>
      <c r="H151" s="177"/>
      <c r="I151" s="177"/>
      <c r="J151" s="177"/>
      <c r="K151" s="177"/>
      <c r="L151" s="177"/>
      <c r="M151" s="177"/>
      <c r="N151" s="177"/>
      <c r="O151" s="177"/>
      <c r="P151" s="177"/>
      <c r="Q151" s="177"/>
      <c r="R151" s="177"/>
      <c r="S151" s="177"/>
      <c r="T151" s="177"/>
      <c r="U151" s="177"/>
      <c r="V151" s="177"/>
      <c r="W151" s="177"/>
      <c r="X151" s="177"/>
      <c r="Y151" s="177"/>
      <c r="Z151" s="177"/>
      <c r="AA151" s="177"/>
      <c r="AB151" s="177"/>
      <c r="AC151" s="177"/>
      <c r="AD151" s="177"/>
      <c r="AE151" s="177"/>
      <c r="AF151" s="177"/>
      <c r="AG151" s="177"/>
      <c r="AH151" s="177"/>
      <c r="AI151" s="177"/>
      <c r="AJ151" s="177"/>
      <c r="AK151" s="177"/>
      <c r="AL151" s="177"/>
      <c r="AM151" s="177"/>
    </row>
    <row r="152" spans="2:39" ht="18.75" customHeight="1" x14ac:dyDescent="0.25">
      <c r="B152" s="178"/>
      <c r="C152" s="179"/>
      <c r="D152" s="179"/>
      <c r="E152" s="179"/>
      <c r="F152" s="179"/>
      <c r="G152" s="179"/>
      <c r="H152" s="179"/>
      <c r="I152" s="179"/>
      <c r="J152" s="179"/>
      <c r="K152" s="179"/>
      <c r="L152" s="179"/>
      <c r="M152" s="179"/>
      <c r="N152" s="179"/>
      <c r="O152" s="179"/>
      <c r="P152" s="179"/>
      <c r="Q152" s="179"/>
      <c r="R152" s="179"/>
      <c r="S152" s="179"/>
      <c r="T152" s="179"/>
      <c r="U152" s="179"/>
      <c r="V152" s="179"/>
      <c r="W152" s="179"/>
      <c r="X152" s="179"/>
      <c r="Y152" s="179"/>
      <c r="Z152" s="179"/>
      <c r="AA152" s="179"/>
      <c r="AB152" s="179"/>
      <c r="AC152" s="179"/>
      <c r="AD152" s="179"/>
      <c r="AE152" s="179"/>
      <c r="AF152" s="179"/>
      <c r="AG152" s="179"/>
      <c r="AH152" s="179"/>
      <c r="AI152" s="179"/>
      <c r="AJ152" s="179"/>
      <c r="AK152" s="179"/>
      <c r="AL152" s="179"/>
      <c r="AM152" s="179"/>
    </row>
    <row r="153" spans="2:39" ht="18.75" customHeight="1" x14ac:dyDescent="0.25">
      <c r="B153" s="178"/>
      <c r="C153" s="179"/>
      <c r="D153" s="179"/>
      <c r="E153" s="179"/>
      <c r="F153" s="179"/>
      <c r="G153" s="179"/>
      <c r="H153" s="179"/>
      <c r="I153" s="179"/>
      <c r="J153" s="179"/>
      <c r="K153" s="179"/>
      <c r="L153" s="179"/>
      <c r="M153" s="179"/>
      <c r="N153" s="179"/>
      <c r="O153" s="179"/>
      <c r="P153" s="179"/>
      <c r="Q153" s="179"/>
      <c r="R153" s="179"/>
      <c r="S153" s="179"/>
      <c r="T153" s="179"/>
      <c r="U153" s="179"/>
      <c r="V153" s="179"/>
      <c r="W153" s="179"/>
      <c r="X153" s="179"/>
      <c r="Y153" s="179"/>
      <c r="Z153" s="179"/>
      <c r="AA153" s="179"/>
      <c r="AB153" s="179"/>
      <c r="AC153" s="179"/>
      <c r="AD153" s="179"/>
      <c r="AE153" s="179"/>
      <c r="AF153" s="179"/>
      <c r="AG153" s="179"/>
      <c r="AH153" s="179"/>
      <c r="AI153" s="179"/>
      <c r="AJ153" s="179"/>
      <c r="AK153" s="179"/>
      <c r="AL153" s="179"/>
      <c r="AM153" s="179"/>
    </row>
    <row r="154" spans="2:39" ht="12" customHeight="1" x14ac:dyDescent="0.25"/>
    <row r="155" spans="2:39" s="171" customFormat="1" ht="18.75" customHeight="1" x14ac:dyDescent="0.25">
      <c r="B155" s="240">
        <f>DATE(CalendarYear,11,1)</f>
        <v>44866</v>
      </c>
      <c r="C155" s="172" t="str">
        <f>IF(DAY(NovSun1)=1,"",IF(AND(YEAR(NovSun1+1)=CalendarYear,MONTH(NovSun1+1)=11),NovSun1+1,""))</f>
        <v/>
      </c>
      <c r="D155" s="172" t="str">
        <f>IF(DAY(NovSun1)=1,"",IF(AND(YEAR(NovSun1+2)=CalendarYear,MONTH(NovSun1+2)=11),NovSun1+2,""))</f>
        <v/>
      </c>
      <c r="E155" s="172">
        <f>IF(DAY(NovSun1)=1,"",IF(AND(YEAR(NovSun1+3)=CalendarYear,MONTH(NovSun1+3)=11),NovSun1+3,""))</f>
        <v>44866</v>
      </c>
      <c r="F155" s="172">
        <f>IF(DAY(NovSun1)=1,"",IF(AND(YEAR(NovSun1+4)=CalendarYear,MONTH(NovSun1+4)=11),NovSun1+4,""))</f>
        <v>44867</v>
      </c>
      <c r="G155" s="172">
        <f>IF(DAY(NovSun1)=1,"",IF(AND(YEAR(NovSun1+5)=CalendarYear,MONTH(NovSun1+5)=11),NovSun1+5,""))</f>
        <v>44868</v>
      </c>
      <c r="H155" s="172">
        <f>IF(DAY(NovSun1)=1,"",IF(AND(YEAR(NovSun1+6)=CalendarYear,MONTH(NovSun1+6)=11),NovSun1+6,""))</f>
        <v>44869</v>
      </c>
      <c r="I155" s="172">
        <f>IF(DAY(NovSun1)=1,IF(AND(YEAR(NovSun1)=CalendarYear,MONTH(NovSun1)=11),NovSun1,""),IF(AND(YEAR(NovSun1+7)=CalendarYear,MONTH(NovSun1+7)=11),NovSun1+7,""))</f>
        <v>44870</v>
      </c>
      <c r="J155" s="172">
        <f>IF(DAY(NovSun1)=1,IF(AND(YEAR(NovSun1+1)=CalendarYear,MONTH(NovSun1+1)=11),NovSun1+1,""),IF(AND(YEAR(NovSun1+8)=CalendarYear,MONTH(NovSun1+8)=11),NovSun1+8,""))</f>
        <v>44871</v>
      </c>
      <c r="K155" s="172">
        <f>IF(DAY(NovSun1)=1,IF(AND(YEAR(NovSun1+2)=CalendarYear,MONTH(NovSun1+2)=11),NovSun1+2,""),IF(AND(YEAR(NovSun1+9)=CalendarYear,MONTH(NovSun1+9)=11),NovSun1+9,""))</f>
        <v>44872</v>
      </c>
      <c r="L155" s="172">
        <f>IF(DAY(NovSun1)=1,IF(AND(YEAR(NovSun1+3)=CalendarYear,MONTH(NovSun1+3)=11),NovSun1+3,""),IF(AND(YEAR(NovSun1+10)=CalendarYear,MONTH(NovSun1+10)=11),NovSun1+10,""))</f>
        <v>44873</v>
      </c>
      <c r="M155" s="172">
        <f>IF(DAY(NovSun1)=1,IF(AND(YEAR(NovSun1+4)=CalendarYear,MONTH(NovSun1+4)=11),NovSun1+4,""),IF(AND(YEAR(NovSun1+11)=CalendarYear,MONTH(NovSun1+11)=11),NovSun1+11,""))</f>
        <v>44874</v>
      </c>
      <c r="N155" s="172">
        <f>IF(DAY(NovSun1)=1,IF(AND(YEAR(NovSun1+5)=CalendarYear,MONTH(NovSun1+5)=11),NovSun1+5,""),IF(AND(YEAR(NovSun1+12)=CalendarYear,MONTH(NovSun1+12)=11),NovSun1+12,""))</f>
        <v>44875</v>
      </c>
      <c r="O155" s="172">
        <f>IF(DAY(NovSun1)=1,IF(AND(YEAR(NovSun1+6)=CalendarYear,MONTH(NovSun1+6)=11),NovSun1+6,""),IF(AND(YEAR(NovSun1+13)=CalendarYear,MONTH(NovSun1+13)=11),NovSun1+13,""))</f>
        <v>44876</v>
      </c>
      <c r="P155" s="172">
        <f>IF(DAY(NovSun1)=1,IF(AND(YEAR(NovSun1+7)=CalendarYear,MONTH(NovSun1+7)=11),NovSun1+7,""),IF(AND(YEAR(NovSun1+14)=CalendarYear,MONTH(NovSun1+14)=11),NovSun1+14,""))</f>
        <v>44877</v>
      </c>
      <c r="Q155" s="172">
        <f>IF(DAY(NovSun1)=1,IF(AND(YEAR(NovSun1+8)=CalendarYear,MONTH(NovSun1+8)=11),NovSun1+8,""),IF(AND(YEAR(NovSun1+15)=CalendarYear,MONTH(NovSun1+15)=11),NovSun1+15,""))</f>
        <v>44878</v>
      </c>
      <c r="R155" s="172">
        <f>IF(DAY(NovSun1)=1,IF(AND(YEAR(NovSun1+9)=CalendarYear,MONTH(NovSun1+9)=11),NovSun1+9,""),IF(AND(YEAR(NovSun1+16)=CalendarYear,MONTH(NovSun1+16)=11),NovSun1+16,""))</f>
        <v>44879</v>
      </c>
      <c r="S155" s="172">
        <f>IF(DAY(NovSun1)=1,IF(AND(YEAR(NovSun1+10)=CalendarYear,MONTH(NovSun1+10)=11),NovSun1+10,""),IF(AND(YEAR(NovSun1+17)=CalendarYear,MONTH(NovSun1+17)=11),NovSun1+17,""))</f>
        <v>44880</v>
      </c>
      <c r="T155" s="172">
        <f>IF(DAY(NovSun1)=1,IF(AND(YEAR(NovSun1+11)=CalendarYear,MONTH(NovSun1+11)=11),NovSun1+11,""),IF(AND(YEAR(NovSun1+18)=CalendarYear,MONTH(NovSun1+18)=11),NovSun1+18,""))</f>
        <v>44881</v>
      </c>
      <c r="U155" s="172">
        <f>IF(DAY(NovSun1)=1,IF(AND(YEAR(NovSun1+12)=CalendarYear,MONTH(NovSun1+12)=11),NovSun1+12,""),IF(AND(YEAR(NovSun1+19)=CalendarYear,MONTH(NovSun1+19)=11),NovSun1+19,""))</f>
        <v>44882</v>
      </c>
      <c r="V155" s="172">
        <f>IF(DAY(NovSun1)=1,IF(AND(YEAR(NovSun1+13)=CalendarYear,MONTH(NovSun1+13)=11),NovSun1+13,""),IF(AND(YEAR(NovSun1+20)=CalendarYear,MONTH(NovSun1+20)=11),NovSun1+20,""))</f>
        <v>44883</v>
      </c>
      <c r="W155" s="172">
        <f>IF(DAY(NovSun1)=1,IF(AND(YEAR(NovSun1+14)=CalendarYear,MONTH(NovSun1+14)=11),NovSun1+14,""),IF(AND(YEAR(NovSun1+21)=CalendarYear,MONTH(NovSun1+21)=11),NovSun1+21,""))</f>
        <v>44884</v>
      </c>
      <c r="X155" s="172">
        <f>IF(DAY(NovSun1)=1,IF(AND(YEAR(NovSun1+15)=CalendarYear,MONTH(NovSun1+15)=11),NovSun1+15,""),IF(AND(YEAR(NovSun1+22)=CalendarYear,MONTH(NovSun1+22)=11),NovSun1+22,""))</f>
        <v>44885</v>
      </c>
      <c r="Y155" s="172">
        <f>IF(DAY(NovSun1)=1,IF(AND(YEAR(NovSun1+16)=CalendarYear,MONTH(NovSun1+16)=11),NovSun1+16,""),IF(AND(YEAR(NovSun1+23)=CalendarYear,MONTH(NovSun1+23)=11),NovSun1+23,""))</f>
        <v>44886</v>
      </c>
      <c r="Z155" s="172">
        <f>IF(DAY(NovSun1)=1,IF(AND(YEAR(NovSun1+17)=CalendarYear,MONTH(NovSun1+17)=11),NovSun1+17,""),IF(AND(YEAR(NovSun1+24)=CalendarYear,MONTH(NovSun1+24)=11),NovSun1+24,""))</f>
        <v>44887</v>
      </c>
      <c r="AA155" s="172">
        <f>IF(DAY(NovSun1)=1,IF(AND(YEAR(NovSun1+18)=CalendarYear,MONTH(NovSun1+18)=11),NovSun1+18,""),IF(AND(YEAR(NovSun1+25)=CalendarYear,MONTH(NovSun1+25)=11),NovSun1+25,""))</f>
        <v>44888</v>
      </c>
      <c r="AB155" s="172">
        <f>IF(DAY(NovSun1)=1,IF(AND(YEAR(NovSun1+19)=CalendarYear,MONTH(NovSun1+19)=11),NovSun1+19,""),IF(AND(YEAR(NovSun1+26)=CalendarYear,MONTH(NovSun1+26)=11),NovSun1+26,""))</f>
        <v>44889</v>
      </c>
      <c r="AC155" s="172">
        <f>IF(DAY(NovSun1)=1,IF(AND(YEAR(NovSun1+20)=CalendarYear,MONTH(NovSun1+20)=11),NovSun1+20,""),IF(AND(YEAR(NovSun1+27)=CalendarYear,MONTH(NovSun1+27)=11),NovSun1+27,""))</f>
        <v>44890</v>
      </c>
      <c r="AD155" s="172">
        <f>IF(DAY(NovSun1)=1,IF(AND(YEAR(NovSun1+21)=CalendarYear,MONTH(NovSun1+21)=11),NovSun1+21,""),IF(AND(YEAR(NovSun1+28)=CalendarYear,MONTH(NovSun1+28)=11),NovSun1+28,""))</f>
        <v>44891</v>
      </c>
      <c r="AE155" s="172">
        <f>IF(DAY(NovSun1)=1,IF(AND(YEAR(NovSun1+22)=CalendarYear,MONTH(NovSun1+22)=11),NovSun1+22,""),IF(AND(YEAR(NovSun1+29)=CalendarYear,MONTH(NovSun1+29)=11),NovSun1+29,""))</f>
        <v>44892</v>
      </c>
      <c r="AF155" s="172">
        <f>IF(DAY(NovSun1)=1,IF(AND(YEAR(NovSun1+23)=CalendarYear,MONTH(NovSun1+23)=11),NovSun1+23,""),IF(AND(YEAR(NovSun1+30)=CalendarYear,MONTH(NovSun1+30)=11),NovSun1+30,""))</f>
        <v>44893</v>
      </c>
      <c r="AG155" s="172">
        <f>IF(DAY(NovSun1)=1,IF(AND(YEAR(NovSun1+24)=CalendarYear,MONTH(NovSun1+24)=11),NovSun1+24,""),IF(AND(YEAR(NovSun1+31)=CalendarYear,MONTH(NovSun1+31)=11),NovSun1+31,""))</f>
        <v>44894</v>
      </c>
      <c r="AH155" s="172">
        <f>IF(DAY(NovSun1)=1,IF(AND(YEAR(NovSun1+25)=CalendarYear,MONTH(NovSun1+25)=11),NovSun1+25,""),IF(AND(YEAR(NovSun1+32)=CalendarYear,MONTH(NovSun1+32)=11),NovSun1+32,""))</f>
        <v>44895</v>
      </c>
      <c r="AI155" s="172" t="str">
        <f>IF(DAY(NovSun1)=1,IF(AND(YEAR(NovSun1+26)=CalendarYear,MONTH(NovSun1+26)=11),NovSun1+26,""),IF(AND(YEAR(NovSun1+33)=CalendarYear,MONTH(NovSun1+33)=11),NovSun1+33,""))</f>
        <v/>
      </c>
      <c r="AJ155" s="172" t="str">
        <f>IF(DAY(NovSun1)=1,IF(AND(YEAR(NovSun1+27)=CalendarYear,MONTH(NovSun1+27)=11),NovSun1+27,""),IF(AND(YEAR(NovSun1+34)=CalendarYear,MONTH(NovSun1+34)=11),NovSun1+34,""))</f>
        <v/>
      </c>
      <c r="AK155" s="172" t="str">
        <f>IF(DAY(NovSun1)=1,IF(AND(YEAR(NovSun1+28)=CalendarYear,MONTH(NovSun1+28)=11),NovSun1+28,""),IF(AND(YEAR(NovSun1+35)=CalendarYear,MONTH(NovSun1+35)=11),NovSun1+35,""))</f>
        <v/>
      </c>
      <c r="AL155" s="172" t="str">
        <f>IF(DAY(NovSun1)=1,IF(AND(YEAR(NovSun1+29)=CalendarYear,MONTH(NovSun1+29)=11),NovSun1+29,""),IF(AND(YEAR(NovSun1+36)=CalendarYear,MONTH(NovSun1+36)=11),NovSun1+36,""))</f>
        <v/>
      </c>
      <c r="AM155" s="173" t="str">
        <f>IF(DAY(NovSun1)=1,IF(AND(YEAR(NovSun1+30)=CalendarYear,MONTH(NovSun1+30)=11),NovSun1+30,""),IF(AND(YEAR(NovSun1+37)=CalendarYear,MONTH(NovSun1+37)=11),NovSun1+37,""))</f>
        <v/>
      </c>
    </row>
    <row r="156" spans="2:39" s="171" customFormat="1" ht="18.75" customHeight="1" x14ac:dyDescent="0.25">
      <c r="B156" s="240"/>
      <c r="C156" s="174" t="s">
        <v>59</v>
      </c>
      <c r="D156" s="174" t="s">
        <v>60</v>
      </c>
      <c r="E156" s="174" t="s">
        <v>61</v>
      </c>
      <c r="F156" s="174" t="s">
        <v>62</v>
      </c>
      <c r="G156" s="174" t="s">
        <v>63</v>
      </c>
      <c r="H156" s="174" t="s">
        <v>64</v>
      </c>
      <c r="I156" s="174" t="s">
        <v>65</v>
      </c>
      <c r="J156" s="174" t="s">
        <v>59</v>
      </c>
      <c r="K156" s="174" t="s">
        <v>60</v>
      </c>
      <c r="L156" s="174" t="s">
        <v>61</v>
      </c>
      <c r="M156" s="174" t="s">
        <v>62</v>
      </c>
      <c r="N156" s="174" t="s">
        <v>63</v>
      </c>
      <c r="O156" s="174" t="s">
        <v>64</v>
      </c>
      <c r="P156" s="174" t="s">
        <v>65</v>
      </c>
      <c r="Q156" s="174" t="s">
        <v>59</v>
      </c>
      <c r="R156" s="174" t="s">
        <v>60</v>
      </c>
      <c r="S156" s="174" t="s">
        <v>61</v>
      </c>
      <c r="T156" s="174" t="s">
        <v>62</v>
      </c>
      <c r="U156" s="174" t="s">
        <v>63</v>
      </c>
      <c r="V156" s="174" t="s">
        <v>64</v>
      </c>
      <c r="W156" s="174" t="s">
        <v>65</v>
      </c>
      <c r="X156" s="174" t="s">
        <v>59</v>
      </c>
      <c r="Y156" s="174" t="s">
        <v>60</v>
      </c>
      <c r="Z156" s="174" t="s">
        <v>61</v>
      </c>
      <c r="AA156" s="174" t="s">
        <v>62</v>
      </c>
      <c r="AB156" s="174" t="s">
        <v>63</v>
      </c>
      <c r="AC156" s="174" t="s">
        <v>64</v>
      </c>
      <c r="AD156" s="174" t="s">
        <v>65</v>
      </c>
      <c r="AE156" s="174" t="s">
        <v>59</v>
      </c>
      <c r="AF156" s="174" t="s">
        <v>60</v>
      </c>
      <c r="AG156" s="174" t="s">
        <v>61</v>
      </c>
      <c r="AH156" s="174" t="s">
        <v>62</v>
      </c>
      <c r="AI156" s="174" t="s">
        <v>63</v>
      </c>
      <c r="AJ156" s="174" t="s">
        <v>64</v>
      </c>
      <c r="AK156" s="174" t="s">
        <v>65</v>
      </c>
      <c r="AL156" s="174" t="s">
        <v>59</v>
      </c>
      <c r="AM156" s="175" t="s">
        <v>60</v>
      </c>
    </row>
    <row r="157" spans="2:39" ht="18.75" customHeight="1" x14ac:dyDescent="0.25">
      <c r="B157" s="176"/>
      <c r="C157" s="177"/>
      <c r="D157" s="177"/>
      <c r="E157" s="177"/>
      <c r="F157" s="177"/>
      <c r="G157" s="177"/>
      <c r="H157" s="177"/>
      <c r="I157" s="177"/>
      <c r="J157" s="177"/>
      <c r="K157" s="177"/>
      <c r="L157" s="177"/>
      <c r="M157" s="177"/>
      <c r="N157" s="177"/>
      <c r="O157" s="177"/>
      <c r="P157" s="177"/>
      <c r="Q157" s="177"/>
      <c r="R157" s="177"/>
      <c r="S157" s="177"/>
      <c r="T157" s="177"/>
      <c r="U157" s="177"/>
      <c r="V157" s="177"/>
      <c r="W157" s="177"/>
      <c r="X157" s="177"/>
      <c r="Y157" s="177"/>
      <c r="Z157" s="177"/>
      <c r="AA157" s="177"/>
      <c r="AB157" s="177"/>
      <c r="AC157" s="177"/>
      <c r="AD157" s="177"/>
      <c r="AE157" s="177"/>
      <c r="AF157" s="177"/>
      <c r="AG157" s="177"/>
      <c r="AH157" s="177"/>
      <c r="AI157" s="177"/>
      <c r="AJ157" s="177"/>
      <c r="AK157" s="177"/>
      <c r="AL157" s="177"/>
      <c r="AM157" s="177"/>
    </row>
    <row r="158" spans="2:39" ht="18.75" customHeight="1" x14ac:dyDescent="0.25">
      <c r="B158" s="176"/>
      <c r="C158" s="177"/>
      <c r="D158" s="177"/>
      <c r="E158" s="177"/>
      <c r="F158" s="177"/>
      <c r="G158" s="177"/>
      <c r="H158" s="177"/>
      <c r="I158" s="177"/>
      <c r="J158" s="177"/>
      <c r="K158" s="177"/>
      <c r="L158" s="177"/>
      <c r="M158" s="177"/>
      <c r="N158" s="177"/>
      <c r="O158" s="177"/>
      <c r="P158" s="177"/>
      <c r="Q158" s="177"/>
      <c r="R158" s="177"/>
      <c r="S158" s="177"/>
      <c r="T158" s="177"/>
      <c r="U158" s="177"/>
      <c r="V158" s="177"/>
      <c r="W158" s="177"/>
      <c r="X158" s="177"/>
      <c r="Y158" s="177"/>
      <c r="Z158" s="177"/>
      <c r="AA158" s="177"/>
      <c r="AB158" s="177"/>
      <c r="AC158" s="177"/>
      <c r="AD158" s="177"/>
      <c r="AE158" s="177"/>
      <c r="AF158" s="177"/>
      <c r="AG158" s="177"/>
      <c r="AH158" s="177"/>
      <c r="AI158" s="177"/>
      <c r="AJ158" s="177"/>
      <c r="AK158" s="177"/>
      <c r="AL158" s="177"/>
      <c r="AM158" s="177"/>
    </row>
    <row r="159" spans="2:39" ht="18.75" customHeight="1" x14ac:dyDescent="0.25">
      <c r="B159" s="176"/>
      <c r="C159" s="177"/>
      <c r="D159" s="177"/>
      <c r="E159" s="177"/>
      <c r="F159" s="177"/>
      <c r="G159" s="177"/>
      <c r="H159" s="177"/>
      <c r="I159" s="177"/>
      <c r="J159" s="177"/>
      <c r="K159" s="177"/>
      <c r="L159" s="177"/>
      <c r="M159" s="177"/>
      <c r="N159" s="177"/>
      <c r="O159" s="177"/>
      <c r="P159" s="177"/>
      <c r="Q159" s="177"/>
      <c r="R159" s="177"/>
      <c r="S159" s="177"/>
      <c r="T159" s="177"/>
      <c r="U159" s="177"/>
      <c r="V159" s="177"/>
      <c r="W159" s="177"/>
      <c r="X159" s="177"/>
      <c r="Y159" s="177"/>
      <c r="Z159" s="177"/>
      <c r="AA159" s="177"/>
      <c r="AB159" s="177"/>
      <c r="AC159" s="177"/>
      <c r="AD159" s="177"/>
      <c r="AE159" s="177"/>
      <c r="AF159" s="177"/>
      <c r="AG159" s="177"/>
      <c r="AH159" s="177"/>
      <c r="AI159" s="177"/>
      <c r="AJ159" s="177"/>
      <c r="AK159" s="177"/>
      <c r="AL159" s="177"/>
      <c r="AM159" s="177"/>
    </row>
    <row r="160" spans="2:39" ht="18.75" customHeight="1" x14ac:dyDescent="0.25">
      <c r="B160" s="176"/>
      <c r="C160" s="177"/>
      <c r="D160" s="177"/>
      <c r="E160" s="177"/>
      <c r="F160" s="177"/>
      <c r="G160" s="177"/>
      <c r="H160" s="177"/>
      <c r="I160" s="177"/>
      <c r="J160" s="177"/>
      <c r="K160" s="177"/>
      <c r="L160" s="177"/>
      <c r="M160" s="177"/>
      <c r="N160" s="177"/>
      <c r="O160" s="177"/>
      <c r="P160" s="177"/>
      <c r="Q160" s="177"/>
      <c r="R160" s="177"/>
      <c r="S160" s="177"/>
      <c r="T160" s="177"/>
      <c r="U160" s="177"/>
      <c r="V160" s="177"/>
      <c r="W160" s="177"/>
      <c r="X160" s="177"/>
      <c r="Y160" s="177"/>
      <c r="Z160" s="177"/>
      <c r="AA160" s="177"/>
      <c r="AB160" s="177"/>
      <c r="AC160" s="177"/>
      <c r="AD160" s="177"/>
      <c r="AE160" s="177"/>
      <c r="AF160" s="177"/>
      <c r="AG160" s="177"/>
      <c r="AH160" s="177"/>
      <c r="AI160" s="177"/>
      <c r="AJ160" s="177"/>
      <c r="AK160" s="177"/>
      <c r="AL160" s="177"/>
      <c r="AM160" s="177"/>
    </row>
    <row r="161" spans="2:39" ht="18.75" customHeight="1" x14ac:dyDescent="0.25">
      <c r="B161" s="176"/>
      <c r="C161" s="177"/>
      <c r="D161" s="177"/>
      <c r="E161" s="177"/>
      <c r="F161" s="177"/>
      <c r="G161" s="177"/>
      <c r="H161" s="177"/>
      <c r="I161" s="177"/>
      <c r="J161" s="177"/>
      <c r="K161" s="177"/>
      <c r="L161" s="177"/>
      <c r="M161" s="177"/>
      <c r="N161" s="177"/>
      <c r="O161" s="177"/>
      <c r="P161" s="177"/>
      <c r="Q161" s="177"/>
      <c r="R161" s="177"/>
      <c r="S161" s="177"/>
      <c r="T161" s="177"/>
      <c r="U161" s="177"/>
      <c r="V161" s="177"/>
      <c r="W161" s="177"/>
      <c r="X161" s="177"/>
      <c r="Y161" s="177"/>
      <c r="Z161" s="177"/>
      <c r="AA161" s="177"/>
      <c r="AB161" s="177"/>
      <c r="AC161" s="177"/>
      <c r="AD161" s="177"/>
      <c r="AE161" s="177"/>
      <c r="AF161" s="177"/>
      <c r="AG161" s="177"/>
      <c r="AH161" s="177"/>
      <c r="AI161" s="177"/>
      <c r="AJ161" s="177"/>
      <c r="AK161" s="177"/>
      <c r="AL161" s="177"/>
      <c r="AM161" s="177"/>
    </row>
    <row r="162" spans="2:39" ht="18.75" customHeight="1" x14ac:dyDescent="0.25">
      <c r="B162" s="176"/>
      <c r="C162" s="177"/>
      <c r="D162" s="177"/>
      <c r="E162" s="177"/>
      <c r="F162" s="177"/>
      <c r="G162" s="177"/>
      <c r="H162" s="177"/>
      <c r="I162" s="177"/>
      <c r="J162" s="177"/>
      <c r="K162" s="177"/>
      <c r="L162" s="177"/>
      <c r="M162" s="177"/>
      <c r="N162" s="177"/>
      <c r="O162" s="177"/>
      <c r="P162" s="177"/>
      <c r="Q162" s="177"/>
      <c r="R162" s="177"/>
      <c r="S162" s="177"/>
      <c r="T162" s="177"/>
      <c r="U162" s="177"/>
      <c r="V162" s="177"/>
      <c r="W162" s="177"/>
      <c r="X162" s="177"/>
      <c r="Y162" s="177"/>
      <c r="Z162" s="177"/>
      <c r="AA162" s="177"/>
      <c r="AB162" s="177"/>
      <c r="AC162" s="177"/>
      <c r="AD162" s="177"/>
      <c r="AE162" s="177"/>
      <c r="AF162" s="177"/>
      <c r="AG162" s="177"/>
      <c r="AH162" s="177"/>
      <c r="AI162" s="177"/>
      <c r="AJ162" s="177"/>
      <c r="AK162" s="177"/>
      <c r="AL162" s="177"/>
      <c r="AM162" s="177"/>
    </row>
    <row r="163" spans="2:39" ht="18.75" customHeight="1" x14ac:dyDescent="0.25">
      <c r="B163" s="176"/>
      <c r="C163" s="177"/>
      <c r="D163" s="177"/>
      <c r="E163" s="177"/>
      <c r="F163" s="177"/>
      <c r="G163" s="177"/>
      <c r="H163" s="177"/>
      <c r="I163" s="177"/>
      <c r="J163" s="177"/>
      <c r="K163" s="177"/>
      <c r="L163" s="177"/>
      <c r="M163" s="177"/>
      <c r="N163" s="177"/>
      <c r="O163" s="177"/>
      <c r="P163" s="177"/>
      <c r="Q163" s="177"/>
      <c r="R163" s="177"/>
      <c r="S163" s="177"/>
      <c r="T163" s="177"/>
      <c r="U163" s="177"/>
      <c r="V163" s="177"/>
      <c r="W163" s="177"/>
      <c r="X163" s="177"/>
      <c r="Y163" s="177"/>
      <c r="Z163" s="177"/>
      <c r="AA163" s="177"/>
      <c r="AB163" s="177"/>
      <c r="AC163" s="177"/>
      <c r="AD163" s="177"/>
      <c r="AE163" s="177"/>
      <c r="AF163" s="177"/>
      <c r="AG163" s="177"/>
      <c r="AH163" s="177"/>
      <c r="AI163" s="177"/>
      <c r="AJ163" s="177"/>
      <c r="AK163" s="177"/>
      <c r="AL163" s="177"/>
      <c r="AM163" s="177"/>
    </row>
    <row r="164" spans="2:39" ht="18.75" customHeight="1" x14ac:dyDescent="0.25">
      <c r="B164" s="176"/>
      <c r="C164" s="177"/>
      <c r="D164" s="177"/>
      <c r="E164" s="177"/>
      <c r="F164" s="177"/>
      <c r="G164" s="177"/>
      <c r="H164" s="177"/>
      <c r="I164" s="177"/>
      <c r="J164" s="177"/>
      <c r="K164" s="177"/>
      <c r="L164" s="177"/>
      <c r="M164" s="177"/>
      <c r="N164" s="177"/>
      <c r="O164" s="177"/>
      <c r="P164" s="177"/>
      <c r="Q164" s="177"/>
      <c r="R164" s="177"/>
      <c r="S164" s="177"/>
      <c r="T164" s="177"/>
      <c r="U164" s="177"/>
      <c r="V164" s="177"/>
      <c r="W164" s="177"/>
      <c r="X164" s="177"/>
      <c r="Y164" s="177"/>
      <c r="Z164" s="177"/>
      <c r="AA164" s="177"/>
      <c r="AB164" s="177"/>
      <c r="AC164" s="177"/>
      <c r="AD164" s="177"/>
      <c r="AE164" s="177"/>
      <c r="AF164" s="177"/>
      <c r="AG164" s="177"/>
      <c r="AH164" s="177"/>
      <c r="AI164" s="177"/>
      <c r="AJ164" s="177"/>
      <c r="AK164" s="177"/>
      <c r="AL164" s="177"/>
      <c r="AM164" s="177"/>
    </row>
    <row r="165" spans="2:39" ht="18.75" customHeight="1" x14ac:dyDescent="0.25">
      <c r="B165" s="176"/>
      <c r="C165" s="177"/>
      <c r="D165" s="177"/>
      <c r="E165" s="177"/>
      <c r="F165" s="177"/>
      <c r="G165" s="177"/>
      <c r="H165" s="177"/>
      <c r="I165" s="177"/>
      <c r="J165" s="177"/>
      <c r="K165" s="177"/>
      <c r="L165" s="177"/>
      <c r="M165" s="177"/>
      <c r="N165" s="177"/>
      <c r="O165" s="177"/>
      <c r="P165" s="177"/>
      <c r="Q165" s="177"/>
      <c r="R165" s="177"/>
      <c r="S165" s="177"/>
      <c r="T165" s="177"/>
      <c r="U165" s="177"/>
      <c r="V165" s="177"/>
      <c r="W165" s="177"/>
      <c r="X165" s="177"/>
      <c r="Y165" s="177"/>
      <c r="Z165" s="177"/>
      <c r="AA165" s="177"/>
      <c r="AB165" s="177"/>
      <c r="AC165" s="177"/>
      <c r="AD165" s="177"/>
      <c r="AE165" s="177"/>
      <c r="AF165" s="177"/>
      <c r="AG165" s="177"/>
      <c r="AH165" s="177"/>
      <c r="AI165" s="177"/>
      <c r="AJ165" s="177"/>
      <c r="AK165" s="177"/>
      <c r="AL165" s="177"/>
      <c r="AM165" s="177"/>
    </row>
    <row r="166" spans="2:39" ht="18.75" customHeight="1" x14ac:dyDescent="0.25">
      <c r="B166" s="178"/>
      <c r="C166" s="179"/>
      <c r="D166" s="179"/>
      <c r="E166" s="179"/>
      <c r="F166" s="179"/>
      <c r="G166" s="179"/>
      <c r="H166" s="179"/>
      <c r="I166" s="179"/>
      <c r="J166" s="179"/>
      <c r="K166" s="179"/>
      <c r="L166" s="179"/>
      <c r="M166" s="179"/>
      <c r="N166" s="179"/>
      <c r="O166" s="179"/>
      <c r="P166" s="179"/>
      <c r="Q166" s="179"/>
      <c r="R166" s="179"/>
      <c r="S166" s="179"/>
      <c r="T166" s="179"/>
      <c r="U166" s="179"/>
      <c r="V166" s="179"/>
      <c r="W166" s="179"/>
      <c r="X166" s="179"/>
      <c r="Y166" s="179"/>
      <c r="Z166" s="179"/>
      <c r="AA166" s="179"/>
      <c r="AB166" s="179"/>
      <c r="AC166" s="179"/>
      <c r="AD166" s="179"/>
      <c r="AE166" s="179"/>
      <c r="AF166" s="179"/>
      <c r="AG166" s="179"/>
      <c r="AH166" s="179"/>
      <c r="AI166" s="179"/>
      <c r="AJ166" s="179"/>
      <c r="AK166" s="179"/>
      <c r="AL166" s="179"/>
      <c r="AM166" s="179"/>
    </row>
    <row r="167" spans="2:39" ht="18.75" customHeight="1" x14ac:dyDescent="0.25">
      <c r="B167" s="178"/>
      <c r="C167" s="179"/>
      <c r="D167" s="179"/>
      <c r="E167" s="179"/>
      <c r="F167" s="179"/>
      <c r="G167" s="179"/>
      <c r="H167" s="179"/>
      <c r="I167" s="179"/>
      <c r="J167" s="179"/>
      <c r="K167" s="179"/>
      <c r="L167" s="179"/>
      <c r="M167" s="179"/>
      <c r="N167" s="179"/>
      <c r="O167" s="179"/>
      <c r="P167" s="179"/>
      <c r="Q167" s="179"/>
      <c r="R167" s="179"/>
      <c r="S167" s="179"/>
      <c r="T167" s="179"/>
      <c r="U167" s="179"/>
      <c r="V167" s="179"/>
      <c r="W167" s="179"/>
      <c r="X167" s="179"/>
      <c r="Y167" s="179"/>
      <c r="Z167" s="179"/>
      <c r="AA167" s="179"/>
      <c r="AB167" s="179"/>
      <c r="AC167" s="179"/>
      <c r="AD167" s="179"/>
      <c r="AE167" s="179"/>
      <c r="AF167" s="179"/>
      <c r="AG167" s="179"/>
      <c r="AH167" s="179"/>
      <c r="AI167" s="179"/>
      <c r="AJ167" s="179"/>
      <c r="AK167" s="179"/>
      <c r="AL167" s="179"/>
      <c r="AM167" s="179"/>
    </row>
    <row r="168" spans="2:39" ht="12" customHeight="1" x14ac:dyDescent="0.25"/>
    <row r="169" spans="2:39" s="171" customFormat="1" ht="18.75" customHeight="1" x14ac:dyDescent="0.25">
      <c r="B169" s="240">
        <f>DATE(CalendarYear,12,1)</f>
        <v>44896</v>
      </c>
      <c r="C169" s="172" t="str">
        <f>IF(DAY(DecSun1)=1,"",IF(AND(YEAR(DecSun1+1)=CalendarYear,MONTH(DecSun1+1)=12),DecSun1+1,""))</f>
        <v/>
      </c>
      <c r="D169" s="172" t="str">
        <f>IF(DAY(DecSun1)=1,"",IF(AND(YEAR(DecSun1+2)=CalendarYear,MONTH(DecSun1+2)=12),DecSun1+2,""))</f>
        <v/>
      </c>
      <c r="E169" s="172" t="str">
        <f>IF(DAY(DecSun1)=1,"",IF(AND(YEAR(DecSun1+3)=CalendarYear,MONTH(DecSun1+3)=12),DecSun1+3,""))</f>
        <v/>
      </c>
      <c r="F169" s="172" t="str">
        <f>IF(DAY(DecSun1)=1,"",IF(AND(YEAR(DecSun1+4)=CalendarYear,MONTH(DecSun1+4)=12),DecSun1+4,""))</f>
        <v/>
      </c>
      <c r="G169" s="172">
        <f>IF(DAY(DecSun1)=1,"",IF(AND(YEAR(DecSun1+5)=CalendarYear,MONTH(DecSun1+5)=12),DecSun1+5,""))</f>
        <v>44896</v>
      </c>
      <c r="H169" s="172">
        <f>IF(DAY(DecSun1)=1,"",IF(AND(YEAR(DecSun1+6)=CalendarYear,MONTH(DecSun1+6)=12),DecSun1+6,""))</f>
        <v>44897</v>
      </c>
      <c r="I169" s="172">
        <f>IF(DAY(DecSun1)=1,IF(AND(YEAR(DecSun1)=CalendarYear,MONTH(DecSun1)=12),DecSun1,""),IF(AND(YEAR(DecSun1+7)=CalendarYear,MONTH(DecSun1+7)=12),DecSun1+7,""))</f>
        <v>44898</v>
      </c>
      <c r="J169" s="172">
        <f>IF(DAY(DecSun1)=1,IF(AND(YEAR(DecSun1+1)=CalendarYear,MONTH(DecSun1+1)=12),DecSun1+1,""),IF(AND(YEAR(DecSun1+8)=CalendarYear,MONTH(DecSun1+8)=12),DecSun1+8,""))</f>
        <v>44899</v>
      </c>
      <c r="K169" s="172">
        <f>IF(DAY(DecSun1)=1,IF(AND(YEAR(DecSun1+2)=CalendarYear,MONTH(DecSun1+2)=12),DecSun1+2,""),IF(AND(YEAR(DecSun1+9)=CalendarYear,MONTH(DecSun1+9)=12),DecSun1+9,""))</f>
        <v>44900</v>
      </c>
      <c r="L169" s="172">
        <f>IF(DAY(DecSun1)=1,IF(AND(YEAR(DecSun1+3)=CalendarYear,MONTH(DecSun1+3)=12),DecSun1+3,""),IF(AND(YEAR(DecSun1+10)=CalendarYear,MONTH(DecSun1+10)=12),DecSun1+10,""))</f>
        <v>44901</v>
      </c>
      <c r="M169" s="172">
        <f>IF(DAY(DecSun1)=1,IF(AND(YEAR(DecSun1+4)=CalendarYear,MONTH(DecSun1+4)=12),DecSun1+4,""),IF(AND(YEAR(DecSun1+11)=CalendarYear,MONTH(DecSun1+11)=12),DecSun1+11,""))</f>
        <v>44902</v>
      </c>
      <c r="N169" s="172">
        <f>IF(DAY(DecSun1)=1,IF(AND(YEAR(DecSun1+5)=CalendarYear,MONTH(DecSun1+5)=12),DecSun1+5,""),IF(AND(YEAR(DecSun1+12)=CalendarYear,MONTH(DecSun1+12)=12),DecSun1+12,""))</f>
        <v>44903</v>
      </c>
      <c r="O169" s="172">
        <f>IF(DAY(DecSun1)=1,IF(AND(YEAR(DecSun1+6)=CalendarYear,MONTH(DecSun1+6)=12),DecSun1+6,""),IF(AND(YEAR(DecSun1+13)=CalendarYear,MONTH(DecSun1+13)=12),DecSun1+13,""))</f>
        <v>44904</v>
      </c>
      <c r="P169" s="172">
        <f>IF(DAY(DecSun1)=1,IF(AND(YEAR(DecSun1+7)=CalendarYear,MONTH(DecSun1+7)=12),DecSun1+7,""),IF(AND(YEAR(DecSun1+14)=CalendarYear,MONTH(DecSun1+14)=12),DecSun1+14,""))</f>
        <v>44905</v>
      </c>
      <c r="Q169" s="172">
        <f>IF(DAY(DecSun1)=1,IF(AND(YEAR(DecSun1+8)=CalendarYear,MONTH(DecSun1+8)=12),DecSun1+8,""),IF(AND(YEAR(DecSun1+15)=CalendarYear,MONTH(DecSun1+15)=12),DecSun1+15,""))</f>
        <v>44906</v>
      </c>
      <c r="R169" s="172">
        <f>IF(DAY(DecSun1)=1,IF(AND(YEAR(DecSun1+9)=CalendarYear,MONTH(DecSun1+9)=12),DecSun1+9,""),IF(AND(YEAR(DecSun1+16)=CalendarYear,MONTH(DecSun1+16)=12),DecSun1+16,""))</f>
        <v>44907</v>
      </c>
      <c r="S169" s="172">
        <f>IF(DAY(DecSun1)=1,IF(AND(YEAR(DecSun1+10)=CalendarYear,MONTH(DecSun1+10)=12),DecSun1+10,""),IF(AND(YEAR(DecSun1+17)=CalendarYear,MONTH(DecSun1+17)=12),DecSun1+17,""))</f>
        <v>44908</v>
      </c>
      <c r="T169" s="172">
        <f>IF(DAY(DecSun1)=1,IF(AND(YEAR(DecSun1+11)=CalendarYear,MONTH(DecSun1+11)=12),DecSun1+11,""),IF(AND(YEAR(DecSun1+18)=CalendarYear,MONTH(DecSun1+18)=12),DecSun1+18,""))</f>
        <v>44909</v>
      </c>
      <c r="U169" s="172">
        <f>IF(DAY(DecSun1)=1,IF(AND(YEAR(DecSun1+12)=CalendarYear,MONTH(DecSun1+12)=12),DecSun1+12,""),IF(AND(YEAR(DecSun1+19)=CalendarYear,MONTH(DecSun1+19)=12),DecSun1+19,""))</f>
        <v>44910</v>
      </c>
      <c r="V169" s="172">
        <f>IF(DAY(DecSun1)=1,IF(AND(YEAR(DecSun1+13)=CalendarYear,MONTH(DecSun1+13)=12),DecSun1+13,""),IF(AND(YEAR(DecSun1+20)=CalendarYear,MONTH(DecSun1+20)=12),DecSun1+20,""))</f>
        <v>44911</v>
      </c>
      <c r="W169" s="172">
        <f>IF(DAY(DecSun1)=1,IF(AND(YEAR(DecSun1+14)=CalendarYear,MONTH(DecSun1+14)=12),DecSun1+14,""),IF(AND(YEAR(DecSun1+21)=CalendarYear,MONTH(DecSun1+21)=12),DecSun1+21,""))</f>
        <v>44912</v>
      </c>
      <c r="X169" s="172">
        <f>IF(DAY(DecSun1)=1,IF(AND(YEAR(DecSun1+15)=CalendarYear,MONTH(DecSun1+15)=12),DecSun1+15,""),IF(AND(YEAR(DecSun1+22)=CalendarYear,MONTH(DecSun1+22)=12),DecSun1+22,""))</f>
        <v>44913</v>
      </c>
      <c r="Y169" s="172">
        <f>IF(DAY(DecSun1)=1,IF(AND(YEAR(DecSun1+16)=CalendarYear,MONTH(DecSun1+16)=12),DecSun1+16,""),IF(AND(YEAR(DecSun1+23)=CalendarYear,MONTH(DecSun1+23)=12),DecSun1+23,""))</f>
        <v>44914</v>
      </c>
      <c r="Z169" s="172">
        <f>IF(DAY(DecSun1)=1,IF(AND(YEAR(DecSun1+17)=CalendarYear,MONTH(DecSun1+17)=12),DecSun1+17,""),IF(AND(YEAR(DecSun1+24)=CalendarYear,MONTH(DecSun1+24)=12),DecSun1+24,""))</f>
        <v>44915</v>
      </c>
      <c r="AA169" s="172">
        <f>IF(DAY(DecSun1)=1,IF(AND(YEAR(DecSun1+18)=CalendarYear,MONTH(DecSun1+18)=12),DecSun1+18,""),IF(AND(YEAR(DecSun1+25)=CalendarYear,MONTH(DecSun1+25)=12),DecSun1+25,""))</f>
        <v>44916</v>
      </c>
      <c r="AB169" s="172">
        <f>IF(DAY(DecSun1)=1,IF(AND(YEAR(DecSun1+19)=CalendarYear,MONTH(DecSun1+19)=12),DecSun1+19,""),IF(AND(YEAR(DecSun1+26)=CalendarYear,MONTH(DecSun1+26)=12),DecSun1+26,""))</f>
        <v>44917</v>
      </c>
      <c r="AC169" s="172">
        <f>IF(DAY(DecSun1)=1,IF(AND(YEAR(DecSun1+20)=CalendarYear,MONTH(DecSun1+20)=12),DecSun1+20,""),IF(AND(YEAR(DecSun1+27)=CalendarYear,MONTH(DecSun1+27)=12),DecSun1+27,""))</f>
        <v>44918</v>
      </c>
      <c r="AD169" s="172">
        <f>IF(DAY(DecSun1)=1,IF(AND(YEAR(DecSun1+21)=CalendarYear,MONTH(DecSun1+21)=12),DecSun1+21,""),IF(AND(YEAR(DecSun1+28)=CalendarYear,MONTH(DecSun1+28)=12),DecSun1+28,""))</f>
        <v>44919</v>
      </c>
      <c r="AE169" s="172">
        <f>IF(DAY(DecSun1)=1,IF(AND(YEAR(DecSun1+22)=CalendarYear,MONTH(DecSun1+22)=12),DecSun1+22,""),IF(AND(YEAR(DecSun1+29)=CalendarYear,MONTH(DecSun1+29)=12),DecSun1+29,""))</f>
        <v>44920</v>
      </c>
      <c r="AF169" s="172">
        <f>IF(DAY(DecSun1)=1,IF(AND(YEAR(DecSun1+23)=CalendarYear,MONTH(DecSun1+23)=12),DecSun1+23,""),IF(AND(YEAR(DecSun1+30)=CalendarYear,MONTH(DecSun1+30)=12),DecSun1+30,""))</f>
        <v>44921</v>
      </c>
      <c r="AG169" s="172">
        <f>IF(DAY(DecSun1)=1,IF(AND(YEAR(DecSun1+24)=CalendarYear,MONTH(DecSun1+24)=12),DecSun1+24,""),IF(AND(YEAR(DecSun1+31)=CalendarYear,MONTH(DecSun1+31)=12),DecSun1+31,""))</f>
        <v>44922</v>
      </c>
      <c r="AH169" s="172">
        <f>IF(DAY(DecSun1)=1,IF(AND(YEAR(DecSun1+25)=CalendarYear,MONTH(DecSun1+25)=12),DecSun1+25,""),IF(AND(YEAR(DecSun1+32)=CalendarYear,MONTH(DecSun1+32)=12),DecSun1+32,""))</f>
        <v>44923</v>
      </c>
      <c r="AI169" s="172">
        <f>IF(DAY(DecSun1)=1,IF(AND(YEAR(DecSun1+26)=CalendarYear,MONTH(DecSun1+26)=12),DecSun1+26,""),IF(AND(YEAR(DecSun1+33)=CalendarYear,MONTH(DecSun1+33)=12),DecSun1+33,""))</f>
        <v>44924</v>
      </c>
      <c r="AJ169" s="172">
        <f>IF(DAY(DecSun1)=1,IF(AND(YEAR(DecSun1+27)=CalendarYear,MONTH(DecSun1+27)=12),DecSun1+27,""),IF(AND(YEAR(DecSun1+34)=CalendarYear,MONTH(DecSun1+34)=12),DecSun1+34,""))</f>
        <v>44925</v>
      </c>
      <c r="AK169" s="172">
        <f>IF(DAY(DecSun1)=1,IF(AND(YEAR(DecSun1+28)=CalendarYear,MONTH(DecSun1+28)=12),DecSun1+28,""),IF(AND(YEAR(DecSun1+35)=CalendarYear,MONTH(DecSun1+35)=12),DecSun1+35,""))</f>
        <v>44926</v>
      </c>
      <c r="AL169" s="172" t="str">
        <f>IF(DAY(DecSun1)=1,IF(AND(YEAR(DecSun1+29)=CalendarYear,MONTH(DecSun1+29)=12),DecSun1+29,""),IF(AND(YEAR(DecSun1+36)=CalendarYear,MONTH(DecSun1+36)=12),DecSun1+36,""))</f>
        <v/>
      </c>
      <c r="AM169" s="173" t="str">
        <f>IF(DAY(DecSun1)=1,IF(AND(YEAR(DecSun1+30)=CalendarYear,MONTH(DecSun1+30)=12),DecSun1+30,""),IF(AND(YEAR(DecSun1+37)=CalendarYear,MONTH(DecSun1+37)=12),DecSun1+37,""))</f>
        <v/>
      </c>
    </row>
    <row r="170" spans="2:39" s="171" customFormat="1" ht="18.75" customHeight="1" x14ac:dyDescent="0.25">
      <c r="B170" s="240"/>
      <c r="C170" s="174" t="s">
        <v>59</v>
      </c>
      <c r="D170" s="174" t="s">
        <v>60</v>
      </c>
      <c r="E170" s="174" t="s">
        <v>61</v>
      </c>
      <c r="F170" s="174" t="s">
        <v>62</v>
      </c>
      <c r="G170" s="174" t="s">
        <v>63</v>
      </c>
      <c r="H170" s="174" t="s">
        <v>64</v>
      </c>
      <c r="I170" s="174" t="s">
        <v>65</v>
      </c>
      <c r="J170" s="174" t="s">
        <v>59</v>
      </c>
      <c r="K170" s="174" t="s">
        <v>60</v>
      </c>
      <c r="L170" s="174" t="s">
        <v>61</v>
      </c>
      <c r="M170" s="174" t="s">
        <v>62</v>
      </c>
      <c r="N170" s="174" t="s">
        <v>63</v>
      </c>
      <c r="O170" s="174" t="s">
        <v>64</v>
      </c>
      <c r="P170" s="174" t="s">
        <v>65</v>
      </c>
      <c r="Q170" s="174" t="s">
        <v>59</v>
      </c>
      <c r="R170" s="174" t="s">
        <v>60</v>
      </c>
      <c r="S170" s="174" t="s">
        <v>61</v>
      </c>
      <c r="T170" s="174" t="s">
        <v>62</v>
      </c>
      <c r="U170" s="174" t="s">
        <v>63</v>
      </c>
      <c r="V170" s="174" t="s">
        <v>64</v>
      </c>
      <c r="W170" s="174" t="s">
        <v>65</v>
      </c>
      <c r="X170" s="174" t="s">
        <v>59</v>
      </c>
      <c r="Y170" s="174" t="s">
        <v>60</v>
      </c>
      <c r="Z170" s="174" t="s">
        <v>61</v>
      </c>
      <c r="AA170" s="174" t="s">
        <v>62</v>
      </c>
      <c r="AB170" s="174" t="s">
        <v>63</v>
      </c>
      <c r="AC170" s="174" t="s">
        <v>64</v>
      </c>
      <c r="AD170" s="174" t="s">
        <v>65</v>
      </c>
      <c r="AE170" s="174" t="s">
        <v>59</v>
      </c>
      <c r="AF170" s="174" t="s">
        <v>60</v>
      </c>
      <c r="AG170" s="174" t="s">
        <v>61</v>
      </c>
      <c r="AH170" s="174" t="s">
        <v>62</v>
      </c>
      <c r="AI170" s="174" t="s">
        <v>63</v>
      </c>
      <c r="AJ170" s="174" t="s">
        <v>64</v>
      </c>
      <c r="AK170" s="174" t="s">
        <v>65</v>
      </c>
      <c r="AL170" s="174" t="s">
        <v>59</v>
      </c>
      <c r="AM170" s="175" t="s">
        <v>60</v>
      </c>
    </row>
    <row r="171" spans="2:39" ht="18.75" customHeight="1" x14ac:dyDescent="0.25">
      <c r="B171" s="176"/>
      <c r="C171" s="177"/>
      <c r="D171" s="177"/>
      <c r="E171" s="177"/>
      <c r="F171" s="177"/>
      <c r="G171" s="177"/>
      <c r="H171" s="177"/>
      <c r="I171" s="177"/>
      <c r="J171" s="177"/>
      <c r="K171" s="177"/>
      <c r="L171" s="177"/>
      <c r="M171" s="177"/>
      <c r="N171" s="177"/>
      <c r="O171" s="177"/>
      <c r="P171" s="177"/>
      <c r="Q171" s="177"/>
      <c r="R171" s="177"/>
      <c r="S171" s="177"/>
      <c r="T171" s="177"/>
      <c r="U171" s="177"/>
      <c r="V171" s="177"/>
      <c r="W171" s="177"/>
      <c r="X171" s="177"/>
      <c r="Y171" s="177"/>
      <c r="Z171" s="177"/>
      <c r="AA171" s="177"/>
      <c r="AB171" s="177"/>
      <c r="AC171" s="177"/>
      <c r="AD171" s="177"/>
      <c r="AE171" s="177"/>
      <c r="AF171" s="177"/>
      <c r="AG171" s="177"/>
      <c r="AH171" s="177"/>
      <c r="AI171" s="177"/>
      <c r="AJ171" s="177"/>
      <c r="AK171" s="177"/>
      <c r="AL171" s="177"/>
      <c r="AM171" s="177"/>
    </row>
    <row r="172" spans="2:39" ht="18.75" customHeight="1" x14ac:dyDescent="0.25">
      <c r="B172" s="176"/>
      <c r="C172" s="177"/>
      <c r="D172" s="177"/>
      <c r="E172" s="177"/>
      <c r="F172" s="177"/>
      <c r="G172" s="177"/>
      <c r="H172" s="177"/>
      <c r="I172" s="177"/>
      <c r="J172" s="177"/>
      <c r="K172" s="177"/>
      <c r="L172" s="177"/>
      <c r="M172" s="177"/>
      <c r="N172" s="177"/>
      <c r="O172" s="177"/>
      <c r="P172" s="177"/>
      <c r="Q172" s="177"/>
      <c r="R172" s="177"/>
      <c r="S172" s="177"/>
      <c r="T172" s="177"/>
      <c r="U172" s="177"/>
      <c r="V172" s="177"/>
      <c r="W172" s="177"/>
      <c r="X172" s="177"/>
      <c r="Y172" s="177"/>
      <c r="Z172" s="177"/>
      <c r="AA172" s="177"/>
      <c r="AB172" s="177"/>
      <c r="AC172" s="177"/>
      <c r="AD172" s="177"/>
      <c r="AE172" s="177"/>
      <c r="AF172" s="177"/>
      <c r="AG172" s="177"/>
      <c r="AH172" s="177"/>
      <c r="AI172" s="177"/>
      <c r="AJ172" s="177"/>
      <c r="AK172" s="177"/>
      <c r="AL172" s="177"/>
      <c r="AM172" s="177"/>
    </row>
    <row r="173" spans="2:39" ht="18.75" customHeight="1" x14ac:dyDescent="0.25">
      <c r="B173" s="176"/>
      <c r="C173" s="177"/>
      <c r="D173" s="177"/>
      <c r="E173" s="177"/>
      <c r="F173" s="177"/>
      <c r="G173" s="177"/>
      <c r="H173" s="177"/>
      <c r="I173" s="177"/>
      <c r="J173" s="177"/>
      <c r="K173" s="177"/>
      <c r="L173" s="177"/>
      <c r="M173" s="177"/>
      <c r="N173" s="177"/>
      <c r="O173" s="177"/>
      <c r="P173" s="177"/>
      <c r="Q173" s="177"/>
      <c r="R173" s="177"/>
      <c r="S173" s="177"/>
      <c r="T173" s="177"/>
      <c r="U173" s="177"/>
      <c r="V173" s="177"/>
      <c r="W173" s="177"/>
      <c r="X173" s="177"/>
      <c r="Y173" s="177"/>
      <c r="Z173" s="177"/>
      <c r="AA173" s="177"/>
      <c r="AB173" s="177"/>
      <c r="AC173" s="177"/>
      <c r="AD173" s="177"/>
      <c r="AE173" s="177"/>
      <c r="AF173" s="177"/>
      <c r="AG173" s="177"/>
      <c r="AH173" s="177"/>
      <c r="AI173" s="177"/>
      <c r="AJ173" s="177"/>
      <c r="AK173" s="177"/>
      <c r="AL173" s="177"/>
      <c r="AM173" s="177"/>
    </row>
    <row r="174" spans="2:39" ht="18.75" customHeight="1" x14ac:dyDescent="0.25">
      <c r="B174" s="176"/>
      <c r="C174" s="177"/>
      <c r="D174" s="177"/>
      <c r="E174" s="177"/>
      <c r="F174" s="177"/>
      <c r="G174" s="177"/>
      <c r="H174" s="177"/>
      <c r="I174" s="177"/>
      <c r="J174" s="177"/>
      <c r="K174" s="177"/>
      <c r="L174" s="177"/>
      <c r="M174" s="177"/>
      <c r="N174" s="177"/>
      <c r="O174" s="177"/>
      <c r="P174" s="177"/>
      <c r="Q174" s="177"/>
      <c r="R174" s="177"/>
      <c r="S174" s="177"/>
      <c r="T174" s="177"/>
      <c r="U174" s="177"/>
      <c r="V174" s="177"/>
      <c r="W174" s="177"/>
      <c r="X174" s="177"/>
      <c r="Y174" s="177"/>
      <c r="Z174" s="177"/>
      <c r="AA174" s="177"/>
      <c r="AB174" s="177"/>
      <c r="AC174" s="177"/>
      <c r="AD174" s="177"/>
      <c r="AE174" s="177"/>
      <c r="AF174" s="177"/>
      <c r="AG174" s="177"/>
      <c r="AH174" s="177"/>
      <c r="AI174" s="177"/>
      <c r="AJ174" s="177"/>
      <c r="AK174" s="177"/>
      <c r="AL174" s="177"/>
      <c r="AM174" s="177"/>
    </row>
    <row r="175" spans="2:39" ht="18.75" customHeight="1" x14ac:dyDescent="0.25">
      <c r="B175" s="176"/>
      <c r="C175" s="177"/>
      <c r="D175" s="177"/>
      <c r="E175" s="177"/>
      <c r="F175" s="177"/>
      <c r="G175" s="177"/>
      <c r="H175" s="177"/>
      <c r="I175" s="177"/>
      <c r="J175" s="177"/>
      <c r="K175" s="177"/>
      <c r="L175" s="177"/>
      <c r="M175" s="177"/>
      <c r="N175" s="177"/>
      <c r="O175" s="177"/>
      <c r="P175" s="177"/>
      <c r="Q175" s="177"/>
      <c r="R175" s="177"/>
      <c r="S175" s="177"/>
      <c r="T175" s="177"/>
      <c r="U175" s="177"/>
      <c r="V175" s="177"/>
      <c r="W175" s="177"/>
      <c r="X175" s="177"/>
      <c r="Y175" s="177"/>
      <c r="Z175" s="177"/>
      <c r="AA175" s="177"/>
      <c r="AB175" s="177"/>
      <c r="AC175" s="177"/>
      <c r="AD175" s="177"/>
      <c r="AE175" s="177"/>
      <c r="AF175" s="177"/>
      <c r="AG175" s="177"/>
      <c r="AH175" s="177"/>
      <c r="AI175" s="177"/>
      <c r="AJ175" s="177"/>
      <c r="AK175" s="177"/>
      <c r="AL175" s="177"/>
      <c r="AM175" s="177"/>
    </row>
    <row r="176" spans="2:39" ht="18.75" customHeight="1" x14ac:dyDescent="0.25">
      <c r="B176" s="176"/>
      <c r="C176" s="177"/>
      <c r="D176" s="177"/>
      <c r="E176" s="177"/>
      <c r="F176" s="177"/>
      <c r="G176" s="177"/>
      <c r="H176" s="177"/>
      <c r="I176" s="177"/>
      <c r="J176" s="177"/>
      <c r="K176" s="177"/>
      <c r="L176" s="177"/>
      <c r="M176" s="177"/>
      <c r="N176" s="177"/>
      <c r="O176" s="177"/>
      <c r="P176" s="177"/>
      <c r="Q176" s="177"/>
      <c r="R176" s="177"/>
      <c r="S176" s="177"/>
      <c r="T176" s="177"/>
      <c r="U176" s="177"/>
      <c r="V176" s="177"/>
      <c r="W176" s="177"/>
      <c r="X176" s="177"/>
      <c r="Y176" s="177"/>
      <c r="Z176" s="177"/>
      <c r="AA176" s="177"/>
      <c r="AB176" s="177"/>
      <c r="AC176" s="177"/>
      <c r="AD176" s="177"/>
      <c r="AE176" s="177"/>
      <c r="AF176" s="177"/>
      <c r="AG176" s="177"/>
      <c r="AH176" s="177"/>
      <c r="AI176" s="177"/>
      <c r="AJ176" s="177"/>
      <c r="AK176" s="177"/>
      <c r="AL176" s="177"/>
      <c r="AM176" s="177"/>
    </row>
    <row r="177" spans="2:39" ht="18.75" customHeight="1" x14ac:dyDescent="0.25">
      <c r="B177" s="176"/>
      <c r="C177" s="177"/>
      <c r="D177" s="177"/>
      <c r="E177" s="177"/>
      <c r="F177" s="177"/>
      <c r="G177" s="177"/>
      <c r="H177" s="177"/>
      <c r="I177" s="177"/>
      <c r="J177" s="177"/>
      <c r="K177" s="177"/>
      <c r="L177" s="177"/>
      <c r="M177" s="177"/>
      <c r="N177" s="177"/>
      <c r="O177" s="177"/>
      <c r="P177" s="177"/>
      <c r="Q177" s="177"/>
      <c r="R177" s="177"/>
      <c r="S177" s="177"/>
      <c r="T177" s="177"/>
      <c r="U177" s="177"/>
      <c r="V177" s="177"/>
      <c r="W177" s="177"/>
      <c r="X177" s="177"/>
      <c r="Y177" s="177"/>
      <c r="Z177" s="177"/>
      <c r="AA177" s="177"/>
      <c r="AB177" s="177"/>
      <c r="AC177" s="177"/>
      <c r="AD177" s="177"/>
      <c r="AE177" s="177"/>
      <c r="AF177" s="177"/>
      <c r="AG177" s="177"/>
      <c r="AH177" s="177"/>
      <c r="AI177" s="177"/>
      <c r="AJ177" s="177"/>
      <c r="AK177" s="177"/>
      <c r="AL177" s="177"/>
      <c r="AM177" s="177"/>
    </row>
    <row r="178" spans="2:39" ht="18.75" customHeight="1" x14ac:dyDescent="0.25">
      <c r="B178" s="176"/>
      <c r="C178" s="177"/>
      <c r="D178" s="177"/>
      <c r="E178" s="177"/>
      <c r="F178" s="177"/>
      <c r="G178" s="177"/>
      <c r="H178" s="177"/>
      <c r="I178" s="177"/>
      <c r="J178" s="177"/>
      <c r="K178" s="177"/>
      <c r="L178" s="177"/>
      <c r="M178" s="177"/>
      <c r="N178" s="177"/>
      <c r="O178" s="177"/>
      <c r="P178" s="177"/>
      <c r="Q178" s="177"/>
      <c r="R178" s="177"/>
      <c r="S178" s="177"/>
      <c r="T178" s="177"/>
      <c r="U178" s="177"/>
      <c r="V178" s="177"/>
      <c r="W178" s="177"/>
      <c r="X178" s="177"/>
      <c r="Y178" s="177"/>
      <c r="Z178" s="177"/>
      <c r="AA178" s="177"/>
      <c r="AB178" s="177"/>
      <c r="AC178" s="177"/>
      <c r="AD178" s="177"/>
      <c r="AE178" s="177"/>
      <c r="AF178" s="177"/>
      <c r="AG178" s="177"/>
      <c r="AH178" s="177"/>
      <c r="AI178" s="177"/>
      <c r="AJ178" s="177"/>
      <c r="AK178" s="177"/>
      <c r="AL178" s="177"/>
      <c r="AM178" s="177"/>
    </row>
    <row r="179" spans="2:39" ht="18.75" customHeight="1" x14ac:dyDescent="0.25">
      <c r="B179" s="176"/>
      <c r="C179" s="177"/>
      <c r="D179" s="177"/>
      <c r="E179" s="177"/>
      <c r="F179" s="177"/>
      <c r="G179" s="177"/>
      <c r="H179" s="177"/>
      <c r="I179" s="177"/>
      <c r="J179" s="177"/>
      <c r="K179" s="177"/>
      <c r="L179" s="177"/>
      <c r="M179" s="177"/>
      <c r="N179" s="177"/>
      <c r="O179" s="177"/>
      <c r="P179" s="177"/>
      <c r="Q179" s="177"/>
      <c r="R179" s="177"/>
      <c r="S179" s="177"/>
      <c r="T179" s="177"/>
      <c r="U179" s="177"/>
      <c r="V179" s="177"/>
      <c r="W179" s="177"/>
      <c r="X179" s="177"/>
      <c r="Y179" s="177"/>
      <c r="Z179" s="177"/>
      <c r="AA179" s="177"/>
      <c r="AB179" s="177"/>
      <c r="AC179" s="177"/>
      <c r="AD179" s="177"/>
      <c r="AE179" s="177"/>
      <c r="AF179" s="177"/>
      <c r="AG179" s="177"/>
      <c r="AH179" s="177"/>
      <c r="AI179" s="177"/>
      <c r="AJ179" s="177"/>
      <c r="AK179" s="177"/>
      <c r="AL179" s="177"/>
      <c r="AM179" s="177"/>
    </row>
    <row r="180" spans="2:39" ht="18.75" customHeight="1" x14ac:dyDescent="0.25">
      <c r="B180" s="178"/>
      <c r="C180" s="179"/>
      <c r="D180" s="179"/>
      <c r="E180" s="179"/>
      <c r="F180" s="179"/>
      <c r="G180" s="179"/>
      <c r="H180" s="179"/>
      <c r="I180" s="179"/>
      <c r="J180" s="179"/>
      <c r="K180" s="179"/>
      <c r="L180" s="179"/>
      <c r="M180" s="179"/>
      <c r="N180" s="179"/>
      <c r="O180" s="179"/>
      <c r="P180" s="179"/>
      <c r="Q180" s="179"/>
      <c r="R180" s="179"/>
      <c r="S180" s="179"/>
      <c r="T180" s="179"/>
      <c r="U180" s="179"/>
      <c r="V180" s="179"/>
      <c r="W180" s="179"/>
      <c r="X180" s="179"/>
      <c r="Y180" s="179"/>
      <c r="Z180" s="179"/>
      <c r="AA180" s="179"/>
      <c r="AB180" s="179"/>
      <c r="AC180" s="179"/>
      <c r="AD180" s="179"/>
      <c r="AE180" s="179"/>
      <c r="AF180" s="179"/>
      <c r="AG180" s="179"/>
      <c r="AH180" s="179"/>
      <c r="AI180" s="179"/>
      <c r="AJ180" s="179"/>
      <c r="AK180" s="179"/>
      <c r="AL180" s="179"/>
      <c r="AM180" s="179"/>
    </row>
    <row r="181" spans="2:39" ht="18.75" customHeight="1" x14ac:dyDescent="0.25">
      <c r="B181" s="178"/>
      <c r="C181" s="179"/>
      <c r="D181" s="179"/>
      <c r="E181" s="179"/>
      <c r="F181" s="179"/>
      <c r="G181" s="179"/>
      <c r="H181" s="179"/>
      <c r="I181" s="179"/>
      <c r="J181" s="179"/>
      <c r="K181" s="179"/>
      <c r="L181" s="179"/>
      <c r="M181" s="179"/>
      <c r="N181" s="179"/>
      <c r="O181" s="179"/>
      <c r="P181" s="179"/>
      <c r="Q181" s="179"/>
      <c r="R181" s="179"/>
      <c r="S181" s="179"/>
      <c r="T181" s="179"/>
      <c r="U181" s="179"/>
      <c r="V181" s="179"/>
      <c r="W181" s="179"/>
      <c r="X181" s="179"/>
      <c r="Y181" s="179"/>
      <c r="Z181" s="179"/>
      <c r="AA181" s="179"/>
      <c r="AB181" s="179"/>
      <c r="AC181" s="179"/>
      <c r="AD181" s="179"/>
      <c r="AE181" s="179"/>
      <c r="AF181" s="179"/>
      <c r="AG181" s="179"/>
      <c r="AH181" s="179"/>
      <c r="AI181" s="179"/>
      <c r="AJ181" s="179"/>
      <c r="AK181" s="179"/>
      <c r="AL181" s="179"/>
      <c r="AM181" s="179"/>
    </row>
  </sheetData>
  <sheetProtection algorithmName="SHA-512" hashValue="mlZytuVhDM25NNPcobhNi1HOOsY1x9QcezTu9IPQnshW90pM6cwn0mCZoioZqON/euke1Do3/UVABJF6Y4fbjQ==" saltValue="jIdufst2HaAXZgsZaYjmRA==" spinCount="100000" sheet="1" objects="1" scenarios="1" formatCells="0"/>
  <mergeCells count="13">
    <mergeCell ref="B141:B142"/>
    <mergeCell ref="B155:B156"/>
    <mergeCell ref="B169:B170"/>
    <mergeCell ref="B66:B67"/>
    <mergeCell ref="B82:B83"/>
    <mergeCell ref="B98:B99"/>
    <mergeCell ref="B113:B114"/>
    <mergeCell ref="B127:B128"/>
    <mergeCell ref="AH1:AM1"/>
    <mergeCell ref="B5:B6"/>
    <mergeCell ref="B18:B19"/>
    <mergeCell ref="B34:B35"/>
    <mergeCell ref="B50:B51"/>
  </mergeCells>
  <conditionalFormatting sqref="C10:AM16">
    <cfRule type="cellIs" dxfId="30" priority="2" operator="equal">
      <formula>1</formula>
    </cfRule>
    <cfRule type="cellIs" dxfId="29" priority="3" operator="equal">
      <formula>2</formula>
    </cfRule>
    <cfRule type="cellIs" dxfId="28" priority="4" operator="equal">
      <formula>3</formula>
    </cfRule>
  </conditionalFormatting>
  <conditionalFormatting sqref="C6:AM6">
    <cfRule type="expression" dxfId="27" priority="5">
      <formula>NOT(ISNUMBER(C5))</formula>
    </cfRule>
    <cfRule type="expression" dxfId="26" priority="6">
      <formula>OR(COUNTIF(C7:C9,1)&gt;1,COUNTIF(C7:C9,2)&gt;1,COUNTIF(C7:C9,3)&gt;1)</formula>
    </cfRule>
  </conditionalFormatting>
  <conditionalFormatting sqref="C7:AM9 C20:AM32 C36:AM48 C52:AM64 C68:AM80 C84:AM96 C100:AM111 C115:AM125 C129:AM139 C143:AM153 C157:AM167 C171:AM181">
    <cfRule type="cellIs" dxfId="25" priority="7" operator="equal">
      <formula>1</formula>
    </cfRule>
    <cfRule type="cellIs" dxfId="24" priority="8" operator="equal">
      <formula>2</formula>
    </cfRule>
    <cfRule type="cellIs" dxfId="23" priority="9" operator="equal">
      <formula>3</formula>
    </cfRule>
  </conditionalFormatting>
  <conditionalFormatting sqref="C5:AM5 C18:AM18 C34:AM34 C50:AM50 C66:AM66 C82:AM82 C98:AM98 C113:AM113 C127:AM127 C141:AM141 C155:AM155 C169:AM169">
    <cfRule type="expression" dxfId="22" priority="10">
      <formula>NOT(ISNUMBER(C5))</formula>
    </cfRule>
  </conditionalFormatting>
  <conditionalFormatting sqref="C19:AM19">
    <cfRule type="expression" dxfId="21" priority="11">
      <formula>NOT(ISNUMBER(C18))</formula>
    </cfRule>
    <cfRule type="expression" dxfId="20" priority="12">
      <formula>OR(COUNTIF(C20:C32,1)&gt;1,COUNTIF(C20:C32,2)&gt;1,COUNTIF(C20:C32,3)&gt;1)</formula>
    </cfRule>
  </conditionalFormatting>
  <conditionalFormatting sqref="C35:AM35">
    <cfRule type="expression" dxfId="19" priority="13">
      <formula>NOT(ISNUMBER(C34))</formula>
    </cfRule>
    <cfRule type="expression" dxfId="18" priority="14">
      <formula>OR(COUNTIF(C36:C48,1)&gt;1,COUNTIF(C36:C48,2)&gt;1,COUNTIF(C36:C48,3)&gt;1)</formula>
    </cfRule>
  </conditionalFormatting>
  <conditionalFormatting sqref="C51:AM51">
    <cfRule type="expression" dxfId="17" priority="15">
      <formula>NOT(ISNUMBER(C50))</formula>
    </cfRule>
    <cfRule type="expression" dxfId="16" priority="16">
      <formula>OR(COUNTIF(C52:C64,1)&gt;1,COUNTIF(C52:C64,2)&gt;1,COUNTIF(C52:C64,3)&gt;1)</formula>
    </cfRule>
  </conditionalFormatting>
  <conditionalFormatting sqref="C67:AM67">
    <cfRule type="expression" dxfId="15" priority="17">
      <formula>NOT(ISNUMBER(C66))</formula>
    </cfRule>
    <cfRule type="expression" dxfId="14" priority="18">
      <formula>OR(COUNTIF(C68:C80,1)&gt;1,COUNTIF(C68:C80,2)&gt;1,COUNTIF(C68:C80,3)&gt;1)</formula>
    </cfRule>
  </conditionalFormatting>
  <conditionalFormatting sqref="C83:AM83">
    <cfRule type="expression" dxfId="13" priority="19">
      <formula>NOT(ISNUMBER(C82))</formula>
    </cfRule>
    <cfRule type="expression" dxfId="12" priority="20">
      <formula>OR(COUNTIF(C84:C96,1)&gt;1,COUNTIF(C84:C96,2)&gt;1,COUNTIF(C84:C96,3)&gt;1)</formula>
    </cfRule>
  </conditionalFormatting>
  <conditionalFormatting sqref="C99:AM99">
    <cfRule type="expression" dxfId="11" priority="21">
      <formula>NOT(ISNUMBER(C98))</formula>
    </cfRule>
    <cfRule type="expression" dxfId="10" priority="22">
      <formula>OR(COUNTIF(C100:C111,1)&gt;1,COUNTIF(C100:C111,2)&gt;1,COUNTIF(C100:C111,3)&gt;1)</formula>
    </cfRule>
  </conditionalFormatting>
  <conditionalFormatting sqref="C114:AM114">
    <cfRule type="expression" dxfId="9" priority="23">
      <formula>NOT(ISNUMBER(C113))</formula>
    </cfRule>
    <cfRule type="expression" dxfId="8" priority="24">
      <formula>OR(COUNTIF(C115:C125,1)&gt;1,COUNTIF(C115:C125,2)&gt;1,COUNTIF(C115:C125,3)&gt;1)</formula>
    </cfRule>
  </conditionalFormatting>
  <conditionalFormatting sqref="C128:AM128">
    <cfRule type="expression" dxfId="7" priority="25">
      <formula>NOT(ISNUMBER(C127))</formula>
    </cfRule>
    <cfRule type="expression" dxfId="6" priority="26">
      <formula>OR(COUNTIF(C129:C139,1)&gt;1,COUNTIF(C129:C139,2)&gt;1,COUNTIF(C129:C139,3)&gt;1)</formula>
    </cfRule>
  </conditionalFormatting>
  <conditionalFormatting sqref="C142:AM142">
    <cfRule type="expression" dxfId="5" priority="27">
      <formula>NOT(ISNUMBER(C141))</formula>
    </cfRule>
    <cfRule type="expression" dxfId="4" priority="28">
      <formula>OR(COUNTIF(C143:C153,1)&gt;1,COUNTIF(C143:C153,2)&gt;1,COUNTIF(C143:C153,3)&gt;1)</formula>
    </cfRule>
  </conditionalFormatting>
  <conditionalFormatting sqref="C156:AM156">
    <cfRule type="expression" dxfId="3" priority="29">
      <formula>NOT(ISNUMBER(C155))</formula>
    </cfRule>
    <cfRule type="expression" dxfId="2" priority="30">
      <formula>OR(COUNTIF(C157:C167,1)&gt;1,COUNTIF(C157:C167,2)&gt;1,COUNTIF(C157:C167,3)&gt;1)</formula>
    </cfRule>
  </conditionalFormatting>
  <conditionalFormatting sqref="C170:AM170">
    <cfRule type="expression" dxfId="1" priority="31">
      <formula>NOT(ISNUMBER(C169))</formula>
    </cfRule>
    <cfRule type="expression" dxfId="0" priority="32">
      <formula>OR(COUNTIF(C171:C181,1)&gt;1,COUNTIF(C171:C181,2)&gt;1,COUNTIF(C171:C181,3)&gt;1)</formula>
    </cfRule>
  </conditionalFormatting>
  <dataValidations count="2">
    <dataValidation allowBlank="1" showInputMessage="1" showErrorMessage="1" prompt="Utiliser les toupies pour modifier rapidement l’année du calendrier" sqref="AH1" xr:uid="{00000000-0002-0000-0900-000000000000}">
      <formula1>0</formula1>
      <formula2>0</formula2>
    </dataValidation>
    <dataValidation allowBlank="1" showInputMessage="1" showErrorMessage="1" promptTitle="Calendrier d’horaire de travail" prompt="Avec les toupies, modifiez l'année civile. Le calendrier affiche automatiquement le planning quotidien pour 3 travaux. Configurez les détails de la tâche/l'équipe et le modèle dans Travaux &amp; équipes. _x000a_Les jours en rouge indiquent des conflits de planning." sqref="A1" xr:uid="{00000000-0002-0000-0900-000001000000}">
      <formula1>0</formula1>
      <formula2>0</formula2>
    </dataValidation>
  </dataValidations>
  <printOptions horizontalCentered="1" verticalCentered="1"/>
  <pageMargins left="0.3" right="0.3" top="0.3" bottom="0.3" header="0.511811023622047" footer="0.511811023622047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6" r:id="rId4" name="CommandButton2">
              <controlPr defaultSize="0" autoPict="0">
                <anchor moveWithCells="1" sizeWithCells="1">
                  <from>
                    <xdr:col>32</xdr:col>
                    <xdr:colOff>38100</xdr:colOff>
                    <xdr:row>1</xdr:row>
                    <xdr:rowOff>76200</xdr:rowOff>
                  </from>
                  <to>
                    <xdr:col>33</xdr:col>
                    <xdr:colOff>45720</xdr:colOff>
                    <xdr:row>3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5" r:id="rId5" name="CommandButton3">
              <controlPr defaultSize="0" autoPict="0">
                <anchor moveWithCells="1" sizeWithCells="1">
                  <from>
                    <xdr:col>36</xdr:col>
                    <xdr:colOff>99060</xdr:colOff>
                    <xdr:row>1</xdr:row>
                    <xdr:rowOff>83820</xdr:rowOff>
                  </from>
                  <to>
                    <xdr:col>37</xdr:col>
                    <xdr:colOff>106680</xdr:colOff>
                    <xdr:row>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4" r:id="rId6" name="CommandButton4">
              <controlPr defaultSize="0" autoPict="0">
                <anchor moveWithCells="1" sizeWithCells="1">
                  <from>
                    <xdr:col>27</xdr:col>
                    <xdr:colOff>7620</xdr:colOff>
                    <xdr:row>1</xdr:row>
                    <xdr:rowOff>76200</xdr:rowOff>
                  </from>
                  <to>
                    <xdr:col>28</xdr:col>
                    <xdr:colOff>15240</xdr:colOff>
                    <xdr:row>3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3" r:id="rId7" name="CommandButton1">
              <controlPr defaultSize="0" autoPict="0">
                <anchor moveWithCells="1" sizeWithCells="1">
                  <from>
                    <xdr:col>22</xdr:col>
                    <xdr:colOff>0</xdr:colOff>
                    <xdr:row>1</xdr:row>
                    <xdr:rowOff>83820</xdr:rowOff>
                  </from>
                  <to>
                    <xdr:col>23</xdr:col>
                    <xdr:colOff>15240</xdr:colOff>
                    <xdr:row>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2" r:id="rId8" name="CommandButton5">
              <controlPr defaultSize="0" autoPict="0">
                <anchor moveWithCells="1" sizeWithCells="1">
                  <from>
                    <xdr:col>17</xdr:col>
                    <xdr:colOff>0</xdr:colOff>
                    <xdr:row>1</xdr:row>
                    <xdr:rowOff>83820</xdr:rowOff>
                  </from>
                  <to>
                    <xdr:col>18</xdr:col>
                    <xdr:colOff>15240</xdr:colOff>
                    <xdr:row>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1" r:id="rId9" name="CommandButton6">
              <controlPr defaultSize="0" autoPict="0">
                <anchor moveWithCells="1" sizeWithCells="1">
                  <from>
                    <xdr:col>12</xdr:col>
                    <xdr:colOff>15240</xdr:colOff>
                    <xdr:row>1</xdr:row>
                    <xdr:rowOff>68580</xdr:rowOff>
                  </from>
                  <to>
                    <xdr:col>13</xdr:col>
                    <xdr:colOff>22860</xdr:colOff>
                    <xdr:row>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2" r:id="rId10" name="Button 12">
              <controlPr defaultSize="0" autoFill="0" autoPict="0">
                <anchor moveWithCells="1">
                  <from>
                    <xdr:col>32</xdr:col>
                    <xdr:colOff>45720</xdr:colOff>
                    <xdr:row>1</xdr:row>
                    <xdr:rowOff>99060</xdr:rowOff>
                  </from>
                  <to>
                    <xdr:col>33</xdr:col>
                    <xdr:colOff>60960</xdr:colOff>
                    <xdr:row>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1" r:id="rId11" name="Button 11">
              <controlPr defaultSize="0" autoFill="0" autoPict="0">
                <anchor moveWithCells="1">
                  <from>
                    <xdr:col>36</xdr:col>
                    <xdr:colOff>121920</xdr:colOff>
                    <xdr:row>1</xdr:row>
                    <xdr:rowOff>106680</xdr:rowOff>
                  </from>
                  <to>
                    <xdr:col>37</xdr:col>
                    <xdr:colOff>137160</xdr:colOff>
                    <xdr:row>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0" r:id="rId12" name="Button 10">
              <controlPr defaultSize="0" autoFill="0" autoPict="0">
                <anchor moveWithCells="1">
                  <from>
                    <xdr:col>27</xdr:col>
                    <xdr:colOff>7620</xdr:colOff>
                    <xdr:row>1</xdr:row>
                    <xdr:rowOff>99060</xdr:rowOff>
                  </from>
                  <to>
                    <xdr:col>28</xdr:col>
                    <xdr:colOff>22860</xdr:colOff>
                    <xdr:row>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9" r:id="rId13" name="Button 9">
              <controlPr defaultSize="0" autoFill="0" autoPict="0">
                <anchor moveWithCells="1">
                  <from>
                    <xdr:col>22</xdr:col>
                    <xdr:colOff>0</xdr:colOff>
                    <xdr:row>1</xdr:row>
                    <xdr:rowOff>106680</xdr:rowOff>
                  </from>
                  <to>
                    <xdr:col>23</xdr:col>
                    <xdr:colOff>15240</xdr:colOff>
                    <xdr:row>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8" r:id="rId14" name="Button 8">
              <controlPr defaultSize="0" autoFill="0" autoPict="0">
                <anchor moveWithCells="1">
                  <from>
                    <xdr:col>17</xdr:col>
                    <xdr:colOff>0</xdr:colOff>
                    <xdr:row>1</xdr:row>
                    <xdr:rowOff>106680</xdr:rowOff>
                  </from>
                  <to>
                    <xdr:col>18</xdr:col>
                    <xdr:colOff>15240</xdr:colOff>
                    <xdr:row>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7" r:id="rId15" name="Button 7">
              <controlPr defaultSize="0" autoFill="0" autoPict="0">
                <anchor moveWithCells="1">
                  <from>
                    <xdr:col>12</xdr:col>
                    <xdr:colOff>15240</xdr:colOff>
                    <xdr:row>1</xdr:row>
                    <xdr:rowOff>83820</xdr:rowOff>
                  </from>
                  <to>
                    <xdr:col>13</xdr:col>
                    <xdr:colOff>30480</xdr:colOff>
                    <xdr:row>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8" r:id="rId16" name="Button 18">
              <controlPr defaultSize="0" autoFill="0" autoPict="0">
                <anchor moveWithCells="1">
                  <from>
                    <xdr:col>32</xdr:col>
                    <xdr:colOff>45720</xdr:colOff>
                    <xdr:row>1</xdr:row>
                    <xdr:rowOff>99060</xdr:rowOff>
                  </from>
                  <to>
                    <xdr:col>33</xdr:col>
                    <xdr:colOff>60960</xdr:colOff>
                    <xdr:row>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7" r:id="rId17" name="Button 17">
              <controlPr defaultSize="0" autoFill="0" autoPict="0">
                <anchor moveWithCells="1">
                  <from>
                    <xdr:col>36</xdr:col>
                    <xdr:colOff>121920</xdr:colOff>
                    <xdr:row>1</xdr:row>
                    <xdr:rowOff>106680</xdr:rowOff>
                  </from>
                  <to>
                    <xdr:col>37</xdr:col>
                    <xdr:colOff>137160</xdr:colOff>
                    <xdr:row>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6" r:id="rId18" name="Button 16">
              <controlPr defaultSize="0" autoFill="0" autoPict="0">
                <anchor moveWithCells="1">
                  <from>
                    <xdr:col>27</xdr:col>
                    <xdr:colOff>7620</xdr:colOff>
                    <xdr:row>1</xdr:row>
                    <xdr:rowOff>99060</xdr:rowOff>
                  </from>
                  <to>
                    <xdr:col>28</xdr:col>
                    <xdr:colOff>22860</xdr:colOff>
                    <xdr:row>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5" r:id="rId19" name="Button 15">
              <controlPr defaultSize="0" autoFill="0" autoPict="0">
                <anchor moveWithCells="1">
                  <from>
                    <xdr:col>22</xdr:col>
                    <xdr:colOff>0</xdr:colOff>
                    <xdr:row>1</xdr:row>
                    <xdr:rowOff>106680</xdr:rowOff>
                  </from>
                  <to>
                    <xdr:col>23</xdr:col>
                    <xdr:colOff>15240</xdr:colOff>
                    <xdr:row>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4" r:id="rId20" name="Button 14">
              <controlPr defaultSize="0" autoFill="0" autoPict="0">
                <anchor moveWithCells="1">
                  <from>
                    <xdr:col>17</xdr:col>
                    <xdr:colOff>0</xdr:colOff>
                    <xdr:row>1</xdr:row>
                    <xdr:rowOff>106680</xdr:rowOff>
                  </from>
                  <to>
                    <xdr:col>18</xdr:col>
                    <xdr:colOff>15240</xdr:colOff>
                    <xdr:row>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3" r:id="rId21" name="Button 13">
              <controlPr defaultSize="0" autoFill="0" autoPict="0">
                <anchor moveWithCells="1">
                  <from>
                    <xdr:col>12</xdr:col>
                    <xdr:colOff>15240</xdr:colOff>
                    <xdr:row>1</xdr:row>
                    <xdr:rowOff>83820</xdr:rowOff>
                  </from>
                  <to>
                    <xdr:col>13</xdr:col>
                    <xdr:colOff>30480</xdr:colOff>
                    <xdr:row>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4" r:id="rId22" name="Button 24">
              <controlPr defaultSize="0" autoFill="0" autoPict="0">
                <anchor moveWithCells="1">
                  <from>
                    <xdr:col>32</xdr:col>
                    <xdr:colOff>45720</xdr:colOff>
                    <xdr:row>1</xdr:row>
                    <xdr:rowOff>99060</xdr:rowOff>
                  </from>
                  <to>
                    <xdr:col>33</xdr:col>
                    <xdr:colOff>60960</xdr:colOff>
                    <xdr:row>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3" r:id="rId23" name="Button 23">
              <controlPr defaultSize="0" autoFill="0" autoPict="0">
                <anchor moveWithCells="1">
                  <from>
                    <xdr:col>36</xdr:col>
                    <xdr:colOff>121920</xdr:colOff>
                    <xdr:row>1</xdr:row>
                    <xdr:rowOff>106680</xdr:rowOff>
                  </from>
                  <to>
                    <xdr:col>37</xdr:col>
                    <xdr:colOff>137160</xdr:colOff>
                    <xdr:row>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2" r:id="rId24" name="Button 22">
              <controlPr defaultSize="0" autoFill="0" autoPict="0">
                <anchor moveWithCells="1">
                  <from>
                    <xdr:col>27</xdr:col>
                    <xdr:colOff>7620</xdr:colOff>
                    <xdr:row>1</xdr:row>
                    <xdr:rowOff>99060</xdr:rowOff>
                  </from>
                  <to>
                    <xdr:col>28</xdr:col>
                    <xdr:colOff>22860</xdr:colOff>
                    <xdr:row>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1" r:id="rId25" name="Button 21">
              <controlPr defaultSize="0" autoFill="0" autoPict="0">
                <anchor moveWithCells="1">
                  <from>
                    <xdr:col>22</xdr:col>
                    <xdr:colOff>0</xdr:colOff>
                    <xdr:row>1</xdr:row>
                    <xdr:rowOff>106680</xdr:rowOff>
                  </from>
                  <to>
                    <xdr:col>23</xdr:col>
                    <xdr:colOff>15240</xdr:colOff>
                    <xdr:row>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0" r:id="rId26" name="Button 20">
              <controlPr defaultSize="0" autoFill="0" autoPict="0">
                <anchor moveWithCells="1">
                  <from>
                    <xdr:col>17</xdr:col>
                    <xdr:colOff>0</xdr:colOff>
                    <xdr:row>1</xdr:row>
                    <xdr:rowOff>106680</xdr:rowOff>
                  </from>
                  <to>
                    <xdr:col>18</xdr:col>
                    <xdr:colOff>15240</xdr:colOff>
                    <xdr:row>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9" r:id="rId27" name="Button 19">
              <controlPr defaultSize="0" autoFill="0" autoPict="0">
                <anchor moveWithCells="1">
                  <from>
                    <xdr:col>12</xdr:col>
                    <xdr:colOff>15240</xdr:colOff>
                    <xdr:row>1</xdr:row>
                    <xdr:rowOff>83820</xdr:rowOff>
                  </from>
                  <to>
                    <xdr:col>13</xdr:col>
                    <xdr:colOff>30480</xdr:colOff>
                    <xdr:row>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0" r:id="rId28" name="Button 30">
              <controlPr defaultSize="0" autoFill="0" autoPict="0">
                <anchor moveWithCells="1">
                  <from>
                    <xdr:col>32</xdr:col>
                    <xdr:colOff>45720</xdr:colOff>
                    <xdr:row>1</xdr:row>
                    <xdr:rowOff>99060</xdr:rowOff>
                  </from>
                  <to>
                    <xdr:col>33</xdr:col>
                    <xdr:colOff>60960</xdr:colOff>
                    <xdr:row>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9" r:id="rId29" name="Button 29">
              <controlPr defaultSize="0" autoFill="0" autoPict="0">
                <anchor moveWithCells="1">
                  <from>
                    <xdr:col>36</xdr:col>
                    <xdr:colOff>121920</xdr:colOff>
                    <xdr:row>1</xdr:row>
                    <xdr:rowOff>106680</xdr:rowOff>
                  </from>
                  <to>
                    <xdr:col>37</xdr:col>
                    <xdr:colOff>137160</xdr:colOff>
                    <xdr:row>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8" r:id="rId30" name="Button 28">
              <controlPr defaultSize="0" autoFill="0" autoPict="0">
                <anchor moveWithCells="1">
                  <from>
                    <xdr:col>27</xdr:col>
                    <xdr:colOff>7620</xdr:colOff>
                    <xdr:row>1</xdr:row>
                    <xdr:rowOff>99060</xdr:rowOff>
                  </from>
                  <to>
                    <xdr:col>28</xdr:col>
                    <xdr:colOff>22860</xdr:colOff>
                    <xdr:row>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7" r:id="rId31" name="Button 27">
              <controlPr defaultSize="0" autoFill="0" autoPict="0">
                <anchor moveWithCells="1">
                  <from>
                    <xdr:col>22</xdr:col>
                    <xdr:colOff>0</xdr:colOff>
                    <xdr:row>1</xdr:row>
                    <xdr:rowOff>106680</xdr:rowOff>
                  </from>
                  <to>
                    <xdr:col>23</xdr:col>
                    <xdr:colOff>15240</xdr:colOff>
                    <xdr:row>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6" r:id="rId32" name="Button 26">
              <controlPr defaultSize="0" autoFill="0" autoPict="0">
                <anchor moveWithCells="1">
                  <from>
                    <xdr:col>17</xdr:col>
                    <xdr:colOff>0</xdr:colOff>
                    <xdr:row>1</xdr:row>
                    <xdr:rowOff>106680</xdr:rowOff>
                  </from>
                  <to>
                    <xdr:col>18</xdr:col>
                    <xdr:colOff>15240</xdr:colOff>
                    <xdr:row>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5" r:id="rId33" name="Button 25">
              <controlPr defaultSize="0" autoFill="0" autoPict="0">
                <anchor moveWithCells="1">
                  <from>
                    <xdr:col>12</xdr:col>
                    <xdr:colOff>15240</xdr:colOff>
                    <xdr:row>1</xdr:row>
                    <xdr:rowOff>83820</xdr:rowOff>
                  </from>
                  <to>
                    <xdr:col>13</xdr:col>
                    <xdr:colOff>30480</xdr:colOff>
                    <xdr:row>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6" r:id="rId34" name="Button 36">
              <controlPr defaultSize="0" autoFill="0" autoPict="0">
                <anchor moveWithCells="1">
                  <from>
                    <xdr:col>32</xdr:col>
                    <xdr:colOff>45720</xdr:colOff>
                    <xdr:row>1</xdr:row>
                    <xdr:rowOff>99060</xdr:rowOff>
                  </from>
                  <to>
                    <xdr:col>33</xdr:col>
                    <xdr:colOff>60960</xdr:colOff>
                    <xdr:row>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5" r:id="rId35" name="Button 35">
              <controlPr defaultSize="0" autoFill="0" autoPict="0">
                <anchor moveWithCells="1">
                  <from>
                    <xdr:col>36</xdr:col>
                    <xdr:colOff>121920</xdr:colOff>
                    <xdr:row>1</xdr:row>
                    <xdr:rowOff>106680</xdr:rowOff>
                  </from>
                  <to>
                    <xdr:col>37</xdr:col>
                    <xdr:colOff>137160</xdr:colOff>
                    <xdr:row>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4" r:id="rId36" name="Button 34">
              <controlPr defaultSize="0" autoFill="0" autoPict="0">
                <anchor moveWithCells="1">
                  <from>
                    <xdr:col>27</xdr:col>
                    <xdr:colOff>7620</xdr:colOff>
                    <xdr:row>1</xdr:row>
                    <xdr:rowOff>99060</xdr:rowOff>
                  </from>
                  <to>
                    <xdr:col>28</xdr:col>
                    <xdr:colOff>22860</xdr:colOff>
                    <xdr:row>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3" r:id="rId37" name="Button 33">
              <controlPr defaultSize="0" autoFill="0" autoPict="0">
                <anchor moveWithCells="1">
                  <from>
                    <xdr:col>22</xdr:col>
                    <xdr:colOff>0</xdr:colOff>
                    <xdr:row>1</xdr:row>
                    <xdr:rowOff>106680</xdr:rowOff>
                  </from>
                  <to>
                    <xdr:col>23</xdr:col>
                    <xdr:colOff>15240</xdr:colOff>
                    <xdr:row>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2" r:id="rId38" name="Button 32">
              <controlPr defaultSize="0" autoFill="0" autoPict="0">
                <anchor moveWithCells="1">
                  <from>
                    <xdr:col>17</xdr:col>
                    <xdr:colOff>0</xdr:colOff>
                    <xdr:row>1</xdr:row>
                    <xdr:rowOff>106680</xdr:rowOff>
                  </from>
                  <to>
                    <xdr:col>18</xdr:col>
                    <xdr:colOff>15240</xdr:colOff>
                    <xdr:row>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1" r:id="rId39" name="Button 31">
              <controlPr defaultSize="0" autoFill="0" autoPict="0">
                <anchor moveWithCells="1">
                  <from>
                    <xdr:col>12</xdr:col>
                    <xdr:colOff>15240</xdr:colOff>
                    <xdr:row>1</xdr:row>
                    <xdr:rowOff>83820</xdr:rowOff>
                  </from>
                  <to>
                    <xdr:col>13</xdr:col>
                    <xdr:colOff>30480</xdr:colOff>
                    <xdr:row>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2" r:id="rId40" name="Button 42">
              <controlPr defaultSize="0" autoFill="0" autoPict="0">
                <anchor moveWithCells="1">
                  <from>
                    <xdr:col>32</xdr:col>
                    <xdr:colOff>45720</xdr:colOff>
                    <xdr:row>1</xdr:row>
                    <xdr:rowOff>99060</xdr:rowOff>
                  </from>
                  <to>
                    <xdr:col>33</xdr:col>
                    <xdr:colOff>60960</xdr:colOff>
                    <xdr:row>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1" r:id="rId41" name="Button 41">
              <controlPr defaultSize="0" autoFill="0" autoPict="0">
                <anchor moveWithCells="1">
                  <from>
                    <xdr:col>36</xdr:col>
                    <xdr:colOff>121920</xdr:colOff>
                    <xdr:row>1</xdr:row>
                    <xdr:rowOff>106680</xdr:rowOff>
                  </from>
                  <to>
                    <xdr:col>37</xdr:col>
                    <xdr:colOff>137160</xdr:colOff>
                    <xdr:row>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0" r:id="rId42" name="Button 40">
              <controlPr defaultSize="0" autoFill="0" autoPict="0">
                <anchor moveWithCells="1">
                  <from>
                    <xdr:col>27</xdr:col>
                    <xdr:colOff>7620</xdr:colOff>
                    <xdr:row>1</xdr:row>
                    <xdr:rowOff>99060</xdr:rowOff>
                  </from>
                  <to>
                    <xdr:col>28</xdr:col>
                    <xdr:colOff>22860</xdr:colOff>
                    <xdr:row>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9" r:id="rId43" name="Button 39">
              <controlPr defaultSize="0" autoFill="0" autoPict="0">
                <anchor moveWithCells="1">
                  <from>
                    <xdr:col>22</xdr:col>
                    <xdr:colOff>0</xdr:colOff>
                    <xdr:row>1</xdr:row>
                    <xdr:rowOff>106680</xdr:rowOff>
                  </from>
                  <to>
                    <xdr:col>23</xdr:col>
                    <xdr:colOff>15240</xdr:colOff>
                    <xdr:row>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8" r:id="rId44" name="Button 38">
              <controlPr defaultSize="0" autoFill="0" autoPict="0">
                <anchor moveWithCells="1">
                  <from>
                    <xdr:col>17</xdr:col>
                    <xdr:colOff>0</xdr:colOff>
                    <xdr:row>1</xdr:row>
                    <xdr:rowOff>106680</xdr:rowOff>
                  </from>
                  <to>
                    <xdr:col>18</xdr:col>
                    <xdr:colOff>15240</xdr:colOff>
                    <xdr:row>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7" r:id="rId45" name="Button 37">
              <controlPr defaultSize="0" autoFill="0" autoPict="0">
                <anchor moveWithCells="1">
                  <from>
                    <xdr:col>12</xdr:col>
                    <xdr:colOff>15240</xdr:colOff>
                    <xdr:row>1</xdr:row>
                    <xdr:rowOff>83820</xdr:rowOff>
                  </from>
                  <to>
                    <xdr:col>13</xdr:col>
                    <xdr:colOff>30480</xdr:colOff>
                    <xdr:row>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8" r:id="rId46" name="Button 48">
              <controlPr defaultSize="0" autoFill="0" autoPict="0">
                <anchor moveWithCells="1">
                  <from>
                    <xdr:col>32</xdr:col>
                    <xdr:colOff>45720</xdr:colOff>
                    <xdr:row>1</xdr:row>
                    <xdr:rowOff>99060</xdr:rowOff>
                  </from>
                  <to>
                    <xdr:col>33</xdr:col>
                    <xdr:colOff>60960</xdr:colOff>
                    <xdr:row>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7" r:id="rId47" name="Button 47">
              <controlPr defaultSize="0" autoFill="0" autoPict="0">
                <anchor moveWithCells="1">
                  <from>
                    <xdr:col>36</xdr:col>
                    <xdr:colOff>121920</xdr:colOff>
                    <xdr:row>1</xdr:row>
                    <xdr:rowOff>106680</xdr:rowOff>
                  </from>
                  <to>
                    <xdr:col>37</xdr:col>
                    <xdr:colOff>137160</xdr:colOff>
                    <xdr:row>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6" r:id="rId48" name="Button 46">
              <controlPr defaultSize="0" autoFill="0" autoPict="0">
                <anchor moveWithCells="1">
                  <from>
                    <xdr:col>27</xdr:col>
                    <xdr:colOff>7620</xdr:colOff>
                    <xdr:row>1</xdr:row>
                    <xdr:rowOff>99060</xdr:rowOff>
                  </from>
                  <to>
                    <xdr:col>28</xdr:col>
                    <xdr:colOff>22860</xdr:colOff>
                    <xdr:row>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5" r:id="rId49" name="Button 45">
              <controlPr defaultSize="0" autoFill="0" autoPict="0">
                <anchor moveWithCells="1">
                  <from>
                    <xdr:col>22</xdr:col>
                    <xdr:colOff>0</xdr:colOff>
                    <xdr:row>1</xdr:row>
                    <xdr:rowOff>106680</xdr:rowOff>
                  </from>
                  <to>
                    <xdr:col>23</xdr:col>
                    <xdr:colOff>15240</xdr:colOff>
                    <xdr:row>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4" r:id="rId50" name="Button 44">
              <controlPr defaultSize="0" autoFill="0" autoPict="0">
                <anchor moveWithCells="1">
                  <from>
                    <xdr:col>17</xdr:col>
                    <xdr:colOff>0</xdr:colOff>
                    <xdr:row>1</xdr:row>
                    <xdr:rowOff>106680</xdr:rowOff>
                  </from>
                  <to>
                    <xdr:col>18</xdr:col>
                    <xdr:colOff>15240</xdr:colOff>
                    <xdr:row>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3" r:id="rId51" name="Button 43">
              <controlPr defaultSize="0" autoFill="0" autoPict="0">
                <anchor moveWithCells="1">
                  <from>
                    <xdr:col>12</xdr:col>
                    <xdr:colOff>15240</xdr:colOff>
                    <xdr:row>1</xdr:row>
                    <xdr:rowOff>83820</xdr:rowOff>
                  </from>
                  <to>
                    <xdr:col>13</xdr:col>
                    <xdr:colOff>30480</xdr:colOff>
                    <xdr:row>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4" r:id="rId52" name="Button 54">
              <controlPr defaultSize="0" autoFill="0" autoPict="0">
                <anchor moveWithCells="1">
                  <from>
                    <xdr:col>32</xdr:col>
                    <xdr:colOff>45720</xdr:colOff>
                    <xdr:row>1</xdr:row>
                    <xdr:rowOff>99060</xdr:rowOff>
                  </from>
                  <to>
                    <xdr:col>33</xdr:col>
                    <xdr:colOff>60960</xdr:colOff>
                    <xdr:row>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3" r:id="rId53" name="Button 53">
              <controlPr defaultSize="0" autoFill="0" autoPict="0">
                <anchor moveWithCells="1">
                  <from>
                    <xdr:col>36</xdr:col>
                    <xdr:colOff>121920</xdr:colOff>
                    <xdr:row>1</xdr:row>
                    <xdr:rowOff>106680</xdr:rowOff>
                  </from>
                  <to>
                    <xdr:col>37</xdr:col>
                    <xdr:colOff>137160</xdr:colOff>
                    <xdr:row>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2" r:id="rId54" name="Button 52">
              <controlPr defaultSize="0" autoFill="0" autoPict="0">
                <anchor moveWithCells="1">
                  <from>
                    <xdr:col>27</xdr:col>
                    <xdr:colOff>7620</xdr:colOff>
                    <xdr:row>1</xdr:row>
                    <xdr:rowOff>99060</xdr:rowOff>
                  </from>
                  <to>
                    <xdr:col>28</xdr:col>
                    <xdr:colOff>22860</xdr:colOff>
                    <xdr:row>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1" r:id="rId55" name="Button 51">
              <controlPr defaultSize="0" autoFill="0" autoPict="0">
                <anchor moveWithCells="1">
                  <from>
                    <xdr:col>22</xdr:col>
                    <xdr:colOff>0</xdr:colOff>
                    <xdr:row>1</xdr:row>
                    <xdr:rowOff>106680</xdr:rowOff>
                  </from>
                  <to>
                    <xdr:col>23</xdr:col>
                    <xdr:colOff>15240</xdr:colOff>
                    <xdr:row>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0" r:id="rId56" name="Button 50">
              <controlPr defaultSize="0" autoFill="0" autoPict="0">
                <anchor moveWithCells="1">
                  <from>
                    <xdr:col>17</xdr:col>
                    <xdr:colOff>0</xdr:colOff>
                    <xdr:row>1</xdr:row>
                    <xdr:rowOff>106680</xdr:rowOff>
                  </from>
                  <to>
                    <xdr:col>18</xdr:col>
                    <xdr:colOff>15240</xdr:colOff>
                    <xdr:row>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9" r:id="rId57" name="Button 49">
              <controlPr defaultSize="0" autoFill="0" autoPict="0">
                <anchor moveWithCells="1">
                  <from>
                    <xdr:col>12</xdr:col>
                    <xdr:colOff>15240</xdr:colOff>
                    <xdr:row>1</xdr:row>
                    <xdr:rowOff>83820</xdr:rowOff>
                  </from>
                  <to>
                    <xdr:col>13</xdr:col>
                    <xdr:colOff>30480</xdr:colOff>
                    <xdr:row>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0" r:id="rId58" name="Button 60">
              <controlPr defaultSize="0" autoFill="0" autoPict="0">
                <anchor moveWithCells="1">
                  <from>
                    <xdr:col>32</xdr:col>
                    <xdr:colOff>45720</xdr:colOff>
                    <xdr:row>1</xdr:row>
                    <xdr:rowOff>99060</xdr:rowOff>
                  </from>
                  <to>
                    <xdr:col>33</xdr:col>
                    <xdr:colOff>60960</xdr:colOff>
                    <xdr:row>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9" r:id="rId59" name="Button 59">
              <controlPr defaultSize="0" autoFill="0" autoPict="0">
                <anchor moveWithCells="1">
                  <from>
                    <xdr:col>36</xdr:col>
                    <xdr:colOff>121920</xdr:colOff>
                    <xdr:row>1</xdr:row>
                    <xdr:rowOff>106680</xdr:rowOff>
                  </from>
                  <to>
                    <xdr:col>37</xdr:col>
                    <xdr:colOff>137160</xdr:colOff>
                    <xdr:row>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8" r:id="rId60" name="Button 58">
              <controlPr defaultSize="0" autoFill="0" autoPict="0">
                <anchor moveWithCells="1">
                  <from>
                    <xdr:col>27</xdr:col>
                    <xdr:colOff>7620</xdr:colOff>
                    <xdr:row>1</xdr:row>
                    <xdr:rowOff>99060</xdr:rowOff>
                  </from>
                  <to>
                    <xdr:col>28</xdr:col>
                    <xdr:colOff>22860</xdr:colOff>
                    <xdr:row>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7" r:id="rId61" name="Button 57">
              <controlPr defaultSize="0" autoFill="0" autoPict="0">
                <anchor moveWithCells="1">
                  <from>
                    <xdr:col>22</xdr:col>
                    <xdr:colOff>0</xdr:colOff>
                    <xdr:row>1</xdr:row>
                    <xdr:rowOff>106680</xdr:rowOff>
                  </from>
                  <to>
                    <xdr:col>23</xdr:col>
                    <xdr:colOff>15240</xdr:colOff>
                    <xdr:row>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6" r:id="rId62" name="Button 56">
              <controlPr defaultSize="0" autoFill="0" autoPict="0">
                <anchor moveWithCells="1">
                  <from>
                    <xdr:col>17</xdr:col>
                    <xdr:colOff>0</xdr:colOff>
                    <xdr:row>1</xdr:row>
                    <xdr:rowOff>106680</xdr:rowOff>
                  </from>
                  <to>
                    <xdr:col>18</xdr:col>
                    <xdr:colOff>15240</xdr:colOff>
                    <xdr:row>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5" r:id="rId63" name="Button 55">
              <controlPr defaultSize="0" autoFill="0" autoPict="0">
                <anchor moveWithCells="1">
                  <from>
                    <xdr:col>12</xdr:col>
                    <xdr:colOff>15240</xdr:colOff>
                    <xdr:row>1</xdr:row>
                    <xdr:rowOff>83820</xdr:rowOff>
                  </from>
                  <to>
                    <xdr:col>13</xdr:col>
                    <xdr:colOff>30480</xdr:colOff>
                    <xdr:row>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6" r:id="rId64" name="Button 66">
              <controlPr defaultSize="0" autoFill="0" autoPict="0">
                <anchor moveWithCells="1">
                  <from>
                    <xdr:col>32</xdr:col>
                    <xdr:colOff>45720</xdr:colOff>
                    <xdr:row>1</xdr:row>
                    <xdr:rowOff>99060</xdr:rowOff>
                  </from>
                  <to>
                    <xdr:col>33</xdr:col>
                    <xdr:colOff>60960</xdr:colOff>
                    <xdr:row>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5" r:id="rId65" name="Button 65">
              <controlPr defaultSize="0" autoFill="0" autoPict="0">
                <anchor moveWithCells="1">
                  <from>
                    <xdr:col>36</xdr:col>
                    <xdr:colOff>121920</xdr:colOff>
                    <xdr:row>1</xdr:row>
                    <xdr:rowOff>106680</xdr:rowOff>
                  </from>
                  <to>
                    <xdr:col>37</xdr:col>
                    <xdr:colOff>137160</xdr:colOff>
                    <xdr:row>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4" r:id="rId66" name="Button 64">
              <controlPr defaultSize="0" autoFill="0" autoPict="0">
                <anchor moveWithCells="1">
                  <from>
                    <xdr:col>27</xdr:col>
                    <xdr:colOff>7620</xdr:colOff>
                    <xdr:row>1</xdr:row>
                    <xdr:rowOff>99060</xdr:rowOff>
                  </from>
                  <to>
                    <xdr:col>28</xdr:col>
                    <xdr:colOff>22860</xdr:colOff>
                    <xdr:row>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3" r:id="rId67" name="Button 63">
              <controlPr defaultSize="0" autoFill="0" autoPict="0">
                <anchor moveWithCells="1">
                  <from>
                    <xdr:col>22</xdr:col>
                    <xdr:colOff>0</xdr:colOff>
                    <xdr:row>1</xdr:row>
                    <xdr:rowOff>106680</xdr:rowOff>
                  </from>
                  <to>
                    <xdr:col>23</xdr:col>
                    <xdr:colOff>15240</xdr:colOff>
                    <xdr:row>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2" r:id="rId68" name="Button 62">
              <controlPr defaultSize="0" autoFill="0" autoPict="0">
                <anchor moveWithCells="1">
                  <from>
                    <xdr:col>17</xdr:col>
                    <xdr:colOff>0</xdr:colOff>
                    <xdr:row>1</xdr:row>
                    <xdr:rowOff>106680</xdr:rowOff>
                  </from>
                  <to>
                    <xdr:col>18</xdr:col>
                    <xdr:colOff>15240</xdr:colOff>
                    <xdr:row>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1" r:id="rId69" name="Button 61">
              <controlPr defaultSize="0" autoFill="0" autoPict="0">
                <anchor moveWithCells="1">
                  <from>
                    <xdr:col>12</xdr:col>
                    <xdr:colOff>15240</xdr:colOff>
                    <xdr:row>1</xdr:row>
                    <xdr:rowOff>83820</xdr:rowOff>
                  </from>
                  <to>
                    <xdr:col>13</xdr:col>
                    <xdr:colOff>30480</xdr:colOff>
                    <xdr:row>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2" r:id="rId70" name="Button 72">
              <controlPr defaultSize="0" autoFill="0" autoPict="0">
                <anchor moveWithCells="1">
                  <from>
                    <xdr:col>32</xdr:col>
                    <xdr:colOff>45720</xdr:colOff>
                    <xdr:row>1</xdr:row>
                    <xdr:rowOff>99060</xdr:rowOff>
                  </from>
                  <to>
                    <xdr:col>33</xdr:col>
                    <xdr:colOff>60960</xdr:colOff>
                    <xdr:row>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1" r:id="rId71" name="Button 71">
              <controlPr defaultSize="0" autoFill="0" autoPict="0">
                <anchor moveWithCells="1">
                  <from>
                    <xdr:col>36</xdr:col>
                    <xdr:colOff>121920</xdr:colOff>
                    <xdr:row>1</xdr:row>
                    <xdr:rowOff>106680</xdr:rowOff>
                  </from>
                  <to>
                    <xdr:col>37</xdr:col>
                    <xdr:colOff>137160</xdr:colOff>
                    <xdr:row>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0" r:id="rId72" name="Button 70">
              <controlPr defaultSize="0" autoFill="0" autoPict="0">
                <anchor moveWithCells="1">
                  <from>
                    <xdr:col>27</xdr:col>
                    <xdr:colOff>7620</xdr:colOff>
                    <xdr:row>1</xdr:row>
                    <xdr:rowOff>99060</xdr:rowOff>
                  </from>
                  <to>
                    <xdr:col>28</xdr:col>
                    <xdr:colOff>22860</xdr:colOff>
                    <xdr:row>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9" r:id="rId73" name="Button 69">
              <controlPr defaultSize="0" autoFill="0" autoPict="0">
                <anchor moveWithCells="1">
                  <from>
                    <xdr:col>22</xdr:col>
                    <xdr:colOff>0</xdr:colOff>
                    <xdr:row>1</xdr:row>
                    <xdr:rowOff>106680</xdr:rowOff>
                  </from>
                  <to>
                    <xdr:col>23</xdr:col>
                    <xdr:colOff>15240</xdr:colOff>
                    <xdr:row>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8" r:id="rId74" name="Button 68">
              <controlPr defaultSize="0" autoFill="0" autoPict="0">
                <anchor moveWithCells="1">
                  <from>
                    <xdr:col>17</xdr:col>
                    <xdr:colOff>0</xdr:colOff>
                    <xdr:row>1</xdr:row>
                    <xdr:rowOff>106680</xdr:rowOff>
                  </from>
                  <to>
                    <xdr:col>18</xdr:col>
                    <xdr:colOff>15240</xdr:colOff>
                    <xdr:row>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7" r:id="rId75" name="Button 67">
              <controlPr defaultSize="0" autoFill="0" autoPict="0">
                <anchor moveWithCells="1">
                  <from>
                    <xdr:col>12</xdr:col>
                    <xdr:colOff>15240</xdr:colOff>
                    <xdr:row>1</xdr:row>
                    <xdr:rowOff>83820</xdr:rowOff>
                  </from>
                  <to>
                    <xdr:col>13</xdr:col>
                    <xdr:colOff>30480</xdr:colOff>
                    <xdr:row>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8" r:id="rId76" name="Button 78">
              <controlPr defaultSize="0" autoFill="0" autoPict="0">
                <anchor moveWithCells="1">
                  <from>
                    <xdr:col>32</xdr:col>
                    <xdr:colOff>45720</xdr:colOff>
                    <xdr:row>1</xdr:row>
                    <xdr:rowOff>99060</xdr:rowOff>
                  </from>
                  <to>
                    <xdr:col>33</xdr:col>
                    <xdr:colOff>60960</xdr:colOff>
                    <xdr:row>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7" r:id="rId77" name="Button 77">
              <controlPr defaultSize="0" autoFill="0" autoPict="0">
                <anchor moveWithCells="1">
                  <from>
                    <xdr:col>36</xdr:col>
                    <xdr:colOff>121920</xdr:colOff>
                    <xdr:row>1</xdr:row>
                    <xdr:rowOff>106680</xdr:rowOff>
                  </from>
                  <to>
                    <xdr:col>37</xdr:col>
                    <xdr:colOff>137160</xdr:colOff>
                    <xdr:row>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6" r:id="rId78" name="Button 76">
              <controlPr defaultSize="0" autoFill="0" autoPict="0">
                <anchor moveWithCells="1">
                  <from>
                    <xdr:col>27</xdr:col>
                    <xdr:colOff>7620</xdr:colOff>
                    <xdr:row>1</xdr:row>
                    <xdr:rowOff>99060</xdr:rowOff>
                  </from>
                  <to>
                    <xdr:col>28</xdr:col>
                    <xdr:colOff>22860</xdr:colOff>
                    <xdr:row>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5" r:id="rId79" name="Button 75">
              <controlPr defaultSize="0" autoFill="0" autoPict="0">
                <anchor moveWithCells="1">
                  <from>
                    <xdr:col>22</xdr:col>
                    <xdr:colOff>0</xdr:colOff>
                    <xdr:row>1</xdr:row>
                    <xdr:rowOff>106680</xdr:rowOff>
                  </from>
                  <to>
                    <xdr:col>23</xdr:col>
                    <xdr:colOff>15240</xdr:colOff>
                    <xdr:row>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4" r:id="rId80" name="Button 74">
              <controlPr defaultSize="0" autoFill="0" autoPict="0">
                <anchor moveWithCells="1">
                  <from>
                    <xdr:col>17</xdr:col>
                    <xdr:colOff>0</xdr:colOff>
                    <xdr:row>1</xdr:row>
                    <xdr:rowOff>106680</xdr:rowOff>
                  </from>
                  <to>
                    <xdr:col>18</xdr:col>
                    <xdr:colOff>15240</xdr:colOff>
                    <xdr:row>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3" r:id="rId81" name="Button 73">
              <controlPr defaultSize="0" autoFill="0" autoPict="0">
                <anchor moveWithCells="1">
                  <from>
                    <xdr:col>12</xdr:col>
                    <xdr:colOff>15240</xdr:colOff>
                    <xdr:row>1</xdr:row>
                    <xdr:rowOff>83820</xdr:rowOff>
                  </from>
                  <to>
                    <xdr:col>13</xdr:col>
                    <xdr:colOff>30480</xdr:colOff>
                    <xdr:row>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1" r:id="rId82" name="Button -23">
              <controlPr defaultSize="0" autoFill="0" autoPict="0">
                <anchor moveWithCells="1">
                  <from>
                    <xdr:col>32</xdr:col>
                    <xdr:colOff>45720</xdr:colOff>
                    <xdr:row>1</xdr:row>
                    <xdr:rowOff>99060</xdr:rowOff>
                  </from>
                  <to>
                    <xdr:col>33</xdr:col>
                    <xdr:colOff>60960</xdr:colOff>
                    <xdr:row>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2" r:id="rId83" name="Button -22">
              <controlPr defaultSize="0" autoFill="0" autoPict="0">
                <anchor moveWithCells="1">
                  <from>
                    <xdr:col>36</xdr:col>
                    <xdr:colOff>121920</xdr:colOff>
                    <xdr:row>1</xdr:row>
                    <xdr:rowOff>106680</xdr:rowOff>
                  </from>
                  <to>
                    <xdr:col>37</xdr:col>
                    <xdr:colOff>137160</xdr:colOff>
                    <xdr:row>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3" r:id="rId84" name="Button -21">
              <controlPr defaultSize="0" autoFill="0" autoPict="0">
                <anchor moveWithCells="1">
                  <from>
                    <xdr:col>27</xdr:col>
                    <xdr:colOff>7620</xdr:colOff>
                    <xdr:row>1</xdr:row>
                    <xdr:rowOff>99060</xdr:rowOff>
                  </from>
                  <to>
                    <xdr:col>28</xdr:col>
                    <xdr:colOff>22860</xdr:colOff>
                    <xdr:row>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4" r:id="rId85" name="Button -20">
              <controlPr defaultSize="0" autoFill="0" autoPict="0">
                <anchor moveWithCells="1">
                  <from>
                    <xdr:col>22</xdr:col>
                    <xdr:colOff>0</xdr:colOff>
                    <xdr:row>1</xdr:row>
                    <xdr:rowOff>106680</xdr:rowOff>
                  </from>
                  <to>
                    <xdr:col>23</xdr:col>
                    <xdr:colOff>15240</xdr:colOff>
                    <xdr:row>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5" r:id="rId86" name="Button -19">
              <controlPr defaultSize="0" autoFill="0" autoPict="0">
                <anchor moveWithCells="1">
                  <from>
                    <xdr:col>17</xdr:col>
                    <xdr:colOff>0</xdr:colOff>
                    <xdr:row>1</xdr:row>
                    <xdr:rowOff>106680</xdr:rowOff>
                  </from>
                  <to>
                    <xdr:col>18</xdr:col>
                    <xdr:colOff>15240</xdr:colOff>
                    <xdr:row>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06" r:id="rId87" name="Button -18">
              <controlPr defaultSize="0" autoFill="0" autoPict="0">
                <anchor moveWithCells="1">
                  <from>
                    <xdr:col>12</xdr:col>
                    <xdr:colOff>15240</xdr:colOff>
                    <xdr:row>1</xdr:row>
                    <xdr:rowOff>83820</xdr:rowOff>
                  </from>
                  <to>
                    <xdr:col>13</xdr:col>
                    <xdr:colOff>30480</xdr:colOff>
                    <xdr:row>3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C42"/>
  <sheetViews>
    <sheetView topLeftCell="B1" zoomScaleNormal="100" workbookViewId="0">
      <selection activeCell="E39" sqref="E39"/>
    </sheetView>
  </sheetViews>
  <sheetFormatPr baseColWidth="10" defaultColWidth="11.5546875" defaultRowHeight="14.4" x14ac:dyDescent="0.25"/>
  <cols>
    <col min="1" max="1" width="26.88671875" style="169" customWidth="1"/>
    <col min="2" max="2" width="35" style="169" customWidth="1"/>
    <col min="3" max="3" width="30.44140625" style="169" customWidth="1"/>
    <col min="4" max="16384" width="11.5546875" style="169"/>
  </cols>
  <sheetData>
    <row r="1" spans="1:3" ht="17.399999999999999" x14ac:dyDescent="0.25">
      <c r="A1" s="242" t="s">
        <v>66</v>
      </c>
      <c r="B1" s="242"/>
      <c r="C1" s="242"/>
    </row>
    <row r="2" spans="1:3" ht="15" x14ac:dyDescent="0.25">
      <c r="A2" s="181"/>
    </row>
    <row r="3" spans="1:3" ht="15" x14ac:dyDescent="0.25">
      <c r="A3" s="181"/>
    </row>
    <row r="4" spans="1:3" ht="15.6" x14ac:dyDescent="0.25">
      <c r="A4" s="182" t="s">
        <v>67</v>
      </c>
      <c r="B4" s="182" t="s">
        <v>68</v>
      </c>
      <c r="C4" s="182" t="s">
        <v>69</v>
      </c>
    </row>
    <row r="5" spans="1:3" ht="15.6" x14ac:dyDescent="0.25">
      <c r="A5" s="182"/>
      <c r="C5" s="182"/>
    </row>
    <row r="6" spans="1:3" ht="15.6" x14ac:dyDescent="0.25">
      <c r="A6" s="183"/>
    </row>
    <row r="7" spans="1:3" ht="15" customHeight="1" x14ac:dyDescent="0.25">
      <c r="A7" s="184"/>
      <c r="B7" s="185"/>
      <c r="C7" s="243" t="s">
        <v>70</v>
      </c>
    </row>
    <row r="8" spans="1:3" ht="15" x14ac:dyDescent="0.25">
      <c r="A8" s="186" t="s">
        <v>71</v>
      </c>
      <c r="B8" s="187" t="s">
        <v>72</v>
      </c>
      <c r="C8" s="243"/>
    </row>
    <row r="9" spans="1:3" ht="15" x14ac:dyDescent="0.25">
      <c r="A9" s="188"/>
      <c r="B9" s="189"/>
      <c r="C9" s="243"/>
    </row>
    <row r="10" spans="1:3" ht="15" customHeight="1" x14ac:dyDescent="0.25">
      <c r="A10" s="243" t="s">
        <v>73</v>
      </c>
      <c r="B10" s="190"/>
      <c r="C10" s="187"/>
    </row>
    <row r="11" spans="1:3" ht="15" x14ac:dyDescent="0.25">
      <c r="A11" s="243"/>
      <c r="B11" s="187"/>
      <c r="C11" s="190"/>
    </row>
    <row r="12" spans="1:3" ht="30" x14ac:dyDescent="0.25">
      <c r="A12" s="243"/>
      <c r="B12" s="187" t="s">
        <v>74</v>
      </c>
      <c r="C12" s="190"/>
    </row>
    <row r="13" spans="1:3" ht="15" x14ac:dyDescent="0.25">
      <c r="A13" s="243"/>
      <c r="B13" s="187"/>
      <c r="C13" s="190"/>
    </row>
    <row r="14" spans="1:3" ht="30" x14ac:dyDescent="0.25">
      <c r="A14" s="243"/>
      <c r="B14" s="187" t="s">
        <v>74</v>
      </c>
      <c r="C14" s="190"/>
    </row>
    <row r="15" spans="1:3" x14ac:dyDescent="0.25">
      <c r="A15" s="243"/>
      <c r="B15" s="191"/>
      <c r="C15" s="191"/>
    </row>
    <row r="16" spans="1:3" x14ac:dyDescent="0.25">
      <c r="A16" s="243"/>
      <c r="B16" s="192"/>
      <c r="C16" s="192"/>
    </row>
    <row r="17" spans="1:3" ht="14.25" customHeight="1" x14ac:dyDescent="0.25">
      <c r="A17" s="243" t="s">
        <v>73</v>
      </c>
      <c r="B17" s="191"/>
      <c r="C17" s="191"/>
    </row>
    <row r="18" spans="1:3" ht="14.25" customHeight="1" x14ac:dyDescent="0.25">
      <c r="A18" s="243"/>
      <c r="B18" s="191"/>
      <c r="C18" s="191"/>
    </row>
    <row r="19" spans="1:3" ht="30" x14ac:dyDescent="0.25">
      <c r="A19" s="243"/>
      <c r="B19" s="187" t="s">
        <v>74</v>
      </c>
      <c r="C19" s="191"/>
    </row>
    <row r="20" spans="1:3" ht="15" x14ac:dyDescent="0.25">
      <c r="A20" s="243"/>
      <c r="B20" s="187"/>
      <c r="C20" s="191"/>
    </row>
    <row r="21" spans="1:3" ht="30" x14ac:dyDescent="0.25">
      <c r="A21" s="243"/>
      <c r="B21" s="187" t="s">
        <v>74</v>
      </c>
      <c r="C21" s="190"/>
    </row>
    <row r="22" spans="1:3" ht="15" x14ac:dyDescent="0.25">
      <c r="A22" s="243"/>
      <c r="B22" s="190"/>
      <c r="C22" s="190"/>
    </row>
    <row r="23" spans="1:3" ht="15" x14ac:dyDescent="0.25">
      <c r="A23" s="243"/>
      <c r="B23" s="192"/>
      <c r="C23" s="189"/>
    </row>
    <row r="24" spans="1:3" ht="15" customHeight="1" x14ac:dyDescent="0.25">
      <c r="A24" s="243" t="s">
        <v>73</v>
      </c>
      <c r="B24" s="187"/>
      <c r="C24" s="190"/>
    </row>
    <row r="25" spans="1:3" ht="15" x14ac:dyDescent="0.25">
      <c r="A25" s="243"/>
      <c r="B25" s="187"/>
      <c r="C25" s="190"/>
    </row>
    <row r="26" spans="1:3" ht="30" x14ac:dyDescent="0.25">
      <c r="A26" s="243"/>
      <c r="B26" s="187" t="s">
        <v>74</v>
      </c>
      <c r="C26" s="190"/>
    </row>
    <row r="27" spans="1:3" ht="15" x14ac:dyDescent="0.25">
      <c r="A27" s="243"/>
      <c r="B27" s="187"/>
      <c r="C27" s="190"/>
    </row>
    <row r="28" spans="1:3" ht="30" x14ac:dyDescent="0.25">
      <c r="A28" s="243"/>
      <c r="B28" s="187" t="s">
        <v>74</v>
      </c>
      <c r="C28" s="190"/>
    </row>
    <row r="29" spans="1:3" ht="15" x14ac:dyDescent="0.25">
      <c r="A29" s="243"/>
      <c r="B29" s="187"/>
      <c r="C29" s="191"/>
    </row>
    <row r="30" spans="1:3" x14ac:dyDescent="0.25">
      <c r="A30" s="243"/>
      <c r="B30" s="192"/>
      <c r="C30" s="192"/>
    </row>
    <row r="31" spans="1:3" ht="15" x14ac:dyDescent="0.25">
      <c r="A31" s="186"/>
      <c r="B31" s="187"/>
      <c r="C31" s="190"/>
    </row>
    <row r="32" spans="1:3" ht="15" x14ac:dyDescent="0.25">
      <c r="A32" s="186"/>
      <c r="B32" s="187"/>
      <c r="C32" s="190"/>
    </row>
    <row r="33" spans="1:3" ht="30" x14ac:dyDescent="0.25">
      <c r="A33" s="186" t="s">
        <v>75</v>
      </c>
      <c r="B33" s="187" t="s">
        <v>74</v>
      </c>
      <c r="C33" s="190"/>
    </row>
    <row r="34" spans="1:3" ht="15" x14ac:dyDescent="0.25">
      <c r="A34" s="186" t="s">
        <v>76</v>
      </c>
      <c r="B34" s="187"/>
      <c r="C34" s="190"/>
    </row>
    <row r="35" spans="1:3" ht="30" x14ac:dyDescent="0.25">
      <c r="A35" s="186" t="s">
        <v>77</v>
      </c>
      <c r="B35" s="187" t="s">
        <v>74</v>
      </c>
      <c r="C35" s="191"/>
    </row>
    <row r="36" spans="1:3" ht="15" x14ac:dyDescent="0.25">
      <c r="A36" s="186" t="s">
        <v>78</v>
      </c>
      <c r="B36" s="191"/>
      <c r="C36" s="191"/>
    </row>
    <row r="37" spans="1:3" ht="15" x14ac:dyDescent="0.25">
      <c r="A37" s="193"/>
      <c r="B37" s="192"/>
      <c r="C37" s="192"/>
    </row>
    <row r="38" spans="1:3" ht="15" x14ac:dyDescent="0.25">
      <c r="A38" s="181"/>
    </row>
    <row r="39" spans="1:3" ht="75" customHeight="1" x14ac:dyDescent="0.25">
      <c r="A39" s="241" t="s">
        <v>79</v>
      </c>
      <c r="C39" s="241" t="s">
        <v>80</v>
      </c>
    </row>
    <row r="40" spans="1:3" x14ac:dyDescent="0.25">
      <c r="A40" s="241"/>
      <c r="C40" s="241"/>
    </row>
    <row r="41" spans="1:3" ht="14.25" customHeight="1" x14ac:dyDescent="0.25">
      <c r="A41" s="241" t="s">
        <v>81</v>
      </c>
      <c r="C41" s="241" t="s">
        <v>81</v>
      </c>
    </row>
    <row r="42" spans="1:3" x14ac:dyDescent="0.25">
      <c r="A42" s="241"/>
      <c r="C42" s="241"/>
    </row>
  </sheetData>
  <sheetProtection algorithmName="SHA-512" hashValue="X4D9HjioPnJIdHnSQrnJMA/CISPG8kuY5d6rYHFu/yaNYDqkt0zVPcI4oTAOArGXUz6pFUrjL2GB0I1WGJsIKA==" saltValue="VEf/jLEyhY7CVsyaRfNV9g==" spinCount="100000" sheet="1" objects="1" scenarios="1"/>
  <mergeCells count="9">
    <mergeCell ref="A39:A40"/>
    <mergeCell ref="C39:C40"/>
    <mergeCell ref="A41:A42"/>
    <mergeCell ref="C41:C42"/>
    <mergeCell ref="A1:C1"/>
    <mergeCell ref="C7:C9"/>
    <mergeCell ref="A10:A16"/>
    <mergeCell ref="A17:A23"/>
    <mergeCell ref="A24:A30"/>
  </mergeCells>
  <printOptions horizontalCentered="1" verticalCentered="1"/>
  <pageMargins left="0.70833333333333304" right="0.70833333333333304" top="0.74861111111111101" bottom="0.74791666666666701" header="0.31527777777777799" footer="0.511811023622047"/>
  <pageSetup paperSize="9" orientation="portrait" horizontalDpi="300" verticalDpi="300" r:id="rId1"/>
  <headerFooter>
    <oddHeader>&amp;L&amp;12Raison sociale de votre Entreprise :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V10"/>
  <sheetViews>
    <sheetView topLeftCell="I1" zoomScaleNormal="100" workbookViewId="0">
      <selection activeCell="T3" sqref="T3"/>
    </sheetView>
  </sheetViews>
  <sheetFormatPr baseColWidth="10" defaultColWidth="10.5546875" defaultRowHeight="13.2" x14ac:dyDescent="0.25"/>
  <cols>
    <col min="1" max="1" width="11.33203125" customWidth="1"/>
    <col min="2" max="3" width="11" customWidth="1"/>
    <col min="5" max="5" width="11.88671875" customWidth="1"/>
    <col min="6" max="6" width="11" customWidth="1"/>
    <col min="8" max="8" width="11" customWidth="1"/>
    <col min="10" max="12" width="11" customWidth="1"/>
    <col min="13" max="13" width="15.88671875" customWidth="1"/>
    <col min="14" max="14" width="11" customWidth="1"/>
  </cols>
  <sheetData>
    <row r="1" spans="1:100" s="194" customFormat="1" x14ac:dyDescent="0.25">
      <c r="A1" s="194" t="s">
        <v>82</v>
      </c>
      <c r="B1" s="195">
        <v>1</v>
      </c>
      <c r="C1" s="195">
        <v>2</v>
      </c>
      <c r="D1" s="195">
        <v>3</v>
      </c>
      <c r="E1" s="195">
        <v>4</v>
      </c>
      <c r="F1" s="195">
        <v>5</v>
      </c>
      <c r="G1" s="195">
        <v>6</v>
      </c>
      <c r="H1" s="195">
        <v>7</v>
      </c>
      <c r="I1" s="195">
        <v>8</v>
      </c>
      <c r="J1" s="195">
        <v>9</v>
      </c>
      <c r="K1" s="195">
        <v>10</v>
      </c>
      <c r="L1" s="195">
        <v>11</v>
      </c>
      <c r="M1" s="195">
        <v>12</v>
      </c>
      <c r="N1" s="195">
        <v>13</v>
      </c>
      <c r="O1" s="195">
        <v>14</v>
      </c>
      <c r="P1" s="195">
        <v>15</v>
      </c>
      <c r="Q1" s="195">
        <v>16</v>
      </c>
      <c r="R1" s="195">
        <v>17</v>
      </c>
      <c r="S1" s="195">
        <v>18</v>
      </c>
      <c r="T1" s="196">
        <v>19</v>
      </c>
    </row>
    <row r="2" spans="1:100" s="197" customFormat="1" x14ac:dyDescent="0.25">
      <c r="A2" s="197" t="s">
        <v>83</v>
      </c>
      <c r="B2" s="198">
        <f>Horaires!BX7</f>
        <v>0.32291666666666702</v>
      </c>
      <c r="C2" s="198">
        <f>Horaires!BX9</f>
        <v>0.23958333333333301</v>
      </c>
      <c r="D2" s="198">
        <f>Horaires!BX11</f>
        <v>0.35416666666666702</v>
      </c>
      <c r="E2" s="198">
        <f>Horaires!BX13</f>
        <v>0.33333333333333298</v>
      </c>
      <c r="F2" s="198">
        <f>Horaires!BX15</f>
        <v>0.33333333333333298</v>
      </c>
      <c r="G2" s="198">
        <f>Horaires!BX17</f>
        <v>0.35416666666666702</v>
      </c>
      <c r="H2" s="198">
        <f>Horaires!BX19</f>
        <v>0.375</v>
      </c>
      <c r="I2" s="198">
        <f>Horaires!BX21</f>
        <v>0.33333333333333298</v>
      </c>
      <c r="J2" s="198">
        <f>Horaires!BX23</f>
        <v>0.29166666666666702</v>
      </c>
      <c r="K2" s="198">
        <f>Horaires!BX25</f>
        <v>0.33333333333333298</v>
      </c>
      <c r="L2" s="198">
        <f>Horaires!BX27</f>
        <v>0.35416666666666702</v>
      </c>
      <c r="M2" s="198">
        <f>Horaires!BX29</f>
        <v>0.375</v>
      </c>
      <c r="N2" s="198">
        <f>Horaires!BX31</f>
        <v>0.30208333333333298</v>
      </c>
      <c r="O2" s="198">
        <f>Horaires!BX33</f>
        <v>0.33333333333333298</v>
      </c>
      <c r="P2" s="198">
        <f>Horaires!BX35</f>
        <v>0.35416666666666702</v>
      </c>
      <c r="Q2" s="198">
        <f>Horaires!BX37</f>
        <v>0.375</v>
      </c>
      <c r="R2" s="198">
        <f>Horaires!BX39</f>
        <v>0</v>
      </c>
      <c r="S2" s="198">
        <f>Horaires!BX41</f>
        <v>0</v>
      </c>
      <c r="T2" s="199" t="str">
        <f>Horaires!BX43</f>
        <v>X</v>
      </c>
      <c r="U2" s="200"/>
      <c r="V2" s="201"/>
      <c r="W2" s="201"/>
      <c r="X2" s="198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  <c r="AJ2" s="201"/>
      <c r="AK2" s="201"/>
      <c r="AL2" s="201"/>
      <c r="AM2" s="201"/>
      <c r="AN2" s="201"/>
      <c r="AO2" s="201"/>
      <c r="AP2" s="201"/>
      <c r="AQ2" s="201"/>
      <c r="AR2" s="201"/>
      <c r="AS2" s="201"/>
      <c r="AT2" s="201"/>
      <c r="AU2" s="201"/>
      <c r="AV2" s="201"/>
      <c r="AW2" s="201"/>
      <c r="AX2" s="201"/>
      <c r="AY2" s="201"/>
      <c r="AZ2" s="201"/>
      <c r="BA2" s="201"/>
      <c r="BB2" s="201"/>
      <c r="BC2" s="201"/>
      <c r="BD2" s="201"/>
      <c r="BE2" s="201"/>
      <c r="BF2" s="201"/>
      <c r="BG2" s="201"/>
      <c r="BH2" s="201"/>
      <c r="BI2" s="201"/>
      <c r="BJ2" s="201"/>
      <c r="BK2" s="201"/>
      <c r="BL2" s="201"/>
      <c r="BM2" s="201"/>
      <c r="BN2" s="201"/>
      <c r="BO2" s="201"/>
      <c r="BP2" s="201"/>
      <c r="BQ2" s="201"/>
      <c r="BR2" s="201"/>
      <c r="BS2" s="201"/>
      <c r="BT2" s="201"/>
      <c r="BU2" s="201"/>
      <c r="BV2" s="201"/>
      <c r="BW2" s="201"/>
      <c r="BX2" s="201"/>
      <c r="BY2" s="201"/>
      <c r="BZ2" s="201"/>
      <c r="CA2" s="201"/>
      <c r="CB2" s="201"/>
      <c r="CC2" s="201"/>
      <c r="CD2" s="201"/>
      <c r="CE2" s="201"/>
      <c r="CF2" s="201"/>
      <c r="CG2" s="201"/>
      <c r="CH2" s="201"/>
      <c r="CI2" s="201"/>
      <c r="CJ2" s="201"/>
      <c r="CK2" s="201"/>
      <c r="CL2" s="201"/>
      <c r="CM2" s="201"/>
      <c r="CN2" s="201"/>
      <c r="CO2" s="201"/>
      <c r="CP2" s="201"/>
      <c r="CQ2" s="201"/>
      <c r="CR2" s="201"/>
      <c r="CS2" s="201"/>
      <c r="CT2" s="201"/>
      <c r="CU2" s="201"/>
      <c r="CV2" s="201"/>
    </row>
    <row r="3" spans="1:100" x14ac:dyDescent="0.25">
      <c r="L3" t="s">
        <v>22</v>
      </c>
    </row>
    <row r="4" spans="1:100" x14ac:dyDescent="0.25">
      <c r="N4" s="202"/>
    </row>
    <row r="7" spans="1:100" x14ac:dyDescent="0.25">
      <c r="A7" s="203"/>
      <c r="B7" s="203"/>
      <c r="C7" s="203"/>
      <c r="D7" s="204"/>
      <c r="E7" s="203"/>
      <c r="F7" s="203"/>
      <c r="G7" s="203"/>
      <c r="H7" s="203"/>
      <c r="I7" s="203"/>
      <c r="J7" s="203"/>
      <c r="K7" s="203"/>
      <c r="L7" s="203"/>
      <c r="M7" s="203"/>
      <c r="N7" s="203"/>
    </row>
    <row r="8" spans="1:100" x14ac:dyDescent="0.25">
      <c r="A8" s="205"/>
      <c r="B8" s="205"/>
      <c r="C8" s="205"/>
    </row>
    <row r="9" spans="1:100" x14ac:dyDescent="0.25">
      <c r="A9" s="205"/>
      <c r="B9" s="205"/>
      <c r="C9" s="205"/>
    </row>
    <row r="10" spans="1:100" x14ac:dyDescent="0.25">
      <c r="A10" s="205"/>
      <c r="B10" s="205"/>
      <c r="C10" s="205"/>
    </row>
  </sheetData>
  <pageMargins left="0.78749999999999998" right="0.78749999999999998" top="0.98472222222222205" bottom="0.98472222222222205" header="0.49236111111111103" footer="0.49236111111111103"/>
  <pageSetup paperSize="9" orientation="portrait" horizontalDpi="300" verticalDpi="300" r:id="rId1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14</vt:i4>
      </vt:variant>
    </vt:vector>
  </HeadingPairs>
  <TitlesOfParts>
    <vt:vector size="27" baseType="lpstr">
      <vt:lpstr>Annuel</vt:lpstr>
      <vt:lpstr>Planning</vt:lpstr>
      <vt:lpstr>Planning (2)</vt:lpstr>
      <vt:lpstr>Planning (3)</vt:lpstr>
      <vt:lpstr>Planning (4)</vt:lpstr>
      <vt:lpstr>Planning (5)</vt:lpstr>
      <vt:lpstr>Planning (6)</vt:lpstr>
      <vt:lpstr>Planning (7)</vt:lpstr>
      <vt:lpstr>Planning (8)</vt:lpstr>
      <vt:lpstr>Horaires</vt:lpstr>
      <vt:lpstr>Planning Vacances</vt:lpstr>
      <vt:lpstr>Demande congé</vt:lpstr>
      <vt:lpstr>Barème</vt:lpstr>
      <vt:lpstr>CalendarYear</vt:lpstr>
      <vt:lpstr>date</vt:lpstr>
      <vt:lpstr>Range_Dates</vt:lpstr>
      <vt:lpstr>Range_Days</vt:lpstr>
      <vt:lpstr>Range_Weekdays</vt:lpstr>
      <vt:lpstr>Horaires!Zone_d_impression</vt:lpstr>
      <vt:lpstr>Planning!Zone_d_impression</vt:lpstr>
      <vt:lpstr>'Planning (2)'!Zone_d_impression</vt:lpstr>
      <vt:lpstr>'Planning (3)'!Zone_d_impression</vt:lpstr>
      <vt:lpstr>'Planning (4)'!Zone_d_impression</vt:lpstr>
      <vt:lpstr>'Planning (5)'!Zone_d_impression</vt:lpstr>
      <vt:lpstr>'Planning (6)'!Zone_d_impression</vt:lpstr>
      <vt:lpstr>'Planning (7)'!Zone_d_impression</vt:lpstr>
      <vt:lpstr>'Planning (8)'!Zone_d_impression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 Restaurant</dc:creator>
  <dc:description/>
  <cp:lastModifiedBy>Steve Déglise</cp:lastModifiedBy>
  <cp:revision>1</cp:revision>
  <cp:lastPrinted>2024-01-26T09:39:37Z</cp:lastPrinted>
  <dcterms:created xsi:type="dcterms:W3CDTF">2010-07-09T11:18:54Z</dcterms:created>
  <dcterms:modified xsi:type="dcterms:W3CDTF">2024-02-18T09:07:28Z</dcterms:modified>
  <dc:language>fr-CH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bad0d50-9cbb-471c-bae7-38b20ec0f1f9_ActionId">
    <vt:lpwstr>54332fc0-429f-4bf4-9c0b-05105069b403</vt:lpwstr>
  </property>
  <property fmtid="{D5CDD505-2E9C-101B-9397-08002B2CF9AE}" pid="3" name="MSIP_Label_4bad0d50-9cbb-471c-bae7-38b20ec0f1f9_ContentBits">
    <vt:lpwstr>0</vt:lpwstr>
  </property>
  <property fmtid="{D5CDD505-2E9C-101B-9397-08002B2CF9AE}" pid="4" name="MSIP_Label_4bad0d50-9cbb-471c-bae7-38b20ec0f1f9_Enabled">
    <vt:lpwstr>true</vt:lpwstr>
  </property>
  <property fmtid="{D5CDD505-2E9C-101B-9397-08002B2CF9AE}" pid="5" name="MSIP_Label_4bad0d50-9cbb-471c-bae7-38b20ec0f1f9_Method">
    <vt:lpwstr>Standard</vt:lpwstr>
  </property>
  <property fmtid="{D5CDD505-2E9C-101B-9397-08002B2CF9AE}" pid="6" name="MSIP_Label_4bad0d50-9cbb-471c-bae7-38b20ec0f1f9_Name">
    <vt:lpwstr>Intern</vt:lpwstr>
  </property>
  <property fmtid="{D5CDD505-2E9C-101B-9397-08002B2CF9AE}" pid="7" name="MSIP_Label_4bad0d50-9cbb-471c-bae7-38b20ec0f1f9_SetDate">
    <vt:lpwstr>2022-03-05T08:11:46Z</vt:lpwstr>
  </property>
  <property fmtid="{D5CDD505-2E9C-101B-9397-08002B2CF9AE}" pid="8" name="MSIP_Label_4bad0d50-9cbb-471c-bae7-38b20ec0f1f9_SiteId">
    <vt:lpwstr>35aa8c5b-ac0a-4b15-9788-ff6dfa22901f</vt:lpwstr>
  </property>
  <property fmtid="{D5CDD505-2E9C-101B-9397-08002B2CF9AE}" pid="9" name="PublishingExpirationDate">
    <vt:lpwstr/>
  </property>
  <property fmtid="{D5CDD505-2E9C-101B-9397-08002B2CF9AE}" pid="10" name="PublishingStartDate">
    <vt:lpwstr/>
  </property>
</Properties>
</file>