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396" tabRatio="599" activeTab="1"/>
  </bookViews>
  <sheets>
    <sheet name="Lentilles" sheetId="9" r:id="rId1"/>
    <sheet name="bASE" sheetId="58" r:id="rId2"/>
    <sheet name="Out" sheetId="8" state="hidden" r:id="rId3"/>
    <sheet name="L3" sheetId="52" state="hidden" r:id="rId4"/>
  </sheets>
  <functionGroups builtInGroupCount="18"/>
  <externalReferences>
    <externalReference r:id="rId5"/>
    <externalReference r:id="rId6"/>
  </externalReferences>
  <definedNames>
    <definedName name="_xlnm._FilterDatabase" localSheetId="0" hidden="1">Lentilles!#REF!</definedName>
    <definedName name="_xlnm._FilterDatabase" localSheetId="2" hidden="1">Out!$A$2:$AY$2</definedName>
    <definedName name="_xlnm.Criteria" localSheetId="0">Lentilles!#REF!</definedName>
    <definedName name="Liste_Catégories">OFFSET([1]Catégories!$A$3,,,COUNTA([1]Catégories!$A:$A)-1,)</definedName>
    <definedName name="Liste_Fournisseurs">OFFSET([1]Fournisseurs!$A$3,,,COUNTA([1]Fournisseurs!$A:$A)-1,)</definedName>
    <definedName name="Liste_Pièces">OFFSET([1]Inventaire!$A$3,,,COUNTA([1]Inventaire!$A:$A)-1,)</definedName>
    <definedName name="Liste_Techniciens">OFFSET([1]Techniciens!$A$3,,,COUNTA([1]Techniciens!$A:$A)-1,)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ACHINE">#REF!</definedName>
    <definedName name="MACHINES">#REF!</definedName>
    <definedName name="Source">[2]check!$B$14</definedName>
    <definedName name="_xlnm.Print_Area" localSheetId="0">Lentilles!#REF!</definedName>
  </definedNames>
  <calcPr calcId="152511"/>
</workbook>
</file>

<file path=xl/calcChain.xml><?xml version="1.0" encoding="utf-8"?>
<calcChain xmlns="http://schemas.openxmlformats.org/spreadsheetml/2006/main">
  <c r="B3" i="58" l="1"/>
  <c r="B4" i="58"/>
  <c r="B5" i="58"/>
  <c r="B6" i="58"/>
  <c r="B7" i="58"/>
  <c r="B8" i="58"/>
  <c r="B9" i="58"/>
  <c r="B10" i="58"/>
  <c r="B11" i="58"/>
  <c r="B12" i="58"/>
  <c r="B13" i="58"/>
  <c r="B14" i="58"/>
  <c r="B2" i="58"/>
  <c r="C3" i="58"/>
  <c r="C4" i="58"/>
  <c r="C5" i="58"/>
  <c r="C6" i="58"/>
  <c r="C7" i="58"/>
  <c r="C8" i="58"/>
  <c r="C9" i="58"/>
  <c r="C10" i="58"/>
  <c r="C11" i="58"/>
  <c r="C12" i="58"/>
  <c r="C13" i="58"/>
  <c r="C14" i="58"/>
  <c r="C2" i="58"/>
  <c r="I13" i="9" l="1"/>
  <c r="I14" i="9"/>
  <c r="N9" i="9"/>
  <c r="I9" i="9"/>
  <c r="M7" i="9"/>
  <c r="I7" i="9" s="1"/>
  <c r="W13" i="9" l="1"/>
  <c r="X13" i="9" s="1"/>
  <c r="W14" i="9"/>
  <c r="X14" i="9" s="1"/>
  <c r="X8" i="9"/>
  <c r="X9" i="9"/>
  <c r="X10" i="9"/>
  <c r="X11" i="9"/>
  <c r="X12" i="9"/>
  <c r="X15" i="9"/>
  <c r="X16" i="9"/>
  <c r="X17" i="9"/>
  <c r="X18" i="9"/>
  <c r="X7" i="9"/>
  <c r="X6" i="9"/>
  <c r="M6" i="9" l="1"/>
  <c r="I6" i="9" s="1"/>
  <c r="W7" i="9"/>
  <c r="R13" i="9"/>
  <c r="R14" i="9"/>
  <c r="W6" i="9" l="1"/>
  <c r="Y6" i="9"/>
  <c r="Y7" i="9" s="1"/>
  <c r="T16" i="9" l="1"/>
  <c r="T7" i="9"/>
  <c r="T8" i="9"/>
  <c r="T9" i="9"/>
  <c r="T10" i="9"/>
  <c r="T12" i="9"/>
  <c r="T6" i="9"/>
  <c r="M8" i="9"/>
  <c r="I8" i="9" s="1"/>
  <c r="W8" i="9" l="1"/>
  <c r="Y8" i="9"/>
  <c r="N17" i="9" l="1"/>
  <c r="I17" i="9" s="1"/>
  <c r="N11" i="9"/>
  <c r="I11" i="9" s="1"/>
  <c r="M10" i="9"/>
  <c r="I10" i="9" s="1"/>
  <c r="M12" i="9"/>
  <c r="M15" i="9"/>
  <c r="I15" i="9" s="1"/>
  <c r="M16" i="9"/>
  <c r="I16" i="9" s="1"/>
  <c r="M18" i="9"/>
  <c r="I18" i="9" s="1"/>
  <c r="W12" i="9" l="1"/>
  <c r="I12" i="9"/>
  <c r="W11" i="9"/>
  <c r="W16" i="9"/>
  <c r="W17" i="9"/>
  <c r="W18" i="9"/>
  <c r="W10" i="9"/>
  <c r="W15" i="9"/>
  <c r="W9" i="9"/>
  <c r="Y9" i="9"/>
  <c r="Y10" i="9" s="1"/>
  <c r="Y11" i="9" s="1"/>
  <c r="Y12" i="9" s="1"/>
  <c r="Y13" i="9" s="1"/>
  <c r="Y14" i="9" s="1"/>
  <c r="Y15" i="9" s="1"/>
  <c r="Y16" i="9" s="1"/>
  <c r="Y17" i="9" s="1"/>
  <c r="Y18" i="9" s="1"/>
  <c r="T18" i="9" l="1"/>
  <c r="T15" i="9"/>
  <c r="T14" i="9"/>
  <c r="T13" i="9"/>
  <c r="T17" i="9" l="1"/>
  <c r="T11" i="9"/>
  <c r="EV36" i="52" l="1"/>
  <c r="EU36" i="52"/>
  <c r="ET36" i="52"/>
  <c r="ES36" i="52"/>
  <c r="ER36" i="52"/>
  <c r="EQ36" i="52"/>
  <c r="EP36" i="52"/>
  <c r="EO36" i="52"/>
  <c r="EN36" i="52"/>
  <c r="EM36" i="52"/>
  <c r="EL36" i="52"/>
  <c r="EK36" i="52"/>
  <c r="EJ36" i="52"/>
  <c r="EI36" i="52"/>
  <c r="EH36" i="52"/>
  <c r="EG36" i="52"/>
  <c r="EF36" i="52"/>
  <c r="EE36" i="52"/>
  <c r="ED36" i="52"/>
  <c r="EC36" i="52"/>
  <c r="EB36" i="52"/>
  <c r="EA36" i="52"/>
  <c r="DZ36" i="52"/>
  <c r="DY36" i="52"/>
  <c r="DX36" i="52"/>
  <c r="DW36" i="52"/>
  <c r="DV36" i="52"/>
  <c r="DU36" i="52"/>
  <c r="DT36" i="52"/>
  <c r="DS36" i="52"/>
  <c r="DR36" i="52"/>
  <c r="DQ36" i="52"/>
  <c r="DP36" i="52"/>
  <c r="DO36" i="52"/>
  <c r="DN36" i="52"/>
  <c r="DM36" i="52"/>
  <c r="DL36" i="52"/>
  <c r="DK36" i="52"/>
  <c r="DJ36" i="52"/>
  <c r="DI36" i="52"/>
  <c r="DH36" i="52"/>
  <c r="DG36" i="52"/>
  <c r="DF36" i="52"/>
  <c r="DE36" i="52"/>
  <c r="DD36" i="52"/>
  <c r="DC36" i="52"/>
  <c r="DB36" i="52"/>
  <c r="DA36" i="52"/>
  <c r="CZ36" i="52"/>
  <c r="CY36" i="52"/>
  <c r="CX36" i="52"/>
  <c r="CW36" i="52"/>
  <c r="CV36" i="52"/>
  <c r="CU36" i="52"/>
  <c r="CT36" i="52"/>
  <c r="CS36" i="52"/>
  <c r="CR36" i="52"/>
  <c r="CQ36" i="52"/>
  <c r="CP36" i="52"/>
  <c r="CO36" i="52"/>
  <c r="CN36" i="52"/>
  <c r="CM36" i="52"/>
  <c r="CL36" i="52"/>
  <c r="CK36" i="52"/>
  <c r="CJ36" i="52"/>
  <c r="CI36" i="52"/>
  <c r="CH36" i="52"/>
  <c r="CG36" i="52"/>
  <c r="CF36" i="52"/>
  <c r="CE36" i="52"/>
  <c r="CD36" i="52"/>
  <c r="CC36" i="52"/>
  <c r="CB36" i="52"/>
  <c r="CA36" i="52"/>
  <c r="BZ36" i="52"/>
  <c r="BY36" i="52"/>
  <c r="BX36" i="52"/>
  <c r="BW36" i="52"/>
  <c r="BV36" i="52"/>
  <c r="BU36" i="52"/>
  <c r="BT36" i="52"/>
  <c r="BS36" i="52"/>
  <c r="BR36" i="52"/>
  <c r="BQ36" i="52"/>
  <c r="BP36" i="52"/>
  <c r="BO36" i="52"/>
  <c r="BN36" i="52"/>
  <c r="BM36" i="52"/>
  <c r="BL36" i="52"/>
  <c r="BK36" i="52"/>
  <c r="BJ36" i="52"/>
  <c r="BI36" i="52"/>
  <c r="BH36" i="52"/>
  <c r="BG36" i="52"/>
  <c r="BF36" i="52"/>
  <c r="BE36" i="52"/>
  <c r="BD36" i="52"/>
  <c r="BC36" i="52"/>
  <c r="BB36" i="52"/>
  <c r="BA36" i="52"/>
  <c r="AZ36" i="52"/>
  <c r="AY36" i="52"/>
  <c r="AX36" i="52"/>
  <c r="AW36" i="52"/>
  <c r="AV36" i="52"/>
  <c r="AU36" i="52"/>
  <c r="AT36" i="52"/>
  <c r="AS36" i="52"/>
  <c r="AR36" i="52"/>
  <c r="AQ36" i="52"/>
  <c r="AP36" i="52"/>
  <c r="AO36" i="52"/>
  <c r="AN36" i="52"/>
  <c r="AM36" i="52"/>
  <c r="AL36" i="52"/>
  <c r="AK36" i="52"/>
  <c r="AJ36" i="52"/>
  <c r="AI36" i="52"/>
  <c r="AH36" i="52"/>
  <c r="AG36" i="52"/>
  <c r="AF36" i="52"/>
  <c r="AE36" i="52"/>
  <c r="AD36" i="52"/>
  <c r="AC36" i="52"/>
  <c r="AB36" i="52"/>
  <c r="AA36" i="52"/>
  <c r="Z36" i="52"/>
  <c r="Y36" i="52"/>
  <c r="X36" i="52"/>
  <c r="W36" i="52"/>
  <c r="V36" i="52"/>
  <c r="U36" i="52"/>
  <c r="T36" i="52"/>
  <c r="S36" i="52"/>
  <c r="R36" i="52"/>
  <c r="Q36" i="52"/>
  <c r="P36" i="52"/>
  <c r="O36" i="52"/>
  <c r="N36" i="52"/>
  <c r="M36" i="52"/>
  <c r="L36" i="52"/>
  <c r="K36" i="52"/>
  <c r="J36" i="52"/>
  <c r="I36" i="52"/>
  <c r="H36" i="52"/>
  <c r="G36" i="52"/>
  <c r="F36" i="52"/>
  <c r="E36" i="52"/>
  <c r="D36" i="52"/>
  <c r="C36" i="52"/>
  <c r="EV35" i="52"/>
  <c r="ET35" i="52"/>
  <c r="ES35" i="52"/>
  <c r="ER35" i="52"/>
  <c r="EN35" i="52"/>
  <c r="EM35" i="52"/>
  <c r="EL35" i="52"/>
  <c r="CN35" i="52"/>
  <c r="CF35" i="52"/>
  <c r="EV34" i="52"/>
  <c r="ET34" i="52"/>
  <c r="ES34" i="52"/>
  <c r="ER34" i="52"/>
  <c r="EN34" i="52"/>
  <c r="EM34" i="52"/>
  <c r="EL34" i="52"/>
  <c r="CN34" i="52"/>
  <c r="CF34" i="52"/>
  <c r="B34" i="52"/>
  <c r="A34" i="52"/>
  <c r="EV33" i="52"/>
  <c r="ET33" i="52"/>
  <c r="ES33" i="52"/>
  <c r="ER33" i="52"/>
  <c r="EN33" i="52"/>
  <c r="EM33" i="52"/>
  <c r="EL33" i="52"/>
  <c r="DQ33" i="52"/>
  <c r="CQ33" i="52"/>
  <c r="CN33" i="52"/>
  <c r="CG33" i="52"/>
  <c r="CF33" i="52"/>
  <c r="AT33" i="52"/>
  <c r="U33" i="52"/>
  <c r="D33" i="52"/>
  <c r="B33" i="52"/>
  <c r="A33" i="52"/>
  <c r="EV32" i="52"/>
  <c r="ET32" i="52"/>
  <c r="ES32" i="52"/>
  <c r="ER32" i="52"/>
  <c r="EN32" i="52"/>
  <c r="EM32" i="52"/>
  <c r="EL32" i="52"/>
  <c r="DQ32" i="52"/>
  <c r="CQ32" i="52"/>
  <c r="CN32" i="52"/>
  <c r="CG32" i="52"/>
  <c r="CF32" i="52"/>
  <c r="AT32" i="52"/>
  <c r="U32" i="52"/>
  <c r="D32" i="52"/>
  <c r="B32" i="52"/>
  <c r="A32" i="52"/>
  <c r="EV31" i="52"/>
  <c r="ET31" i="52"/>
  <c r="ES31" i="52"/>
  <c r="ER31" i="52"/>
  <c r="EN31" i="52"/>
  <c r="EM31" i="52"/>
  <c r="EL31" i="52"/>
  <c r="DQ31" i="52"/>
  <c r="CO31" i="52"/>
  <c r="CN31" i="52"/>
  <c r="CG31" i="52"/>
  <c r="CF31" i="52"/>
  <c r="AR31" i="52"/>
  <c r="U31" i="52"/>
  <c r="B31" i="52"/>
  <c r="A31" i="52"/>
  <c r="EV30" i="52"/>
  <c r="ET30" i="52"/>
  <c r="ES30" i="52"/>
  <c r="ER30" i="52"/>
  <c r="EN30" i="52"/>
  <c r="EM30" i="52"/>
  <c r="EL30" i="52"/>
  <c r="CP30" i="52"/>
  <c r="CN30" i="52"/>
  <c r="CG30" i="52"/>
  <c r="CF30" i="52"/>
  <c r="AS30" i="52"/>
  <c r="U30" i="52"/>
  <c r="B30" i="52"/>
  <c r="A30" i="52"/>
  <c r="EV29" i="52"/>
  <c r="ET29" i="52"/>
  <c r="ES29" i="52"/>
  <c r="ER29" i="52"/>
  <c r="EN29" i="52"/>
  <c r="EM29" i="52"/>
  <c r="EL29" i="52"/>
  <c r="CP29" i="52"/>
  <c r="CO29" i="52"/>
  <c r="CN29" i="52"/>
  <c r="CG29" i="52"/>
  <c r="CF29" i="52"/>
  <c r="AS29" i="52"/>
  <c r="AR29" i="52"/>
  <c r="U29" i="52"/>
  <c r="D29" i="52"/>
  <c r="B29" i="52"/>
  <c r="A29" i="52"/>
  <c r="EV28" i="52"/>
  <c r="ET28" i="52"/>
  <c r="ES28" i="52"/>
  <c r="ER28" i="52"/>
  <c r="EN28" i="52"/>
  <c r="EM28" i="52"/>
  <c r="EL28" i="52"/>
  <c r="DQ28" i="52"/>
  <c r="CO28" i="52"/>
  <c r="CN28" i="52"/>
  <c r="CG28" i="52"/>
  <c r="CF28" i="52"/>
  <c r="AR28" i="52"/>
  <c r="U28" i="52"/>
  <c r="D28" i="52"/>
  <c r="B28" i="52"/>
  <c r="A28" i="52"/>
  <c r="EV27" i="52"/>
  <c r="ET27" i="52"/>
  <c r="ES27" i="52"/>
  <c r="ER27" i="52"/>
  <c r="EN27" i="52"/>
  <c r="EM27" i="52"/>
  <c r="EL27" i="52"/>
  <c r="DQ27" i="52"/>
  <c r="CV27" i="52"/>
  <c r="CN27" i="52"/>
  <c r="CG27" i="52"/>
  <c r="CF27" i="52"/>
  <c r="AY27" i="52"/>
  <c r="U27" i="52"/>
  <c r="D27" i="52"/>
  <c r="B27" i="52"/>
  <c r="A27" i="52"/>
  <c r="EV26" i="52"/>
  <c r="ET26" i="52"/>
  <c r="ES26" i="52"/>
  <c r="ER26" i="52"/>
  <c r="EN26" i="52"/>
  <c r="EM26" i="52"/>
  <c r="EL26" i="52"/>
  <c r="CO26" i="52"/>
  <c r="CN26" i="52"/>
  <c r="CG26" i="52"/>
  <c r="CF26" i="52"/>
  <c r="AR26" i="52"/>
  <c r="U26" i="52"/>
  <c r="B26" i="52"/>
  <c r="A26" i="52"/>
  <c r="EV25" i="52"/>
  <c r="ET25" i="52"/>
  <c r="ES25" i="52"/>
  <c r="ER25" i="52"/>
  <c r="EN25" i="52"/>
  <c r="EM25" i="52"/>
  <c r="EL25" i="52"/>
  <c r="DQ25" i="52"/>
  <c r="CR25" i="52"/>
  <c r="CN25" i="52"/>
  <c r="CG25" i="52"/>
  <c r="CF25" i="52"/>
  <c r="AU25" i="52"/>
  <c r="U25" i="52"/>
  <c r="B25" i="52"/>
  <c r="A25" i="52"/>
  <c r="EV24" i="52"/>
  <c r="ET24" i="52"/>
  <c r="ES24" i="52"/>
  <c r="ER24" i="52"/>
  <c r="EN24" i="52"/>
  <c r="EM24" i="52"/>
  <c r="EL24" i="52"/>
  <c r="DQ24" i="52"/>
  <c r="CO24" i="52"/>
  <c r="CN24" i="52"/>
  <c r="CG24" i="52"/>
  <c r="CF24" i="52"/>
  <c r="AR24" i="52"/>
  <c r="U24" i="52"/>
  <c r="B24" i="52"/>
  <c r="A24" i="52"/>
  <c r="EV23" i="52"/>
  <c r="ET23" i="52"/>
  <c r="ES23" i="52"/>
  <c r="ER23" i="52"/>
  <c r="EN23" i="52"/>
  <c r="EM23" i="52"/>
  <c r="EL23" i="52"/>
  <c r="DQ23" i="52"/>
  <c r="CO23" i="52"/>
  <c r="CN23" i="52"/>
  <c r="CG23" i="52"/>
  <c r="CF23" i="52"/>
  <c r="AR23" i="52"/>
  <c r="U23" i="52"/>
  <c r="B23" i="52"/>
  <c r="A23" i="52"/>
  <c r="EV22" i="52"/>
  <c r="ET22" i="52"/>
  <c r="ES22" i="52"/>
  <c r="ER22" i="52"/>
  <c r="EN22" i="52"/>
  <c r="EM22" i="52"/>
  <c r="EL22" i="52"/>
  <c r="DQ22" i="52"/>
  <c r="CR22" i="52"/>
  <c r="CN22" i="52"/>
  <c r="CG22" i="52"/>
  <c r="CF22" i="52"/>
  <c r="AU22" i="52"/>
  <c r="U22" i="52"/>
  <c r="D22" i="52"/>
  <c r="B22" i="52"/>
  <c r="A22" i="52"/>
  <c r="EV21" i="52"/>
  <c r="ET21" i="52"/>
  <c r="ES21" i="52"/>
  <c r="ER21" i="52"/>
  <c r="EN21" i="52"/>
  <c r="EM21" i="52"/>
  <c r="EL21" i="52"/>
  <c r="DQ21" i="52"/>
  <c r="CS21" i="52"/>
  <c r="CN21" i="52"/>
  <c r="CG21" i="52"/>
  <c r="CF21" i="52"/>
  <c r="AV21" i="52"/>
  <c r="U21" i="52"/>
  <c r="D21" i="52"/>
  <c r="B21" i="52"/>
  <c r="A21" i="52"/>
  <c r="EV20" i="52"/>
  <c r="ET20" i="52"/>
  <c r="ES20" i="52"/>
  <c r="ER20" i="52"/>
  <c r="EN20" i="52"/>
  <c r="EM20" i="52"/>
  <c r="DQ20" i="52"/>
  <c r="CO20" i="52"/>
  <c r="CN20" i="52"/>
  <c r="CG20" i="52"/>
  <c r="CF20" i="52"/>
  <c r="AR20" i="52"/>
  <c r="U20" i="52"/>
  <c r="D20" i="52"/>
  <c r="B20" i="52"/>
  <c r="A20" i="52"/>
  <c r="EV19" i="52"/>
  <c r="ET19" i="52"/>
  <c r="ES19" i="52"/>
  <c r="ER19" i="52"/>
  <c r="EN19" i="52"/>
  <c r="EM19" i="52"/>
  <c r="EL19" i="52"/>
  <c r="DQ19" i="52"/>
  <c r="CO19" i="52"/>
  <c r="CN19" i="52"/>
  <c r="CG19" i="52"/>
  <c r="CF19" i="52"/>
  <c r="AR19" i="52"/>
  <c r="U19" i="52"/>
  <c r="B19" i="52"/>
  <c r="A19" i="52"/>
  <c r="EV18" i="52"/>
  <c r="ET18" i="52"/>
  <c r="ES18" i="52"/>
  <c r="ER18" i="52"/>
  <c r="EN18" i="52"/>
  <c r="EM18" i="52"/>
  <c r="EL18" i="52"/>
  <c r="DQ18" i="52"/>
  <c r="CO18" i="52"/>
  <c r="CN18" i="52"/>
  <c r="CG18" i="52"/>
  <c r="CF18" i="52"/>
  <c r="AR18" i="52"/>
  <c r="U18" i="52"/>
  <c r="B18" i="52"/>
  <c r="A18" i="52"/>
  <c r="EV17" i="52"/>
  <c r="ET17" i="52"/>
  <c r="ES17" i="52"/>
  <c r="ER17" i="52"/>
  <c r="EN17" i="52"/>
  <c r="EM17" i="52"/>
  <c r="EL17" i="52"/>
  <c r="DQ17" i="52"/>
  <c r="CO17" i="52"/>
  <c r="CN17" i="52"/>
  <c r="CG17" i="52"/>
  <c r="CF17" i="52"/>
  <c r="AR17" i="52"/>
  <c r="U17" i="52"/>
  <c r="B17" i="52"/>
  <c r="A17" i="52"/>
  <c r="EV16" i="52"/>
  <c r="ET16" i="52"/>
  <c r="ES16" i="52"/>
  <c r="ER16" i="52"/>
  <c r="EN16" i="52"/>
  <c r="EM16" i="52"/>
  <c r="EL16" i="52"/>
  <c r="DQ16" i="52"/>
  <c r="CQ16" i="52"/>
  <c r="CN16" i="52"/>
  <c r="CG16" i="52"/>
  <c r="CF16" i="52"/>
  <c r="AT16" i="52"/>
  <c r="U16" i="52"/>
  <c r="D16" i="52"/>
  <c r="B16" i="52"/>
  <c r="A16" i="52"/>
  <c r="EV15" i="52"/>
  <c r="ET15" i="52"/>
  <c r="ES15" i="52"/>
  <c r="ER15" i="52"/>
  <c r="EN15" i="52"/>
  <c r="EM15" i="52"/>
  <c r="EL15" i="52"/>
  <c r="DQ15" i="52"/>
  <c r="CQ15" i="52"/>
  <c r="CN15" i="52"/>
  <c r="CG15" i="52"/>
  <c r="CF15" i="52"/>
  <c r="AT15" i="52"/>
  <c r="U15" i="52"/>
  <c r="D15" i="52"/>
  <c r="B15" i="52"/>
  <c r="A15" i="52"/>
  <c r="EV14" i="52"/>
  <c r="ET14" i="52"/>
  <c r="ES14" i="52"/>
  <c r="ER14" i="52"/>
  <c r="EN14" i="52"/>
  <c r="EM14" i="52"/>
  <c r="EL14" i="52"/>
  <c r="DQ14" i="52"/>
  <c r="CQ14" i="52"/>
  <c r="CN14" i="52"/>
  <c r="CG14" i="52"/>
  <c r="CF14" i="52"/>
  <c r="AT14" i="52"/>
  <c r="U14" i="52"/>
  <c r="D14" i="52"/>
  <c r="B14" i="52"/>
  <c r="A14" i="52"/>
  <c r="EV13" i="52"/>
  <c r="ET13" i="52"/>
  <c r="ES13" i="52"/>
  <c r="ER13" i="52"/>
  <c r="EN13" i="52"/>
  <c r="EM13" i="52"/>
  <c r="EL13" i="52"/>
  <c r="DQ13" i="52"/>
  <c r="CQ13" i="52"/>
  <c r="CN13" i="52"/>
  <c r="CG13" i="52"/>
  <c r="CF13" i="52"/>
  <c r="AT13" i="52"/>
  <c r="U13" i="52"/>
  <c r="D13" i="52"/>
  <c r="B13" i="52"/>
  <c r="A13" i="52"/>
  <c r="EV12" i="52"/>
  <c r="ET12" i="52"/>
  <c r="ES12" i="52"/>
  <c r="ER12" i="52"/>
  <c r="EN12" i="52"/>
  <c r="EM12" i="52"/>
  <c r="EL12" i="52"/>
  <c r="CP12" i="52"/>
  <c r="CO12" i="52"/>
  <c r="CN12" i="52"/>
  <c r="CG12" i="52"/>
  <c r="CF12" i="52"/>
  <c r="AS12" i="52"/>
  <c r="AR12" i="52"/>
  <c r="U12" i="52"/>
  <c r="B12" i="52"/>
  <c r="A12" i="52"/>
  <c r="EV11" i="52"/>
  <c r="ET11" i="52"/>
  <c r="ES11" i="52"/>
  <c r="ER11" i="52"/>
  <c r="EN11" i="52"/>
  <c r="EM11" i="52"/>
  <c r="EL11" i="52"/>
  <c r="DQ11" i="52"/>
  <c r="CQ11" i="52"/>
  <c r="CN11" i="52"/>
  <c r="CG11" i="52"/>
  <c r="CF11" i="52"/>
  <c r="AT11" i="52"/>
  <c r="U11" i="52"/>
  <c r="D11" i="52"/>
  <c r="B11" i="52"/>
  <c r="A11" i="52"/>
  <c r="EV10" i="52"/>
  <c r="ET10" i="52"/>
  <c r="ES10" i="52"/>
  <c r="ER10" i="52"/>
  <c r="EN10" i="52"/>
  <c r="EM10" i="52"/>
  <c r="EL10" i="52"/>
  <c r="CQ10" i="52"/>
  <c r="CN10" i="52"/>
  <c r="CG10" i="52"/>
  <c r="CF10" i="52"/>
  <c r="AT10" i="52"/>
  <c r="U10" i="52"/>
  <c r="B10" i="52"/>
  <c r="A10" i="52"/>
  <c r="EV9" i="52"/>
  <c r="ET9" i="52"/>
  <c r="ES9" i="52"/>
  <c r="ER9" i="52"/>
  <c r="EN9" i="52"/>
  <c r="EM9" i="52"/>
  <c r="EL9" i="52"/>
  <c r="CO9" i="52"/>
  <c r="CN9" i="52"/>
  <c r="CG9" i="52"/>
  <c r="CF9" i="52"/>
  <c r="AR9" i="52"/>
  <c r="U9" i="52"/>
  <c r="B9" i="52"/>
  <c r="A9" i="52"/>
  <c r="EV8" i="52"/>
  <c r="ET8" i="52"/>
  <c r="ES8" i="52"/>
  <c r="ER8" i="52"/>
  <c r="EN8" i="52"/>
  <c r="EM8" i="52"/>
  <c r="EL8" i="52"/>
  <c r="DQ8" i="52"/>
  <c r="CP8" i="52"/>
  <c r="CO8" i="52"/>
  <c r="CN8" i="52"/>
  <c r="CG8" i="52"/>
  <c r="CF8" i="52"/>
  <c r="AS8" i="52"/>
  <c r="AR8" i="52"/>
  <c r="U8" i="52"/>
  <c r="D8" i="52"/>
  <c r="B8" i="52"/>
  <c r="A8" i="52"/>
  <c r="EV7" i="52"/>
  <c r="ET7" i="52"/>
  <c r="ES7" i="52"/>
  <c r="ER7" i="52"/>
  <c r="EN7" i="52"/>
  <c r="EM7" i="52"/>
  <c r="EL7" i="52"/>
  <c r="CR7" i="52"/>
  <c r="CP7" i="52"/>
  <c r="CN7" i="52"/>
  <c r="CG7" i="52"/>
  <c r="CF7" i="52"/>
  <c r="AU7" i="52"/>
  <c r="AS7" i="52"/>
  <c r="U7" i="52"/>
  <c r="D7" i="52"/>
  <c r="B7" i="52"/>
  <c r="A7" i="52"/>
  <c r="EV6" i="52"/>
  <c r="ET6" i="52"/>
  <c r="ES6" i="52"/>
  <c r="ER6" i="52"/>
  <c r="EN6" i="52"/>
  <c r="EM6" i="52"/>
  <c r="EL6" i="52"/>
  <c r="CO6" i="52"/>
  <c r="CN6" i="52"/>
  <c r="CG6" i="52"/>
  <c r="CF6" i="52"/>
  <c r="AR6" i="52"/>
  <c r="U6" i="52"/>
  <c r="B6" i="52"/>
  <c r="A6" i="52"/>
  <c r="EV5" i="52"/>
  <c r="ET5" i="52"/>
  <c r="ES5" i="52"/>
  <c r="ER5" i="52"/>
  <c r="EN5" i="52"/>
  <c r="EM5" i="52"/>
  <c r="EL5" i="52"/>
  <c r="CU5" i="52"/>
  <c r="CN5" i="52"/>
  <c r="CG5" i="52"/>
  <c r="CF5" i="52"/>
  <c r="AX5" i="52"/>
  <c r="AR5" i="52"/>
  <c r="U5" i="52"/>
  <c r="B5" i="52"/>
  <c r="A5" i="52"/>
  <c r="EV4" i="52"/>
  <c r="ET4" i="52"/>
  <c r="ES4" i="52"/>
  <c r="ER4" i="52"/>
  <c r="EN4" i="52"/>
  <c r="EM4" i="52"/>
  <c r="EL4" i="52"/>
  <c r="CU4" i="52"/>
  <c r="CN4" i="52"/>
  <c r="CG4" i="52"/>
  <c r="CF4" i="52"/>
  <c r="AX4" i="52"/>
  <c r="U4" i="52"/>
  <c r="D4" i="52"/>
  <c r="B4" i="52"/>
  <c r="A4" i="52"/>
  <c r="ES3" i="52"/>
  <c r="ER3" i="52"/>
  <c r="U44" i="8"/>
  <c r="R44" i="8"/>
  <c r="U40" i="8"/>
  <c r="R40" i="8"/>
  <c r="EF35" i="8"/>
  <c r="EE35" i="8"/>
  <c r="ED35" i="8"/>
  <c r="EC35" i="8"/>
  <c r="EB35" i="8"/>
  <c r="EA35" i="8"/>
  <c r="DZ35" i="8"/>
  <c r="DY35" i="8"/>
  <c r="DX35" i="8"/>
  <c r="DW35" i="8"/>
  <c r="DV35" i="8"/>
  <c r="DU35" i="8"/>
  <c r="DT35" i="8"/>
  <c r="DR35" i="8"/>
  <c r="DQ35" i="8"/>
  <c r="DP35" i="8"/>
  <c r="DO35" i="8"/>
  <c r="DN35" i="8"/>
  <c r="DM35" i="8"/>
  <c r="DL35" i="8"/>
  <c r="DK35" i="8"/>
  <c r="DJ35" i="8"/>
  <c r="DI35" i="8"/>
  <c r="DH35" i="8"/>
  <c r="DG35" i="8"/>
  <c r="DF35" i="8"/>
  <c r="DE35" i="8"/>
  <c r="DD35" i="8"/>
  <c r="DC35" i="8"/>
  <c r="DB35" i="8"/>
  <c r="DA35" i="8"/>
  <c r="CZ35" i="8"/>
  <c r="CY35" i="8"/>
  <c r="CX35" i="8"/>
  <c r="CW35" i="8"/>
  <c r="CV35" i="8"/>
  <c r="CU35" i="8"/>
  <c r="CT35" i="8"/>
  <c r="CS35" i="8"/>
  <c r="CR35" i="8"/>
  <c r="CQ35" i="8"/>
  <c r="CP35" i="8"/>
  <c r="CO35" i="8"/>
  <c r="CN35" i="8"/>
  <c r="CM35" i="8"/>
  <c r="CL35" i="8"/>
  <c r="CK35" i="8"/>
  <c r="CJ35" i="8"/>
  <c r="CI35" i="8"/>
  <c r="CH35" i="8"/>
  <c r="CG35" i="8"/>
  <c r="CF35" i="8"/>
  <c r="CE35" i="8"/>
  <c r="CD35" i="8"/>
  <c r="CC35" i="8"/>
  <c r="CB35" i="8"/>
  <c r="BY35" i="8"/>
  <c r="BX35" i="8"/>
  <c r="BW35" i="8"/>
  <c r="BV35" i="8"/>
  <c r="BU35" i="8"/>
  <c r="BT35" i="8"/>
  <c r="BS35" i="8"/>
  <c r="BR35" i="8"/>
  <c r="BQ35" i="8"/>
  <c r="BP35" i="8"/>
  <c r="BO35" i="8"/>
  <c r="BN35" i="8"/>
  <c r="BM35" i="8"/>
  <c r="BL35" i="8"/>
  <c r="BK35" i="8"/>
  <c r="BJ35" i="8"/>
  <c r="BI35" i="8"/>
  <c r="BH35" i="8"/>
  <c r="BG35" i="8"/>
  <c r="BF35" i="8"/>
  <c r="BE35" i="8"/>
  <c r="BD35" i="8"/>
  <c r="BC35" i="8"/>
  <c r="BB35" i="8"/>
  <c r="BA35" i="8"/>
  <c r="AZ35" i="8"/>
  <c r="AY35" i="8"/>
  <c r="AX35" i="8"/>
  <c r="AW35" i="8"/>
  <c r="AV35" i="8"/>
  <c r="AU35" i="8"/>
  <c r="AT35" i="8"/>
  <c r="AS35" i="8"/>
  <c r="AR35" i="8"/>
  <c r="AQ35" i="8"/>
  <c r="AP35" i="8"/>
  <c r="AO35" i="8"/>
  <c r="AN35" i="8"/>
  <c r="AM35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J35" i="8"/>
  <c r="I35" i="8"/>
  <c r="H35" i="8"/>
  <c r="G35" i="8"/>
  <c r="F35" i="8"/>
  <c r="E35" i="8"/>
  <c r="D35" i="8"/>
  <c r="C35" i="8"/>
  <c r="B34" i="8"/>
  <c r="A34" i="8"/>
  <c r="B33" i="8"/>
  <c r="A33" i="8"/>
  <c r="AZ32" i="8"/>
  <c r="B32" i="8"/>
  <c r="A32" i="8"/>
  <c r="Q31" i="8"/>
  <c r="B31" i="8"/>
  <c r="A31" i="8"/>
  <c r="B30" i="8"/>
  <c r="A30" i="8"/>
  <c r="B29" i="8"/>
  <c r="A29" i="8"/>
  <c r="B28" i="8"/>
  <c r="A28" i="8"/>
  <c r="Q27" i="8"/>
  <c r="B27" i="8"/>
  <c r="A27" i="8"/>
  <c r="B26" i="8"/>
  <c r="A26" i="8"/>
  <c r="DZ25" i="8"/>
  <c r="CH25" i="8"/>
  <c r="BK25" i="8"/>
  <c r="S25" i="8"/>
  <c r="B25" i="8"/>
  <c r="A25" i="8"/>
  <c r="B24" i="8"/>
  <c r="A24" i="8"/>
  <c r="B23" i="8"/>
  <c r="A23" i="8"/>
  <c r="B22" i="8"/>
  <c r="A22" i="8"/>
  <c r="B21" i="8"/>
  <c r="A21" i="8"/>
  <c r="CF20" i="8"/>
  <c r="Q20" i="8"/>
  <c r="B20" i="8"/>
  <c r="A20" i="8"/>
  <c r="B19" i="8"/>
  <c r="A19" i="8"/>
  <c r="B18" i="8"/>
  <c r="A18" i="8"/>
  <c r="S17" i="8"/>
  <c r="B17" i="8"/>
  <c r="A17" i="8"/>
  <c r="CH16" i="8"/>
  <c r="S16" i="8"/>
  <c r="B16" i="8"/>
  <c r="A16" i="8"/>
  <c r="B15" i="8"/>
  <c r="A15" i="8"/>
  <c r="B14" i="8"/>
  <c r="A14" i="8"/>
  <c r="S13" i="8"/>
  <c r="B13" i="8"/>
  <c r="A13" i="8"/>
  <c r="CH12" i="8"/>
  <c r="S12" i="8"/>
  <c r="Q12" i="8"/>
  <c r="B12" i="8"/>
  <c r="A12" i="8"/>
  <c r="AZ11" i="8"/>
  <c r="B11" i="8"/>
  <c r="A11" i="8"/>
  <c r="B10" i="8"/>
  <c r="A10" i="8"/>
  <c r="CL9" i="8"/>
  <c r="W9" i="8"/>
  <c r="B9" i="8"/>
  <c r="A9" i="8"/>
  <c r="B8" i="8"/>
  <c r="A8" i="8"/>
  <c r="B7" i="8"/>
  <c r="A7" i="8"/>
  <c r="CH6" i="8"/>
  <c r="B6" i="8"/>
  <c r="A6" i="8"/>
  <c r="B5" i="8"/>
  <c r="A5" i="8"/>
  <c r="B4" i="8"/>
  <c r="A4" i="8"/>
</calcChain>
</file>

<file path=xl/comments1.xml><?xml version="1.0" encoding="utf-8"?>
<comments xmlns="http://schemas.openxmlformats.org/spreadsheetml/2006/main">
  <authors>
    <author>Valerie TOURNEMEULLE</author>
    <author>Mickael DORAI</author>
    <author>Olivier RAPHANAUD</author>
  </authors>
  <commentList>
    <comment ref="S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SAS 171100002</t>
        </r>
      </text>
    </comment>
    <comment ref="AZ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BEOLOGIC 171100003</t>
        </r>
      </text>
    </comment>
    <comment ref="BK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TOUARGHA PLAST 171100001</t>
        </r>
      </text>
    </comment>
    <comment ref="DO5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beologic</t>
        </r>
      </text>
    </comment>
    <comment ref="Q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Marmillon 171100006</t>
        </r>
      </text>
    </comment>
    <comment ref="X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Crearplast 171100007</t>
        </r>
      </text>
    </comment>
    <comment ref="AZ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171100005</t>
        </r>
      </text>
    </comment>
    <comment ref="CF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marmillon</t>
        </r>
      </text>
    </comment>
    <comment ref="CH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4 thonon + 22 ibe</t>
        </r>
      </text>
    </comment>
    <comment ref="CM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crearplast</t>
        </r>
      </text>
    </comment>
    <comment ref="DO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
</t>
        </r>
      </text>
    </comment>
    <comment ref="S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 171100010</t>
        </r>
      </text>
    </comment>
    <comment ref="W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171100008 + ANDRE BONDET 171100009</t>
        </r>
      </text>
    </comment>
    <comment ref="Y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171100008</t>
        </r>
      </text>
    </comment>
    <comment ref="CL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andre bondet 4 et 6 bb sab
</t>
        </r>
      </text>
    </comment>
    <comment ref="CN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sab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171100013</t>
        </r>
      </text>
    </comment>
    <comment ref="U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171100013</t>
        </r>
      </text>
    </comment>
    <comment ref="W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171100012</t>
        </r>
      </text>
    </comment>
    <comment ref="Y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171100012</t>
        </r>
      </text>
    </comment>
    <comment ref="BK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171100011</t>
        </r>
      </text>
    </comment>
    <comment ref="CG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</t>
        </r>
      </text>
    </comment>
    <comment ref="CH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echantillon thonon &gt; vut</t>
        </r>
      </text>
    </comment>
    <comment ref="CJ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</t>
        </r>
      </text>
    </comment>
    <comment ref="CL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sab compo</t>
        </r>
      </text>
    </comment>
    <comment ref="CN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sab</t>
        </r>
      </text>
    </comment>
    <comment ref="DO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DZ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od plast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PERIPLAST 171100014</t>
        </r>
      </text>
    </comment>
    <comment ref="S1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171100017</t>
        </r>
      </text>
    </comment>
    <comment ref="AZ1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171100015 + TUYPER 171100016</t>
        </r>
      </text>
    </comment>
    <comment ref="BT1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periplast</t>
        </r>
      </text>
    </comment>
    <comment ref="CH1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O1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Q1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EXTRUPLESA 171100019 + CASTEL ENGINEERING 171100020</t>
        </r>
      </text>
    </comment>
    <comment ref="R1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PLASTEC 171100021</t>
        </r>
      </text>
    </comment>
    <comment ref="S1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burgos 171100018 + VEKA SAS 171100022</t>
        </r>
      </text>
    </comment>
    <comment ref="CF1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castel et extruplesa</t>
        </r>
      </text>
    </comment>
    <comment ref="CG1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plastec</t>
        </r>
      </text>
    </comment>
    <comment ref="CH12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iberica + 4 thonons</t>
        </r>
      </text>
    </comment>
    <comment ref="S1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 171100025 + CORTIZO (GREINER) 171100024</t>
        </r>
      </text>
    </comment>
    <comment ref="U1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CORTIZO (GREINER) 171100024</t>
        </r>
      </text>
    </comment>
    <comment ref="CH1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IBERICA</t>
        </r>
      </text>
    </comment>
    <comment ref="S1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171100027 + VEKA THONON 171100028 (BB) + VEKA THONON 171100029</t>
        </r>
      </text>
    </comment>
    <comment ref="AY1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BARRAIN EXTRUSION 171100026</t>
        </r>
      </text>
    </comment>
    <comment ref="CH1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N1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barrain</t>
        </r>
      </text>
    </comment>
    <comment ref="E17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od plast 171100030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COUGNAUD (LAPEYRE) 171100032</t>
        </r>
      </text>
    </comment>
    <comment ref="S1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171100031 + VEKA IBERICA 171100034</t>
        </r>
      </text>
    </comment>
    <comment ref="BK1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TOUARGHA PLAST 171100033</t>
        </r>
      </text>
    </comment>
    <comment ref="CG1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lapeyre
</t>
        </r>
      </text>
    </comment>
    <comment ref="CH1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iberica</t>
        </r>
      </text>
    </comment>
    <comment ref="DZ17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TOUARGHA PLAST </t>
        </r>
      </text>
    </comment>
    <comment ref="E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171100036</t>
        </r>
      </text>
    </comment>
    <comment ref="S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171100038</t>
        </r>
      </text>
    </comment>
    <comment ref="BA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171100037</t>
        </r>
      </text>
    </comment>
    <comment ref="BK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SEBTA PLASTIC NFC BL 171100035</t>
        </r>
      </text>
    </comment>
    <comment ref="CH18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P18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DZ18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SEBTA</t>
        </r>
      </text>
    </comment>
    <comment ref="S1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171100039</t>
        </r>
      </text>
    </comment>
    <comment ref="AZ1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BEOLOGIC 171100040</t>
        </r>
      </text>
    </comment>
    <comment ref="CH1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O1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beologic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RELS 171100042</t>
        </r>
      </text>
    </comment>
    <comment ref="F2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kras chez PESL (RESL)</t>
        </r>
      </text>
    </comment>
    <comment ref="Q2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ARMABOX 171100041 + PESL 171100043</t>
        </r>
      </text>
    </comment>
    <comment ref="BR2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pesl</t>
        </r>
      </text>
    </comment>
    <comment ref="CF2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pesl et armabox 10bb 9002,009
</t>
        </r>
      </text>
    </comment>
    <comment ref="E2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PERIPLAST 171100045</t>
        </r>
      </text>
    </comment>
    <comment ref="Q2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MARMILLON 171100046</t>
        </r>
      </text>
    </comment>
    <comment ref="S2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171100044</t>
        </r>
      </text>
    </comment>
    <comment ref="BT2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PERIPLAST</t>
        </r>
      </text>
    </comment>
    <comment ref="CF2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MARMILLON </t>
        </r>
      </text>
    </comment>
    <comment ref="CH2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THONONS</t>
        </r>
      </text>
    </comment>
    <comment ref="Q24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EXTRUPLESA 171100047</t>
        </r>
      </text>
    </comment>
    <comment ref="CF24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extru</t>
        </r>
      </text>
    </comment>
    <comment ref="S2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171100048 + VEKA THONON 171100052</t>
        </r>
      </text>
    </comment>
    <comment ref="U2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ANDRE BONDET 171100050</t>
        </r>
      </text>
    </comment>
    <comment ref="BK2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171100049 + SEBTA 171100051 + SEBTA 171100053</t>
        </r>
      </text>
    </comment>
    <comment ref="CH25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thonons+ibe</t>
        </r>
      </text>
    </comment>
    <comment ref="CJ25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andre bondet</t>
        </r>
      </text>
    </comment>
    <comment ref="S2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171100054</t>
        </r>
      </text>
    </comment>
    <comment ref="U2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171100055</t>
        </r>
      </text>
    </comment>
    <comment ref="BA2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171100056</t>
        </r>
      </text>
    </comment>
    <comment ref="CF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fornels</t>
        </r>
      </text>
    </comment>
    <comment ref="CH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</t>
        </r>
      </text>
    </comment>
    <comment ref="CJ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 405</t>
        </r>
      </text>
    </comment>
    <comment ref="DP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Q2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FORNELLS 171100057 + OCEPLAST 171100059</t>
        </r>
      </text>
    </comment>
    <comment ref="S2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171100058</t>
        </r>
      </text>
    </comment>
    <comment ref="CF2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oceplast</t>
        </r>
      </text>
    </comment>
    <comment ref="CH2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iberica</t>
        </r>
      </text>
    </comment>
    <comment ref="E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171100060</t>
        </r>
      </text>
    </comment>
    <comment ref="Q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PESL 171100062</t>
        </r>
      </text>
    </comment>
    <comment ref="S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171100064</t>
        </r>
      </text>
    </comment>
    <comment ref="BK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TOUARGHA PLAST 171100061</t>
        </r>
      </text>
    </comment>
    <comment ref="CF3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pesl</t>
        </r>
      </text>
    </comment>
    <comment ref="CH3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thonons</t>
        </r>
      </text>
    </comment>
    <comment ref="DZ3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p30r touarga</t>
        </r>
      </text>
    </comment>
    <comment ref="Q3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EXTRUPLESA 171100065 </t>
        </r>
      </text>
    </comment>
    <comment ref="U3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171100067</t>
        </r>
      </text>
    </comment>
    <comment ref="BK3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SEBTA 171100066</t>
        </r>
      </text>
    </comment>
    <comment ref="CF3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extru</t>
        </r>
      </text>
    </comment>
    <comment ref="CJ3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</t>
        </r>
      </text>
    </comment>
    <comment ref="DZ3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SEBTA</t>
        </r>
      </text>
    </comment>
    <comment ref="Q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MARMILLON 171100070</t>
        </r>
      </text>
    </comment>
    <comment ref="R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ERGONOMIC 171100071</t>
        </r>
      </text>
    </comment>
    <comment ref="S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171100073</t>
        </r>
      </text>
    </comment>
    <comment ref="AZ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BEOLOGIC 171100069 + TUYPER 171100072</t>
        </r>
      </text>
    </comment>
    <comment ref="CF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mamillon</t>
        </r>
      </text>
    </comment>
    <comment ref="CG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ergonomic</t>
        </r>
      </text>
    </comment>
    <comment ref="CH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O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 + beo</t>
        </r>
      </text>
    </comment>
    <comment ref="E3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PERIPLAST 171100074</t>
        </r>
      </text>
    </comment>
    <comment ref="X3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CREARPLAST 171100075</t>
        </r>
      </text>
    </comment>
    <comment ref="BT3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PERIPLAST</t>
        </r>
      </text>
    </comment>
    <comment ref="CM3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CREARPLAST</t>
        </r>
      </text>
    </comment>
    <comment ref="AE34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8019.401 Maine Peillex 171200001</t>
        </r>
      </text>
    </comment>
  </commentList>
</comments>
</file>

<file path=xl/comments2.xml><?xml version="1.0" encoding="utf-8"?>
<comments xmlns="http://schemas.openxmlformats.org/spreadsheetml/2006/main">
  <authors>
    <author>Mickael DORAI</author>
    <author>mdorai</author>
  </authors>
  <commentList>
    <comment ref="CG2" authorId="0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33tr / min max</t>
        </r>
      </text>
    </comment>
    <comment ref="DQ2" authorId="1" shapeId="0">
      <text>
        <r>
          <rPr>
            <b/>
            <sz val="9"/>
            <color indexed="81"/>
            <rFont val="Tahoma"/>
            <family val="2"/>
          </rPr>
          <t>mdorai:</t>
        </r>
        <r>
          <rPr>
            <sz val="9"/>
            <color indexed="81"/>
            <rFont val="Tahoma"/>
            <family val="2"/>
          </rPr>
          <t xml:space="preserve">
80kg net  3/4 plein
60kg net bac L3</t>
        </r>
      </text>
    </comment>
    <comment ref="DU2" authorId="1" shapeId="0">
      <text>
        <r>
          <rPr>
            <b/>
            <sz val="9"/>
            <color indexed="81"/>
            <rFont val="Tahoma"/>
            <family val="2"/>
          </rPr>
          <t>mdorai:</t>
        </r>
        <r>
          <rPr>
            <sz val="9"/>
            <color indexed="81"/>
            <rFont val="Tahoma"/>
            <family val="2"/>
          </rPr>
          <t xml:space="preserve">
13kg le seau
BB=1250 kg</t>
        </r>
      </text>
    </comment>
  </commentList>
</comments>
</file>

<file path=xl/sharedStrings.xml><?xml version="1.0" encoding="utf-8"?>
<sst xmlns="http://schemas.openxmlformats.org/spreadsheetml/2006/main" count="301" uniqueCount="154">
  <si>
    <t>DATE</t>
  </si>
  <si>
    <t>TOTAL</t>
  </si>
  <si>
    <t>Total</t>
  </si>
  <si>
    <t>1.10.B</t>
  </si>
  <si>
    <t>1.10.A</t>
  </si>
  <si>
    <t>B21</t>
  </si>
  <si>
    <t>Briquettes sciure/swarf</t>
  </si>
  <si>
    <t>Galettes extrusion/extruder cake</t>
  </si>
  <si>
    <t>B21 N</t>
  </si>
  <si>
    <t>Tps d'ouverture  L3</t>
  </si>
  <si>
    <t>L3 compteur</t>
  </si>
  <si>
    <t>Total Temps de travail pour les 3 produits</t>
  </si>
  <si>
    <t>Utilisation 
KMD7</t>
  </si>
  <si>
    <t>Output
Line 3
10A</t>
  </si>
  <si>
    <t>Output
Line 3
10B</t>
  </si>
  <si>
    <t>TPS PROD LINE 3
10A</t>
  </si>
  <si>
    <t>TPS PROD
LINE 3
10B</t>
  </si>
  <si>
    <t>TPS PROD
LINE 3
B21</t>
  </si>
  <si>
    <t>Tonnage Moyen
Line 3</t>
  </si>
  <si>
    <t>9010.003</t>
  </si>
  <si>
    <t>P30</t>
  </si>
  <si>
    <t>9016.001</t>
  </si>
  <si>
    <t>Output
Line 3
B21</t>
  </si>
  <si>
    <t>Nombre d'équipe sur L3</t>
  </si>
  <si>
    <t>PELLETS</t>
  </si>
  <si>
    <t>TPS BROYE VUK LINE 3</t>
  </si>
  <si>
    <t>1015.001</t>
  </si>
  <si>
    <t>7037.001</t>
  </si>
  <si>
    <t>10B in</t>
  </si>
  <si>
    <t>7004.001</t>
  </si>
  <si>
    <t>Gris 7037 elian M274705 à 1%</t>
  </si>
  <si>
    <t>Beige 1015 elian</t>
  </si>
  <si>
    <t>REJET L3</t>
  </si>
  <si>
    <t>8017.001</t>
  </si>
  <si>
    <t>JOUR</t>
  </si>
  <si>
    <t>9010.001</t>
  </si>
  <si>
    <t>9002.001</t>
  </si>
  <si>
    <t>7035.001</t>
  </si>
  <si>
    <t>7006.001</t>
  </si>
  <si>
    <t>1013.001</t>
  </si>
  <si>
    <t>7015.001</t>
  </si>
  <si>
    <t>9011.001</t>
  </si>
  <si>
    <t xml:space="preserve"> </t>
  </si>
  <si>
    <t>Chute L3</t>
  </si>
  <si>
    <t>10A in</t>
  </si>
  <si>
    <t>REGRIND</t>
  </si>
  <si>
    <t xml:space="preserve">9002.003 </t>
  </si>
  <si>
    <t>9003.005</t>
  </si>
  <si>
    <t>7037.031</t>
  </si>
  <si>
    <t xml:space="preserve">16.001
</t>
  </si>
  <si>
    <t xml:space="preserve">16.003
</t>
  </si>
  <si>
    <t xml:space="preserve">36.001
</t>
  </si>
  <si>
    <t xml:space="preserve">36.008
</t>
  </si>
  <si>
    <t xml:space="preserve">36.007
</t>
  </si>
  <si>
    <t>PULVER</t>
  </si>
  <si>
    <t>BY PRODUCT AND OTHERS</t>
  </si>
  <si>
    <t>P30R</t>
  </si>
  <si>
    <t>TIME</t>
  </si>
  <si>
    <t>BATCH</t>
  </si>
  <si>
    <t>9002.003</t>
  </si>
  <si>
    <t>TOTAL PELLETS</t>
  </si>
  <si>
    <t>FROM 10A</t>
  </si>
  <si>
    <t>FROM 10B</t>
  </si>
  <si>
    <t>FROM B21</t>
  </si>
  <si>
    <t>B21 in</t>
  </si>
  <si>
    <t>9002.001 in</t>
  </si>
  <si>
    <t>Galette</t>
  </si>
  <si>
    <t>Déchet L3</t>
  </si>
  <si>
    <t>White 
Clariant</t>
  </si>
  <si>
    <t>Bleu</t>
  </si>
  <si>
    <t>PPM PE 93 22 pour 7035</t>
  </si>
  <si>
    <t>MB PE 1705 BEIGE</t>
  </si>
  <si>
    <t>SHIFTS</t>
  </si>
  <si>
    <t>1.10.A in</t>
  </si>
  <si>
    <t>1.10.B in</t>
  </si>
  <si>
    <t>9010.001 in</t>
  </si>
  <si>
    <t>9010.003 in</t>
  </si>
  <si>
    <t>REFERENCE OUT (BB)</t>
  </si>
  <si>
    <t>PRODUCTION KG</t>
  </si>
  <si>
    <t>OTHERS KG</t>
  </si>
  <si>
    <t>OTHERS BB</t>
  </si>
  <si>
    <t>REGRIND BIG BAG</t>
  </si>
  <si>
    <t>PULVER BIG BAG</t>
  </si>
  <si>
    <t>BY PRODUCT AND OTHERS BIG BAG</t>
  </si>
  <si>
    <t>PELLETS BIG BAG BIG BAG</t>
  </si>
  <si>
    <t>10.A</t>
  </si>
  <si>
    <t>10.B</t>
  </si>
  <si>
    <t>THROUGPUT</t>
  </si>
  <si>
    <t>REF KG</t>
  </si>
  <si>
    <t>9003.001</t>
  </si>
  <si>
    <t>REFERENCE BB IN</t>
  </si>
  <si>
    <t>REFERENCE KG IN</t>
  </si>
  <si>
    <t>1013.001 in</t>
  </si>
  <si>
    <t>REFERENCE</t>
  </si>
  <si>
    <t>VENTES
BROYE</t>
  </si>
  <si>
    <t>VENTES
BY PRODUCT</t>
  </si>
  <si>
    <t>VENTES
GRANULE</t>
  </si>
  <si>
    <t>VENTES
MICRONISE</t>
  </si>
  <si>
    <t>CHECK</t>
  </si>
  <si>
    <t>colorant 8017</t>
  </si>
  <si>
    <t>7004.003</t>
  </si>
  <si>
    <t>colorant VUK</t>
  </si>
  <si>
    <t>MAJ</t>
  </si>
  <si>
    <t>CLIENTS</t>
  </si>
  <si>
    <t>Prévision prod</t>
  </si>
  <si>
    <t>PRODUCTION INFO</t>
  </si>
  <si>
    <t>MARS</t>
  </si>
  <si>
    <t>DATE CHARGEMENT 
PREVUE</t>
  </si>
  <si>
    <t>NBR BB</t>
  </si>
  <si>
    <t>N° DE LOT</t>
  </si>
  <si>
    <t>NRB DE BB</t>
  </si>
  <si>
    <t>POIDS DU BB</t>
  </si>
  <si>
    <t>VENTE AU MOIS</t>
  </si>
  <si>
    <t>STOCK</t>
  </si>
  <si>
    <t>TONNAGE PLAN</t>
  </si>
  <si>
    <t>TONNAGE 
RESTANT</t>
  </si>
  <si>
    <t>PREVI/FERME</t>
  </si>
  <si>
    <t>TON JOUR</t>
  </si>
  <si>
    <t>9010.405</t>
  </si>
  <si>
    <t>9002.308</t>
  </si>
  <si>
    <t>9002.408</t>
  </si>
  <si>
    <t>9010.206</t>
  </si>
  <si>
    <t>CLIENT</t>
  </si>
  <si>
    <t>POIDS / BB</t>
  </si>
  <si>
    <t>LOADING DATE</t>
  </si>
  <si>
    <t>Type</t>
  </si>
  <si>
    <t>TYPE</t>
  </si>
  <si>
    <t>N°CMD ET POSITION</t>
  </si>
  <si>
    <t>BIG BAG</t>
  </si>
  <si>
    <t>ETAT</t>
  </si>
  <si>
    <t>MOIS</t>
  </si>
  <si>
    <t>DATE DE PROD</t>
  </si>
  <si>
    <t xml:space="preserve">PALETTE / FILM </t>
  </si>
  <si>
    <t>INFORMATION SUP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</si>
  <si>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</si>
  <si>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</si>
  <si>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</si>
  <si>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</si>
  <si>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</si>
  <si>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</si>
  <si>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</si>
  <si>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</si>
  <si>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</si>
  <si>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</si>
  <si>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</si>
  <si>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K</t>
  </si>
  <si>
    <t>M</t>
  </si>
  <si>
    <t>BON</t>
  </si>
  <si>
    <t>MAUVAIS</t>
  </si>
  <si>
    <t>TRES BON</t>
  </si>
  <si>
    <t>PAS BIEN</t>
  </si>
  <si>
    <t>TOP</t>
  </si>
  <si>
    <t>SUPER</t>
  </si>
  <si>
    <t>PLANNING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</si>
</sst>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0.0%"/>
    <numFmt numFmtId="166" formatCode="0.0"/>
  </numFmts>
  <fonts count="19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b/>
      <i/>
      <sz val="14"/>
      <name val="Arial"/>
      <family val="2"/>
    </font>
    <font>
      <sz val="10"/>
      <color theme="0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BFBFBF"/>
        <bgColor rgb="FF000000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1" fillId="0" borderId="0"/>
    <xf numFmtId="0" fontId="2" fillId="0" borderId="0"/>
  </cellStyleXfs>
  <cellXfs count="230">
    <xf numFmtId="0" fontId="0" fillId="0" borderId="0" xfId="0"/>
    <xf numFmtId="0" fontId="4" fillId="0" borderId="0" xfId="0" applyFont="1" applyFill="1" applyBorder="1"/>
    <xf numFmtId="0" fontId="5" fillId="0" borderId="0" xfId="0" applyFont="1" applyFill="1" applyBorder="1"/>
    <xf numFmtId="0" fontId="7" fillId="0" borderId="0" xfId="0" applyFont="1" applyBorder="1"/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0" applyNumberFormat="1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3" fontId="7" fillId="0" borderId="0" xfId="0" applyNumberFormat="1" applyFont="1" applyBorder="1"/>
    <xf numFmtId="0" fontId="2" fillId="0" borderId="0" xfId="0" applyFont="1" applyFill="1" applyBorder="1"/>
    <xf numFmtId="0" fontId="4" fillId="6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164" fontId="9" fillId="0" borderId="13" xfId="0" applyNumberFormat="1" applyFont="1" applyFill="1" applyBorder="1" applyAlignment="1">
      <alignment horizontal="center"/>
    </xf>
    <xf numFmtId="164" fontId="4" fillId="0" borderId="13" xfId="0" applyNumberFormat="1" applyFont="1" applyFill="1" applyBorder="1" applyAlignment="1">
      <alignment horizontal="center"/>
    </xf>
    <xf numFmtId="0" fontId="4" fillId="0" borderId="13" xfId="0" applyNumberFormat="1" applyFont="1" applyFill="1" applyBorder="1" applyAlignment="1">
      <alignment horizontal="center"/>
    </xf>
    <xf numFmtId="164" fontId="4" fillId="0" borderId="14" xfId="0" applyNumberFormat="1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center"/>
    </xf>
    <xf numFmtId="3" fontId="9" fillId="16" borderId="13" xfId="0" applyNumberFormat="1" applyFont="1" applyFill="1" applyBorder="1"/>
    <xf numFmtId="3" fontId="9" fillId="16" borderId="1" xfId="0" applyNumberFormat="1" applyFont="1" applyFill="1" applyBorder="1"/>
    <xf numFmtId="3" fontId="9" fillId="16" borderId="14" xfId="0" applyNumberFormat="1" applyFont="1" applyFill="1" applyBorder="1"/>
    <xf numFmtId="3" fontId="9" fillId="16" borderId="7" xfId="0" applyNumberFormat="1" applyFont="1" applyFill="1" applyBorder="1"/>
    <xf numFmtId="3" fontId="9" fillId="16" borderId="8" xfId="0" applyNumberFormat="1" applyFont="1" applyFill="1" applyBorder="1"/>
    <xf numFmtId="3" fontId="9" fillId="16" borderId="8" xfId="0" applyNumberFormat="1" applyFont="1" applyFill="1" applyBorder="1" applyAlignment="1">
      <alignment horizontal="center"/>
    </xf>
    <xf numFmtId="3" fontId="9" fillId="16" borderId="9" xfId="0" applyNumberFormat="1" applyFont="1" applyFill="1" applyBorder="1"/>
    <xf numFmtId="0" fontId="9" fillId="16" borderId="8" xfId="0" applyFont="1" applyFill="1" applyBorder="1"/>
    <xf numFmtId="0" fontId="9" fillId="16" borderId="9" xfId="0" applyFont="1" applyFill="1" applyBorder="1"/>
    <xf numFmtId="0" fontId="9" fillId="16" borderId="7" xfId="0" applyFont="1" applyFill="1" applyBorder="1"/>
    <xf numFmtId="0" fontId="9" fillId="16" borderId="8" xfId="0" applyFont="1" applyFill="1" applyBorder="1" applyAlignment="1">
      <alignment horizontal="center" vertical="center" wrapText="1"/>
    </xf>
    <xf numFmtId="0" fontId="9" fillId="16" borderId="9" xfId="0" applyFont="1" applyFill="1" applyBorder="1" applyAlignment="1">
      <alignment horizontal="center" vertical="center" wrapText="1"/>
    </xf>
    <xf numFmtId="3" fontId="4" fillId="9" borderId="2" xfId="0" applyNumberFormat="1" applyFont="1" applyFill="1" applyBorder="1" applyAlignment="1">
      <alignment horizontal="center" vertical="center"/>
    </xf>
    <xf numFmtId="3" fontId="4" fillId="9" borderId="2" xfId="0" applyNumberFormat="1" applyFont="1" applyFill="1" applyBorder="1" applyAlignment="1">
      <alignment horizontal="center" vertical="center" wrapText="1"/>
    </xf>
    <xf numFmtId="3" fontId="4" fillId="9" borderId="5" xfId="0" applyNumberFormat="1" applyFont="1" applyFill="1" applyBorder="1" applyAlignment="1">
      <alignment horizontal="center" vertical="center" wrapText="1"/>
    </xf>
    <xf numFmtId="0" fontId="5" fillId="11" borderId="0" xfId="0" applyFont="1" applyFill="1" applyBorder="1"/>
    <xf numFmtId="0" fontId="5" fillId="11" borderId="0" xfId="0" applyFont="1" applyFill="1" applyBorder="1" applyAlignment="1">
      <alignment horizontal="center" vertical="center"/>
    </xf>
    <xf numFmtId="0" fontId="2" fillId="11" borderId="0" xfId="0" applyFont="1" applyFill="1" applyBorder="1"/>
    <xf numFmtId="0" fontId="4" fillId="11" borderId="0" xfId="0" applyFont="1" applyFill="1" applyBorder="1"/>
    <xf numFmtId="2" fontId="4" fillId="5" borderId="1" xfId="0" applyNumberFormat="1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 wrapText="1"/>
    </xf>
    <xf numFmtId="0" fontId="4" fillId="17" borderId="15" xfId="0" applyNumberFormat="1" applyFont="1" applyFill="1" applyBorder="1" applyAlignment="1">
      <alignment horizontal="center" vertical="center"/>
    </xf>
    <xf numFmtId="0" fontId="4" fillId="17" borderId="16" xfId="0" applyNumberFormat="1" applyFont="1" applyFill="1" applyBorder="1" applyAlignment="1">
      <alignment horizontal="center" vertical="center"/>
    </xf>
    <xf numFmtId="0" fontId="4" fillId="17" borderId="27" xfId="0" applyNumberFormat="1" applyFont="1" applyFill="1" applyBorder="1" applyAlignment="1">
      <alignment horizontal="center" vertical="center"/>
    </xf>
    <xf numFmtId="0" fontId="0" fillId="0" borderId="0" xfId="0" applyBorder="1"/>
    <xf numFmtId="0" fontId="4" fillId="5" borderId="14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vertical="center" wrapText="1"/>
    </xf>
    <xf numFmtId="3" fontId="4" fillId="18" borderId="1" xfId="0" applyNumberFormat="1" applyFont="1" applyFill="1" applyBorder="1" applyAlignment="1">
      <alignment horizontal="center" vertical="center" wrapText="1"/>
    </xf>
    <xf numFmtId="0" fontId="4" fillId="18" borderId="13" xfId="0" applyFont="1" applyFill="1" applyBorder="1" applyAlignment="1">
      <alignment horizontal="center" vertical="center" wrapText="1"/>
    </xf>
    <xf numFmtId="0" fontId="4" fillId="18" borderId="14" xfId="0" applyFont="1" applyFill="1" applyBorder="1" applyAlignment="1">
      <alignment horizontal="center" vertical="center" wrapText="1"/>
    </xf>
    <xf numFmtId="3" fontId="4" fillId="18" borderId="2" xfId="0" applyNumberFormat="1" applyFont="1" applyFill="1" applyBorder="1" applyAlignment="1">
      <alignment horizontal="center" vertical="center"/>
    </xf>
    <xf numFmtId="3" fontId="4" fillId="18" borderId="2" xfId="0" applyNumberFormat="1" applyFont="1" applyFill="1" applyBorder="1" applyAlignment="1">
      <alignment horizontal="center" vertical="center" wrapText="1"/>
    </xf>
    <xf numFmtId="0" fontId="4" fillId="18" borderId="2" xfId="0" applyFont="1" applyFill="1" applyBorder="1" applyAlignment="1">
      <alignment horizontal="center" vertical="center" wrapText="1"/>
    </xf>
    <xf numFmtId="0" fontId="4" fillId="18" borderId="20" xfId="0" applyFont="1" applyFill="1" applyBorder="1" applyAlignment="1">
      <alignment horizontal="center" vertical="center" wrapText="1"/>
    </xf>
    <xf numFmtId="0" fontId="4" fillId="18" borderId="2" xfId="0" applyFont="1" applyFill="1" applyBorder="1" applyAlignment="1">
      <alignment horizontal="center" vertical="center"/>
    </xf>
    <xf numFmtId="3" fontId="4" fillId="18" borderId="5" xfId="0" applyNumberFormat="1" applyFont="1" applyFill="1" applyBorder="1" applyAlignment="1">
      <alignment horizontal="center" vertical="center" wrapText="1"/>
    </xf>
    <xf numFmtId="0" fontId="4" fillId="18" borderId="20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10" borderId="16" xfId="0" applyNumberFormat="1" applyFont="1" applyFill="1" applyBorder="1" applyAlignment="1">
      <alignment horizontal="center" vertical="center"/>
    </xf>
    <xf numFmtId="0" fontId="4" fillId="10" borderId="30" xfId="0" applyNumberFormat="1" applyFont="1" applyFill="1" applyBorder="1" applyAlignment="1">
      <alignment horizontal="center" vertical="center"/>
    </xf>
    <xf numFmtId="3" fontId="9" fillId="16" borderId="34" xfId="0" applyNumberFormat="1" applyFont="1" applyFill="1" applyBorder="1"/>
    <xf numFmtId="3" fontId="9" fillId="16" borderId="11" xfId="0" applyNumberFormat="1" applyFont="1" applyFill="1" applyBorder="1"/>
    <xf numFmtId="0" fontId="0" fillId="11" borderId="0" xfId="0" applyFill="1"/>
    <xf numFmtId="9" fontId="4" fillId="6" borderId="1" xfId="0" applyNumberFormat="1" applyFont="1" applyFill="1" applyBorder="1" applyAlignment="1">
      <alignment horizontal="center"/>
    </xf>
    <xf numFmtId="0" fontId="4" fillId="6" borderId="14" xfId="0" applyNumberFormat="1" applyFont="1" applyFill="1" applyBorder="1" applyAlignment="1">
      <alignment horizontal="center"/>
    </xf>
    <xf numFmtId="1" fontId="4" fillId="6" borderId="13" xfId="0" applyNumberFormat="1" applyFont="1" applyFill="1" applyBorder="1" applyAlignment="1">
      <alignment horizontal="center"/>
    </xf>
    <xf numFmtId="0" fontId="4" fillId="11" borderId="0" xfId="0" applyFont="1" applyFill="1"/>
    <xf numFmtId="0" fontId="4" fillId="14" borderId="23" xfId="0" applyFont="1" applyFill="1" applyBorder="1" applyAlignment="1">
      <alignment horizontal="center" vertical="center"/>
    </xf>
    <xf numFmtId="0" fontId="4" fillId="14" borderId="32" xfId="0" applyFont="1" applyFill="1" applyBorder="1" applyAlignment="1">
      <alignment horizontal="center" vertical="center"/>
    </xf>
    <xf numFmtId="0" fontId="0" fillId="0" borderId="0" xfId="0" applyBorder="1"/>
    <xf numFmtId="0" fontId="9" fillId="16" borderId="30" xfId="0" applyNumberFormat="1" applyFont="1" applyFill="1" applyBorder="1" applyAlignment="1">
      <alignment horizontal="center"/>
    </xf>
    <xf numFmtId="0" fontId="9" fillId="17" borderId="15" xfId="0" applyNumberFormat="1" applyFont="1" applyFill="1" applyBorder="1" applyAlignment="1">
      <alignment horizontal="center"/>
    </xf>
    <xf numFmtId="2" fontId="4" fillId="5" borderId="13" xfId="0" applyNumberFormat="1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/>
    </xf>
    <xf numFmtId="0" fontId="4" fillId="6" borderId="13" xfId="0" applyNumberFormat="1" applyFont="1" applyFill="1" applyBorder="1" applyAlignment="1">
      <alignment horizontal="center"/>
    </xf>
    <xf numFmtId="3" fontId="4" fillId="18" borderId="13" xfId="0" applyNumberFormat="1" applyFont="1" applyFill="1" applyBorder="1" applyAlignment="1">
      <alignment horizontal="center" vertical="center" wrapText="1"/>
    </xf>
    <xf numFmtId="0" fontId="4" fillId="16" borderId="27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4" fillId="18" borderId="34" xfId="0" applyFont="1" applyFill="1" applyBorder="1" applyAlignment="1">
      <alignment horizontal="center" vertical="center" wrapText="1"/>
    </xf>
    <xf numFmtId="0" fontId="6" fillId="14" borderId="18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 wrapText="1"/>
    </xf>
    <xf numFmtId="0" fontId="4" fillId="16" borderId="1" xfId="0" applyNumberFormat="1" applyFont="1" applyFill="1" applyBorder="1" applyAlignment="1">
      <alignment horizontal="center"/>
    </xf>
    <xf numFmtId="0" fontId="4" fillId="16" borderId="14" xfId="0" applyNumberFormat="1" applyFont="1" applyFill="1" applyBorder="1" applyAlignment="1">
      <alignment horizontal="center"/>
    </xf>
    <xf numFmtId="2" fontId="4" fillId="5" borderId="29" xfId="0" applyNumberFormat="1" applyFont="1" applyFill="1" applyBorder="1" applyAlignment="1">
      <alignment horizontal="center" vertical="center" wrapText="1"/>
    </xf>
    <xf numFmtId="0" fontId="4" fillId="16" borderId="29" xfId="0" applyNumberFormat="1" applyFont="1" applyFill="1" applyBorder="1" applyAlignment="1">
      <alignment horizontal="center"/>
    </xf>
    <xf numFmtId="1" fontId="4" fillId="16" borderId="1" xfId="0" applyNumberFormat="1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 vertical="center" wrapText="1"/>
    </xf>
    <xf numFmtId="1" fontId="4" fillId="16" borderId="13" xfId="0" applyNumberFormat="1" applyFont="1" applyFill="1" applyBorder="1" applyAlignment="1">
      <alignment horizontal="center"/>
    </xf>
    <xf numFmtId="1" fontId="4" fillId="17" borderId="15" xfId="0" applyNumberFormat="1" applyFont="1" applyFill="1" applyBorder="1" applyAlignment="1">
      <alignment horizontal="center" vertical="center"/>
    </xf>
    <xf numFmtId="1" fontId="4" fillId="17" borderId="16" xfId="0" applyNumberFormat="1" applyFont="1" applyFill="1" applyBorder="1" applyAlignment="1">
      <alignment horizontal="center" vertical="center"/>
    </xf>
    <xf numFmtId="0" fontId="7" fillId="11" borderId="0" xfId="0" applyNumberFormat="1" applyFont="1" applyFill="1" applyBorder="1" applyAlignment="1">
      <alignment horizontal="center"/>
    </xf>
    <xf numFmtId="3" fontId="7" fillId="11" borderId="0" xfId="0" applyNumberFormat="1" applyFont="1" applyFill="1" applyBorder="1"/>
    <xf numFmtId="0" fontId="7" fillId="11" borderId="0" xfId="0" applyFont="1" applyFill="1" applyBorder="1"/>
    <xf numFmtId="0" fontId="7" fillId="11" borderId="0" xfId="0" applyFont="1" applyFill="1" applyBorder="1" applyAlignment="1">
      <alignment horizontal="center"/>
    </xf>
    <xf numFmtId="3" fontId="4" fillId="4" borderId="18" xfId="0" applyNumberFormat="1" applyFont="1" applyFill="1" applyBorder="1" applyAlignment="1">
      <alignment vertical="center"/>
    </xf>
    <xf numFmtId="3" fontId="4" fillId="15" borderId="19" xfId="0" applyNumberFormat="1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vertical="center"/>
    </xf>
    <xf numFmtId="1" fontId="4" fillId="0" borderId="1" xfId="0" applyNumberFormat="1" applyFont="1" applyFill="1" applyBorder="1" applyAlignment="1" applyProtection="1">
      <alignment horizontal="center"/>
      <protection locked="0"/>
    </xf>
    <xf numFmtId="3" fontId="4" fillId="0" borderId="13" xfId="0" applyNumberFormat="1" applyFont="1" applyFill="1" applyBorder="1" applyAlignment="1" applyProtection="1">
      <alignment horizontal="center"/>
      <protection locked="0"/>
    </xf>
    <xf numFmtId="3" fontId="4" fillId="0" borderId="1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4" fillId="0" borderId="14" xfId="0" applyFont="1" applyFill="1" applyBorder="1" applyAlignment="1" applyProtection="1">
      <alignment horizontal="center"/>
      <protection locked="0"/>
    </xf>
    <xf numFmtId="0" fontId="4" fillId="0" borderId="34" xfId="0" applyFont="1" applyFill="1" applyBorder="1" applyAlignment="1" applyProtection="1">
      <alignment horizontal="center"/>
      <protection locked="0"/>
    </xf>
    <xf numFmtId="3" fontId="9" fillId="0" borderId="13" xfId="0" applyNumberFormat="1" applyFont="1" applyFill="1" applyBorder="1" applyAlignment="1" applyProtection="1">
      <alignment horizontal="center"/>
      <protection locked="0"/>
    </xf>
    <xf numFmtId="3" fontId="9" fillId="0" borderId="1" xfId="0" applyNumberFormat="1" applyFont="1" applyFill="1" applyBorder="1" applyAlignment="1" applyProtection="1">
      <alignment horizontal="center"/>
      <protection locked="0"/>
    </xf>
    <xf numFmtId="0" fontId="9" fillId="0" borderId="1" xfId="0" applyFont="1" applyFill="1" applyBorder="1" applyAlignment="1" applyProtection="1">
      <alignment horizontal="center"/>
      <protection locked="0"/>
    </xf>
    <xf numFmtId="3" fontId="4" fillId="0" borderId="14" xfId="0" applyNumberFormat="1" applyFont="1" applyFill="1" applyBorder="1" applyAlignment="1" applyProtection="1">
      <alignment horizontal="center"/>
      <protection locked="0"/>
    </xf>
    <xf numFmtId="3" fontId="4" fillId="11" borderId="1" xfId="0" applyNumberFormat="1" applyFont="1" applyFill="1" applyBorder="1" applyAlignment="1" applyProtection="1">
      <alignment horizontal="center"/>
      <protection locked="0"/>
    </xf>
    <xf numFmtId="0" fontId="4" fillId="11" borderId="1" xfId="0" applyFont="1" applyFill="1" applyBorder="1" applyAlignment="1" applyProtection="1">
      <alignment horizontal="center"/>
      <protection locked="0"/>
    </xf>
    <xf numFmtId="0" fontId="4" fillId="11" borderId="14" xfId="0" applyFont="1" applyFill="1" applyBorder="1" applyAlignment="1" applyProtection="1">
      <alignment horizontal="center"/>
      <protection locked="0"/>
    </xf>
    <xf numFmtId="3" fontId="4" fillId="11" borderId="14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Protection="1">
      <protection locked="0"/>
    </xf>
    <xf numFmtId="3" fontId="9" fillId="0" borderId="14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/>
      <protection locked="0"/>
    </xf>
    <xf numFmtId="3" fontId="4" fillId="17" borderId="15" xfId="0" applyNumberFormat="1" applyFont="1" applyFill="1" applyBorder="1" applyAlignment="1" applyProtection="1">
      <alignment horizontal="center"/>
      <protection locked="0"/>
    </xf>
    <xf numFmtId="3" fontId="4" fillId="17" borderId="16" xfId="0" applyNumberFormat="1" applyFont="1" applyFill="1" applyBorder="1" applyAlignment="1" applyProtection="1">
      <alignment horizontal="center"/>
      <protection locked="0"/>
    </xf>
    <xf numFmtId="3" fontId="4" fillId="17" borderId="27" xfId="0" applyNumberFormat="1" applyFont="1" applyFill="1" applyBorder="1" applyAlignment="1" applyProtection="1">
      <alignment horizontal="center"/>
      <protection locked="0"/>
    </xf>
    <xf numFmtId="0" fontId="4" fillId="0" borderId="1" xfId="0" applyNumberFormat="1" applyFont="1" applyFill="1" applyBorder="1" applyAlignment="1" applyProtection="1">
      <alignment horizontal="center"/>
      <protection locked="0"/>
    </xf>
    <xf numFmtId="0" fontId="4" fillId="0" borderId="29" xfId="0" applyNumberFormat="1" applyFont="1" applyFill="1" applyBorder="1" applyAlignment="1" applyProtection="1">
      <alignment horizontal="center"/>
      <protection locked="0"/>
    </xf>
    <xf numFmtId="0" fontId="4" fillId="0" borderId="14" xfId="0" applyNumberFormat="1" applyFont="1" applyFill="1" applyBorder="1" applyAlignment="1" applyProtection="1">
      <alignment horizontal="center"/>
      <protection locked="0"/>
    </xf>
    <xf numFmtId="0" fontId="4" fillId="0" borderId="13" xfId="0" applyNumberFormat="1" applyFont="1" applyFill="1" applyBorder="1" applyAlignment="1" applyProtection="1">
      <alignment horizontal="center"/>
      <protection locked="0"/>
    </xf>
    <xf numFmtId="3" fontId="8" fillId="0" borderId="1" xfId="0" applyNumberFormat="1" applyFont="1" applyFill="1" applyBorder="1" applyAlignment="1" applyProtection="1">
      <alignment horizontal="center"/>
      <protection locked="0"/>
    </xf>
    <xf numFmtId="3" fontId="8" fillId="0" borderId="14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3" fontId="8" fillId="11" borderId="1" xfId="0" applyNumberFormat="1" applyFont="1" applyFill="1" applyBorder="1" applyAlignment="1" applyProtection="1">
      <alignment horizontal="center"/>
      <protection locked="0"/>
    </xf>
    <xf numFmtId="3" fontId="8" fillId="11" borderId="14" xfId="0" applyNumberFormat="1" applyFont="1" applyFill="1" applyBorder="1" applyAlignment="1" applyProtection="1">
      <alignment horizontal="center"/>
      <protection locked="0"/>
    </xf>
    <xf numFmtId="0" fontId="4" fillId="17" borderId="16" xfId="0" applyNumberFormat="1" applyFont="1" applyFill="1" applyBorder="1" applyAlignment="1" applyProtection="1">
      <alignment horizontal="center" vertical="center"/>
      <protection locked="0"/>
    </xf>
    <xf numFmtId="0" fontId="4" fillId="17" borderId="27" xfId="0" applyNumberFormat="1" applyFont="1" applyFill="1" applyBorder="1" applyAlignment="1" applyProtection="1">
      <alignment horizontal="center" vertical="center"/>
      <protection locked="0"/>
    </xf>
    <xf numFmtId="0" fontId="4" fillId="17" borderId="15" xfId="0" applyNumberFormat="1" applyFont="1" applyFill="1" applyBorder="1" applyAlignment="1" applyProtection="1">
      <alignment horizontal="center" vertical="center"/>
      <protection locked="0"/>
    </xf>
    <xf numFmtId="0" fontId="4" fillId="0" borderId="11" xfId="0" applyNumberFormat="1" applyFont="1" applyFill="1" applyBorder="1" applyAlignment="1" applyProtection="1">
      <alignment horizontal="center"/>
      <protection locked="0"/>
    </xf>
    <xf numFmtId="0" fontId="4" fillId="0" borderId="29" xfId="0" applyFont="1" applyFill="1" applyBorder="1" applyAlignment="1" applyProtection="1">
      <alignment horizontal="center"/>
      <protection locked="0"/>
    </xf>
    <xf numFmtId="3" fontId="4" fillId="0" borderId="29" xfId="0" applyNumberFormat="1" applyFont="1" applyFill="1" applyBorder="1" applyAlignment="1" applyProtection="1">
      <alignment horizontal="center"/>
      <protection locked="0"/>
    </xf>
    <xf numFmtId="0" fontId="4" fillId="11" borderId="29" xfId="0" applyFont="1" applyFill="1" applyBorder="1" applyAlignment="1" applyProtection="1">
      <alignment horizontal="center"/>
      <protection locked="0"/>
    </xf>
    <xf numFmtId="3" fontId="4" fillId="11" borderId="29" xfId="0" applyNumberFormat="1" applyFont="1" applyFill="1" applyBorder="1" applyAlignment="1" applyProtection="1">
      <alignment horizontal="center"/>
      <protection locked="0"/>
    </xf>
    <xf numFmtId="0" fontId="4" fillId="0" borderId="4" xfId="0" applyNumberFormat="1" applyFont="1" applyFill="1" applyBorder="1" applyAlignment="1" applyProtection="1">
      <alignment horizontal="center"/>
      <protection locked="0"/>
    </xf>
    <xf numFmtId="3" fontId="14" fillId="0" borderId="1" xfId="0" applyNumberFormat="1" applyFont="1" applyFill="1" applyBorder="1" applyAlignment="1" applyProtection="1">
      <alignment horizontal="center"/>
      <protection locked="0"/>
    </xf>
    <xf numFmtId="3" fontId="4" fillId="17" borderId="26" xfId="0" applyNumberFormat="1" applyFont="1" applyFill="1" applyBorder="1" applyAlignment="1" applyProtection="1">
      <alignment horizontal="center"/>
      <protection locked="0"/>
    </xf>
    <xf numFmtId="3" fontId="4" fillId="17" borderId="35" xfId="0" applyNumberFormat="1" applyFont="1" applyFill="1" applyBorder="1" applyAlignment="1" applyProtection="1">
      <alignment horizontal="center"/>
      <protection locked="0"/>
    </xf>
    <xf numFmtId="3" fontId="7" fillId="11" borderId="0" xfId="0" applyNumberFormat="1" applyFont="1" applyFill="1" applyBorder="1" applyAlignment="1"/>
    <xf numFmtId="0" fontId="4" fillId="11" borderId="1" xfId="0" applyNumberFormat="1" applyFont="1" applyFill="1" applyBorder="1" applyAlignment="1" applyProtection="1">
      <alignment horizontal="center"/>
      <protection locked="0"/>
    </xf>
    <xf numFmtId="1" fontId="4" fillId="12" borderId="1" xfId="0" applyNumberFormat="1" applyFont="1" applyFill="1" applyBorder="1" applyAlignment="1">
      <alignment horizontal="center"/>
    </xf>
    <xf numFmtId="9" fontId="4" fillId="12" borderId="1" xfId="0" applyNumberFormat="1" applyFont="1" applyFill="1" applyBorder="1" applyAlignment="1">
      <alignment horizontal="center"/>
    </xf>
    <xf numFmtId="0" fontId="4" fillId="12" borderId="1" xfId="0" applyNumberFormat="1" applyFont="1" applyFill="1" applyBorder="1" applyAlignment="1">
      <alignment horizontal="center"/>
    </xf>
    <xf numFmtId="166" fontId="4" fillId="12" borderId="1" xfId="0" applyNumberFormat="1" applyFont="1" applyFill="1" applyBorder="1" applyAlignment="1">
      <alignment horizontal="center"/>
    </xf>
    <xf numFmtId="0" fontId="0" fillId="19" borderId="0" xfId="0" applyFill="1"/>
    <xf numFmtId="0" fontId="4" fillId="14" borderId="14" xfId="0" applyFont="1" applyFill="1" applyBorder="1" applyAlignment="1">
      <alignment horizontal="center" vertical="center" wrapText="1"/>
    </xf>
    <xf numFmtId="0" fontId="4" fillId="13" borderId="14" xfId="0" applyNumberFormat="1" applyFont="1" applyFill="1" applyBorder="1" applyAlignment="1" applyProtection="1">
      <alignment horizontal="center"/>
      <protection locked="0"/>
    </xf>
    <xf numFmtId="165" fontId="4" fillId="17" borderId="16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/>
    </xf>
    <xf numFmtId="3" fontId="4" fillId="0" borderId="4" xfId="0" applyNumberFormat="1" applyFont="1" applyFill="1" applyBorder="1" applyAlignment="1" applyProtection="1">
      <alignment horizontal="center"/>
      <protection locked="0"/>
    </xf>
    <xf numFmtId="0" fontId="15" fillId="11" borderId="0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16" fontId="2" fillId="12" borderId="1" xfId="0" applyNumberFormat="1" applyFont="1" applyFill="1" applyBorder="1" applyAlignment="1">
      <alignment horizontal="center" vertical="center" wrapText="1"/>
    </xf>
    <xf numFmtId="2" fontId="2" fillId="12" borderId="1" xfId="0" applyNumberFormat="1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center" vertical="center"/>
    </xf>
    <xf numFmtId="0" fontId="16" fillId="11" borderId="0" xfId="0" applyFont="1" applyFill="1"/>
    <xf numFmtId="0" fontId="4" fillId="20" borderId="1" xfId="0" applyFont="1" applyFill="1" applyBorder="1" applyAlignment="1">
      <alignment horizontal="center" vertical="center"/>
    </xf>
    <xf numFmtId="0" fontId="6" fillId="20" borderId="1" xfId="0" applyFont="1" applyFill="1" applyBorder="1" applyAlignment="1">
      <alignment vertical="center" wrapText="1"/>
    </xf>
    <xf numFmtId="0" fontId="16" fillId="19" borderId="1" xfId="0" applyFont="1" applyFill="1" applyBorder="1"/>
    <xf numFmtId="0" fontId="4" fillId="12" borderId="1" xfId="0" applyFont="1" applyFill="1" applyBorder="1" applyAlignment="1">
      <alignment horizontal="center" vertical="center"/>
    </xf>
    <xf numFmtId="16" fontId="4" fillId="12" borderId="1" xfId="0" applyNumberFormat="1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6" fillId="2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6" fontId="4" fillId="1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2" fillId="12" borderId="12" xfId="0" applyNumberFormat="1" applyFont="1" applyFill="1" applyBorder="1" applyAlignment="1">
      <alignment horizontal="center" vertical="center" wrapText="1"/>
    </xf>
    <xf numFmtId="14" fontId="2" fillId="12" borderId="8" xfId="0" applyNumberFormat="1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center" vertical="center" wrapText="1"/>
    </xf>
    <xf numFmtId="16" fontId="2" fillId="12" borderId="8" xfId="0" applyNumberFormat="1" applyFont="1" applyFill="1" applyBorder="1" applyAlignment="1">
      <alignment horizontal="center" vertical="center" wrapText="1"/>
    </xf>
    <xf numFmtId="0" fontId="18" fillId="12" borderId="1" xfId="0" applyFont="1" applyFill="1" applyBorder="1" applyAlignment="1">
      <alignment horizontal="center" vertical="center" wrapText="1"/>
    </xf>
    <xf numFmtId="0" fontId="4" fillId="12" borderId="1" xfId="0" applyNumberFormat="1" applyFont="1" applyFill="1" applyBorder="1" applyAlignment="1">
      <alignment horizontal="center" vertical="center" wrapText="1"/>
    </xf>
    <xf numFmtId="16" fontId="2" fillId="22" borderId="8" xfId="0" applyNumberFormat="1" applyFont="1" applyFill="1" applyBorder="1" applyAlignment="1">
      <alignment horizontal="center" vertical="center" wrapText="1"/>
    </xf>
    <xf numFmtId="0" fontId="17" fillId="21" borderId="0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8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1" xfId="0" applyFont="1" applyFill="1" applyBorder="1" applyAlignment="1">
      <alignment horizontal="center" vertical="center"/>
    </xf>
    <xf numFmtId="0" fontId="17" fillId="21" borderId="1" xfId="0" applyFont="1" applyFill="1" applyBorder="1" applyAlignment="1">
      <alignment horizontal="center" vertical="center"/>
    </xf>
    <xf numFmtId="0" fontId="17" fillId="21" borderId="1" xfId="0" applyFont="1" applyFill="1" applyBorder="1" applyAlignment="1">
      <alignment horizontal="center" vertical="center"/>
    </xf>
    <xf numFmtId="16" fontId="2" fillId="12" borderId="29" xfId="0" applyNumberFormat="1" applyFont="1" applyFill="1" applyBorder="1" applyAlignment="1">
      <alignment horizontal="center" vertical="center" wrapText="1"/>
    </xf>
    <xf numFmtId="0" fontId="2" fillId="12" borderId="34" xfId="0" applyFont="1" applyFill="1" applyBorder="1" applyAlignment="1">
      <alignment horizontal="center" vertical="center" wrapText="1"/>
    </xf>
    <xf numFmtId="0" fontId="4" fillId="12" borderId="34" xfId="0" applyFont="1" applyFill="1" applyBorder="1" applyAlignment="1">
      <alignment horizontal="center" vertical="center" wrapText="1"/>
    </xf>
    <xf numFmtId="0" fontId="0" fillId="12" borderId="1" xfId="0" applyFill="1" applyBorder="1"/>
    <xf numFmtId="0" fontId="0" fillId="12" borderId="1" xfId="0" applyFill="1" applyBorder="1" applyAlignment="1">
      <alignment horizontal="center"/>
    </xf>
    <xf numFmtId="0" fontId="15" fillId="3" borderId="36" xfId="0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16" fontId="15" fillId="11" borderId="0" xfId="0" applyNumberFormat="1" applyFont="1" applyFill="1" applyBorder="1" applyAlignment="1">
      <alignment horizontal="center"/>
    </xf>
    <xf numFmtId="0" fontId="17" fillId="21" borderId="31" xfId="0" applyFont="1" applyFill="1" applyBorder="1" applyAlignment="1">
      <alignment horizontal="center" vertical="center"/>
    </xf>
    <xf numFmtId="0" fontId="17" fillId="21" borderId="37" xfId="0" applyFont="1" applyFill="1" applyBorder="1" applyAlignment="1">
      <alignment horizontal="center" vertical="center"/>
    </xf>
    <xf numFmtId="0" fontId="17" fillId="21" borderId="2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164" fontId="9" fillId="16" borderId="3" xfId="0" applyNumberFormat="1" applyFont="1" applyFill="1" applyBorder="1" applyAlignment="1">
      <alignment horizontal="center"/>
    </xf>
    <xf numFmtId="164" fontId="9" fillId="16" borderId="25" xfId="0" applyNumberFormat="1" applyFont="1" applyFill="1" applyBorder="1" applyAlignment="1">
      <alignment horizontal="center"/>
    </xf>
    <xf numFmtId="3" fontId="10" fillId="14" borderId="5" xfId="0" applyNumberFormat="1" applyFont="1" applyFill="1" applyBorder="1" applyAlignment="1">
      <alignment horizontal="center"/>
    </xf>
    <xf numFmtId="3" fontId="10" fillId="14" borderId="21" xfId="0" applyNumberFormat="1" applyFont="1" applyFill="1" applyBorder="1" applyAlignment="1">
      <alignment horizontal="center"/>
    </xf>
    <xf numFmtId="3" fontId="10" fillId="14" borderId="20" xfId="0" applyNumberFormat="1" applyFont="1" applyFill="1" applyBorder="1" applyAlignment="1">
      <alignment horizontal="center"/>
    </xf>
    <xf numFmtId="0" fontId="4" fillId="7" borderId="6" xfId="0" applyNumberFormat="1" applyFont="1" applyFill="1" applyBorder="1" applyAlignment="1">
      <alignment horizontal="center" vertical="center"/>
    </xf>
    <xf numFmtId="0" fontId="4" fillId="7" borderId="31" xfId="0" applyNumberFormat="1" applyFont="1" applyFill="1" applyBorder="1" applyAlignment="1">
      <alignment horizontal="center" vertical="center"/>
    </xf>
    <xf numFmtId="0" fontId="4" fillId="7" borderId="10" xfId="0" applyNumberFormat="1" applyFont="1" applyFill="1" applyBorder="1" applyAlignment="1">
      <alignment horizontal="center" vertical="center"/>
    </xf>
    <xf numFmtId="0" fontId="4" fillId="7" borderId="17" xfId="0" applyNumberFormat="1" applyFont="1" applyFill="1" applyBorder="1" applyAlignment="1">
      <alignment horizontal="center" vertical="center"/>
    </xf>
    <xf numFmtId="0" fontId="6" fillId="14" borderId="22" xfId="0" applyFont="1" applyFill="1" applyBorder="1" applyAlignment="1">
      <alignment horizontal="center" vertical="center"/>
    </xf>
    <xf numFmtId="0" fontId="6" fillId="14" borderId="23" xfId="0" applyFont="1" applyFill="1" applyBorder="1" applyAlignment="1">
      <alignment horizontal="center" vertical="center"/>
    </xf>
    <xf numFmtId="0" fontId="6" fillId="14" borderId="32" xfId="0" applyFont="1" applyFill="1" applyBorder="1" applyAlignment="1">
      <alignment horizontal="center" vertical="center"/>
    </xf>
    <xf numFmtId="0" fontId="6" fillId="14" borderId="28" xfId="0" applyFont="1" applyFill="1" applyBorder="1" applyAlignment="1">
      <alignment horizontal="center" vertical="center"/>
    </xf>
    <xf numFmtId="0" fontId="4" fillId="7" borderId="22" xfId="0" applyNumberFormat="1" applyFont="1" applyFill="1" applyBorder="1" applyAlignment="1">
      <alignment horizontal="center" vertical="center"/>
    </xf>
    <xf numFmtId="0" fontId="4" fillId="7" borderId="13" xfId="0" applyNumberFormat="1" applyFont="1" applyFill="1" applyBorder="1" applyAlignment="1">
      <alignment horizontal="center" vertical="center"/>
    </xf>
    <xf numFmtId="0" fontId="4" fillId="7" borderId="32" xfId="0" applyNumberFormat="1" applyFont="1" applyFill="1" applyBorder="1" applyAlignment="1">
      <alignment horizontal="center" vertical="center"/>
    </xf>
    <xf numFmtId="0" fontId="4" fillId="7" borderId="14" xfId="0" applyNumberFormat="1" applyFont="1" applyFill="1" applyBorder="1" applyAlignment="1">
      <alignment horizontal="center" vertical="center"/>
    </xf>
    <xf numFmtId="164" fontId="9" fillId="16" borderId="13" xfId="0" applyNumberFormat="1" applyFont="1" applyFill="1" applyBorder="1" applyAlignment="1">
      <alignment horizontal="center"/>
    </xf>
    <xf numFmtId="164" fontId="9" fillId="16" borderId="14" xfId="0" applyNumberFormat="1" applyFont="1" applyFill="1" applyBorder="1" applyAlignment="1">
      <alignment horizontal="center"/>
    </xf>
    <xf numFmtId="0" fontId="6" fillId="14" borderId="22" xfId="0" applyFont="1" applyFill="1" applyBorder="1" applyAlignment="1">
      <alignment horizontal="center"/>
    </xf>
    <xf numFmtId="0" fontId="6" fillId="14" borderId="23" xfId="0" applyFont="1" applyFill="1" applyBorder="1" applyAlignment="1">
      <alignment horizontal="center"/>
    </xf>
    <xf numFmtId="0" fontId="6" fillId="14" borderId="32" xfId="0" applyFont="1" applyFill="1" applyBorder="1" applyAlignment="1">
      <alignment horizontal="center"/>
    </xf>
    <xf numFmtId="0" fontId="6" fillId="14" borderId="22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3" xfId="2"/>
    <cellStyle name="Standard 3" xfId="3"/>
    <cellStyle name="Standard 3 2" xfId="4"/>
  </cellStyles>
  <dxfs count="9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94"/>
      <tableStyleElement type="headerRow" dxfId="93"/>
    </tableStyle>
  </tableStyles>
  <colors>
    <mruColors>
      <color rgb="FFFFCCFF"/>
      <color rgb="FF00FF00"/>
      <color rgb="FF28F8E9"/>
      <color rgb="FFFFFF99"/>
      <color rgb="FF00FFCC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0</xdr:row>
          <xdr:rowOff>7620</xdr:rowOff>
        </xdr:from>
        <xdr:to>
          <xdr:col>9</xdr:col>
          <xdr:colOff>236220</xdr:colOff>
          <xdr:row>0</xdr:row>
          <xdr:rowOff>220980</xdr:rowOff>
        </xdr:to>
        <xdr:sp macro="" textlink="">
          <xdr:nvSpPr>
            <xdr:cNvPr id="3096" name="CommandButton1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381000</xdr:colOff>
          <xdr:row>0</xdr:row>
          <xdr:rowOff>7620</xdr:rowOff>
        </xdr:from>
        <xdr:to>
          <xdr:col>25</xdr:col>
          <xdr:colOff>640080</xdr:colOff>
          <xdr:row>1</xdr:row>
          <xdr:rowOff>190500</xdr:rowOff>
        </xdr:to>
        <xdr:sp macro="" textlink="">
          <xdr:nvSpPr>
            <xdr:cNvPr id="3097" name="CommandButton2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0</xdr:row>
          <xdr:rowOff>22860</xdr:rowOff>
        </xdr:from>
        <xdr:to>
          <xdr:col>137</xdr:col>
          <xdr:colOff>7620</xdr:colOff>
          <xdr:row>0</xdr:row>
          <xdr:rowOff>190500</xdr:rowOff>
        </xdr:to>
        <xdr:sp macro="" textlink="">
          <xdr:nvSpPr>
            <xdr:cNvPr id="30939211" name="CommandButton1" hidden="1">
              <a:extLst>
                <a:ext uri="{63B3BB69-23CF-44E3-9099-C40C66FF867C}">
                  <a14:compatExt spid="_x0000_s30939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0</xdr:row>
          <xdr:rowOff>22860</xdr:rowOff>
        </xdr:from>
        <xdr:to>
          <xdr:col>150</xdr:col>
          <xdr:colOff>342900</xdr:colOff>
          <xdr:row>1</xdr:row>
          <xdr:rowOff>22860</xdr:rowOff>
        </xdr:to>
        <xdr:sp macro="" textlink="">
          <xdr:nvSpPr>
            <xdr:cNvPr id="30894090" name="CommandButton1" hidden="1">
              <a:extLst>
                <a:ext uri="{63B3BB69-23CF-44E3-9099-C40C66FF867C}">
                  <a14:compatExt spid="_x0000_s30894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orai/Downloads/gestion_de_stock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trolling\Board%20Meeting%2001_12\VEKA%20Umwelttechnik%20GmbH\ut12fi_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Entrées"/>
      <sheetName val="Sorties"/>
      <sheetName val="Techniciens"/>
      <sheetName val="Fournisseurs"/>
      <sheetName val="Catégories"/>
      <sheetName val="Statistiques"/>
      <sheetName val="Paramètres"/>
    </sheetNames>
    <sheetDataSet>
      <sheetData sheetId="0"/>
      <sheetData sheetId="1">
        <row r="1">
          <cell r="A1" t="str">
            <v>Inventaire du stock</v>
          </cell>
        </row>
        <row r="2">
          <cell r="A2">
            <v>0</v>
          </cell>
        </row>
        <row r="3">
          <cell r="A3" t="str">
            <v>Pièce</v>
          </cell>
        </row>
        <row r="4">
          <cell r="A4" t="str">
            <v>OD</v>
          </cell>
        </row>
        <row r="5">
          <cell r="A5" t="str">
            <v>Carte-mère HP 12345</v>
          </cell>
        </row>
        <row r="6">
          <cell r="A6" t="str">
            <v>Cartouche Ultrium 2 To</v>
          </cell>
        </row>
        <row r="7">
          <cell r="A7" t="str">
            <v>Cartouche Ultrium 4 To</v>
          </cell>
        </row>
        <row r="8">
          <cell r="A8" t="str">
            <v>Imprimante HP LJ 1220</v>
          </cell>
        </row>
        <row r="9">
          <cell r="A9" t="str">
            <v>Imprimante HP LJ 2020</v>
          </cell>
        </row>
        <row r="10">
          <cell r="A10" t="str">
            <v>Onduleur 1 Kva</v>
          </cell>
        </row>
        <row r="11">
          <cell r="A11" t="str">
            <v>RAM 8 Go</v>
          </cell>
        </row>
        <row r="12">
          <cell r="A12" t="str">
            <v>Tapis de souris bleu</v>
          </cell>
        </row>
        <row r="13">
          <cell r="A13" t="str">
            <v>Toner HP 1220 6000 copies</v>
          </cell>
        </row>
        <row r="14">
          <cell r="A14">
            <v>0</v>
          </cell>
        </row>
        <row r="15">
          <cell r="A15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>
            <v>0</v>
          </cell>
        </row>
        <row r="26">
          <cell r="A26">
            <v>0</v>
          </cell>
        </row>
        <row r="27">
          <cell r="A27">
            <v>0</v>
          </cell>
        </row>
        <row r="28">
          <cell r="A28">
            <v>0</v>
          </cell>
        </row>
        <row r="29">
          <cell r="A29">
            <v>0</v>
          </cell>
        </row>
      </sheetData>
      <sheetData sheetId="2"/>
      <sheetData sheetId="3"/>
      <sheetData sheetId="4">
        <row r="1">
          <cell r="A1" t="str">
            <v>Fichier des techniciens</v>
          </cell>
        </row>
        <row r="2">
          <cell r="A2">
            <v>0</v>
          </cell>
        </row>
        <row r="3">
          <cell r="A3" t="str">
            <v>Libellé</v>
          </cell>
        </row>
        <row r="4">
          <cell r="A4" t="str">
            <v>...</v>
          </cell>
        </row>
        <row r="5">
          <cell r="A5" t="str">
            <v>essai</v>
          </cell>
        </row>
        <row r="6">
          <cell r="A6" t="str">
            <v>Claude</v>
          </cell>
        </row>
        <row r="7">
          <cell r="A7" t="str">
            <v>Dominique</v>
          </cell>
        </row>
        <row r="8">
          <cell r="A8" t="str">
            <v>Gérard</v>
          </cell>
        </row>
        <row r="9">
          <cell r="A9" t="str">
            <v>Louis</v>
          </cell>
        </row>
        <row r="10">
          <cell r="A10" t="str">
            <v>Michel</v>
          </cell>
        </row>
        <row r="11">
          <cell r="A11" t="str">
            <v>Philippe</v>
          </cell>
        </row>
        <row r="12">
          <cell r="A12" t="str">
            <v>Pierre</v>
          </cell>
        </row>
        <row r="13">
          <cell r="A13" t="str">
            <v>Raymond</v>
          </cell>
        </row>
        <row r="14">
          <cell r="A14" t="str">
            <v>Rose</v>
          </cell>
        </row>
        <row r="15">
          <cell r="A15" t="str">
            <v>Simon</v>
          </cell>
        </row>
        <row r="16">
          <cell r="A16" t="str">
            <v>Sylvie</v>
          </cell>
        </row>
        <row r="17">
          <cell r="A17">
            <v>0</v>
          </cell>
        </row>
      </sheetData>
      <sheetData sheetId="5">
        <row r="1">
          <cell r="A1" t="str">
            <v>Fichier des fournisseurs</v>
          </cell>
        </row>
        <row r="2">
          <cell r="A2">
            <v>0</v>
          </cell>
        </row>
        <row r="3">
          <cell r="A3" t="str">
            <v>Libellé</v>
          </cell>
        </row>
        <row r="4">
          <cell r="A4" t="str">
            <v>Acer</v>
          </cell>
        </row>
        <row r="5">
          <cell r="A5" t="str">
            <v>Belkin</v>
          </cell>
        </row>
        <row r="6">
          <cell r="A6" t="str">
            <v>Canon</v>
          </cell>
        </row>
        <row r="7">
          <cell r="A7" t="str">
            <v>Eaton</v>
          </cell>
        </row>
        <row r="8">
          <cell r="A8" t="str">
            <v>Hewlett-Packard</v>
          </cell>
        </row>
        <row r="9">
          <cell r="A9" t="str">
            <v>IBM</v>
          </cell>
        </row>
        <row r="10">
          <cell r="A10" t="str">
            <v>Kyocera</v>
          </cell>
        </row>
        <row r="11">
          <cell r="A11" t="str">
            <v>Lenovo</v>
          </cell>
        </row>
        <row r="12">
          <cell r="A12">
            <v>0</v>
          </cell>
        </row>
      </sheetData>
      <sheetData sheetId="6">
        <row r="1">
          <cell r="A1" t="str">
            <v>Fichier des catégories</v>
          </cell>
        </row>
        <row r="2">
          <cell r="A2">
            <v>0</v>
          </cell>
        </row>
        <row r="3">
          <cell r="A3" t="str">
            <v>Libellé</v>
          </cell>
        </row>
        <row r="4">
          <cell r="A4" t="str">
            <v>...</v>
          </cell>
        </row>
        <row r="5">
          <cell r="A5" t="str">
            <v>Accessoires</v>
          </cell>
        </row>
        <row r="6">
          <cell r="A6" t="str">
            <v>Assemblage</v>
          </cell>
        </row>
        <row r="7">
          <cell r="A7" t="str">
            <v>Consommables</v>
          </cell>
        </row>
        <row r="8">
          <cell r="A8" t="str">
            <v>Environnement électrique</v>
          </cell>
        </row>
        <row r="9">
          <cell r="A9" t="str">
            <v>Imprimantes</v>
          </cell>
        </row>
        <row r="10">
          <cell r="A10">
            <v>0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F1 P&amp;L"/>
      <sheetName val="iF1 P&amp;L"/>
      <sheetName val="F1M P&amp;L detail"/>
      <sheetName val="iF1M P&amp;L detail"/>
      <sheetName val="F3.x1s IC SalesTons"/>
      <sheetName val="iF3.x1M IC SalesTons"/>
      <sheetName val="F4 Customers"/>
      <sheetName val="iF4 Customers"/>
      <sheetName val="F6A BS"/>
      <sheetName val="iF6A BS"/>
      <sheetName val="F6B CF"/>
      <sheetName val="iF6B CF"/>
      <sheetName val="F7 schedule of accounts"/>
      <sheetName val="iF7 schedule of accounts"/>
      <sheetName val="F7.2 CapEx"/>
      <sheetName val="iF7.2 CapEx"/>
      <sheetName val="F10 Pers"/>
      <sheetName val="F11 Consolidation Matrix"/>
      <sheetName val="F11 Consolidation Matrix(2011)"/>
    </sheetNames>
    <sheetDataSet>
      <sheetData sheetId="0"/>
      <sheetData sheetId="1">
        <row r="2">
          <cell r="B2" t="str">
            <v>VEKA Umwelttechnik GmbH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omments" Target="../comments2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V18"/>
  <sheetViews>
    <sheetView topLeftCell="I1" zoomScale="70" zoomScaleNormal="70" workbookViewId="0">
      <pane ySplit="3" topLeftCell="A4" activePane="bottomLeft" state="frozen"/>
      <selection pane="bottomLeft" activeCell="J24" sqref="J24"/>
    </sheetView>
  </sheetViews>
  <sheetFormatPr baseColWidth="10" defaultRowHeight="13.2" x14ac:dyDescent="0.25"/>
  <cols>
    <col min="1" max="1" width="32.5546875" bestFit="1" customWidth="1"/>
    <col min="2" max="2" width="21.109375" bestFit="1" customWidth="1"/>
    <col min="3" max="3" width="58.88671875" customWidth="1"/>
    <col min="4" max="4" width="29.33203125" customWidth="1"/>
    <col min="5" max="5" width="26.33203125" style="173" customWidth="1"/>
    <col min="6" max="6" width="22.6640625" style="173" customWidth="1"/>
    <col min="7" max="7" width="12.5546875" customWidth="1"/>
    <col min="8" max="9" width="14" customWidth="1"/>
    <col min="10" max="12" width="23.6640625" customWidth="1"/>
    <col min="13" max="13" width="14.5546875" bestFit="1" customWidth="1"/>
    <col min="14" max="14" width="16.88671875" bestFit="1" customWidth="1"/>
    <col min="15" max="15" width="15.109375" customWidth="1"/>
    <col min="16" max="16" width="17.44140625" bestFit="1" customWidth="1"/>
    <col min="17" max="17" width="27.109375" style="173" bestFit="1" customWidth="1"/>
    <col min="18" max="18" width="27.109375" style="173" customWidth="1"/>
    <col min="19" max="19" width="15.109375" style="173" customWidth="1"/>
    <col min="20" max="20" width="17.5546875" bestFit="1" customWidth="1"/>
    <col min="21" max="21" width="22.109375" style="175" customWidth="1"/>
    <col min="22" max="22" width="15.5546875" customWidth="1"/>
    <col min="23" max="23" width="18.109375" bestFit="1" customWidth="1"/>
    <col min="24" max="24" width="12.6640625" bestFit="1" customWidth="1"/>
    <col min="25" max="25" width="11.44140625" bestFit="1" customWidth="1"/>
    <col min="26" max="26" width="9.88671875" bestFit="1" customWidth="1"/>
    <col min="27" max="27" width="1.88671875" style="154" customWidth="1"/>
    <col min="28" max="28" width="22.44140625" style="67" customWidth="1"/>
    <col min="29" max="29" width="26.44140625" style="67" customWidth="1"/>
    <col min="30" max="31" width="31.5546875" style="67" bestFit="1" customWidth="1"/>
    <col min="32" max="40" width="11.5546875" style="67"/>
    <col min="41" max="48" width="11.44140625" style="67"/>
    <col min="240" max="240" width="31.33203125" bestFit="1" customWidth="1"/>
    <col min="241" max="241" width="14.109375" customWidth="1"/>
    <col min="242" max="242" width="18.33203125" customWidth="1"/>
    <col min="243" max="243" width="19.5546875" bestFit="1" customWidth="1"/>
    <col min="244" max="244" width="14.5546875" bestFit="1" customWidth="1"/>
    <col min="245" max="245" width="15.88671875" customWidth="1"/>
    <col min="246" max="246" width="1.109375" customWidth="1"/>
    <col min="247" max="247" width="3.33203125" customWidth="1"/>
    <col min="248" max="248" width="25" customWidth="1"/>
    <col min="254" max="254" width="4.33203125" customWidth="1"/>
    <col min="496" max="496" width="31.33203125" bestFit="1" customWidth="1"/>
    <col min="497" max="497" width="14.109375" customWidth="1"/>
    <col min="498" max="498" width="18.33203125" customWidth="1"/>
    <col min="499" max="499" width="19.5546875" bestFit="1" customWidth="1"/>
    <col min="500" max="500" width="14.5546875" bestFit="1" customWidth="1"/>
    <col min="501" max="501" width="15.88671875" customWidth="1"/>
    <col min="502" max="502" width="1.109375" customWidth="1"/>
    <col min="503" max="503" width="3.33203125" customWidth="1"/>
    <col min="504" max="504" width="25" customWidth="1"/>
    <col min="510" max="510" width="4.33203125" customWidth="1"/>
    <col min="752" max="752" width="31.33203125" bestFit="1" customWidth="1"/>
    <col min="753" max="753" width="14.109375" customWidth="1"/>
    <col min="754" max="754" width="18.33203125" customWidth="1"/>
    <col min="755" max="755" width="19.5546875" bestFit="1" customWidth="1"/>
    <col min="756" max="756" width="14.5546875" bestFit="1" customWidth="1"/>
    <col min="757" max="757" width="15.88671875" customWidth="1"/>
    <col min="758" max="758" width="1.109375" customWidth="1"/>
    <col min="759" max="759" width="3.33203125" customWidth="1"/>
    <col min="760" max="760" width="25" customWidth="1"/>
    <col min="766" max="766" width="4.33203125" customWidth="1"/>
    <col min="1008" max="1008" width="31.33203125" bestFit="1" customWidth="1"/>
    <col min="1009" max="1009" width="14.109375" customWidth="1"/>
    <col min="1010" max="1010" width="18.33203125" customWidth="1"/>
    <col min="1011" max="1011" width="19.5546875" bestFit="1" customWidth="1"/>
    <col min="1012" max="1012" width="14.5546875" bestFit="1" customWidth="1"/>
    <col min="1013" max="1013" width="15.88671875" customWidth="1"/>
    <col min="1014" max="1014" width="1.109375" customWidth="1"/>
    <col min="1015" max="1015" width="3.33203125" customWidth="1"/>
    <col min="1016" max="1016" width="25" customWidth="1"/>
    <col min="1022" max="1022" width="4.33203125" customWidth="1"/>
    <col min="1264" max="1264" width="31.33203125" bestFit="1" customWidth="1"/>
    <col min="1265" max="1265" width="14.109375" customWidth="1"/>
    <col min="1266" max="1266" width="18.33203125" customWidth="1"/>
    <col min="1267" max="1267" width="19.5546875" bestFit="1" customWidth="1"/>
    <col min="1268" max="1268" width="14.5546875" bestFit="1" customWidth="1"/>
    <col min="1269" max="1269" width="15.88671875" customWidth="1"/>
    <col min="1270" max="1270" width="1.109375" customWidth="1"/>
    <col min="1271" max="1271" width="3.33203125" customWidth="1"/>
    <col min="1272" max="1272" width="25" customWidth="1"/>
    <col min="1278" max="1278" width="4.33203125" customWidth="1"/>
    <col min="1520" max="1520" width="31.33203125" bestFit="1" customWidth="1"/>
    <col min="1521" max="1521" width="14.109375" customWidth="1"/>
    <col min="1522" max="1522" width="18.33203125" customWidth="1"/>
    <col min="1523" max="1523" width="19.5546875" bestFit="1" customWidth="1"/>
    <col min="1524" max="1524" width="14.5546875" bestFit="1" customWidth="1"/>
    <col min="1525" max="1525" width="15.88671875" customWidth="1"/>
    <col min="1526" max="1526" width="1.109375" customWidth="1"/>
    <col min="1527" max="1527" width="3.33203125" customWidth="1"/>
    <col min="1528" max="1528" width="25" customWidth="1"/>
    <col min="1534" max="1534" width="4.33203125" customWidth="1"/>
    <col min="1776" max="1776" width="31.33203125" bestFit="1" customWidth="1"/>
    <col min="1777" max="1777" width="14.109375" customWidth="1"/>
    <col min="1778" max="1778" width="18.33203125" customWidth="1"/>
    <col min="1779" max="1779" width="19.5546875" bestFit="1" customWidth="1"/>
    <col min="1780" max="1780" width="14.5546875" bestFit="1" customWidth="1"/>
    <col min="1781" max="1781" width="15.88671875" customWidth="1"/>
    <col min="1782" max="1782" width="1.109375" customWidth="1"/>
    <col min="1783" max="1783" width="3.33203125" customWidth="1"/>
    <col min="1784" max="1784" width="25" customWidth="1"/>
    <col min="1790" max="1790" width="4.33203125" customWidth="1"/>
    <col min="2032" max="2032" width="31.33203125" bestFit="1" customWidth="1"/>
    <col min="2033" max="2033" width="14.109375" customWidth="1"/>
    <col min="2034" max="2034" width="18.33203125" customWidth="1"/>
    <col min="2035" max="2035" width="19.5546875" bestFit="1" customWidth="1"/>
    <col min="2036" max="2036" width="14.5546875" bestFit="1" customWidth="1"/>
    <col min="2037" max="2037" width="15.88671875" customWidth="1"/>
    <col min="2038" max="2038" width="1.109375" customWidth="1"/>
    <col min="2039" max="2039" width="3.33203125" customWidth="1"/>
    <col min="2040" max="2040" width="25" customWidth="1"/>
    <col min="2046" max="2046" width="4.33203125" customWidth="1"/>
    <col min="2288" max="2288" width="31.33203125" bestFit="1" customWidth="1"/>
    <col min="2289" max="2289" width="14.109375" customWidth="1"/>
    <col min="2290" max="2290" width="18.33203125" customWidth="1"/>
    <col min="2291" max="2291" width="19.5546875" bestFit="1" customWidth="1"/>
    <col min="2292" max="2292" width="14.5546875" bestFit="1" customWidth="1"/>
    <col min="2293" max="2293" width="15.88671875" customWidth="1"/>
    <col min="2294" max="2294" width="1.109375" customWidth="1"/>
    <col min="2295" max="2295" width="3.33203125" customWidth="1"/>
    <col min="2296" max="2296" width="25" customWidth="1"/>
    <col min="2302" max="2302" width="4.33203125" customWidth="1"/>
    <col min="2544" max="2544" width="31.33203125" bestFit="1" customWidth="1"/>
    <col min="2545" max="2545" width="14.109375" customWidth="1"/>
    <col min="2546" max="2546" width="18.33203125" customWidth="1"/>
    <col min="2547" max="2547" width="19.5546875" bestFit="1" customWidth="1"/>
    <col min="2548" max="2548" width="14.5546875" bestFit="1" customWidth="1"/>
    <col min="2549" max="2549" width="15.88671875" customWidth="1"/>
    <col min="2550" max="2550" width="1.109375" customWidth="1"/>
    <col min="2551" max="2551" width="3.33203125" customWidth="1"/>
    <col min="2552" max="2552" width="25" customWidth="1"/>
    <col min="2558" max="2558" width="4.33203125" customWidth="1"/>
    <col min="2800" max="2800" width="31.33203125" bestFit="1" customWidth="1"/>
    <col min="2801" max="2801" width="14.109375" customWidth="1"/>
    <col min="2802" max="2802" width="18.33203125" customWidth="1"/>
    <col min="2803" max="2803" width="19.5546875" bestFit="1" customWidth="1"/>
    <col min="2804" max="2804" width="14.5546875" bestFit="1" customWidth="1"/>
    <col min="2805" max="2805" width="15.88671875" customWidth="1"/>
    <col min="2806" max="2806" width="1.109375" customWidth="1"/>
    <col min="2807" max="2807" width="3.33203125" customWidth="1"/>
    <col min="2808" max="2808" width="25" customWidth="1"/>
    <col min="2814" max="2814" width="4.33203125" customWidth="1"/>
    <col min="3056" max="3056" width="31.33203125" bestFit="1" customWidth="1"/>
    <col min="3057" max="3057" width="14.109375" customWidth="1"/>
    <col min="3058" max="3058" width="18.33203125" customWidth="1"/>
    <col min="3059" max="3059" width="19.5546875" bestFit="1" customWidth="1"/>
    <col min="3060" max="3060" width="14.5546875" bestFit="1" customWidth="1"/>
    <col min="3061" max="3061" width="15.88671875" customWidth="1"/>
    <col min="3062" max="3062" width="1.109375" customWidth="1"/>
    <col min="3063" max="3063" width="3.33203125" customWidth="1"/>
    <col min="3064" max="3064" width="25" customWidth="1"/>
    <col min="3070" max="3070" width="4.33203125" customWidth="1"/>
    <col min="3312" max="3312" width="31.33203125" bestFit="1" customWidth="1"/>
    <col min="3313" max="3313" width="14.109375" customWidth="1"/>
    <col min="3314" max="3314" width="18.33203125" customWidth="1"/>
    <col min="3315" max="3315" width="19.5546875" bestFit="1" customWidth="1"/>
    <col min="3316" max="3316" width="14.5546875" bestFit="1" customWidth="1"/>
    <col min="3317" max="3317" width="15.88671875" customWidth="1"/>
    <col min="3318" max="3318" width="1.109375" customWidth="1"/>
    <col min="3319" max="3319" width="3.33203125" customWidth="1"/>
    <col min="3320" max="3320" width="25" customWidth="1"/>
    <col min="3326" max="3326" width="4.33203125" customWidth="1"/>
    <col min="3568" max="3568" width="31.33203125" bestFit="1" customWidth="1"/>
    <col min="3569" max="3569" width="14.109375" customWidth="1"/>
    <col min="3570" max="3570" width="18.33203125" customWidth="1"/>
    <col min="3571" max="3571" width="19.5546875" bestFit="1" customWidth="1"/>
    <col min="3572" max="3572" width="14.5546875" bestFit="1" customWidth="1"/>
    <col min="3573" max="3573" width="15.88671875" customWidth="1"/>
    <col min="3574" max="3574" width="1.109375" customWidth="1"/>
    <col min="3575" max="3575" width="3.33203125" customWidth="1"/>
    <col min="3576" max="3576" width="25" customWidth="1"/>
    <col min="3582" max="3582" width="4.33203125" customWidth="1"/>
    <col min="3824" max="3824" width="31.33203125" bestFit="1" customWidth="1"/>
    <col min="3825" max="3825" width="14.109375" customWidth="1"/>
    <col min="3826" max="3826" width="18.33203125" customWidth="1"/>
    <col min="3827" max="3827" width="19.5546875" bestFit="1" customWidth="1"/>
    <col min="3828" max="3828" width="14.5546875" bestFit="1" customWidth="1"/>
    <col min="3829" max="3829" width="15.88671875" customWidth="1"/>
    <col min="3830" max="3830" width="1.109375" customWidth="1"/>
    <col min="3831" max="3831" width="3.33203125" customWidth="1"/>
    <col min="3832" max="3832" width="25" customWidth="1"/>
    <col min="3838" max="3838" width="4.33203125" customWidth="1"/>
    <col min="4080" max="4080" width="31.33203125" bestFit="1" customWidth="1"/>
    <col min="4081" max="4081" width="14.109375" customWidth="1"/>
    <col min="4082" max="4082" width="18.33203125" customWidth="1"/>
    <col min="4083" max="4083" width="19.5546875" bestFit="1" customWidth="1"/>
    <col min="4084" max="4084" width="14.5546875" bestFit="1" customWidth="1"/>
    <col min="4085" max="4085" width="15.88671875" customWidth="1"/>
    <col min="4086" max="4086" width="1.109375" customWidth="1"/>
    <col min="4087" max="4087" width="3.33203125" customWidth="1"/>
    <col min="4088" max="4088" width="25" customWidth="1"/>
    <col min="4094" max="4094" width="4.33203125" customWidth="1"/>
    <col min="4336" max="4336" width="31.33203125" bestFit="1" customWidth="1"/>
    <col min="4337" max="4337" width="14.109375" customWidth="1"/>
    <col min="4338" max="4338" width="18.33203125" customWidth="1"/>
    <col min="4339" max="4339" width="19.5546875" bestFit="1" customWidth="1"/>
    <col min="4340" max="4340" width="14.5546875" bestFit="1" customWidth="1"/>
    <col min="4341" max="4341" width="15.88671875" customWidth="1"/>
    <col min="4342" max="4342" width="1.109375" customWidth="1"/>
    <col min="4343" max="4343" width="3.33203125" customWidth="1"/>
    <col min="4344" max="4344" width="25" customWidth="1"/>
    <col min="4350" max="4350" width="4.33203125" customWidth="1"/>
    <col min="4592" max="4592" width="31.33203125" bestFit="1" customWidth="1"/>
    <col min="4593" max="4593" width="14.109375" customWidth="1"/>
    <col min="4594" max="4594" width="18.33203125" customWidth="1"/>
    <col min="4595" max="4595" width="19.5546875" bestFit="1" customWidth="1"/>
    <col min="4596" max="4596" width="14.5546875" bestFit="1" customWidth="1"/>
    <col min="4597" max="4597" width="15.88671875" customWidth="1"/>
    <col min="4598" max="4598" width="1.109375" customWidth="1"/>
    <col min="4599" max="4599" width="3.33203125" customWidth="1"/>
    <col min="4600" max="4600" width="25" customWidth="1"/>
    <col min="4606" max="4606" width="4.33203125" customWidth="1"/>
    <col min="4848" max="4848" width="31.33203125" bestFit="1" customWidth="1"/>
    <col min="4849" max="4849" width="14.109375" customWidth="1"/>
    <col min="4850" max="4850" width="18.33203125" customWidth="1"/>
    <col min="4851" max="4851" width="19.5546875" bestFit="1" customWidth="1"/>
    <col min="4852" max="4852" width="14.5546875" bestFit="1" customWidth="1"/>
    <col min="4853" max="4853" width="15.88671875" customWidth="1"/>
    <col min="4854" max="4854" width="1.109375" customWidth="1"/>
    <col min="4855" max="4855" width="3.33203125" customWidth="1"/>
    <col min="4856" max="4856" width="25" customWidth="1"/>
    <col min="4862" max="4862" width="4.33203125" customWidth="1"/>
    <col min="5104" max="5104" width="31.33203125" bestFit="1" customWidth="1"/>
    <col min="5105" max="5105" width="14.109375" customWidth="1"/>
    <col min="5106" max="5106" width="18.33203125" customWidth="1"/>
    <col min="5107" max="5107" width="19.5546875" bestFit="1" customWidth="1"/>
    <col min="5108" max="5108" width="14.5546875" bestFit="1" customWidth="1"/>
    <col min="5109" max="5109" width="15.88671875" customWidth="1"/>
    <col min="5110" max="5110" width="1.109375" customWidth="1"/>
    <col min="5111" max="5111" width="3.33203125" customWidth="1"/>
    <col min="5112" max="5112" width="25" customWidth="1"/>
    <col min="5118" max="5118" width="4.33203125" customWidth="1"/>
    <col min="5360" max="5360" width="31.33203125" bestFit="1" customWidth="1"/>
    <col min="5361" max="5361" width="14.109375" customWidth="1"/>
    <col min="5362" max="5362" width="18.33203125" customWidth="1"/>
    <col min="5363" max="5363" width="19.5546875" bestFit="1" customWidth="1"/>
    <col min="5364" max="5364" width="14.5546875" bestFit="1" customWidth="1"/>
    <col min="5365" max="5365" width="15.88671875" customWidth="1"/>
    <col min="5366" max="5366" width="1.109375" customWidth="1"/>
    <col min="5367" max="5367" width="3.33203125" customWidth="1"/>
    <col min="5368" max="5368" width="25" customWidth="1"/>
    <col min="5374" max="5374" width="4.33203125" customWidth="1"/>
    <col min="5616" max="5616" width="31.33203125" bestFit="1" customWidth="1"/>
    <col min="5617" max="5617" width="14.109375" customWidth="1"/>
    <col min="5618" max="5618" width="18.33203125" customWidth="1"/>
    <col min="5619" max="5619" width="19.5546875" bestFit="1" customWidth="1"/>
    <col min="5620" max="5620" width="14.5546875" bestFit="1" customWidth="1"/>
    <col min="5621" max="5621" width="15.88671875" customWidth="1"/>
    <col min="5622" max="5622" width="1.109375" customWidth="1"/>
    <col min="5623" max="5623" width="3.33203125" customWidth="1"/>
    <col min="5624" max="5624" width="25" customWidth="1"/>
    <col min="5630" max="5630" width="4.33203125" customWidth="1"/>
    <col min="5872" max="5872" width="31.33203125" bestFit="1" customWidth="1"/>
    <col min="5873" max="5873" width="14.109375" customWidth="1"/>
    <col min="5874" max="5874" width="18.33203125" customWidth="1"/>
    <col min="5875" max="5875" width="19.5546875" bestFit="1" customWidth="1"/>
    <col min="5876" max="5876" width="14.5546875" bestFit="1" customWidth="1"/>
    <col min="5877" max="5877" width="15.88671875" customWidth="1"/>
    <col min="5878" max="5878" width="1.109375" customWidth="1"/>
    <col min="5879" max="5879" width="3.33203125" customWidth="1"/>
    <col min="5880" max="5880" width="25" customWidth="1"/>
    <col min="5886" max="5886" width="4.33203125" customWidth="1"/>
    <col min="6128" max="6128" width="31.33203125" bestFit="1" customWidth="1"/>
    <col min="6129" max="6129" width="14.109375" customWidth="1"/>
    <col min="6130" max="6130" width="18.33203125" customWidth="1"/>
    <col min="6131" max="6131" width="19.5546875" bestFit="1" customWidth="1"/>
    <col min="6132" max="6132" width="14.5546875" bestFit="1" customWidth="1"/>
    <col min="6133" max="6133" width="15.88671875" customWidth="1"/>
    <col min="6134" max="6134" width="1.109375" customWidth="1"/>
    <col min="6135" max="6135" width="3.33203125" customWidth="1"/>
    <col min="6136" max="6136" width="25" customWidth="1"/>
    <col min="6142" max="6142" width="4.33203125" customWidth="1"/>
    <col min="6384" max="6384" width="31.33203125" bestFit="1" customWidth="1"/>
    <col min="6385" max="6385" width="14.109375" customWidth="1"/>
    <col min="6386" max="6386" width="18.33203125" customWidth="1"/>
    <col min="6387" max="6387" width="19.5546875" bestFit="1" customWidth="1"/>
    <col min="6388" max="6388" width="14.5546875" bestFit="1" customWidth="1"/>
    <col min="6389" max="6389" width="15.88671875" customWidth="1"/>
    <col min="6390" max="6390" width="1.109375" customWidth="1"/>
    <col min="6391" max="6391" width="3.33203125" customWidth="1"/>
    <col min="6392" max="6392" width="25" customWidth="1"/>
    <col min="6398" max="6398" width="4.33203125" customWidth="1"/>
    <col min="6640" max="6640" width="31.33203125" bestFit="1" customWidth="1"/>
    <col min="6641" max="6641" width="14.109375" customWidth="1"/>
    <col min="6642" max="6642" width="18.33203125" customWidth="1"/>
    <col min="6643" max="6643" width="19.5546875" bestFit="1" customWidth="1"/>
    <col min="6644" max="6644" width="14.5546875" bestFit="1" customWidth="1"/>
    <col min="6645" max="6645" width="15.88671875" customWidth="1"/>
    <col min="6646" max="6646" width="1.109375" customWidth="1"/>
    <col min="6647" max="6647" width="3.33203125" customWidth="1"/>
    <col min="6648" max="6648" width="25" customWidth="1"/>
    <col min="6654" max="6654" width="4.33203125" customWidth="1"/>
    <col min="6896" max="6896" width="31.33203125" bestFit="1" customWidth="1"/>
    <col min="6897" max="6897" width="14.109375" customWidth="1"/>
    <col min="6898" max="6898" width="18.33203125" customWidth="1"/>
    <col min="6899" max="6899" width="19.5546875" bestFit="1" customWidth="1"/>
    <col min="6900" max="6900" width="14.5546875" bestFit="1" customWidth="1"/>
    <col min="6901" max="6901" width="15.88671875" customWidth="1"/>
    <col min="6902" max="6902" width="1.109375" customWidth="1"/>
    <col min="6903" max="6903" width="3.33203125" customWidth="1"/>
    <col min="6904" max="6904" width="25" customWidth="1"/>
    <col min="6910" max="6910" width="4.33203125" customWidth="1"/>
    <col min="7152" max="7152" width="31.33203125" bestFit="1" customWidth="1"/>
    <col min="7153" max="7153" width="14.109375" customWidth="1"/>
    <col min="7154" max="7154" width="18.33203125" customWidth="1"/>
    <col min="7155" max="7155" width="19.5546875" bestFit="1" customWidth="1"/>
    <col min="7156" max="7156" width="14.5546875" bestFit="1" customWidth="1"/>
    <col min="7157" max="7157" width="15.88671875" customWidth="1"/>
    <col min="7158" max="7158" width="1.109375" customWidth="1"/>
    <col min="7159" max="7159" width="3.33203125" customWidth="1"/>
    <col min="7160" max="7160" width="25" customWidth="1"/>
    <col min="7166" max="7166" width="4.33203125" customWidth="1"/>
    <col min="7408" max="7408" width="31.33203125" bestFit="1" customWidth="1"/>
    <col min="7409" max="7409" width="14.109375" customWidth="1"/>
    <col min="7410" max="7410" width="18.33203125" customWidth="1"/>
    <col min="7411" max="7411" width="19.5546875" bestFit="1" customWidth="1"/>
    <col min="7412" max="7412" width="14.5546875" bestFit="1" customWidth="1"/>
    <col min="7413" max="7413" width="15.88671875" customWidth="1"/>
    <col min="7414" max="7414" width="1.109375" customWidth="1"/>
    <col min="7415" max="7415" width="3.33203125" customWidth="1"/>
    <col min="7416" max="7416" width="25" customWidth="1"/>
    <col min="7422" max="7422" width="4.33203125" customWidth="1"/>
    <col min="7664" max="7664" width="31.33203125" bestFit="1" customWidth="1"/>
    <col min="7665" max="7665" width="14.109375" customWidth="1"/>
    <col min="7666" max="7666" width="18.33203125" customWidth="1"/>
    <col min="7667" max="7667" width="19.5546875" bestFit="1" customWidth="1"/>
    <col min="7668" max="7668" width="14.5546875" bestFit="1" customWidth="1"/>
    <col min="7669" max="7669" width="15.88671875" customWidth="1"/>
    <col min="7670" max="7670" width="1.109375" customWidth="1"/>
    <col min="7671" max="7671" width="3.33203125" customWidth="1"/>
    <col min="7672" max="7672" width="25" customWidth="1"/>
    <col min="7678" max="7678" width="4.33203125" customWidth="1"/>
    <col min="7920" max="7920" width="31.33203125" bestFit="1" customWidth="1"/>
    <col min="7921" max="7921" width="14.109375" customWidth="1"/>
    <col min="7922" max="7922" width="18.33203125" customWidth="1"/>
    <col min="7923" max="7923" width="19.5546875" bestFit="1" customWidth="1"/>
    <col min="7924" max="7924" width="14.5546875" bestFit="1" customWidth="1"/>
    <col min="7925" max="7925" width="15.88671875" customWidth="1"/>
    <col min="7926" max="7926" width="1.109375" customWidth="1"/>
    <col min="7927" max="7927" width="3.33203125" customWidth="1"/>
    <col min="7928" max="7928" width="25" customWidth="1"/>
    <col min="7934" max="7934" width="4.33203125" customWidth="1"/>
    <col min="8176" max="8176" width="31.33203125" bestFit="1" customWidth="1"/>
    <col min="8177" max="8177" width="14.109375" customWidth="1"/>
    <col min="8178" max="8178" width="18.33203125" customWidth="1"/>
    <col min="8179" max="8179" width="19.5546875" bestFit="1" customWidth="1"/>
    <col min="8180" max="8180" width="14.5546875" bestFit="1" customWidth="1"/>
    <col min="8181" max="8181" width="15.88671875" customWidth="1"/>
    <col min="8182" max="8182" width="1.109375" customWidth="1"/>
    <col min="8183" max="8183" width="3.33203125" customWidth="1"/>
    <col min="8184" max="8184" width="25" customWidth="1"/>
    <col min="8190" max="8190" width="4.33203125" customWidth="1"/>
    <col min="8432" max="8432" width="31.33203125" bestFit="1" customWidth="1"/>
    <col min="8433" max="8433" width="14.109375" customWidth="1"/>
    <col min="8434" max="8434" width="18.33203125" customWidth="1"/>
    <col min="8435" max="8435" width="19.5546875" bestFit="1" customWidth="1"/>
    <col min="8436" max="8436" width="14.5546875" bestFit="1" customWidth="1"/>
    <col min="8437" max="8437" width="15.88671875" customWidth="1"/>
    <col min="8438" max="8438" width="1.109375" customWidth="1"/>
    <col min="8439" max="8439" width="3.33203125" customWidth="1"/>
    <col min="8440" max="8440" width="25" customWidth="1"/>
    <col min="8446" max="8446" width="4.33203125" customWidth="1"/>
    <col min="8688" max="8688" width="31.33203125" bestFit="1" customWidth="1"/>
    <col min="8689" max="8689" width="14.109375" customWidth="1"/>
    <col min="8690" max="8690" width="18.33203125" customWidth="1"/>
    <col min="8691" max="8691" width="19.5546875" bestFit="1" customWidth="1"/>
    <col min="8692" max="8692" width="14.5546875" bestFit="1" customWidth="1"/>
    <col min="8693" max="8693" width="15.88671875" customWidth="1"/>
    <col min="8694" max="8694" width="1.109375" customWidth="1"/>
    <col min="8695" max="8695" width="3.33203125" customWidth="1"/>
    <col min="8696" max="8696" width="25" customWidth="1"/>
    <col min="8702" max="8702" width="4.33203125" customWidth="1"/>
    <col min="8944" max="8944" width="31.33203125" bestFit="1" customWidth="1"/>
    <col min="8945" max="8945" width="14.109375" customWidth="1"/>
    <col min="8946" max="8946" width="18.33203125" customWidth="1"/>
    <col min="8947" max="8947" width="19.5546875" bestFit="1" customWidth="1"/>
    <col min="8948" max="8948" width="14.5546875" bestFit="1" customWidth="1"/>
    <col min="8949" max="8949" width="15.88671875" customWidth="1"/>
    <col min="8950" max="8950" width="1.109375" customWidth="1"/>
    <col min="8951" max="8951" width="3.33203125" customWidth="1"/>
    <col min="8952" max="8952" width="25" customWidth="1"/>
    <col min="8958" max="8958" width="4.33203125" customWidth="1"/>
    <col min="9200" max="9200" width="31.33203125" bestFit="1" customWidth="1"/>
    <col min="9201" max="9201" width="14.109375" customWidth="1"/>
    <col min="9202" max="9202" width="18.33203125" customWidth="1"/>
    <col min="9203" max="9203" width="19.5546875" bestFit="1" customWidth="1"/>
    <col min="9204" max="9204" width="14.5546875" bestFit="1" customWidth="1"/>
    <col min="9205" max="9205" width="15.88671875" customWidth="1"/>
    <col min="9206" max="9206" width="1.109375" customWidth="1"/>
    <col min="9207" max="9207" width="3.33203125" customWidth="1"/>
    <col min="9208" max="9208" width="25" customWidth="1"/>
    <col min="9214" max="9214" width="4.33203125" customWidth="1"/>
    <col min="9456" max="9456" width="31.33203125" bestFit="1" customWidth="1"/>
    <col min="9457" max="9457" width="14.109375" customWidth="1"/>
    <col min="9458" max="9458" width="18.33203125" customWidth="1"/>
    <col min="9459" max="9459" width="19.5546875" bestFit="1" customWidth="1"/>
    <col min="9460" max="9460" width="14.5546875" bestFit="1" customWidth="1"/>
    <col min="9461" max="9461" width="15.88671875" customWidth="1"/>
    <col min="9462" max="9462" width="1.109375" customWidth="1"/>
    <col min="9463" max="9463" width="3.33203125" customWidth="1"/>
    <col min="9464" max="9464" width="25" customWidth="1"/>
    <col min="9470" max="9470" width="4.33203125" customWidth="1"/>
    <col min="9712" max="9712" width="31.33203125" bestFit="1" customWidth="1"/>
    <col min="9713" max="9713" width="14.109375" customWidth="1"/>
    <col min="9714" max="9714" width="18.33203125" customWidth="1"/>
    <col min="9715" max="9715" width="19.5546875" bestFit="1" customWidth="1"/>
    <col min="9716" max="9716" width="14.5546875" bestFit="1" customWidth="1"/>
    <col min="9717" max="9717" width="15.88671875" customWidth="1"/>
    <col min="9718" max="9718" width="1.109375" customWidth="1"/>
    <col min="9719" max="9719" width="3.33203125" customWidth="1"/>
    <col min="9720" max="9720" width="25" customWidth="1"/>
    <col min="9726" max="9726" width="4.33203125" customWidth="1"/>
    <col min="9968" max="9968" width="31.33203125" bestFit="1" customWidth="1"/>
    <col min="9969" max="9969" width="14.109375" customWidth="1"/>
    <col min="9970" max="9970" width="18.33203125" customWidth="1"/>
    <col min="9971" max="9971" width="19.5546875" bestFit="1" customWidth="1"/>
    <col min="9972" max="9972" width="14.5546875" bestFit="1" customWidth="1"/>
    <col min="9973" max="9973" width="15.88671875" customWidth="1"/>
    <col min="9974" max="9974" width="1.109375" customWidth="1"/>
    <col min="9975" max="9975" width="3.33203125" customWidth="1"/>
    <col min="9976" max="9976" width="25" customWidth="1"/>
    <col min="9982" max="9982" width="4.33203125" customWidth="1"/>
    <col min="10224" max="10224" width="31.33203125" bestFit="1" customWidth="1"/>
    <col min="10225" max="10225" width="14.109375" customWidth="1"/>
    <col min="10226" max="10226" width="18.33203125" customWidth="1"/>
    <col min="10227" max="10227" width="19.5546875" bestFit="1" customWidth="1"/>
    <col min="10228" max="10228" width="14.5546875" bestFit="1" customWidth="1"/>
    <col min="10229" max="10229" width="15.88671875" customWidth="1"/>
    <col min="10230" max="10230" width="1.109375" customWidth="1"/>
    <col min="10231" max="10231" width="3.33203125" customWidth="1"/>
    <col min="10232" max="10232" width="25" customWidth="1"/>
    <col min="10238" max="10238" width="4.33203125" customWidth="1"/>
    <col min="10480" max="10480" width="31.33203125" bestFit="1" customWidth="1"/>
    <col min="10481" max="10481" width="14.109375" customWidth="1"/>
    <col min="10482" max="10482" width="18.33203125" customWidth="1"/>
    <col min="10483" max="10483" width="19.5546875" bestFit="1" customWidth="1"/>
    <col min="10484" max="10484" width="14.5546875" bestFit="1" customWidth="1"/>
    <col min="10485" max="10485" width="15.88671875" customWidth="1"/>
    <col min="10486" max="10486" width="1.109375" customWidth="1"/>
    <col min="10487" max="10487" width="3.33203125" customWidth="1"/>
    <col min="10488" max="10488" width="25" customWidth="1"/>
    <col min="10494" max="10494" width="4.33203125" customWidth="1"/>
    <col min="10736" max="10736" width="31.33203125" bestFit="1" customWidth="1"/>
    <col min="10737" max="10737" width="14.109375" customWidth="1"/>
    <col min="10738" max="10738" width="18.33203125" customWidth="1"/>
    <col min="10739" max="10739" width="19.5546875" bestFit="1" customWidth="1"/>
    <col min="10740" max="10740" width="14.5546875" bestFit="1" customWidth="1"/>
    <col min="10741" max="10741" width="15.88671875" customWidth="1"/>
    <col min="10742" max="10742" width="1.109375" customWidth="1"/>
    <col min="10743" max="10743" width="3.33203125" customWidth="1"/>
    <col min="10744" max="10744" width="25" customWidth="1"/>
    <col min="10750" max="10750" width="4.33203125" customWidth="1"/>
    <col min="10992" max="10992" width="31.33203125" bestFit="1" customWidth="1"/>
    <col min="10993" max="10993" width="14.109375" customWidth="1"/>
    <col min="10994" max="10994" width="18.33203125" customWidth="1"/>
    <col min="10995" max="10995" width="19.5546875" bestFit="1" customWidth="1"/>
    <col min="10996" max="10996" width="14.5546875" bestFit="1" customWidth="1"/>
    <col min="10997" max="10997" width="15.88671875" customWidth="1"/>
    <col min="10998" max="10998" width="1.109375" customWidth="1"/>
    <col min="10999" max="10999" width="3.33203125" customWidth="1"/>
    <col min="11000" max="11000" width="25" customWidth="1"/>
    <col min="11006" max="11006" width="4.33203125" customWidth="1"/>
    <col min="11248" max="11248" width="31.33203125" bestFit="1" customWidth="1"/>
    <col min="11249" max="11249" width="14.109375" customWidth="1"/>
    <col min="11250" max="11250" width="18.33203125" customWidth="1"/>
    <col min="11251" max="11251" width="19.5546875" bestFit="1" customWidth="1"/>
    <col min="11252" max="11252" width="14.5546875" bestFit="1" customWidth="1"/>
    <col min="11253" max="11253" width="15.88671875" customWidth="1"/>
    <col min="11254" max="11254" width="1.109375" customWidth="1"/>
    <col min="11255" max="11255" width="3.33203125" customWidth="1"/>
    <col min="11256" max="11256" width="25" customWidth="1"/>
    <col min="11262" max="11262" width="4.33203125" customWidth="1"/>
    <col min="11504" max="11504" width="31.33203125" bestFit="1" customWidth="1"/>
    <col min="11505" max="11505" width="14.109375" customWidth="1"/>
    <col min="11506" max="11506" width="18.33203125" customWidth="1"/>
    <col min="11507" max="11507" width="19.5546875" bestFit="1" customWidth="1"/>
    <col min="11508" max="11508" width="14.5546875" bestFit="1" customWidth="1"/>
    <col min="11509" max="11509" width="15.88671875" customWidth="1"/>
    <col min="11510" max="11510" width="1.109375" customWidth="1"/>
    <col min="11511" max="11511" width="3.33203125" customWidth="1"/>
    <col min="11512" max="11512" width="25" customWidth="1"/>
    <col min="11518" max="11518" width="4.33203125" customWidth="1"/>
    <col min="11760" max="11760" width="31.33203125" bestFit="1" customWidth="1"/>
    <col min="11761" max="11761" width="14.109375" customWidth="1"/>
    <col min="11762" max="11762" width="18.33203125" customWidth="1"/>
    <col min="11763" max="11763" width="19.5546875" bestFit="1" customWidth="1"/>
    <col min="11764" max="11764" width="14.5546875" bestFit="1" customWidth="1"/>
    <col min="11765" max="11765" width="15.88671875" customWidth="1"/>
    <col min="11766" max="11766" width="1.109375" customWidth="1"/>
    <col min="11767" max="11767" width="3.33203125" customWidth="1"/>
    <col min="11768" max="11768" width="25" customWidth="1"/>
    <col min="11774" max="11774" width="4.33203125" customWidth="1"/>
    <col min="12016" max="12016" width="31.33203125" bestFit="1" customWidth="1"/>
    <col min="12017" max="12017" width="14.109375" customWidth="1"/>
    <col min="12018" max="12018" width="18.33203125" customWidth="1"/>
    <col min="12019" max="12019" width="19.5546875" bestFit="1" customWidth="1"/>
    <col min="12020" max="12020" width="14.5546875" bestFit="1" customWidth="1"/>
    <col min="12021" max="12021" width="15.88671875" customWidth="1"/>
    <col min="12022" max="12022" width="1.109375" customWidth="1"/>
    <col min="12023" max="12023" width="3.33203125" customWidth="1"/>
    <col min="12024" max="12024" width="25" customWidth="1"/>
    <col min="12030" max="12030" width="4.33203125" customWidth="1"/>
    <col min="12272" max="12272" width="31.33203125" bestFit="1" customWidth="1"/>
    <col min="12273" max="12273" width="14.109375" customWidth="1"/>
    <col min="12274" max="12274" width="18.33203125" customWidth="1"/>
    <col min="12275" max="12275" width="19.5546875" bestFit="1" customWidth="1"/>
    <col min="12276" max="12276" width="14.5546875" bestFit="1" customWidth="1"/>
    <col min="12277" max="12277" width="15.88671875" customWidth="1"/>
    <col min="12278" max="12278" width="1.109375" customWidth="1"/>
    <col min="12279" max="12279" width="3.33203125" customWidth="1"/>
    <col min="12280" max="12280" width="25" customWidth="1"/>
    <col min="12286" max="12286" width="4.33203125" customWidth="1"/>
    <col min="12528" max="12528" width="31.33203125" bestFit="1" customWidth="1"/>
    <col min="12529" max="12529" width="14.109375" customWidth="1"/>
    <col min="12530" max="12530" width="18.33203125" customWidth="1"/>
    <col min="12531" max="12531" width="19.5546875" bestFit="1" customWidth="1"/>
    <col min="12532" max="12532" width="14.5546875" bestFit="1" customWidth="1"/>
    <col min="12533" max="12533" width="15.88671875" customWidth="1"/>
    <col min="12534" max="12534" width="1.109375" customWidth="1"/>
    <col min="12535" max="12535" width="3.33203125" customWidth="1"/>
    <col min="12536" max="12536" width="25" customWidth="1"/>
    <col min="12542" max="12542" width="4.33203125" customWidth="1"/>
    <col min="12784" max="12784" width="31.33203125" bestFit="1" customWidth="1"/>
    <col min="12785" max="12785" width="14.109375" customWidth="1"/>
    <col min="12786" max="12786" width="18.33203125" customWidth="1"/>
    <col min="12787" max="12787" width="19.5546875" bestFit="1" customWidth="1"/>
    <col min="12788" max="12788" width="14.5546875" bestFit="1" customWidth="1"/>
    <col min="12789" max="12789" width="15.88671875" customWidth="1"/>
    <col min="12790" max="12790" width="1.109375" customWidth="1"/>
    <col min="12791" max="12791" width="3.33203125" customWidth="1"/>
    <col min="12792" max="12792" width="25" customWidth="1"/>
    <col min="12798" max="12798" width="4.33203125" customWidth="1"/>
    <col min="13040" max="13040" width="31.33203125" bestFit="1" customWidth="1"/>
    <col min="13041" max="13041" width="14.109375" customWidth="1"/>
    <col min="13042" max="13042" width="18.33203125" customWidth="1"/>
    <col min="13043" max="13043" width="19.5546875" bestFit="1" customWidth="1"/>
    <col min="13044" max="13044" width="14.5546875" bestFit="1" customWidth="1"/>
    <col min="13045" max="13045" width="15.88671875" customWidth="1"/>
    <col min="13046" max="13046" width="1.109375" customWidth="1"/>
    <col min="13047" max="13047" width="3.33203125" customWidth="1"/>
    <col min="13048" max="13048" width="25" customWidth="1"/>
    <col min="13054" max="13054" width="4.33203125" customWidth="1"/>
    <col min="13296" max="13296" width="31.33203125" bestFit="1" customWidth="1"/>
    <col min="13297" max="13297" width="14.109375" customWidth="1"/>
    <col min="13298" max="13298" width="18.33203125" customWidth="1"/>
    <col min="13299" max="13299" width="19.5546875" bestFit="1" customWidth="1"/>
    <col min="13300" max="13300" width="14.5546875" bestFit="1" customWidth="1"/>
    <col min="13301" max="13301" width="15.88671875" customWidth="1"/>
    <col min="13302" max="13302" width="1.109375" customWidth="1"/>
    <col min="13303" max="13303" width="3.33203125" customWidth="1"/>
    <col min="13304" max="13304" width="25" customWidth="1"/>
    <col min="13310" max="13310" width="4.33203125" customWidth="1"/>
    <col min="13552" max="13552" width="31.33203125" bestFit="1" customWidth="1"/>
    <col min="13553" max="13553" width="14.109375" customWidth="1"/>
    <col min="13554" max="13554" width="18.33203125" customWidth="1"/>
    <col min="13555" max="13555" width="19.5546875" bestFit="1" customWidth="1"/>
    <col min="13556" max="13556" width="14.5546875" bestFit="1" customWidth="1"/>
    <col min="13557" max="13557" width="15.88671875" customWidth="1"/>
    <col min="13558" max="13558" width="1.109375" customWidth="1"/>
    <col min="13559" max="13559" width="3.33203125" customWidth="1"/>
    <col min="13560" max="13560" width="25" customWidth="1"/>
    <col min="13566" max="13566" width="4.33203125" customWidth="1"/>
    <col min="13808" max="13808" width="31.33203125" bestFit="1" customWidth="1"/>
    <col min="13809" max="13809" width="14.109375" customWidth="1"/>
    <col min="13810" max="13810" width="18.33203125" customWidth="1"/>
    <col min="13811" max="13811" width="19.5546875" bestFit="1" customWidth="1"/>
    <col min="13812" max="13812" width="14.5546875" bestFit="1" customWidth="1"/>
    <col min="13813" max="13813" width="15.88671875" customWidth="1"/>
    <col min="13814" max="13814" width="1.109375" customWidth="1"/>
    <col min="13815" max="13815" width="3.33203125" customWidth="1"/>
    <col min="13816" max="13816" width="25" customWidth="1"/>
    <col min="13822" max="13822" width="4.33203125" customWidth="1"/>
    <col min="14064" max="14064" width="31.33203125" bestFit="1" customWidth="1"/>
    <col min="14065" max="14065" width="14.109375" customWidth="1"/>
    <col min="14066" max="14066" width="18.33203125" customWidth="1"/>
    <col min="14067" max="14067" width="19.5546875" bestFit="1" customWidth="1"/>
    <col min="14068" max="14068" width="14.5546875" bestFit="1" customWidth="1"/>
    <col min="14069" max="14069" width="15.88671875" customWidth="1"/>
    <col min="14070" max="14070" width="1.109375" customWidth="1"/>
    <col min="14071" max="14071" width="3.33203125" customWidth="1"/>
    <col min="14072" max="14072" width="25" customWidth="1"/>
    <col min="14078" max="14078" width="4.33203125" customWidth="1"/>
    <col min="14320" max="14320" width="31.33203125" bestFit="1" customWidth="1"/>
    <col min="14321" max="14321" width="14.109375" customWidth="1"/>
    <col min="14322" max="14322" width="18.33203125" customWidth="1"/>
    <col min="14323" max="14323" width="19.5546875" bestFit="1" customWidth="1"/>
    <col min="14324" max="14324" width="14.5546875" bestFit="1" customWidth="1"/>
    <col min="14325" max="14325" width="15.88671875" customWidth="1"/>
    <col min="14326" max="14326" width="1.109375" customWidth="1"/>
    <col min="14327" max="14327" width="3.33203125" customWidth="1"/>
    <col min="14328" max="14328" width="25" customWidth="1"/>
    <col min="14334" max="14334" width="4.33203125" customWidth="1"/>
    <col min="14576" max="14576" width="31.33203125" bestFit="1" customWidth="1"/>
    <col min="14577" max="14577" width="14.109375" customWidth="1"/>
    <col min="14578" max="14578" width="18.33203125" customWidth="1"/>
    <col min="14579" max="14579" width="19.5546875" bestFit="1" customWidth="1"/>
    <col min="14580" max="14580" width="14.5546875" bestFit="1" customWidth="1"/>
    <col min="14581" max="14581" width="15.88671875" customWidth="1"/>
    <col min="14582" max="14582" width="1.109375" customWidth="1"/>
    <col min="14583" max="14583" width="3.33203125" customWidth="1"/>
    <col min="14584" max="14584" width="25" customWidth="1"/>
    <col min="14590" max="14590" width="4.33203125" customWidth="1"/>
    <col min="14832" max="14832" width="31.33203125" bestFit="1" customWidth="1"/>
    <col min="14833" max="14833" width="14.109375" customWidth="1"/>
    <col min="14834" max="14834" width="18.33203125" customWidth="1"/>
    <col min="14835" max="14835" width="19.5546875" bestFit="1" customWidth="1"/>
    <col min="14836" max="14836" width="14.5546875" bestFit="1" customWidth="1"/>
    <col min="14837" max="14837" width="15.88671875" customWidth="1"/>
    <col min="14838" max="14838" width="1.109375" customWidth="1"/>
    <col min="14839" max="14839" width="3.33203125" customWidth="1"/>
    <col min="14840" max="14840" width="25" customWidth="1"/>
    <col min="14846" max="14846" width="4.33203125" customWidth="1"/>
    <col min="15088" max="15088" width="31.33203125" bestFit="1" customWidth="1"/>
    <col min="15089" max="15089" width="14.109375" customWidth="1"/>
    <col min="15090" max="15090" width="18.33203125" customWidth="1"/>
    <col min="15091" max="15091" width="19.5546875" bestFit="1" customWidth="1"/>
    <col min="15092" max="15092" width="14.5546875" bestFit="1" customWidth="1"/>
    <col min="15093" max="15093" width="15.88671875" customWidth="1"/>
    <col min="15094" max="15094" width="1.109375" customWidth="1"/>
    <col min="15095" max="15095" width="3.33203125" customWidth="1"/>
    <col min="15096" max="15096" width="25" customWidth="1"/>
    <col min="15102" max="15102" width="4.33203125" customWidth="1"/>
    <col min="15344" max="15344" width="31.33203125" bestFit="1" customWidth="1"/>
    <col min="15345" max="15345" width="14.109375" customWidth="1"/>
    <col min="15346" max="15346" width="18.33203125" customWidth="1"/>
    <col min="15347" max="15347" width="19.5546875" bestFit="1" customWidth="1"/>
    <col min="15348" max="15348" width="14.5546875" bestFit="1" customWidth="1"/>
    <col min="15349" max="15349" width="15.88671875" customWidth="1"/>
    <col min="15350" max="15350" width="1.109375" customWidth="1"/>
    <col min="15351" max="15351" width="3.33203125" customWidth="1"/>
    <col min="15352" max="15352" width="25" customWidth="1"/>
    <col min="15358" max="15358" width="4.33203125" customWidth="1"/>
    <col min="15600" max="15600" width="31.33203125" bestFit="1" customWidth="1"/>
    <col min="15601" max="15601" width="14.109375" customWidth="1"/>
    <col min="15602" max="15602" width="18.33203125" customWidth="1"/>
    <col min="15603" max="15603" width="19.5546875" bestFit="1" customWidth="1"/>
    <col min="15604" max="15604" width="14.5546875" bestFit="1" customWidth="1"/>
    <col min="15605" max="15605" width="15.88671875" customWidth="1"/>
    <col min="15606" max="15606" width="1.109375" customWidth="1"/>
    <col min="15607" max="15607" width="3.33203125" customWidth="1"/>
    <col min="15608" max="15608" width="25" customWidth="1"/>
    <col min="15614" max="15614" width="4.33203125" customWidth="1"/>
    <col min="15856" max="15856" width="31.33203125" bestFit="1" customWidth="1"/>
    <col min="15857" max="15857" width="14.109375" customWidth="1"/>
    <col min="15858" max="15858" width="18.33203125" customWidth="1"/>
    <col min="15859" max="15859" width="19.5546875" bestFit="1" customWidth="1"/>
    <col min="15860" max="15860" width="14.5546875" bestFit="1" customWidth="1"/>
    <col min="15861" max="15861" width="15.88671875" customWidth="1"/>
    <col min="15862" max="15862" width="1.109375" customWidth="1"/>
    <col min="15863" max="15863" width="3.33203125" customWidth="1"/>
    <col min="15864" max="15864" width="25" customWidth="1"/>
    <col min="15870" max="15870" width="4.33203125" customWidth="1"/>
    <col min="16112" max="16112" width="31.33203125" bestFit="1" customWidth="1"/>
    <col min="16113" max="16113" width="14.109375" customWidth="1"/>
    <col min="16114" max="16114" width="18.33203125" customWidth="1"/>
    <col min="16115" max="16115" width="19.5546875" bestFit="1" customWidth="1"/>
    <col min="16116" max="16116" width="14.5546875" bestFit="1" customWidth="1"/>
    <col min="16117" max="16117" width="15.88671875" customWidth="1"/>
    <col min="16118" max="16118" width="1.109375" customWidth="1"/>
    <col min="16119" max="16119" width="3.33203125" customWidth="1"/>
    <col min="16120" max="16120" width="25" customWidth="1"/>
    <col min="16126" max="16126" width="4.33203125" customWidth="1"/>
  </cols>
  <sheetData>
    <row r="1" spans="1:27" ht="17.399999999999999" x14ac:dyDescent="0.3">
      <c r="A1" s="198" t="s">
        <v>153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</row>
    <row r="2" spans="1:27" ht="18" customHeight="1" x14ac:dyDescent="0.3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 t="s">
        <v>102</v>
      </c>
      <c r="O2" s="160"/>
      <c r="P2" s="160"/>
      <c r="Q2" s="200">
        <v>44237</v>
      </c>
      <c r="R2" s="200"/>
      <c r="S2" s="200"/>
      <c r="T2" s="200"/>
      <c r="U2" s="200"/>
      <c r="V2" s="200"/>
      <c r="W2" s="83"/>
      <c r="X2" s="83"/>
      <c r="Y2" s="83"/>
      <c r="Z2" s="83"/>
      <c r="AA2" s="165"/>
    </row>
    <row r="3" spans="1:27" ht="36" customHeight="1" thickBot="1" x14ac:dyDescent="0.3">
      <c r="A3" s="166" t="s">
        <v>103</v>
      </c>
      <c r="B3" s="166" t="s">
        <v>109</v>
      </c>
      <c r="C3" s="166" t="s">
        <v>127</v>
      </c>
      <c r="D3" s="166" t="s">
        <v>133</v>
      </c>
      <c r="E3" s="166" t="s">
        <v>105</v>
      </c>
      <c r="F3" s="166" t="s">
        <v>128</v>
      </c>
      <c r="G3" s="166" t="s">
        <v>110</v>
      </c>
      <c r="H3" s="166" t="s">
        <v>111</v>
      </c>
      <c r="I3" s="166"/>
      <c r="J3" s="166" t="s">
        <v>126</v>
      </c>
      <c r="K3" s="178" t="s">
        <v>107</v>
      </c>
      <c r="L3" s="178"/>
      <c r="M3" s="166" t="s">
        <v>147</v>
      </c>
      <c r="N3" s="178" t="s">
        <v>148</v>
      </c>
      <c r="O3" s="178" t="s">
        <v>149</v>
      </c>
      <c r="P3" s="166" t="s">
        <v>150</v>
      </c>
      <c r="Q3" s="178" t="s">
        <v>151</v>
      </c>
      <c r="R3" s="178" t="s">
        <v>152</v>
      </c>
      <c r="S3" s="178" t="s">
        <v>113</v>
      </c>
      <c r="T3" s="178" t="s">
        <v>116</v>
      </c>
      <c r="U3" s="178" t="s">
        <v>112</v>
      </c>
      <c r="V3" s="166" t="s">
        <v>93</v>
      </c>
      <c r="W3" s="167" t="s">
        <v>104</v>
      </c>
      <c r="X3" s="172" t="s">
        <v>114</v>
      </c>
      <c r="Y3" s="172" t="s">
        <v>115</v>
      </c>
      <c r="Z3" s="172" t="s">
        <v>117</v>
      </c>
      <c r="AA3" s="168"/>
    </row>
    <row r="4" spans="1:27" ht="13.8" thickBot="1" x14ac:dyDescent="0.3">
      <c r="A4" s="201" t="s">
        <v>106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3"/>
      <c r="Z4" s="203"/>
      <c r="AA4" s="203"/>
    </row>
    <row r="5" spans="1:27" x14ac:dyDescent="0.25">
      <c r="A5" s="190" t="s">
        <v>122</v>
      </c>
      <c r="B5" s="190"/>
      <c r="C5" s="190" t="s">
        <v>127</v>
      </c>
      <c r="D5" s="190" t="s">
        <v>133</v>
      </c>
      <c r="E5" s="190" t="s">
        <v>132</v>
      </c>
      <c r="F5" s="190" t="s">
        <v>128</v>
      </c>
      <c r="G5" s="190" t="s">
        <v>108</v>
      </c>
      <c r="H5" s="190" t="s">
        <v>123</v>
      </c>
      <c r="I5" s="191" t="s">
        <v>1</v>
      </c>
      <c r="J5" s="190" t="s">
        <v>124</v>
      </c>
      <c r="K5" s="190" t="s">
        <v>93</v>
      </c>
      <c r="L5" s="190" t="s">
        <v>125</v>
      </c>
      <c r="M5" s="187" t="s">
        <v>147</v>
      </c>
      <c r="N5" s="187" t="s">
        <v>148</v>
      </c>
      <c r="O5" s="187" t="s">
        <v>149</v>
      </c>
      <c r="P5" s="187" t="s">
        <v>150</v>
      </c>
      <c r="Q5" s="187" t="s">
        <v>151</v>
      </c>
      <c r="R5" s="187" t="s">
        <v>152</v>
      </c>
      <c r="S5" s="190" t="s">
        <v>113</v>
      </c>
      <c r="T5" s="190" t="s">
        <v>129</v>
      </c>
      <c r="U5" s="190" t="s">
        <v>130</v>
      </c>
      <c r="V5" s="190" t="s">
        <v>131</v>
      </c>
      <c r="W5" s="190"/>
      <c r="X5" s="190"/>
      <c r="Y5" s="190"/>
      <c r="Z5" s="191"/>
      <c r="AA5" s="189"/>
    </row>
    <row r="6" spans="1:27" x14ac:dyDescent="0.25">
      <c r="A6" s="169" t="s">
        <v>134</v>
      </c>
      <c r="B6" s="161"/>
      <c r="C6" s="181"/>
      <c r="D6" s="181"/>
      <c r="E6" s="174"/>
      <c r="F6" s="181"/>
      <c r="G6" s="174">
        <v>20</v>
      </c>
      <c r="H6" s="174">
        <v>1200</v>
      </c>
      <c r="I6" s="174">
        <f>SUMIFS(M6:Q6,$M$5:$Q$5,L6)</f>
        <v>24000</v>
      </c>
      <c r="J6" s="193">
        <v>44257</v>
      </c>
      <c r="K6" s="161" t="s">
        <v>121</v>
      </c>
      <c r="L6" s="181" t="s">
        <v>147</v>
      </c>
      <c r="M6" s="174">
        <f>G6*H6</f>
        <v>24000</v>
      </c>
      <c r="N6" s="161"/>
      <c r="O6" s="161"/>
      <c r="P6" s="161"/>
      <c r="Q6" s="197"/>
      <c r="R6" s="194"/>
      <c r="S6" s="170" t="s">
        <v>113</v>
      </c>
      <c r="T6" s="170" t="str">
        <f t="shared" ref="T6:T18" si="0">IF(J6&lt;&gt;"","FERME","PREVI")</f>
        <v>FERME</v>
      </c>
      <c r="U6" s="162" t="s">
        <v>106</v>
      </c>
      <c r="V6" s="177"/>
      <c r="W6" s="163">
        <f>(M6+O6+P6)/1000</f>
        <v>24</v>
      </c>
      <c r="X6" s="176" t="str">
        <f t="shared" ref="X6:X18" si="1">IF(S6="ENVOYE","",IF(S6="stock","",W6))</f>
        <v/>
      </c>
      <c r="Y6" s="163">
        <f>((M6+O6+P6+R6)/1000)</f>
        <v>24</v>
      </c>
      <c r="AA6" s="183"/>
    </row>
    <row r="7" spans="1:27" x14ac:dyDescent="0.25">
      <c r="A7" s="169" t="s">
        <v>135</v>
      </c>
      <c r="B7" s="171"/>
      <c r="C7" s="171"/>
      <c r="D7" s="181"/>
      <c r="E7" s="174"/>
      <c r="F7" s="181"/>
      <c r="G7" s="174">
        <v>24</v>
      </c>
      <c r="H7" s="174">
        <v>1200</v>
      </c>
      <c r="I7" s="174">
        <f>SUMIFS(M7:Q7,$M$5:$Q$5,L7)</f>
        <v>28800</v>
      </c>
      <c r="J7" s="193">
        <v>44258</v>
      </c>
      <c r="K7" s="161" t="s">
        <v>121</v>
      </c>
      <c r="L7" s="174" t="s">
        <v>147</v>
      </c>
      <c r="M7" s="174">
        <f>G7*H7</f>
        <v>28800</v>
      </c>
      <c r="N7" s="161"/>
      <c r="O7" s="161"/>
      <c r="P7" s="161"/>
      <c r="Q7" s="197"/>
      <c r="R7" s="194"/>
      <c r="S7" s="170" t="s">
        <v>113</v>
      </c>
      <c r="T7" s="170" t="str">
        <f t="shared" si="0"/>
        <v>FERME</v>
      </c>
      <c r="U7" s="179" t="s">
        <v>106</v>
      </c>
      <c r="V7" s="177"/>
      <c r="W7" s="163">
        <f>(M7+O7+P7)/1000</f>
        <v>28.8</v>
      </c>
      <c r="X7" s="176" t="str">
        <f t="shared" si="1"/>
        <v/>
      </c>
      <c r="Y7" s="163">
        <f>Y6+((M7+O7+P7+R7)/1000)</f>
        <v>52.8</v>
      </c>
      <c r="AA7" s="186"/>
    </row>
    <row r="8" spans="1:27" x14ac:dyDescent="0.25">
      <c r="A8" s="169" t="s">
        <v>136</v>
      </c>
      <c r="B8" s="171"/>
      <c r="C8" s="171"/>
      <c r="D8" s="181"/>
      <c r="E8" s="174"/>
      <c r="F8" s="181"/>
      <c r="G8" s="174">
        <v>24</v>
      </c>
      <c r="H8" s="174">
        <v>1200</v>
      </c>
      <c r="I8" s="174">
        <f>SUMIFS(M8:Q8,$M$5:$Q$5,L8)</f>
        <v>28800</v>
      </c>
      <c r="J8" s="193">
        <v>44259</v>
      </c>
      <c r="K8" s="161" t="s">
        <v>121</v>
      </c>
      <c r="L8" s="174" t="s">
        <v>147</v>
      </c>
      <c r="M8" s="174">
        <f>G8*H8</f>
        <v>28800</v>
      </c>
      <c r="N8" s="161"/>
      <c r="O8" s="161"/>
      <c r="P8" s="161"/>
      <c r="Q8" s="197"/>
      <c r="R8" s="194"/>
      <c r="S8" s="170" t="s">
        <v>113</v>
      </c>
      <c r="T8" s="170" t="str">
        <f t="shared" si="0"/>
        <v>FERME</v>
      </c>
      <c r="U8" s="179" t="s">
        <v>106</v>
      </c>
      <c r="V8" s="177"/>
      <c r="W8" s="163">
        <f>(M8+O8+P8)/1000</f>
        <v>28.8</v>
      </c>
      <c r="X8" s="176" t="str">
        <f t="shared" si="1"/>
        <v/>
      </c>
      <c r="Y8" s="163">
        <f>Y7+((M8+O8+P8+R8)/1000)</f>
        <v>81.599999999999994</v>
      </c>
      <c r="AA8" s="186"/>
    </row>
    <row r="9" spans="1:27" ht="24" customHeight="1" x14ac:dyDescent="0.25">
      <c r="A9" s="169" t="s">
        <v>137</v>
      </c>
      <c r="B9" s="171"/>
      <c r="C9" s="171"/>
      <c r="D9" s="171"/>
      <c r="E9" s="174"/>
      <c r="F9" s="181"/>
      <c r="G9" s="174">
        <v>24</v>
      </c>
      <c r="H9" s="174">
        <v>1200</v>
      </c>
      <c r="I9" s="174">
        <f t="shared" ref="I9:I17" si="2">SUMIFS(M9:Q9,$M$5:$Q$5,L9)</f>
        <v>0</v>
      </c>
      <c r="J9" s="193">
        <v>44259</v>
      </c>
      <c r="K9" s="161" t="s">
        <v>121</v>
      </c>
      <c r="L9" s="174" t="s">
        <v>147</v>
      </c>
      <c r="M9" s="196"/>
      <c r="N9" s="174">
        <f>G9*H9</f>
        <v>28800</v>
      </c>
      <c r="O9" s="161"/>
      <c r="P9" s="161"/>
      <c r="Q9" s="197"/>
      <c r="R9" s="194"/>
      <c r="S9" s="170" t="s">
        <v>113</v>
      </c>
      <c r="T9" s="170" t="str">
        <f t="shared" si="0"/>
        <v>FERME</v>
      </c>
      <c r="U9" s="179" t="s">
        <v>106</v>
      </c>
      <c r="V9" s="177"/>
      <c r="W9" s="163">
        <f>(N9+O9+P9)/1000</f>
        <v>28.8</v>
      </c>
      <c r="X9" s="176" t="str">
        <f t="shared" si="1"/>
        <v/>
      </c>
      <c r="Y9" s="163">
        <f>Y8+((N9+O9+P9+R9)/1000)</f>
        <v>110.39999999999999</v>
      </c>
      <c r="AA9" s="185"/>
    </row>
    <row r="10" spans="1:27" ht="24" customHeight="1" x14ac:dyDescent="0.25">
      <c r="A10" s="169" t="s">
        <v>138</v>
      </c>
      <c r="B10" s="161"/>
      <c r="C10" s="181"/>
      <c r="D10" s="181"/>
      <c r="E10" s="174"/>
      <c r="F10" s="181"/>
      <c r="G10" s="174">
        <v>20</v>
      </c>
      <c r="H10" s="174">
        <v>1200</v>
      </c>
      <c r="I10" s="174">
        <f>SUMIFS(M10:Q10,$M$5:$Q$5,L10)</f>
        <v>0</v>
      </c>
      <c r="J10" s="193">
        <v>44260</v>
      </c>
      <c r="K10" s="161" t="s">
        <v>121</v>
      </c>
      <c r="L10" s="174" t="s">
        <v>148</v>
      </c>
      <c r="M10" s="174">
        <f>G10*H10</f>
        <v>24000</v>
      </c>
      <c r="N10" s="161"/>
      <c r="O10" s="161"/>
      <c r="P10" s="161"/>
      <c r="Q10" s="197"/>
      <c r="R10" s="194"/>
      <c r="S10" s="170" t="s">
        <v>113</v>
      </c>
      <c r="T10" s="170" t="str">
        <f t="shared" si="0"/>
        <v>FERME</v>
      </c>
      <c r="U10" s="179" t="s">
        <v>106</v>
      </c>
      <c r="V10" s="177"/>
      <c r="W10" s="163">
        <f>(M10+O10+P10)/1000</f>
        <v>24</v>
      </c>
      <c r="X10" s="176" t="str">
        <f t="shared" si="1"/>
        <v/>
      </c>
      <c r="Y10" s="163">
        <f>Y9+((M10+O10+P10+R10)/1000)</f>
        <v>134.39999999999998</v>
      </c>
      <c r="AA10" s="184"/>
    </row>
    <row r="11" spans="1:27" ht="24" customHeight="1" x14ac:dyDescent="0.25">
      <c r="A11" s="164" t="s">
        <v>139</v>
      </c>
      <c r="B11" s="171"/>
      <c r="C11" s="171"/>
      <c r="D11" s="171"/>
      <c r="E11" s="174"/>
      <c r="F11" s="181"/>
      <c r="G11" s="174">
        <v>24</v>
      </c>
      <c r="H11" s="174">
        <v>1200</v>
      </c>
      <c r="I11" s="174">
        <f t="shared" si="2"/>
        <v>0</v>
      </c>
      <c r="J11" s="193">
        <v>44263</v>
      </c>
      <c r="K11" s="161" t="s">
        <v>121</v>
      </c>
      <c r="L11" s="174" t="s">
        <v>147</v>
      </c>
      <c r="M11" s="196"/>
      <c r="N11" s="174">
        <f>G11*H11</f>
        <v>28800</v>
      </c>
      <c r="O11" s="161"/>
      <c r="P11" s="161"/>
      <c r="Q11" s="197"/>
      <c r="R11" s="194"/>
      <c r="S11" s="170" t="s">
        <v>113</v>
      </c>
      <c r="T11" s="170" t="str">
        <f t="shared" si="0"/>
        <v>FERME</v>
      </c>
      <c r="U11" s="179" t="s">
        <v>106</v>
      </c>
      <c r="V11" s="177"/>
      <c r="W11" s="163">
        <f>(N11+O11+P11)/1000</f>
        <v>28.8</v>
      </c>
      <c r="X11" s="176" t="str">
        <f t="shared" si="1"/>
        <v/>
      </c>
      <c r="Y11" s="163">
        <f>Y10+((N11+O11+P11+R11)/1000)</f>
        <v>163.19999999999999</v>
      </c>
      <c r="AA11" s="188"/>
    </row>
    <row r="12" spans="1:27" ht="24" customHeight="1" x14ac:dyDescent="0.25">
      <c r="A12" s="164" t="s">
        <v>140</v>
      </c>
      <c r="B12" s="171"/>
      <c r="C12" s="171"/>
      <c r="D12" s="171"/>
      <c r="E12" s="174"/>
      <c r="F12" s="181"/>
      <c r="G12" s="174">
        <v>24</v>
      </c>
      <c r="H12" s="174">
        <v>1200</v>
      </c>
      <c r="I12" s="174">
        <f>SUMIFS(M12:Q12,$M$5:$Q$5,L12)</f>
        <v>0</v>
      </c>
      <c r="J12" s="193">
        <v>44264</v>
      </c>
      <c r="K12" s="161" t="s">
        <v>121</v>
      </c>
      <c r="L12" s="174" t="s">
        <v>150</v>
      </c>
      <c r="M12" s="174">
        <f>G12*H12</f>
        <v>28800</v>
      </c>
      <c r="N12" s="161"/>
      <c r="O12" s="161"/>
      <c r="P12" s="161"/>
      <c r="Q12" s="197"/>
      <c r="R12" s="194"/>
      <c r="S12" s="170" t="s">
        <v>113</v>
      </c>
      <c r="T12" s="170" t="str">
        <f t="shared" si="0"/>
        <v>FERME</v>
      </c>
      <c r="U12" s="179" t="s">
        <v>106</v>
      </c>
      <c r="V12" s="177"/>
      <c r="W12" s="163">
        <f>(M12+O12+P12)/1000</f>
        <v>28.8</v>
      </c>
      <c r="X12" s="176" t="str">
        <f t="shared" si="1"/>
        <v/>
      </c>
      <c r="Y12" s="163">
        <f>Y11+((M12+O12+P12+R12)/1000)</f>
        <v>192</v>
      </c>
      <c r="AA12" s="184"/>
    </row>
    <row r="13" spans="1:27" ht="24" customHeight="1" x14ac:dyDescent="0.25">
      <c r="A13" s="164" t="s">
        <v>141</v>
      </c>
      <c r="B13" s="171"/>
      <c r="C13" s="171"/>
      <c r="D13" s="181"/>
      <c r="E13" s="174"/>
      <c r="F13" s="181"/>
      <c r="G13" s="174">
        <v>20</v>
      </c>
      <c r="H13" s="174">
        <v>1200</v>
      </c>
      <c r="I13" s="174">
        <f t="shared" si="2"/>
        <v>0</v>
      </c>
      <c r="J13" s="193">
        <v>44265</v>
      </c>
      <c r="K13" s="161" t="s">
        <v>118</v>
      </c>
      <c r="L13" s="174" t="s">
        <v>152</v>
      </c>
      <c r="M13" s="196"/>
      <c r="N13" s="174"/>
      <c r="O13" s="171"/>
      <c r="P13" s="171"/>
      <c r="Q13" s="197"/>
      <c r="R13" s="195">
        <f>G13*H13</f>
        <v>24000</v>
      </c>
      <c r="S13" s="170" t="s">
        <v>113</v>
      </c>
      <c r="T13" s="170" t="str">
        <f t="shared" si="0"/>
        <v>FERME</v>
      </c>
      <c r="U13" s="179" t="s">
        <v>106</v>
      </c>
      <c r="V13" s="177"/>
      <c r="W13" s="163">
        <f>(N13+O13+P13)/1000</f>
        <v>0</v>
      </c>
      <c r="X13" s="176" t="str">
        <f t="shared" si="1"/>
        <v/>
      </c>
      <c r="Y13" s="163">
        <f>Y12+((N13+O13+P13+R13)/1000)</f>
        <v>216</v>
      </c>
      <c r="AA13" s="183"/>
    </row>
    <row r="14" spans="1:27" ht="24" customHeight="1" x14ac:dyDescent="0.25">
      <c r="A14" s="164" t="s">
        <v>142</v>
      </c>
      <c r="B14" s="171"/>
      <c r="C14" s="171"/>
      <c r="D14" s="181"/>
      <c r="E14" s="174"/>
      <c r="F14" s="181"/>
      <c r="G14" s="174">
        <v>20</v>
      </c>
      <c r="H14" s="174">
        <v>1200</v>
      </c>
      <c r="I14" s="174">
        <f t="shared" si="2"/>
        <v>0</v>
      </c>
      <c r="J14" s="193">
        <v>44260</v>
      </c>
      <c r="K14" s="161" t="s">
        <v>120</v>
      </c>
      <c r="L14" s="174" t="s">
        <v>151</v>
      </c>
      <c r="M14" s="196"/>
      <c r="N14" s="174"/>
      <c r="O14" s="171"/>
      <c r="P14" s="171"/>
      <c r="Q14" s="197"/>
      <c r="R14" s="195">
        <f>G14*H14</f>
        <v>24000</v>
      </c>
      <c r="S14" s="170" t="s">
        <v>113</v>
      </c>
      <c r="T14" s="170" t="str">
        <f t="shared" si="0"/>
        <v>FERME</v>
      </c>
      <c r="U14" s="182" t="s">
        <v>106</v>
      </c>
      <c r="V14" s="177"/>
      <c r="W14" s="163">
        <f>(N14+O14+P14)/1000</f>
        <v>0</v>
      </c>
      <c r="X14" s="176" t="str">
        <f t="shared" si="1"/>
        <v/>
      </c>
      <c r="Y14" s="163">
        <f>Y13+((N14+O14+P14+R14)/1000)</f>
        <v>240</v>
      </c>
      <c r="AA14" s="183"/>
    </row>
    <row r="15" spans="1:27" ht="24" customHeight="1" x14ac:dyDescent="0.25">
      <c r="A15" s="164" t="s">
        <v>143</v>
      </c>
      <c r="B15" s="161"/>
      <c r="C15" s="181"/>
      <c r="D15" s="181"/>
      <c r="E15" s="174"/>
      <c r="F15" s="181"/>
      <c r="G15" s="174">
        <v>20</v>
      </c>
      <c r="H15" s="174">
        <v>1200</v>
      </c>
      <c r="I15" s="174">
        <f>SUMIFS(M15:Q15,$M$5:$Q$5,L15)</f>
        <v>24000</v>
      </c>
      <c r="J15" s="193">
        <v>44264</v>
      </c>
      <c r="K15" s="161" t="s">
        <v>121</v>
      </c>
      <c r="L15" s="174" t="s">
        <v>147</v>
      </c>
      <c r="M15" s="174">
        <f>G15*H15</f>
        <v>24000</v>
      </c>
      <c r="N15" s="171"/>
      <c r="O15" s="171"/>
      <c r="P15" s="171"/>
      <c r="Q15" s="197"/>
      <c r="R15" s="195"/>
      <c r="S15" s="170" t="s">
        <v>113</v>
      </c>
      <c r="T15" s="170" t="str">
        <f t="shared" si="0"/>
        <v>FERME</v>
      </c>
      <c r="U15" s="179" t="s">
        <v>106</v>
      </c>
      <c r="V15" s="177"/>
      <c r="W15" s="163">
        <f>(M15+O15+P15)/1000</f>
        <v>24</v>
      </c>
      <c r="X15" s="176" t="str">
        <f t="shared" si="1"/>
        <v/>
      </c>
      <c r="Y15" s="163">
        <f>Y14+((M15+O15+P15+R15)/1000)</f>
        <v>264</v>
      </c>
      <c r="AA15" s="183"/>
    </row>
    <row r="16" spans="1:27" ht="24" customHeight="1" x14ac:dyDescent="0.25">
      <c r="A16" s="164" t="s">
        <v>145</v>
      </c>
      <c r="B16" s="171"/>
      <c r="C16" s="171"/>
      <c r="D16" s="171"/>
      <c r="E16" s="174"/>
      <c r="F16" s="181"/>
      <c r="G16" s="174">
        <v>24</v>
      </c>
      <c r="H16" s="174">
        <v>1200</v>
      </c>
      <c r="I16" s="174">
        <f>SUMIFS(M16:Q16,$M$5:$Q$5,L16)</f>
        <v>0</v>
      </c>
      <c r="J16" s="193">
        <v>43900</v>
      </c>
      <c r="K16" s="161" t="s">
        <v>121</v>
      </c>
      <c r="L16" s="174" t="s">
        <v>148</v>
      </c>
      <c r="M16" s="174">
        <f>G16*H16</f>
        <v>28800</v>
      </c>
      <c r="N16" s="171"/>
      <c r="O16" s="171"/>
      <c r="P16" s="171"/>
      <c r="Q16" s="197"/>
      <c r="R16" s="195"/>
      <c r="S16" s="170" t="s">
        <v>113</v>
      </c>
      <c r="T16" s="170" t="str">
        <f t="shared" si="0"/>
        <v>FERME</v>
      </c>
      <c r="U16" s="179" t="s">
        <v>106</v>
      </c>
      <c r="V16" s="177"/>
      <c r="W16" s="163">
        <f>(M16+O16+P16)/1000</f>
        <v>28.8</v>
      </c>
      <c r="X16" s="176" t="str">
        <f t="shared" si="1"/>
        <v/>
      </c>
      <c r="Y16" s="163">
        <f>Y15+((M16+O16+P16+R16)/1000)</f>
        <v>292.8</v>
      </c>
      <c r="AA16" s="184"/>
    </row>
    <row r="17" spans="1:27" ht="24" customHeight="1" x14ac:dyDescent="0.25">
      <c r="A17" s="164" t="s">
        <v>144</v>
      </c>
      <c r="B17" s="169"/>
      <c r="C17" s="180"/>
      <c r="D17" s="180"/>
      <c r="E17" s="174"/>
      <c r="F17" s="181"/>
      <c r="G17" s="174">
        <v>20</v>
      </c>
      <c r="H17" s="174">
        <v>1200</v>
      </c>
      <c r="I17" s="174">
        <f t="shared" si="2"/>
        <v>24000</v>
      </c>
      <c r="J17" s="193">
        <v>43900</v>
      </c>
      <c r="K17" s="161" t="s">
        <v>119</v>
      </c>
      <c r="L17" s="174" t="s">
        <v>148</v>
      </c>
      <c r="M17" s="196"/>
      <c r="N17" s="174">
        <f>G17*H17</f>
        <v>24000</v>
      </c>
      <c r="O17" s="171"/>
      <c r="P17" s="171"/>
      <c r="Q17" s="197"/>
      <c r="R17" s="195"/>
      <c r="S17" s="170" t="s">
        <v>113</v>
      </c>
      <c r="T17" s="170" t="str">
        <f t="shared" si="0"/>
        <v>FERME</v>
      </c>
      <c r="U17" s="179" t="s">
        <v>106</v>
      </c>
      <c r="V17" s="177"/>
      <c r="W17" s="163">
        <f>(N17+O17+P17)/1000</f>
        <v>24</v>
      </c>
      <c r="X17" s="176" t="str">
        <f t="shared" si="1"/>
        <v/>
      </c>
      <c r="Y17" s="163">
        <f>Y16+((N17+O17+P17+R17)/1000)</f>
        <v>316.8</v>
      </c>
      <c r="AA17" s="188"/>
    </row>
    <row r="18" spans="1:27" ht="24" customHeight="1" x14ac:dyDescent="0.25">
      <c r="A18" s="169" t="s">
        <v>146</v>
      </c>
      <c r="B18" s="161"/>
      <c r="C18" s="181"/>
      <c r="D18" s="181"/>
      <c r="E18" s="174"/>
      <c r="F18" s="181"/>
      <c r="G18" s="174">
        <v>20</v>
      </c>
      <c r="H18" s="174">
        <v>1200</v>
      </c>
      <c r="I18" s="174">
        <f>SUMIFS(M18:Q18,$M$5:$Q$5,L18)</f>
        <v>0</v>
      </c>
      <c r="J18" s="193">
        <v>44267</v>
      </c>
      <c r="K18" s="161" t="s">
        <v>121</v>
      </c>
      <c r="L18" s="174" t="s">
        <v>148</v>
      </c>
      <c r="M18" s="174">
        <f>G18*H18</f>
        <v>24000</v>
      </c>
      <c r="N18" s="171"/>
      <c r="O18" s="171"/>
      <c r="P18" s="171"/>
      <c r="Q18" s="197"/>
      <c r="R18" s="195"/>
      <c r="S18" s="170" t="s">
        <v>113</v>
      </c>
      <c r="T18" s="170" t="str">
        <f t="shared" si="0"/>
        <v>FERME</v>
      </c>
      <c r="U18" s="179" t="s">
        <v>106</v>
      </c>
      <c r="V18" s="177"/>
      <c r="W18" s="163">
        <f>(M18+O18+P18)/1000</f>
        <v>24</v>
      </c>
      <c r="X18" s="176" t="str">
        <f t="shared" si="1"/>
        <v/>
      </c>
      <c r="Y18" s="163">
        <f>Y17+((M18+O18+P18+R18)/1000)</f>
        <v>340.8</v>
      </c>
      <c r="AA18" s="183"/>
    </row>
  </sheetData>
  <sheetProtection selectLockedCells="1"/>
  <mergeCells count="3">
    <mergeCell ref="A1:AA1"/>
    <mergeCell ref="Q2:V2"/>
    <mergeCell ref="A4:AA4"/>
  </mergeCells>
  <phoneticPr fontId="3" type="noConversion"/>
  <printOptions horizontalCentered="1" verticalCentered="1"/>
  <pageMargins left="0.19685039370078741" right="0.19685039370078741" top="0" bottom="0" header="0" footer="0"/>
  <pageSetup paperSize="9" scale="10" orientation="landscape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3097" r:id="rId4" name="CommandButton2">
          <controlPr defaultSize="0" autoLine="0" autoPict="0" r:id="rId5">
            <anchor moveWithCells="1">
              <from>
                <xdr:col>21</xdr:col>
                <xdr:colOff>381000</xdr:colOff>
                <xdr:row>0</xdr:row>
                <xdr:rowOff>7620</xdr:rowOff>
              </from>
              <to>
                <xdr:col>25</xdr:col>
                <xdr:colOff>640080</xdr:colOff>
                <xdr:row>1</xdr:row>
                <xdr:rowOff>190500</xdr:rowOff>
              </to>
            </anchor>
          </controlPr>
        </control>
      </mc:Choice>
      <mc:Fallback>
        <control shapeId="3097" r:id="rId4" name="CommandButton2"/>
      </mc:Fallback>
    </mc:AlternateContent>
    <mc:AlternateContent xmlns:mc="http://schemas.openxmlformats.org/markup-compatibility/2006">
      <mc:Choice Requires="x14">
        <control shapeId="3096" r:id="rId6" name="CommandButton1">
          <controlPr defaultSize="0" autoFill="0" autoLine="0" r:id="rId7">
            <anchor moveWithCells="1">
              <from>
                <xdr:col>0</xdr:col>
                <xdr:colOff>7620</xdr:colOff>
                <xdr:row>0</xdr:row>
                <xdr:rowOff>7620</xdr:rowOff>
              </from>
              <to>
                <xdr:col>8</xdr:col>
                <xdr:colOff>754380</xdr:colOff>
                <xdr:row>0</xdr:row>
                <xdr:rowOff>213360</xdr:rowOff>
              </to>
            </anchor>
          </controlPr>
        </control>
      </mc:Choice>
      <mc:Fallback>
        <control shapeId="3096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A15" sqref="A15"/>
    </sheetView>
  </sheetViews>
  <sheetFormatPr baseColWidth="10" defaultRowHeight="13.2" x14ac:dyDescent="0.25"/>
  <sheetData>
    <row r="1" spans="1:3" x14ac:dyDescent="0.25">
      <c r="A1" s="192" t="s">
        <v>122</v>
      </c>
      <c r="B1" s="192" t="s">
        <v>93</v>
      </c>
      <c r="C1" s="192" t="s">
        <v>125</v>
      </c>
    </row>
    <row r="2" spans="1:3" x14ac:dyDescent="0.25">
      <c r="A2" s="169" t="s">
        <v>134</v>
      </c>
      <c r="B2" s="181" t="str">
        <f>VLOOKUP($A2,Lentilles!$A$6:$Y$650000,11,FALSE)</f>
        <v>9010.206</v>
      </c>
      <c r="C2" s="181" t="str">
        <f>VLOOKUP($A2,Lentilles!$A$6:$Y$650000,12,FALSE)</f>
        <v>BON</v>
      </c>
    </row>
    <row r="3" spans="1:3" x14ac:dyDescent="0.25">
      <c r="A3" s="169" t="s">
        <v>135</v>
      </c>
      <c r="B3" s="181" t="str">
        <f>VLOOKUP($A3,Lentilles!$A$6:$Y$650000,11,FALSE)</f>
        <v>9010.206</v>
      </c>
      <c r="C3" s="181" t="str">
        <f>VLOOKUP($A3,Lentilles!$A$6:$Y$650000,12,FALSE)</f>
        <v>BON</v>
      </c>
    </row>
    <row r="4" spans="1:3" x14ac:dyDescent="0.25">
      <c r="A4" s="169" t="s">
        <v>136</v>
      </c>
      <c r="B4" s="181" t="str">
        <f>VLOOKUP($A4,Lentilles!$A$6:$Y$650000,11,FALSE)</f>
        <v>9010.206</v>
      </c>
      <c r="C4" s="181" t="str">
        <f>VLOOKUP($A4,Lentilles!$A$6:$Y$650000,12,FALSE)</f>
        <v>BON</v>
      </c>
    </row>
    <row r="5" spans="1:3" x14ac:dyDescent="0.25">
      <c r="A5" s="169" t="s">
        <v>137</v>
      </c>
      <c r="B5" s="181" t="str">
        <f>VLOOKUP($A5,Lentilles!$A$6:$Y$650000,11,FALSE)</f>
        <v>9010.206</v>
      </c>
      <c r="C5" s="181" t="str">
        <f>VLOOKUP($A5,Lentilles!$A$6:$Y$650000,12,FALSE)</f>
        <v>BON</v>
      </c>
    </row>
    <row r="6" spans="1:3" x14ac:dyDescent="0.25">
      <c r="A6" s="169" t="s">
        <v>138</v>
      </c>
      <c r="B6" s="181" t="str">
        <f>VLOOKUP($A6,Lentilles!$A$6:$Y$650000,11,FALSE)</f>
        <v>9010.206</v>
      </c>
      <c r="C6" s="181" t="str">
        <f>VLOOKUP($A6,Lentilles!$A$6:$Y$650000,12,FALSE)</f>
        <v>MAUVAIS</v>
      </c>
    </row>
    <row r="7" spans="1:3" ht="13.8" x14ac:dyDescent="0.25">
      <c r="A7" s="164" t="s">
        <v>139</v>
      </c>
      <c r="B7" s="181" t="str">
        <f>VLOOKUP($A7,Lentilles!$A$6:$Y$650000,11,FALSE)</f>
        <v>9010.206</v>
      </c>
      <c r="C7" s="181" t="str">
        <f>VLOOKUP($A7,Lentilles!$A$6:$Y$650000,12,FALSE)</f>
        <v>BON</v>
      </c>
    </row>
    <row r="8" spans="1:3" ht="13.8" x14ac:dyDescent="0.25">
      <c r="A8" s="164" t="s">
        <v>140</v>
      </c>
      <c r="B8" s="181" t="str">
        <f>VLOOKUP($A8,Lentilles!$A$6:$Y$650000,11,FALSE)</f>
        <v>9010.206</v>
      </c>
      <c r="C8" s="181" t="str">
        <f>VLOOKUP($A8,Lentilles!$A$6:$Y$650000,12,FALSE)</f>
        <v>PAS BIEN</v>
      </c>
    </row>
    <row r="9" spans="1:3" ht="13.8" x14ac:dyDescent="0.25">
      <c r="A9" s="164" t="s">
        <v>141</v>
      </c>
      <c r="B9" s="181" t="str">
        <f>VLOOKUP($A9,Lentilles!$A$6:$Y$650000,11,FALSE)</f>
        <v>9010.405</v>
      </c>
      <c r="C9" s="181" t="str">
        <f>VLOOKUP($A9,Lentilles!$A$6:$Y$650000,12,FALSE)</f>
        <v>SUPER</v>
      </c>
    </row>
    <row r="10" spans="1:3" ht="13.8" x14ac:dyDescent="0.25">
      <c r="A10" s="164" t="s">
        <v>142</v>
      </c>
      <c r="B10" s="181" t="str">
        <f>VLOOKUP($A10,Lentilles!$A$6:$Y$650000,11,FALSE)</f>
        <v>9002.408</v>
      </c>
      <c r="C10" s="181" t="str">
        <f>VLOOKUP($A10,Lentilles!$A$6:$Y$650000,12,FALSE)</f>
        <v>TOP</v>
      </c>
    </row>
    <row r="11" spans="1:3" ht="13.8" x14ac:dyDescent="0.25">
      <c r="A11" s="164" t="s">
        <v>143</v>
      </c>
      <c r="B11" s="181" t="str">
        <f>VLOOKUP($A11,Lentilles!$A$6:$Y$650000,11,FALSE)</f>
        <v>9010.206</v>
      </c>
      <c r="C11" s="181" t="str">
        <f>VLOOKUP($A11,Lentilles!$A$6:$Y$650000,12,FALSE)</f>
        <v>BON</v>
      </c>
    </row>
    <row r="12" spans="1:3" ht="13.8" x14ac:dyDescent="0.25">
      <c r="A12" s="164" t="s">
        <v>145</v>
      </c>
      <c r="B12" s="181" t="str">
        <f>VLOOKUP($A12,Lentilles!$A$6:$Y$650000,11,FALSE)</f>
        <v>9010.206</v>
      </c>
      <c r="C12" s="181" t="str">
        <f>VLOOKUP($A12,Lentilles!$A$6:$Y$650000,12,FALSE)</f>
        <v>MAUVAIS</v>
      </c>
    </row>
    <row r="13" spans="1:3" ht="13.8" x14ac:dyDescent="0.25">
      <c r="A13" s="164" t="s">
        <v>144</v>
      </c>
      <c r="B13" s="181" t="str">
        <f>VLOOKUP($A13,Lentilles!$A$6:$Y$650000,11,FALSE)</f>
        <v>9002.308</v>
      </c>
      <c r="C13" s="181" t="str">
        <f>VLOOKUP($A13,Lentilles!$A$6:$Y$650000,12,FALSE)</f>
        <v>MAUVAIS</v>
      </c>
    </row>
    <row r="14" spans="1:3" x14ac:dyDescent="0.25">
      <c r="A14" s="169" t="s">
        <v>134</v>
      </c>
      <c r="B14" s="181" t="str">
        <f>VLOOKUP($A14,Lentilles!$A$6:$Y$650000,11,FALSE)</f>
        <v>9010.206</v>
      </c>
      <c r="C14" s="181" t="str">
        <f>VLOOKUP($A14,Lentilles!$A$6:$Y$650000,12,FALSE)</f>
        <v>BON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FD116"/>
  <sheetViews>
    <sheetView zoomScale="85" zoomScaleNormal="85" workbookViewId="0">
      <pane xSplit="1" ySplit="2" topLeftCell="W3" activePane="bottomRight" state="frozen"/>
      <selection activeCell="AE34" sqref="AE34"/>
      <selection pane="topRight" activeCell="AE34" sqref="AE34"/>
      <selection pane="bottomLeft" activeCell="AE34" sqref="AE34"/>
      <selection pane="bottomRight" activeCell="AE34" sqref="AE34"/>
    </sheetView>
  </sheetViews>
  <sheetFormatPr baseColWidth="10" defaultColWidth="11.44140625" defaultRowHeight="15" x14ac:dyDescent="0.25"/>
  <cols>
    <col min="1" max="1" width="14.33203125" style="6" customWidth="1"/>
    <col min="2" max="2" width="12.33203125" style="6" bestFit="1" customWidth="1"/>
    <col min="3" max="5" width="10.6640625" style="8" customWidth="1"/>
    <col min="6" max="6" width="6.6640625" style="8" bestFit="1" customWidth="1"/>
    <col min="7" max="16" width="2.44140625" style="8" customWidth="1"/>
    <col min="17" max="17" width="11.6640625" style="8" customWidth="1"/>
    <col min="18" max="19" width="10.6640625" style="8" customWidth="1"/>
    <col min="20" max="20" width="11.33203125" style="8" customWidth="1"/>
    <col min="21" max="21" width="10.6640625" style="8" customWidth="1"/>
    <col min="22" max="22" width="15.6640625" style="8" customWidth="1"/>
    <col min="23" max="31" width="10.6640625" style="8" customWidth="1"/>
    <col min="32" max="49" width="2.44140625" style="8" customWidth="1"/>
    <col min="50" max="54" width="10.6640625" style="8" customWidth="1"/>
    <col min="55" max="60" width="2.44140625" style="8" customWidth="1"/>
    <col min="61" max="64" width="10.6640625" style="8" customWidth="1"/>
    <col min="65" max="65" width="7.44140625" style="8" customWidth="1"/>
    <col min="66" max="69" width="2.44140625" style="3" customWidth="1"/>
    <col min="70" max="72" width="11.44140625" style="5" customWidth="1"/>
    <col min="73" max="83" width="3" style="5" customWidth="1"/>
    <col min="84" max="86" width="11.44140625" style="5" customWidth="1"/>
    <col min="87" max="98" width="11.44140625" style="5"/>
    <col min="99" max="116" width="3.5546875" style="5" customWidth="1"/>
    <col min="117" max="121" width="11.44140625" style="5"/>
    <col min="122" max="127" width="3.5546875" style="5" customWidth="1"/>
    <col min="128" max="131" width="11.44140625" style="5"/>
    <col min="132" max="132" width="6.33203125" style="5" customWidth="1"/>
    <col min="133" max="136" width="3.5546875" style="5" customWidth="1"/>
    <col min="137" max="16384" width="11.44140625" style="5"/>
  </cols>
  <sheetData>
    <row r="1" spans="1:160" s="7" customFormat="1" ht="15.75" customHeight="1" thickBot="1" x14ac:dyDescent="0.35">
      <c r="A1" s="212" t="s">
        <v>0</v>
      </c>
      <c r="B1" s="214" t="s">
        <v>34</v>
      </c>
      <c r="C1" s="209" t="s">
        <v>45</v>
      </c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1"/>
      <c r="Q1" s="209" t="s">
        <v>24</v>
      </c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  <c r="AI1" s="210"/>
      <c r="AJ1" s="210"/>
      <c r="AK1" s="210"/>
      <c r="AL1" s="210"/>
      <c r="AM1" s="210"/>
      <c r="AN1" s="210"/>
      <c r="AO1" s="210"/>
      <c r="AP1" s="210"/>
      <c r="AQ1" s="210"/>
      <c r="AR1" s="210"/>
      <c r="AS1" s="210"/>
      <c r="AT1" s="210"/>
      <c r="AU1" s="210"/>
      <c r="AV1" s="210"/>
      <c r="AW1" s="210"/>
      <c r="AX1" s="209" t="s">
        <v>54</v>
      </c>
      <c r="AY1" s="210"/>
      <c r="AZ1" s="210"/>
      <c r="BA1" s="210"/>
      <c r="BB1" s="210"/>
      <c r="BC1" s="210"/>
      <c r="BD1" s="210"/>
      <c r="BE1" s="210"/>
      <c r="BF1" s="210"/>
      <c r="BG1" s="210"/>
      <c r="BH1" s="211"/>
      <c r="BI1" s="209" t="s">
        <v>55</v>
      </c>
      <c r="BJ1" s="210"/>
      <c r="BK1" s="210"/>
      <c r="BL1" s="210"/>
      <c r="BM1" s="210"/>
      <c r="BN1" s="210"/>
      <c r="BO1" s="210"/>
      <c r="BP1" s="210"/>
      <c r="BQ1" s="211"/>
      <c r="BR1" s="209" t="s">
        <v>81</v>
      </c>
      <c r="BS1" s="210"/>
      <c r="BT1" s="210"/>
      <c r="BU1" s="210"/>
      <c r="BV1" s="210"/>
      <c r="BW1" s="210"/>
      <c r="BX1" s="210"/>
      <c r="BY1" s="210"/>
      <c r="BZ1" s="210"/>
      <c r="CA1" s="210"/>
      <c r="CB1" s="210"/>
      <c r="CC1" s="210"/>
      <c r="CD1" s="210"/>
      <c r="CE1" s="211"/>
      <c r="CF1" s="209" t="s">
        <v>84</v>
      </c>
      <c r="CG1" s="210"/>
      <c r="CH1" s="210"/>
      <c r="CI1" s="210"/>
      <c r="CJ1" s="210"/>
      <c r="CK1" s="210"/>
      <c r="CL1" s="210"/>
      <c r="CM1" s="210"/>
      <c r="CN1" s="210"/>
      <c r="CO1" s="210"/>
      <c r="CP1" s="210"/>
      <c r="CQ1" s="210"/>
      <c r="CR1" s="210"/>
      <c r="CS1" s="210"/>
      <c r="CT1" s="210"/>
      <c r="CU1" s="210"/>
      <c r="CV1" s="210"/>
      <c r="CW1" s="210"/>
      <c r="CX1" s="210"/>
      <c r="CY1" s="210"/>
      <c r="CZ1" s="210"/>
      <c r="DA1" s="210"/>
      <c r="DB1" s="210"/>
      <c r="DC1" s="210"/>
      <c r="DD1" s="210"/>
      <c r="DE1" s="210"/>
      <c r="DF1" s="210"/>
      <c r="DG1" s="210"/>
      <c r="DH1" s="210"/>
      <c r="DI1" s="210"/>
      <c r="DJ1" s="210"/>
      <c r="DK1" s="210"/>
      <c r="DL1" s="210"/>
      <c r="DM1" s="209" t="s">
        <v>82</v>
      </c>
      <c r="DN1" s="210"/>
      <c r="DO1" s="210"/>
      <c r="DP1" s="210"/>
      <c r="DQ1" s="210"/>
      <c r="DR1" s="210"/>
      <c r="DS1" s="210"/>
      <c r="DT1" s="210"/>
      <c r="DU1" s="210"/>
      <c r="DV1" s="210"/>
      <c r="DW1" s="211"/>
      <c r="DX1" s="209" t="s">
        <v>83</v>
      </c>
      <c r="DY1" s="210"/>
      <c r="DZ1" s="210"/>
      <c r="EA1" s="210"/>
      <c r="EB1" s="210"/>
      <c r="EC1" s="210"/>
      <c r="ED1" s="210"/>
      <c r="EE1" s="210"/>
      <c r="EF1" s="211"/>
      <c r="EG1" s="99"/>
      <c r="EH1" s="99"/>
      <c r="EI1" s="99"/>
      <c r="EJ1" s="99"/>
      <c r="EK1" s="99"/>
      <c r="EL1" s="99"/>
      <c r="EM1" s="99"/>
      <c r="EN1" s="99"/>
      <c r="EO1" s="99"/>
      <c r="EP1" s="99"/>
      <c r="EQ1" s="99"/>
      <c r="ER1" s="99"/>
      <c r="ES1" s="99"/>
      <c r="ET1" s="99"/>
      <c r="EU1" s="99"/>
      <c r="EV1" s="99"/>
      <c r="EW1" s="99"/>
      <c r="EX1" s="99"/>
      <c r="EY1" s="99"/>
      <c r="EZ1" s="99"/>
      <c r="FA1" s="99"/>
      <c r="FB1" s="99"/>
      <c r="FC1" s="99"/>
      <c r="FD1" s="99"/>
    </row>
    <row r="2" spans="1:160" s="4" customFormat="1" ht="53.4" thickBot="1" x14ac:dyDescent="0.3">
      <c r="A2" s="213"/>
      <c r="B2" s="215"/>
      <c r="C2" s="34" t="s">
        <v>85</v>
      </c>
      <c r="D2" s="34" t="s">
        <v>86</v>
      </c>
      <c r="E2" s="34" t="s">
        <v>5</v>
      </c>
      <c r="F2" s="35">
        <v>77</v>
      </c>
      <c r="G2" s="35"/>
      <c r="H2" s="35"/>
      <c r="I2" s="35"/>
      <c r="J2" s="35"/>
      <c r="K2" s="35"/>
      <c r="L2" s="35"/>
      <c r="M2" s="35"/>
      <c r="N2" s="35"/>
      <c r="O2" s="35"/>
      <c r="P2" s="35"/>
      <c r="Q2" s="16" t="s">
        <v>36</v>
      </c>
      <c r="R2" s="16" t="s">
        <v>35</v>
      </c>
      <c r="S2" s="16" t="s">
        <v>19</v>
      </c>
      <c r="T2" s="16" t="s">
        <v>46</v>
      </c>
      <c r="U2" s="15" t="s">
        <v>89</v>
      </c>
      <c r="V2" s="16" t="s">
        <v>21</v>
      </c>
      <c r="W2" s="13" t="s">
        <v>37</v>
      </c>
      <c r="X2" s="13" t="s">
        <v>48</v>
      </c>
      <c r="Y2" s="16" t="s">
        <v>26</v>
      </c>
      <c r="Z2" s="16" t="s">
        <v>40</v>
      </c>
      <c r="AA2" s="16" t="s">
        <v>39</v>
      </c>
      <c r="AB2" s="16" t="s">
        <v>41</v>
      </c>
      <c r="AC2" s="15" t="s">
        <v>29</v>
      </c>
      <c r="AD2" s="15" t="s">
        <v>38</v>
      </c>
      <c r="AE2" s="15" t="s">
        <v>33</v>
      </c>
      <c r="AF2" s="15"/>
      <c r="AG2" s="15"/>
      <c r="AH2" s="15"/>
      <c r="AI2" s="15"/>
      <c r="AJ2" s="15"/>
      <c r="AK2" s="15"/>
      <c r="AL2" s="15"/>
      <c r="AM2" s="15"/>
      <c r="AN2" s="16"/>
      <c r="AO2" s="16"/>
      <c r="AP2" s="13"/>
      <c r="AQ2" s="13"/>
      <c r="AR2" s="16"/>
      <c r="AS2" s="16"/>
      <c r="AT2" s="16"/>
      <c r="AU2" s="16"/>
      <c r="AV2" s="35"/>
      <c r="AW2" s="35"/>
      <c r="AX2" s="16" t="s">
        <v>49</v>
      </c>
      <c r="AY2" s="16" t="s">
        <v>50</v>
      </c>
      <c r="AZ2" s="16" t="s">
        <v>51</v>
      </c>
      <c r="BA2" s="16" t="s">
        <v>53</v>
      </c>
      <c r="BB2" s="16" t="s">
        <v>52</v>
      </c>
      <c r="BC2" s="36"/>
      <c r="BD2" s="36"/>
      <c r="BE2" s="36"/>
      <c r="BF2" s="36"/>
      <c r="BG2" s="36"/>
      <c r="BH2" s="35"/>
      <c r="BI2" s="35" t="s">
        <v>6</v>
      </c>
      <c r="BJ2" s="35" t="s">
        <v>7</v>
      </c>
      <c r="BK2" s="35" t="s">
        <v>56</v>
      </c>
      <c r="BL2" s="13" t="s">
        <v>32</v>
      </c>
      <c r="BM2" s="16" t="s">
        <v>20</v>
      </c>
      <c r="BN2" s="16"/>
      <c r="BO2" s="15"/>
      <c r="BP2" s="14"/>
      <c r="BQ2" s="13"/>
      <c r="BR2" s="55" t="s">
        <v>4</v>
      </c>
      <c r="BS2" s="55" t="s">
        <v>3</v>
      </c>
      <c r="BT2" s="55" t="s">
        <v>8</v>
      </c>
      <c r="BU2" s="56"/>
      <c r="BV2" s="56"/>
      <c r="BW2" s="56"/>
      <c r="BX2" s="56"/>
      <c r="BY2" s="56"/>
      <c r="BZ2" s="56"/>
      <c r="CA2" s="56"/>
      <c r="CB2" s="56"/>
      <c r="CC2" s="56"/>
      <c r="CD2" s="56"/>
      <c r="CE2" s="56"/>
      <c r="CF2" s="57" t="s">
        <v>36</v>
      </c>
      <c r="CG2" s="57" t="s">
        <v>35</v>
      </c>
      <c r="CH2" s="57" t="s">
        <v>19</v>
      </c>
      <c r="CI2" s="57" t="s">
        <v>46</v>
      </c>
      <c r="CJ2" s="58" t="s">
        <v>47</v>
      </c>
      <c r="CK2" s="57" t="s">
        <v>21</v>
      </c>
      <c r="CL2" s="59" t="s">
        <v>37</v>
      </c>
      <c r="CM2" s="59" t="s">
        <v>48</v>
      </c>
      <c r="CN2" s="57" t="s">
        <v>26</v>
      </c>
      <c r="CO2" s="57" t="s">
        <v>40</v>
      </c>
      <c r="CP2" s="57" t="s">
        <v>39</v>
      </c>
      <c r="CQ2" s="57" t="s">
        <v>41</v>
      </c>
      <c r="CR2" s="58" t="s">
        <v>29</v>
      </c>
      <c r="CS2" s="58" t="s">
        <v>38</v>
      </c>
      <c r="CT2" s="58" t="s">
        <v>33</v>
      </c>
      <c r="CU2" s="58"/>
      <c r="CV2" s="58"/>
      <c r="CW2" s="58"/>
      <c r="CX2" s="58"/>
      <c r="CY2" s="58"/>
      <c r="CZ2" s="58"/>
      <c r="DA2" s="58"/>
      <c r="DB2" s="58"/>
      <c r="DC2" s="57"/>
      <c r="DD2" s="57"/>
      <c r="DE2" s="59"/>
      <c r="DF2" s="59"/>
      <c r="DG2" s="57"/>
      <c r="DH2" s="57"/>
      <c r="DI2" s="57"/>
      <c r="DJ2" s="57"/>
      <c r="DK2" s="56"/>
      <c r="DL2" s="56"/>
      <c r="DM2" s="57" t="s">
        <v>49</v>
      </c>
      <c r="DN2" s="57" t="s">
        <v>50</v>
      </c>
      <c r="DO2" s="57" t="s">
        <v>51</v>
      </c>
      <c r="DP2" s="57" t="s">
        <v>53</v>
      </c>
      <c r="DQ2" s="57" t="s">
        <v>52</v>
      </c>
      <c r="DR2" s="60"/>
      <c r="DS2" s="60"/>
      <c r="DT2" s="60"/>
      <c r="DU2" s="60"/>
      <c r="DV2" s="60"/>
      <c r="DW2" s="56"/>
      <c r="DX2" s="56" t="s">
        <v>6</v>
      </c>
      <c r="DY2" s="56" t="s">
        <v>7</v>
      </c>
      <c r="DZ2" s="56" t="s">
        <v>56</v>
      </c>
      <c r="EA2" s="59" t="s">
        <v>32</v>
      </c>
      <c r="EB2" s="57" t="s">
        <v>20</v>
      </c>
      <c r="EC2" s="57"/>
      <c r="ED2" s="58"/>
      <c r="EE2" s="61"/>
      <c r="EF2" s="59"/>
      <c r="EG2" s="38"/>
      <c r="EH2" s="38"/>
      <c r="EI2" s="38"/>
      <c r="EJ2" s="38"/>
      <c r="EK2" s="38"/>
      <c r="EL2" s="38"/>
      <c r="EM2" s="38"/>
      <c r="EN2" s="38"/>
      <c r="EO2" s="38"/>
      <c r="EP2" s="38"/>
      <c r="EQ2" s="38"/>
      <c r="ER2" s="38"/>
      <c r="ES2" s="38"/>
      <c r="ET2" s="38"/>
      <c r="EU2" s="38"/>
      <c r="EV2" s="38"/>
      <c r="EW2" s="38"/>
      <c r="EX2" s="38"/>
      <c r="EY2" s="38"/>
      <c r="EZ2" s="38"/>
      <c r="FA2" s="38"/>
      <c r="FB2" s="38"/>
      <c r="FC2" s="38"/>
      <c r="FD2" s="38"/>
    </row>
    <row r="3" spans="1:160" s="9" customFormat="1" ht="16.5" customHeight="1" x14ac:dyDescent="0.25">
      <c r="A3" s="207"/>
      <c r="B3" s="208"/>
      <c r="C3" s="25"/>
      <c r="D3" s="26"/>
      <c r="E3" s="26"/>
      <c r="F3" s="26"/>
      <c r="G3" s="26"/>
      <c r="H3" s="26"/>
      <c r="I3" s="26"/>
      <c r="J3" s="26"/>
      <c r="K3" s="26"/>
      <c r="L3" s="26"/>
      <c r="M3" s="27"/>
      <c r="N3" s="27"/>
      <c r="O3" s="26"/>
      <c r="P3" s="28"/>
      <c r="Q3" s="25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9"/>
      <c r="AV3" s="29"/>
      <c r="AW3" s="30"/>
      <c r="AX3" s="31"/>
      <c r="AY3" s="29"/>
      <c r="AZ3" s="29"/>
      <c r="BA3" s="29"/>
      <c r="BB3" s="29"/>
      <c r="BC3" s="29"/>
      <c r="BD3" s="29"/>
      <c r="BE3" s="29"/>
      <c r="BF3" s="29"/>
      <c r="BG3" s="29"/>
      <c r="BH3" s="30"/>
      <c r="BI3" s="31"/>
      <c r="BJ3" s="29"/>
      <c r="BK3" s="29"/>
      <c r="BL3" s="32"/>
      <c r="BM3" s="32"/>
      <c r="BN3" s="32"/>
      <c r="BO3" s="32"/>
      <c r="BP3" s="32"/>
      <c r="BQ3" s="33"/>
      <c r="BR3" s="25"/>
      <c r="BS3" s="26"/>
      <c r="BT3" s="26"/>
      <c r="BU3" s="26"/>
      <c r="BV3" s="26"/>
      <c r="BW3" s="26"/>
      <c r="BX3" s="26"/>
      <c r="BY3" s="26"/>
      <c r="BZ3" s="26"/>
      <c r="CA3" s="26"/>
      <c r="CB3" s="27"/>
      <c r="CC3" s="27"/>
      <c r="CD3" s="26"/>
      <c r="CE3" s="28"/>
      <c r="CF3" s="25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9"/>
      <c r="DK3" s="29"/>
      <c r="DL3" s="30"/>
      <c r="DM3" s="31"/>
      <c r="DN3" s="29"/>
      <c r="DO3" s="29"/>
      <c r="DP3" s="29"/>
      <c r="DQ3" s="29"/>
      <c r="DR3" s="29"/>
      <c r="DS3" s="29"/>
      <c r="DT3" s="29"/>
      <c r="DU3" s="29"/>
      <c r="DV3" s="29"/>
      <c r="DW3" s="30"/>
      <c r="DX3" s="31"/>
      <c r="DY3" s="29"/>
      <c r="DZ3" s="29"/>
      <c r="EA3" s="32"/>
      <c r="EB3" s="32"/>
      <c r="EC3" s="32"/>
      <c r="ED3" s="32"/>
      <c r="EE3" s="32"/>
      <c r="EF3" s="33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</row>
    <row r="4" spans="1:160" s="2" customFormat="1" ht="16.5" customHeight="1" x14ac:dyDescent="0.25">
      <c r="A4" s="18" t="e">
        <f>Lentilles!#REF!</f>
        <v>#REF!</v>
      </c>
      <c r="B4" s="20" t="e">
        <f>Lentilles!#REF!</f>
        <v>#REF!</v>
      </c>
      <c r="C4" s="104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12"/>
      <c r="Q4" s="105"/>
      <c r="R4" s="105"/>
      <c r="S4" s="106"/>
      <c r="T4" s="105"/>
      <c r="U4" s="105"/>
      <c r="V4" s="119"/>
      <c r="W4" s="105"/>
      <c r="X4" s="110"/>
      <c r="Y4" s="110"/>
      <c r="Z4" s="110"/>
      <c r="AA4" s="110"/>
      <c r="AB4" s="110"/>
      <c r="AC4" s="110"/>
      <c r="AD4" s="110"/>
      <c r="AE4" s="120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12"/>
      <c r="AX4" s="104"/>
      <c r="AY4" s="105"/>
      <c r="AZ4" s="106"/>
      <c r="BA4" s="105"/>
      <c r="BB4" s="105"/>
      <c r="BC4" s="105"/>
      <c r="BD4" s="105"/>
      <c r="BE4" s="105"/>
      <c r="BF4" s="105"/>
      <c r="BG4" s="105"/>
      <c r="BH4" s="112"/>
      <c r="BI4" s="104"/>
      <c r="BJ4" s="105"/>
      <c r="BK4" s="105"/>
      <c r="BL4" s="105"/>
      <c r="BM4" s="105"/>
      <c r="BN4" s="106"/>
      <c r="BO4" s="106"/>
      <c r="BP4" s="105"/>
      <c r="BQ4" s="112"/>
      <c r="BR4" s="104"/>
      <c r="BS4" s="105"/>
      <c r="BT4" s="121"/>
      <c r="BU4" s="105"/>
      <c r="BV4" s="105"/>
      <c r="BW4" s="105"/>
      <c r="BX4" s="105"/>
      <c r="BY4" s="105"/>
      <c r="BZ4" s="105"/>
      <c r="CA4" s="105"/>
      <c r="CB4" s="105"/>
      <c r="CC4" s="105"/>
      <c r="CD4" s="105"/>
      <c r="CE4" s="112"/>
      <c r="CF4" s="121"/>
      <c r="CG4" s="105"/>
      <c r="CH4" s="105"/>
      <c r="CI4" s="105"/>
      <c r="CJ4" s="105"/>
      <c r="CK4" s="119"/>
      <c r="CL4" s="121"/>
      <c r="CM4" s="110"/>
      <c r="CN4" s="110"/>
      <c r="CO4" s="110"/>
      <c r="CP4" s="110"/>
      <c r="CQ4" s="110"/>
      <c r="CR4" s="110"/>
      <c r="CS4" s="110"/>
      <c r="CT4" s="120"/>
      <c r="CU4" s="105"/>
      <c r="CV4" s="105"/>
      <c r="CW4" s="105"/>
      <c r="CX4" s="105"/>
      <c r="CY4" s="105"/>
      <c r="CZ4" s="105"/>
      <c r="DA4" s="105"/>
      <c r="DB4" s="105"/>
      <c r="DC4" s="105"/>
      <c r="DD4" s="105"/>
      <c r="DE4" s="105"/>
      <c r="DF4" s="105"/>
      <c r="DG4" s="105"/>
      <c r="DH4" s="105"/>
      <c r="DI4" s="105"/>
      <c r="DJ4" s="105"/>
      <c r="DK4" s="105"/>
      <c r="DL4" s="112"/>
      <c r="DM4" s="104"/>
      <c r="DN4" s="105"/>
      <c r="DO4" s="121"/>
      <c r="DP4" s="105"/>
      <c r="DQ4" s="105"/>
      <c r="DR4" s="105"/>
      <c r="DS4" s="105"/>
      <c r="DT4" s="105"/>
      <c r="DU4" s="105"/>
      <c r="DV4" s="105"/>
      <c r="DW4" s="112"/>
      <c r="DX4" s="104"/>
      <c r="DY4" s="105"/>
      <c r="DZ4" s="105"/>
      <c r="EA4" s="105"/>
      <c r="EB4" s="105"/>
      <c r="EC4" s="106"/>
      <c r="ED4" s="106"/>
      <c r="EE4" s="105"/>
      <c r="EF4" s="112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</row>
    <row r="5" spans="1:160" s="9" customFormat="1" ht="18" customHeight="1" x14ac:dyDescent="0.25">
      <c r="A5" s="17" t="e">
        <f>Lentilles!#REF!</f>
        <v>#REF!</v>
      </c>
      <c r="B5" s="20" t="e">
        <f>Lentilles!#REF!</f>
        <v>#REF!</v>
      </c>
      <c r="C5" s="109"/>
      <c r="D5" s="110"/>
      <c r="E5" s="105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8"/>
      <c r="Q5" s="105"/>
      <c r="R5" s="105"/>
      <c r="S5" s="106">
        <v>1222</v>
      </c>
      <c r="T5" s="110"/>
      <c r="U5" s="105"/>
      <c r="V5" s="110"/>
      <c r="W5" s="105"/>
      <c r="X5" s="110"/>
      <c r="Y5" s="110"/>
      <c r="Z5" s="110"/>
      <c r="AA5" s="110"/>
      <c r="AB5" s="105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20"/>
      <c r="AQ5" s="110"/>
      <c r="AR5" s="110"/>
      <c r="AS5" s="110"/>
      <c r="AT5" s="110"/>
      <c r="AU5" s="110"/>
      <c r="AV5" s="110"/>
      <c r="AW5" s="118"/>
      <c r="AX5" s="109"/>
      <c r="AY5" s="110"/>
      <c r="AZ5" s="106">
        <v>2765</v>
      </c>
      <c r="BA5" s="110"/>
      <c r="BB5" s="110"/>
      <c r="BC5" s="110"/>
      <c r="BD5" s="110"/>
      <c r="BE5" s="110"/>
      <c r="BF5" s="110"/>
      <c r="BG5" s="110"/>
      <c r="BH5" s="118"/>
      <c r="BI5" s="109"/>
      <c r="BJ5" s="110"/>
      <c r="BK5" s="110">
        <v>21750</v>
      </c>
      <c r="BL5" s="110"/>
      <c r="BM5" s="110"/>
      <c r="BN5" s="111"/>
      <c r="BO5" s="111"/>
      <c r="BP5" s="110"/>
      <c r="BQ5" s="118"/>
      <c r="BR5" s="109"/>
      <c r="BS5" s="110"/>
      <c r="BT5" s="121"/>
      <c r="BU5" s="110"/>
      <c r="BV5" s="110"/>
      <c r="BW5" s="110"/>
      <c r="BX5" s="110"/>
      <c r="BY5" s="110"/>
      <c r="BZ5" s="110"/>
      <c r="CA5" s="110"/>
      <c r="CB5" s="110"/>
      <c r="CC5" s="110"/>
      <c r="CD5" s="110"/>
      <c r="CE5" s="118"/>
      <c r="CF5" s="121"/>
      <c r="CG5" s="122"/>
      <c r="CH5" s="105"/>
      <c r="CI5" s="110"/>
      <c r="CJ5" s="105"/>
      <c r="CK5" s="110"/>
      <c r="CL5" s="121"/>
      <c r="CM5" s="110"/>
      <c r="CN5" s="110"/>
      <c r="CO5" s="110"/>
      <c r="CP5" s="110"/>
      <c r="CQ5" s="105"/>
      <c r="CR5" s="110"/>
      <c r="CS5" s="110"/>
      <c r="CT5" s="110"/>
      <c r="CU5" s="110"/>
      <c r="CV5" s="110"/>
      <c r="CW5" s="110"/>
      <c r="CX5" s="110"/>
      <c r="CY5" s="110"/>
      <c r="CZ5" s="110"/>
      <c r="DA5" s="110"/>
      <c r="DB5" s="110"/>
      <c r="DC5" s="110"/>
      <c r="DD5" s="110"/>
      <c r="DE5" s="120"/>
      <c r="DF5" s="110"/>
      <c r="DG5" s="110"/>
      <c r="DH5" s="110"/>
      <c r="DI5" s="110"/>
      <c r="DJ5" s="110"/>
      <c r="DK5" s="110"/>
      <c r="DL5" s="118"/>
      <c r="DM5" s="109"/>
      <c r="DN5" s="110"/>
      <c r="DO5" s="121">
        <v>3</v>
      </c>
      <c r="DP5" s="110"/>
      <c r="DQ5" s="110"/>
      <c r="DR5" s="110"/>
      <c r="DS5" s="110"/>
      <c r="DT5" s="110"/>
      <c r="DU5" s="110"/>
      <c r="DV5" s="110"/>
      <c r="DW5" s="118"/>
      <c r="DX5" s="109"/>
      <c r="DY5" s="110"/>
      <c r="DZ5" s="110">
        <v>21</v>
      </c>
      <c r="EA5" s="110"/>
      <c r="EB5" s="110"/>
      <c r="EC5" s="111"/>
      <c r="ED5" s="111"/>
      <c r="EE5" s="110"/>
      <c r="EF5" s="118"/>
      <c r="EG5" s="39"/>
      <c r="EH5" s="39"/>
      <c r="EI5" s="39"/>
      <c r="EJ5" s="39"/>
      <c r="EK5" s="39"/>
      <c r="EL5" s="39"/>
      <c r="EM5" s="39"/>
      <c r="EN5" s="39"/>
      <c r="EO5" s="39"/>
      <c r="EP5" s="39"/>
      <c r="EQ5" s="39"/>
      <c r="ER5" s="39"/>
      <c r="ES5" s="39"/>
      <c r="ET5" s="39"/>
      <c r="EU5" s="39"/>
      <c r="EV5" s="39"/>
      <c r="EW5" s="39"/>
      <c r="EX5" s="39"/>
      <c r="EY5" s="39"/>
      <c r="EZ5" s="39"/>
      <c r="FA5" s="39"/>
      <c r="FB5" s="39"/>
      <c r="FC5" s="39"/>
      <c r="FD5" s="39"/>
    </row>
    <row r="6" spans="1:160" s="2" customFormat="1" ht="16.5" customHeight="1" x14ac:dyDescent="0.25">
      <c r="A6" s="18" t="e">
        <f>Lentilles!#REF!</f>
        <v>#REF!</v>
      </c>
      <c r="B6" s="20" t="e">
        <f>Lentilles!#REF!</f>
        <v>#REF!</v>
      </c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12"/>
      <c r="Q6" s="105">
        <v>23920</v>
      </c>
      <c r="R6" s="105"/>
      <c r="S6" s="106"/>
      <c r="T6" s="105"/>
      <c r="U6" s="105"/>
      <c r="V6" s="110"/>
      <c r="W6" s="105"/>
      <c r="X6" s="105">
        <v>23880</v>
      </c>
      <c r="Y6" s="110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12"/>
      <c r="AX6" s="104"/>
      <c r="AY6" s="105"/>
      <c r="AZ6" s="106">
        <v>23170</v>
      </c>
      <c r="BA6" s="105"/>
      <c r="BB6" s="105"/>
      <c r="BC6" s="105"/>
      <c r="BD6" s="105"/>
      <c r="BE6" s="105"/>
      <c r="BF6" s="105"/>
      <c r="BG6" s="105"/>
      <c r="BH6" s="112"/>
      <c r="BI6" s="104"/>
      <c r="BJ6" s="105"/>
      <c r="BK6" s="105"/>
      <c r="BL6" s="105"/>
      <c r="BM6" s="105"/>
      <c r="BN6" s="106"/>
      <c r="BO6" s="106"/>
      <c r="BP6" s="105"/>
      <c r="BQ6" s="112"/>
      <c r="BR6" s="104"/>
      <c r="BS6" s="105"/>
      <c r="BT6" s="121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12"/>
      <c r="CF6" s="121">
        <v>20</v>
      </c>
      <c r="CG6" s="122"/>
      <c r="CH6" s="105">
        <f>4+22</f>
        <v>26</v>
      </c>
      <c r="CI6" s="105"/>
      <c r="CJ6" s="105"/>
      <c r="CK6" s="110"/>
      <c r="CL6" s="121"/>
      <c r="CM6" s="105">
        <v>20</v>
      </c>
      <c r="CN6" s="110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DI6" s="105"/>
      <c r="DJ6" s="105"/>
      <c r="DK6" s="105"/>
      <c r="DL6" s="112"/>
      <c r="DM6" s="104"/>
      <c r="DN6" s="105"/>
      <c r="DO6" s="121">
        <v>22</v>
      </c>
      <c r="DP6" s="105"/>
      <c r="DQ6" s="105"/>
      <c r="DR6" s="105"/>
      <c r="DS6" s="105"/>
      <c r="DT6" s="105"/>
      <c r="DU6" s="105"/>
      <c r="DV6" s="105"/>
      <c r="DW6" s="112"/>
      <c r="DX6" s="104"/>
      <c r="DY6" s="105"/>
      <c r="DZ6" s="105"/>
      <c r="EA6" s="105"/>
      <c r="EB6" s="105"/>
      <c r="EC6" s="106"/>
      <c r="ED6" s="106"/>
      <c r="EE6" s="105"/>
      <c r="EF6" s="112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</row>
    <row r="7" spans="1:160" s="9" customFormat="1" ht="16.5" customHeight="1" x14ac:dyDescent="0.25">
      <c r="A7" s="17" t="e">
        <f>Lentilles!#REF!</f>
        <v>#REF!</v>
      </c>
      <c r="B7" s="20" t="e">
        <f>Lentilles!#REF!</f>
        <v>#REF!</v>
      </c>
      <c r="C7" s="109"/>
      <c r="D7" s="110"/>
      <c r="E7" s="105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8"/>
      <c r="Q7" s="105"/>
      <c r="R7" s="105"/>
      <c r="S7" s="106"/>
      <c r="T7" s="110"/>
      <c r="U7" s="105"/>
      <c r="V7" s="110"/>
      <c r="W7" s="105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8"/>
      <c r="AX7" s="109"/>
      <c r="AY7" s="110"/>
      <c r="AZ7" s="106"/>
      <c r="BA7" s="110"/>
      <c r="BB7" s="110"/>
      <c r="BC7" s="110"/>
      <c r="BD7" s="110"/>
      <c r="BE7" s="110"/>
      <c r="BF7" s="110"/>
      <c r="BG7" s="110"/>
      <c r="BH7" s="118"/>
      <c r="BI7" s="109"/>
      <c r="BJ7" s="110"/>
      <c r="BK7" s="110"/>
      <c r="BL7" s="110"/>
      <c r="BM7" s="110"/>
      <c r="BN7" s="111"/>
      <c r="BO7" s="111"/>
      <c r="BP7" s="110"/>
      <c r="BQ7" s="118"/>
      <c r="BR7" s="121"/>
      <c r="BS7" s="110"/>
      <c r="BT7" s="121"/>
      <c r="BU7" s="110"/>
      <c r="BV7" s="110"/>
      <c r="BW7" s="110"/>
      <c r="BX7" s="110"/>
      <c r="BY7" s="110"/>
      <c r="BZ7" s="110"/>
      <c r="CA7" s="110"/>
      <c r="CB7" s="110"/>
      <c r="CC7" s="110"/>
      <c r="CD7" s="110"/>
      <c r="CE7" s="118"/>
      <c r="CF7" s="121"/>
      <c r="CG7" s="122"/>
      <c r="CH7" s="122"/>
      <c r="CI7" s="110"/>
      <c r="CJ7" s="105"/>
      <c r="CK7" s="110"/>
      <c r="CL7" s="121"/>
      <c r="CM7" s="110"/>
      <c r="CN7" s="110"/>
      <c r="CO7" s="110"/>
      <c r="CP7" s="110"/>
      <c r="CQ7" s="110"/>
      <c r="CR7" s="110"/>
      <c r="CS7" s="110"/>
      <c r="CT7" s="110"/>
      <c r="CU7" s="110"/>
      <c r="CV7" s="110"/>
      <c r="CW7" s="110"/>
      <c r="CX7" s="110"/>
      <c r="CY7" s="110"/>
      <c r="CZ7" s="110"/>
      <c r="DA7" s="110"/>
      <c r="DB7" s="110"/>
      <c r="DC7" s="110"/>
      <c r="DD7" s="110"/>
      <c r="DE7" s="110"/>
      <c r="DF7" s="110"/>
      <c r="DG7" s="110"/>
      <c r="DH7" s="110"/>
      <c r="DI7" s="110"/>
      <c r="DJ7" s="110"/>
      <c r="DK7" s="110"/>
      <c r="DL7" s="118"/>
      <c r="DM7" s="109"/>
      <c r="DN7" s="110"/>
      <c r="DO7" s="121"/>
      <c r="DP7" s="110"/>
      <c r="DQ7" s="110"/>
      <c r="DR7" s="110"/>
      <c r="DS7" s="110"/>
      <c r="DT7" s="110"/>
      <c r="DU7" s="110"/>
      <c r="DV7" s="110"/>
      <c r="DW7" s="118"/>
      <c r="DX7" s="109"/>
      <c r="DY7" s="110"/>
      <c r="DZ7" s="110"/>
      <c r="EA7" s="110"/>
      <c r="EB7" s="110"/>
      <c r="EC7" s="111"/>
      <c r="ED7" s="111"/>
      <c r="EE7" s="110"/>
      <c r="EF7" s="118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</row>
    <row r="8" spans="1:160" s="2" customFormat="1" ht="16.5" customHeight="1" x14ac:dyDescent="0.25">
      <c r="A8" s="18" t="e">
        <f>Lentilles!#REF!</f>
        <v>#REF!</v>
      </c>
      <c r="B8" s="20" t="e">
        <f>Lentilles!#REF!</f>
        <v>#REF!</v>
      </c>
      <c r="C8" s="104"/>
      <c r="D8" s="105"/>
      <c r="E8" s="105"/>
      <c r="F8" s="105"/>
      <c r="G8" s="105"/>
      <c r="H8" s="105"/>
      <c r="I8" s="105"/>
      <c r="J8" s="105"/>
      <c r="K8" s="105"/>
      <c r="L8" s="105"/>
      <c r="M8" s="110"/>
      <c r="N8" s="105"/>
      <c r="O8" s="105"/>
      <c r="P8" s="112"/>
      <c r="Q8" s="105"/>
      <c r="R8" s="105"/>
      <c r="S8" s="106"/>
      <c r="T8" s="105"/>
      <c r="U8" s="105"/>
      <c r="V8" s="105"/>
      <c r="W8" s="105"/>
      <c r="X8" s="105"/>
      <c r="Y8" s="110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12"/>
      <c r="AX8" s="104"/>
      <c r="AY8" s="105"/>
      <c r="AZ8" s="106"/>
      <c r="BA8" s="105"/>
      <c r="BB8" s="105"/>
      <c r="BC8" s="105"/>
      <c r="BD8" s="105"/>
      <c r="BE8" s="105"/>
      <c r="BF8" s="105"/>
      <c r="BG8" s="105"/>
      <c r="BH8" s="112"/>
      <c r="BI8" s="104"/>
      <c r="BJ8" s="105"/>
      <c r="BK8" s="105"/>
      <c r="BL8" s="105"/>
      <c r="BM8" s="105"/>
      <c r="BN8" s="106"/>
      <c r="BO8" s="106"/>
      <c r="BP8" s="105"/>
      <c r="BQ8" s="112"/>
      <c r="BR8" s="104"/>
      <c r="BS8" s="105"/>
      <c r="BT8" s="121"/>
      <c r="BU8" s="105"/>
      <c r="BV8" s="105"/>
      <c r="BW8" s="105"/>
      <c r="BX8" s="105"/>
      <c r="BY8" s="105"/>
      <c r="BZ8" s="105"/>
      <c r="CA8" s="105"/>
      <c r="CB8" s="110"/>
      <c r="CC8" s="105"/>
      <c r="CD8" s="105"/>
      <c r="CE8" s="112"/>
      <c r="CF8" s="121"/>
      <c r="CG8" s="122"/>
      <c r="CH8" s="105"/>
      <c r="CI8" s="105"/>
      <c r="CJ8" s="105"/>
      <c r="CK8" s="105"/>
      <c r="CL8" s="121"/>
      <c r="CM8" s="105"/>
      <c r="CN8" s="110"/>
      <c r="CO8" s="105"/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5"/>
      <c r="DA8" s="105"/>
      <c r="DB8" s="105"/>
      <c r="DC8" s="105"/>
      <c r="DD8" s="105"/>
      <c r="DE8" s="105"/>
      <c r="DF8" s="105"/>
      <c r="DG8" s="105"/>
      <c r="DH8" s="105"/>
      <c r="DI8" s="105"/>
      <c r="DJ8" s="105"/>
      <c r="DK8" s="105"/>
      <c r="DL8" s="112"/>
      <c r="DM8" s="104"/>
      <c r="DN8" s="105"/>
      <c r="DO8" s="121"/>
      <c r="DP8" s="105"/>
      <c r="DQ8" s="105"/>
      <c r="DR8" s="105"/>
      <c r="DS8" s="105"/>
      <c r="DT8" s="105"/>
      <c r="DU8" s="105"/>
      <c r="DV8" s="105"/>
      <c r="DW8" s="112"/>
      <c r="DX8" s="104"/>
      <c r="DY8" s="105"/>
      <c r="DZ8" s="105"/>
      <c r="EA8" s="105"/>
      <c r="EB8" s="105"/>
      <c r="EC8" s="106"/>
      <c r="ED8" s="106"/>
      <c r="EE8" s="105"/>
      <c r="EF8" s="112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</row>
    <row r="9" spans="1:160" s="9" customFormat="1" ht="16.5" customHeight="1" x14ac:dyDescent="0.25">
      <c r="A9" s="18" t="e">
        <f>Lentilles!#REF!</f>
        <v>#REF!</v>
      </c>
      <c r="B9" s="20" t="e">
        <f>Lentilles!#REF!</f>
        <v>#REF!</v>
      </c>
      <c r="C9" s="109"/>
      <c r="D9" s="105"/>
      <c r="E9" s="105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8"/>
      <c r="Q9" s="105"/>
      <c r="R9" s="105"/>
      <c r="S9" s="106">
        <v>620</v>
      </c>
      <c r="T9" s="110"/>
      <c r="U9" s="105"/>
      <c r="V9" s="120"/>
      <c r="W9" s="105">
        <f>7170+4780</f>
        <v>11950</v>
      </c>
      <c r="X9" s="110"/>
      <c r="Y9" s="110">
        <v>7940</v>
      </c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8"/>
      <c r="AX9" s="109"/>
      <c r="AY9" s="110"/>
      <c r="AZ9" s="106"/>
      <c r="BA9" s="110"/>
      <c r="BB9" s="110"/>
      <c r="BC9" s="110"/>
      <c r="BD9" s="110"/>
      <c r="BE9" s="110"/>
      <c r="BF9" s="110"/>
      <c r="BG9" s="110"/>
      <c r="BH9" s="118"/>
      <c r="BI9" s="109"/>
      <c r="BJ9" s="110"/>
      <c r="BK9" s="110"/>
      <c r="BL9" s="110"/>
      <c r="BM9" s="110"/>
      <c r="BN9" s="111"/>
      <c r="BO9" s="111"/>
      <c r="BP9" s="110"/>
      <c r="BQ9" s="118"/>
      <c r="BR9" s="109"/>
      <c r="BS9" s="105"/>
      <c r="BT9" s="121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8"/>
      <c r="CF9" s="121"/>
      <c r="CG9" s="122"/>
      <c r="CH9" s="122"/>
      <c r="CI9" s="110"/>
      <c r="CJ9" s="105"/>
      <c r="CK9" s="133"/>
      <c r="CL9" s="121">
        <f>4+6</f>
        <v>10</v>
      </c>
      <c r="CM9" s="110"/>
      <c r="CN9" s="110">
        <v>8</v>
      </c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8"/>
      <c r="DM9" s="109"/>
      <c r="DN9" s="110"/>
      <c r="DO9" s="121"/>
      <c r="DP9" s="110"/>
      <c r="DQ9" s="110"/>
      <c r="DR9" s="110"/>
      <c r="DS9" s="110"/>
      <c r="DT9" s="110"/>
      <c r="DU9" s="110"/>
      <c r="DV9" s="110"/>
      <c r="DW9" s="118"/>
      <c r="DX9" s="109"/>
      <c r="DY9" s="110"/>
      <c r="DZ9" s="110"/>
      <c r="EA9" s="110"/>
      <c r="EB9" s="110"/>
      <c r="EC9" s="111"/>
      <c r="ED9" s="111"/>
      <c r="EE9" s="110"/>
      <c r="EF9" s="118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</row>
    <row r="10" spans="1:160" s="9" customFormat="1" ht="16.5" customHeight="1" x14ac:dyDescent="0.25">
      <c r="A10" s="18" t="e">
        <f>Lentilles!#REF!</f>
        <v>#REF!</v>
      </c>
      <c r="B10" s="20" t="e">
        <f>Lentilles!#REF!</f>
        <v>#REF!</v>
      </c>
      <c r="C10" s="104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12"/>
      <c r="Q10" s="105"/>
      <c r="R10" s="105">
        <v>100</v>
      </c>
      <c r="S10" s="106"/>
      <c r="T10" s="105"/>
      <c r="U10" s="105">
        <v>23920</v>
      </c>
      <c r="V10" s="105"/>
      <c r="W10" s="105">
        <v>19140</v>
      </c>
      <c r="X10" s="105"/>
      <c r="Y10" s="110">
        <v>3900</v>
      </c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12"/>
      <c r="AX10" s="104"/>
      <c r="AY10" s="105"/>
      <c r="AZ10" s="106"/>
      <c r="BA10" s="105"/>
      <c r="BB10" s="105"/>
      <c r="BC10" s="105"/>
      <c r="BD10" s="105"/>
      <c r="BE10" s="105"/>
      <c r="BF10" s="105"/>
      <c r="BG10" s="105"/>
      <c r="BH10" s="112"/>
      <c r="BI10" s="104"/>
      <c r="BJ10" s="105"/>
      <c r="BK10" s="105">
        <v>23990</v>
      </c>
      <c r="BL10" s="105"/>
      <c r="BM10" s="105"/>
      <c r="BN10" s="106"/>
      <c r="BO10" s="106"/>
      <c r="BP10" s="105"/>
      <c r="BQ10" s="112"/>
      <c r="BR10" s="104"/>
      <c r="BS10" s="105"/>
      <c r="BT10" s="121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12"/>
      <c r="CF10" s="121"/>
      <c r="CG10" s="122">
        <v>1</v>
      </c>
      <c r="CH10" s="105">
        <v>2</v>
      </c>
      <c r="CI10" s="105"/>
      <c r="CJ10" s="105">
        <v>20</v>
      </c>
      <c r="CK10" s="105"/>
      <c r="CL10" s="121">
        <v>16</v>
      </c>
      <c r="CM10" s="105"/>
      <c r="CN10" s="105">
        <v>4</v>
      </c>
      <c r="CO10" s="105"/>
      <c r="CP10" s="105"/>
      <c r="CQ10" s="105"/>
      <c r="CR10" s="105"/>
      <c r="CS10" s="105"/>
      <c r="CT10" s="105"/>
      <c r="CU10" s="105"/>
      <c r="CV10" s="105"/>
      <c r="CW10" s="105"/>
      <c r="CX10" s="105"/>
      <c r="CY10" s="105"/>
      <c r="CZ10" s="105"/>
      <c r="DA10" s="105"/>
      <c r="DB10" s="105"/>
      <c r="DC10" s="105"/>
      <c r="DD10" s="105"/>
      <c r="DE10" s="105"/>
      <c r="DF10" s="105"/>
      <c r="DG10" s="105"/>
      <c r="DH10" s="105"/>
      <c r="DI10" s="105"/>
      <c r="DJ10" s="105"/>
      <c r="DK10" s="105"/>
      <c r="DL10" s="112"/>
      <c r="DM10" s="104"/>
      <c r="DN10" s="105"/>
      <c r="DO10" s="121">
        <v>22</v>
      </c>
      <c r="DP10" s="105"/>
      <c r="DQ10" s="105"/>
      <c r="DR10" s="105"/>
      <c r="DS10" s="105"/>
      <c r="DT10" s="105"/>
      <c r="DU10" s="105"/>
      <c r="DV10" s="105"/>
      <c r="DW10" s="112"/>
      <c r="DX10" s="104"/>
      <c r="DY10" s="105"/>
      <c r="DZ10" s="105">
        <v>22</v>
      </c>
      <c r="EA10" s="105"/>
      <c r="EB10" s="105"/>
      <c r="EC10" s="106"/>
      <c r="ED10" s="106"/>
      <c r="EE10" s="105"/>
      <c r="EF10" s="112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  <c r="FA10" s="39"/>
      <c r="FB10" s="39"/>
      <c r="FC10" s="39"/>
      <c r="FD10" s="39"/>
    </row>
    <row r="11" spans="1:160" s="9" customFormat="1" ht="16.5" customHeight="1" x14ac:dyDescent="0.25">
      <c r="A11" s="18" t="e">
        <f>Lentilles!#REF!</f>
        <v>#REF!</v>
      </c>
      <c r="B11" s="20" t="e">
        <f>Lentilles!#REF!</f>
        <v>#REF!</v>
      </c>
      <c r="C11" s="104"/>
      <c r="D11" s="105"/>
      <c r="E11" s="105">
        <v>22290</v>
      </c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12"/>
      <c r="Q11" s="105"/>
      <c r="R11" s="105"/>
      <c r="S11" s="106">
        <v>29040</v>
      </c>
      <c r="T11" s="105"/>
      <c r="U11" s="105"/>
      <c r="V11" s="105"/>
      <c r="W11" s="105"/>
      <c r="X11" s="105"/>
      <c r="Y11" s="110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12"/>
      <c r="AX11" s="104"/>
      <c r="AY11" s="106"/>
      <c r="AZ11" s="106">
        <f>23050+21990</f>
        <v>45040</v>
      </c>
      <c r="BA11" s="106"/>
      <c r="BB11" s="106"/>
      <c r="BC11" s="106"/>
      <c r="BD11" s="106"/>
      <c r="BE11" s="106"/>
      <c r="BF11" s="106"/>
      <c r="BG11" s="106"/>
      <c r="BH11" s="107"/>
      <c r="BI11" s="123"/>
      <c r="BJ11" s="106"/>
      <c r="BK11" s="106"/>
      <c r="BL11" s="106"/>
      <c r="BM11" s="106"/>
      <c r="BN11" s="106"/>
      <c r="BO11" s="106"/>
      <c r="BP11" s="106"/>
      <c r="BQ11" s="107"/>
      <c r="BR11" s="104"/>
      <c r="BS11" s="105"/>
      <c r="BT11" s="121">
        <v>24</v>
      </c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12"/>
      <c r="CF11" s="121"/>
      <c r="CG11" s="122"/>
      <c r="CH11" s="105">
        <v>29</v>
      </c>
      <c r="CI11" s="105"/>
      <c r="CJ11" s="105"/>
      <c r="CK11" s="105"/>
      <c r="CL11" s="121"/>
      <c r="CM11" s="105"/>
      <c r="CN11" s="110"/>
      <c r="CO11" s="105"/>
      <c r="CP11" s="105"/>
      <c r="CQ11" s="105"/>
      <c r="CR11" s="105"/>
      <c r="CS11" s="105"/>
      <c r="CT11" s="105"/>
      <c r="CU11" s="105"/>
      <c r="CV11" s="105"/>
      <c r="CW11" s="105"/>
      <c r="CX11" s="105"/>
      <c r="CY11" s="105"/>
      <c r="CZ11" s="105"/>
      <c r="DA11" s="105"/>
      <c r="DB11" s="105"/>
      <c r="DC11" s="105"/>
      <c r="DD11" s="105"/>
      <c r="DE11" s="105"/>
      <c r="DF11" s="105"/>
      <c r="DG11" s="105"/>
      <c r="DH11" s="105"/>
      <c r="DI11" s="105"/>
      <c r="DJ11" s="105"/>
      <c r="DK11" s="105"/>
      <c r="DL11" s="112"/>
      <c r="DM11" s="104"/>
      <c r="DN11" s="106"/>
      <c r="DO11" s="121">
        <v>22</v>
      </c>
      <c r="DP11" s="106"/>
      <c r="DQ11" s="106"/>
      <c r="DR11" s="106"/>
      <c r="DS11" s="106"/>
      <c r="DT11" s="106"/>
      <c r="DU11" s="106"/>
      <c r="DV11" s="106"/>
      <c r="DW11" s="107"/>
      <c r="DX11" s="123"/>
      <c r="DY11" s="106"/>
      <c r="DZ11" s="106"/>
      <c r="EA11" s="106"/>
      <c r="EB11" s="106"/>
      <c r="EC11" s="106"/>
      <c r="ED11" s="106"/>
      <c r="EE11" s="106"/>
      <c r="EF11" s="107"/>
      <c r="EG11" s="39"/>
      <c r="EH11" s="39"/>
      <c r="EI11" s="39"/>
      <c r="EJ11" s="39"/>
      <c r="EK11" s="39"/>
      <c r="EL11" s="39"/>
      <c r="EM11" s="39"/>
      <c r="EN11" s="39"/>
      <c r="EO11" s="39"/>
      <c r="EP11" s="39"/>
      <c r="EQ11" s="39"/>
      <c r="ER11" s="39"/>
      <c r="ES11" s="39"/>
      <c r="ET11" s="39"/>
      <c r="EU11" s="39"/>
      <c r="EV11" s="39"/>
      <c r="EW11" s="39"/>
      <c r="EX11" s="39"/>
      <c r="EY11" s="39"/>
      <c r="EZ11" s="39"/>
      <c r="FA11" s="39"/>
      <c r="FB11" s="39"/>
      <c r="FC11" s="39"/>
      <c r="FD11" s="39"/>
    </row>
    <row r="12" spans="1:160" s="1" customFormat="1" ht="16.5" customHeight="1" x14ac:dyDescent="0.25">
      <c r="A12" s="18" t="e">
        <f>Lentilles!#REF!</f>
        <v>#REF!</v>
      </c>
      <c r="B12" s="20" t="e">
        <f>Lentilles!#REF!</f>
        <v>#REF!</v>
      </c>
      <c r="C12" s="104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6"/>
      <c r="P12" s="112"/>
      <c r="Q12" s="105">
        <f>23920 + 1000</f>
        <v>24920</v>
      </c>
      <c r="R12" s="105">
        <v>23920</v>
      </c>
      <c r="S12" s="106">
        <f>24140+1204</f>
        <v>25344</v>
      </c>
      <c r="T12" s="105"/>
      <c r="U12" s="105"/>
      <c r="V12" s="105"/>
      <c r="W12" s="105"/>
      <c r="X12" s="105"/>
      <c r="Y12" s="110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12"/>
      <c r="AX12" s="104"/>
      <c r="AY12" s="105"/>
      <c r="AZ12" s="106"/>
      <c r="BA12" s="105"/>
      <c r="BB12" s="105"/>
      <c r="BC12" s="105"/>
      <c r="BD12" s="105"/>
      <c r="BE12" s="105"/>
      <c r="BF12" s="105"/>
      <c r="BG12" s="105"/>
      <c r="BH12" s="112"/>
      <c r="BI12" s="104"/>
      <c r="BJ12" s="105"/>
      <c r="BK12" s="105"/>
      <c r="BL12" s="105"/>
      <c r="BM12" s="105"/>
      <c r="BN12" s="106"/>
      <c r="BO12" s="106"/>
      <c r="BP12" s="105"/>
      <c r="BQ12" s="112"/>
      <c r="BR12" s="104"/>
      <c r="BS12" s="105"/>
      <c r="BT12" s="121"/>
      <c r="BU12" s="105"/>
      <c r="BV12" s="105"/>
      <c r="BW12" s="105"/>
      <c r="BX12" s="105"/>
      <c r="BY12" s="105"/>
      <c r="BZ12" s="105"/>
      <c r="CA12" s="105"/>
      <c r="CB12" s="105"/>
      <c r="CC12" s="105"/>
      <c r="CD12" s="106"/>
      <c r="CE12" s="112"/>
      <c r="CF12" s="122">
        <v>21</v>
      </c>
      <c r="CG12" s="122">
        <v>20</v>
      </c>
      <c r="CH12" s="105">
        <f>24+4</f>
        <v>28</v>
      </c>
      <c r="CI12" s="105"/>
      <c r="CJ12" s="105"/>
      <c r="CK12" s="105"/>
      <c r="CL12" s="121"/>
      <c r="CM12" s="105"/>
      <c r="CN12" s="110"/>
      <c r="CO12" s="105"/>
      <c r="CP12" s="105"/>
      <c r="CQ12" s="105"/>
      <c r="CR12" s="105"/>
      <c r="CS12" s="105"/>
      <c r="CT12" s="105"/>
      <c r="CU12" s="105"/>
      <c r="CV12" s="105"/>
      <c r="CW12" s="105"/>
      <c r="CX12" s="105"/>
      <c r="CY12" s="105"/>
      <c r="CZ12" s="105"/>
      <c r="DA12" s="105"/>
      <c r="DB12" s="105"/>
      <c r="DC12" s="105"/>
      <c r="DD12" s="105"/>
      <c r="DE12" s="105"/>
      <c r="DF12" s="105"/>
      <c r="DG12" s="105"/>
      <c r="DH12" s="105"/>
      <c r="DI12" s="105"/>
      <c r="DJ12" s="105"/>
      <c r="DK12" s="105"/>
      <c r="DL12" s="112"/>
      <c r="DM12" s="104"/>
      <c r="DN12" s="105"/>
      <c r="DO12" s="121"/>
      <c r="DP12" s="105"/>
      <c r="DQ12" s="105"/>
      <c r="DR12" s="105"/>
      <c r="DS12" s="105"/>
      <c r="DT12" s="105"/>
      <c r="DU12" s="105"/>
      <c r="DV12" s="105"/>
      <c r="DW12" s="112"/>
      <c r="DX12" s="104"/>
      <c r="DY12" s="105"/>
      <c r="DZ12" s="105"/>
      <c r="EA12" s="105"/>
      <c r="EB12" s="105"/>
      <c r="EC12" s="106"/>
      <c r="ED12" s="106"/>
      <c r="EE12" s="105"/>
      <c r="EF12" s="112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</row>
    <row r="13" spans="1:160" s="1" customFormat="1" ht="16.5" customHeight="1" x14ac:dyDescent="0.25">
      <c r="A13" s="18" t="e">
        <f>Lentilles!#REF!</f>
        <v>#REF!</v>
      </c>
      <c r="B13" s="20" t="e">
        <f>Lentilles!#REF!</f>
        <v>#REF!</v>
      </c>
      <c r="C13" s="104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6"/>
      <c r="P13" s="112"/>
      <c r="Q13" s="105"/>
      <c r="R13" s="105"/>
      <c r="S13" s="105">
        <f>903+401</f>
        <v>1304</v>
      </c>
      <c r="T13" s="105"/>
      <c r="U13" s="105">
        <v>401</v>
      </c>
      <c r="V13" s="105"/>
      <c r="W13" s="105"/>
      <c r="X13" s="105"/>
      <c r="Y13" s="110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12"/>
      <c r="AX13" s="104"/>
      <c r="AY13" s="105"/>
      <c r="AZ13" s="106"/>
      <c r="BA13" s="105"/>
      <c r="BB13" s="105"/>
      <c r="BC13" s="105"/>
      <c r="BD13" s="105"/>
      <c r="BE13" s="105"/>
      <c r="BF13" s="105"/>
      <c r="BG13" s="105"/>
      <c r="BH13" s="112"/>
      <c r="BI13" s="104"/>
      <c r="BJ13" s="105"/>
      <c r="BK13" s="105"/>
      <c r="BL13" s="105"/>
      <c r="BM13" s="105"/>
      <c r="BN13" s="106"/>
      <c r="BO13" s="106"/>
      <c r="BP13" s="105"/>
      <c r="BQ13" s="112"/>
      <c r="BR13" s="104"/>
      <c r="BS13" s="105"/>
      <c r="BT13" s="121"/>
      <c r="BU13" s="105"/>
      <c r="BV13" s="105"/>
      <c r="BW13" s="105"/>
      <c r="BX13" s="105"/>
      <c r="BY13" s="105"/>
      <c r="BZ13" s="105"/>
      <c r="CA13" s="105"/>
      <c r="CB13" s="105"/>
      <c r="CC13" s="105"/>
      <c r="CD13" s="106"/>
      <c r="CE13" s="112"/>
      <c r="CF13" s="121"/>
      <c r="CG13" s="122"/>
      <c r="CH13" s="105">
        <v>3</v>
      </c>
      <c r="CI13" s="105"/>
      <c r="CJ13" s="105"/>
      <c r="CK13" s="105"/>
      <c r="CL13" s="121"/>
      <c r="CM13" s="105"/>
      <c r="CN13" s="110"/>
      <c r="CO13" s="105"/>
      <c r="CP13" s="105"/>
      <c r="CQ13" s="105"/>
      <c r="CR13" s="105"/>
      <c r="CS13" s="105"/>
      <c r="CT13" s="105"/>
      <c r="CU13" s="105"/>
      <c r="CV13" s="105"/>
      <c r="CW13" s="105"/>
      <c r="CX13" s="105"/>
      <c r="CY13" s="105"/>
      <c r="CZ13" s="105"/>
      <c r="DA13" s="105"/>
      <c r="DB13" s="105"/>
      <c r="DC13" s="105"/>
      <c r="DD13" s="105"/>
      <c r="DE13" s="105"/>
      <c r="DF13" s="105"/>
      <c r="DG13" s="105"/>
      <c r="DH13" s="105"/>
      <c r="DI13" s="105"/>
      <c r="DJ13" s="105"/>
      <c r="DK13" s="105"/>
      <c r="DL13" s="112"/>
      <c r="DM13" s="104"/>
      <c r="DN13" s="105"/>
      <c r="DO13" s="121"/>
      <c r="DP13" s="105"/>
      <c r="DQ13" s="105"/>
      <c r="DR13" s="105"/>
      <c r="DS13" s="105"/>
      <c r="DT13" s="105"/>
      <c r="DU13" s="105"/>
      <c r="DV13" s="105"/>
      <c r="DW13" s="112"/>
      <c r="DX13" s="104"/>
      <c r="DY13" s="105"/>
      <c r="DZ13" s="105"/>
      <c r="EA13" s="105"/>
      <c r="EB13" s="105"/>
      <c r="EC13" s="106"/>
      <c r="ED13" s="106"/>
      <c r="EE13" s="105"/>
      <c r="EF13" s="112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</row>
    <row r="14" spans="1:160" s="1" customFormat="1" ht="16.5" customHeight="1" x14ac:dyDescent="0.25">
      <c r="A14" s="18" t="e">
        <f>Lentilles!#REF!</f>
        <v>#REF!</v>
      </c>
      <c r="B14" s="20" t="e">
        <f>Lentilles!#REF!</f>
        <v>#REF!</v>
      </c>
      <c r="C14" s="104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12"/>
      <c r="Q14" s="105"/>
      <c r="R14" s="105"/>
      <c r="S14" s="106"/>
      <c r="T14" s="105"/>
      <c r="U14" s="105"/>
      <c r="V14" s="105"/>
      <c r="W14" s="105"/>
      <c r="X14" s="105"/>
      <c r="Y14" s="110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12"/>
      <c r="AX14" s="104"/>
      <c r="AY14" s="105"/>
      <c r="AZ14" s="106"/>
      <c r="BA14" s="105"/>
      <c r="BB14" s="105"/>
      <c r="BC14" s="105"/>
      <c r="BD14" s="105"/>
      <c r="BE14" s="105"/>
      <c r="BF14" s="105"/>
      <c r="BG14" s="105"/>
      <c r="BH14" s="112"/>
      <c r="BI14" s="104"/>
      <c r="BJ14" s="105"/>
      <c r="BK14" s="105"/>
      <c r="BL14" s="105"/>
      <c r="BM14" s="105"/>
      <c r="BN14" s="106"/>
      <c r="BO14" s="106"/>
      <c r="BP14" s="105"/>
      <c r="BQ14" s="112"/>
      <c r="BR14" s="104"/>
      <c r="BS14" s="105"/>
      <c r="BT14" s="121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12"/>
      <c r="CF14" s="121"/>
      <c r="CG14" s="122"/>
      <c r="CH14" s="122"/>
      <c r="CI14" s="105"/>
      <c r="CJ14" s="105"/>
      <c r="CK14" s="105"/>
      <c r="CL14" s="121"/>
      <c r="CM14" s="105"/>
      <c r="CN14" s="110"/>
      <c r="CO14" s="105"/>
      <c r="CP14" s="105"/>
      <c r="CQ14" s="105"/>
      <c r="CR14" s="105"/>
      <c r="CS14" s="105"/>
      <c r="CT14" s="105"/>
      <c r="CU14" s="105"/>
      <c r="CV14" s="105"/>
      <c r="CW14" s="105"/>
      <c r="CX14" s="105"/>
      <c r="CY14" s="105"/>
      <c r="CZ14" s="105"/>
      <c r="DA14" s="105"/>
      <c r="DB14" s="105"/>
      <c r="DC14" s="105"/>
      <c r="DD14" s="105"/>
      <c r="DE14" s="105"/>
      <c r="DF14" s="105"/>
      <c r="DG14" s="105"/>
      <c r="DH14" s="105"/>
      <c r="DI14" s="105"/>
      <c r="DJ14" s="105"/>
      <c r="DK14" s="105"/>
      <c r="DL14" s="112"/>
      <c r="DM14" s="104"/>
      <c r="DN14" s="105"/>
      <c r="DO14" s="121"/>
      <c r="DP14" s="105"/>
      <c r="DQ14" s="105"/>
      <c r="DR14" s="105"/>
      <c r="DS14" s="105"/>
      <c r="DT14" s="105"/>
      <c r="DU14" s="105"/>
      <c r="DV14" s="105"/>
      <c r="DW14" s="112"/>
      <c r="DX14" s="104"/>
      <c r="DY14" s="105"/>
      <c r="DZ14" s="105"/>
      <c r="EA14" s="105"/>
      <c r="EB14" s="105"/>
      <c r="EC14" s="106"/>
      <c r="ED14" s="106"/>
      <c r="EE14" s="105"/>
      <c r="EF14" s="112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</row>
    <row r="15" spans="1:160" s="1" customFormat="1" ht="16.5" customHeight="1" x14ac:dyDescent="0.25">
      <c r="A15" s="18" t="e">
        <f>Lentilles!#REF!</f>
        <v>#REF!</v>
      </c>
      <c r="B15" s="20" t="e">
        <f>Lentilles!#REF!</f>
        <v>#REF!</v>
      </c>
      <c r="C15" s="104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12"/>
      <c r="Q15" s="105"/>
      <c r="R15" s="105"/>
      <c r="S15" s="106"/>
      <c r="T15" s="105"/>
      <c r="U15" s="105"/>
      <c r="V15" s="105"/>
      <c r="W15" s="105"/>
      <c r="X15" s="105"/>
      <c r="Y15" s="110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12"/>
      <c r="AX15" s="104"/>
      <c r="AY15" s="105"/>
      <c r="AZ15" s="106"/>
      <c r="BA15" s="105"/>
      <c r="BB15" s="105"/>
      <c r="BC15" s="105"/>
      <c r="BD15" s="105"/>
      <c r="BE15" s="105"/>
      <c r="BF15" s="105"/>
      <c r="BG15" s="105"/>
      <c r="BH15" s="112"/>
      <c r="BI15" s="104"/>
      <c r="BJ15" s="105"/>
      <c r="BK15" s="105"/>
      <c r="BL15" s="105"/>
      <c r="BM15" s="105"/>
      <c r="BN15" s="106"/>
      <c r="BO15" s="106"/>
      <c r="BP15" s="105"/>
      <c r="BQ15" s="112"/>
      <c r="BR15" s="104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12"/>
      <c r="CF15" s="121"/>
      <c r="CG15" s="122"/>
      <c r="CH15" s="105"/>
      <c r="CI15" s="105"/>
      <c r="CJ15" s="105"/>
      <c r="CK15" s="105"/>
      <c r="CL15" s="121"/>
      <c r="CM15" s="105"/>
      <c r="CN15" s="110"/>
      <c r="CO15" s="105"/>
      <c r="CP15" s="105"/>
      <c r="CQ15" s="105"/>
      <c r="CR15" s="105"/>
      <c r="CS15" s="105"/>
      <c r="CT15" s="105"/>
      <c r="CU15" s="105"/>
      <c r="CV15" s="105"/>
      <c r="CW15" s="105"/>
      <c r="CX15" s="105"/>
      <c r="CY15" s="105"/>
      <c r="CZ15" s="105"/>
      <c r="DA15" s="105"/>
      <c r="DB15" s="105"/>
      <c r="DC15" s="105"/>
      <c r="DD15" s="105"/>
      <c r="DE15" s="105"/>
      <c r="DF15" s="105"/>
      <c r="DG15" s="105"/>
      <c r="DH15" s="105"/>
      <c r="DI15" s="105"/>
      <c r="DJ15" s="105"/>
      <c r="DK15" s="105"/>
      <c r="DL15" s="112"/>
      <c r="DM15" s="104"/>
      <c r="DN15" s="105"/>
      <c r="DO15" s="121"/>
      <c r="DP15" s="105"/>
      <c r="DQ15" s="105"/>
      <c r="DR15" s="105"/>
      <c r="DS15" s="105"/>
      <c r="DT15" s="105"/>
      <c r="DU15" s="105"/>
      <c r="DV15" s="105"/>
      <c r="DW15" s="112"/>
      <c r="DX15" s="104"/>
      <c r="DY15" s="105"/>
      <c r="DZ15" s="105"/>
      <c r="EA15" s="105"/>
      <c r="EB15" s="105"/>
      <c r="EC15" s="106"/>
      <c r="ED15" s="106"/>
      <c r="EE15" s="105"/>
      <c r="EF15" s="112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</row>
    <row r="16" spans="1:160" s="1" customFormat="1" ht="16.5" customHeight="1" x14ac:dyDescent="0.25">
      <c r="A16" s="18" t="e">
        <f>Lentilles!#REF!</f>
        <v>#REF!</v>
      </c>
      <c r="B16" s="20" t="e">
        <f>Lentilles!#REF!</f>
        <v>#REF!</v>
      </c>
      <c r="C16" s="104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12"/>
      <c r="Q16" s="105"/>
      <c r="R16" s="105"/>
      <c r="S16" s="114">
        <f>602+21970+29020</f>
        <v>51592</v>
      </c>
      <c r="T16" s="105"/>
      <c r="U16" s="105"/>
      <c r="V16" s="105"/>
      <c r="W16" s="105"/>
      <c r="X16" s="105"/>
      <c r="Y16" s="110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12"/>
      <c r="AX16" s="104"/>
      <c r="AY16" s="105">
        <v>20670</v>
      </c>
      <c r="AZ16" s="106"/>
      <c r="BA16" s="105"/>
      <c r="BB16" s="105"/>
      <c r="BC16" s="105"/>
      <c r="BD16" s="105"/>
      <c r="BE16" s="105"/>
      <c r="BF16" s="105"/>
      <c r="BG16" s="105"/>
      <c r="BH16" s="112"/>
      <c r="BI16" s="104"/>
      <c r="BJ16" s="105"/>
      <c r="BK16" s="105"/>
      <c r="BL16" s="105"/>
      <c r="BM16" s="105"/>
      <c r="BN16" s="106"/>
      <c r="BO16" s="106"/>
      <c r="BP16" s="105"/>
      <c r="BQ16" s="112"/>
      <c r="BS16" s="105"/>
      <c r="BT16" s="121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12"/>
      <c r="CF16" s="121"/>
      <c r="CG16" s="122"/>
      <c r="CH16" s="105">
        <f>2+24+29</f>
        <v>55</v>
      </c>
      <c r="CI16" s="105"/>
      <c r="CJ16" s="105"/>
      <c r="CK16" s="105"/>
      <c r="CL16" s="121"/>
      <c r="CM16" s="121"/>
      <c r="CN16" s="110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105"/>
      <c r="DD16" s="105"/>
      <c r="DE16" s="105"/>
      <c r="DF16" s="105"/>
      <c r="DG16" s="105"/>
      <c r="DH16" s="105"/>
      <c r="DI16" s="105"/>
      <c r="DJ16" s="105"/>
      <c r="DK16" s="105"/>
      <c r="DL16" s="112"/>
      <c r="DM16" s="104"/>
      <c r="DN16" s="105">
        <v>22</v>
      </c>
      <c r="DO16" s="121"/>
      <c r="DP16" s="105"/>
      <c r="DQ16" s="105"/>
      <c r="DR16" s="105"/>
      <c r="DS16" s="105"/>
      <c r="DT16" s="105"/>
      <c r="DU16" s="105"/>
      <c r="DV16" s="105"/>
      <c r="DW16" s="112"/>
      <c r="DX16" s="104"/>
      <c r="DY16" s="105"/>
      <c r="DZ16" s="105"/>
      <c r="EA16" s="105"/>
      <c r="EB16" s="105"/>
      <c r="EC16" s="106"/>
      <c r="ED16" s="106"/>
      <c r="EE16" s="105"/>
      <c r="EF16" s="112"/>
      <c r="EG16" s="40"/>
      <c r="EH16" s="40"/>
      <c r="EI16" s="40"/>
      <c r="EJ16" s="40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</row>
    <row r="17" spans="1:160" s="1" customFormat="1" ht="16.5" customHeight="1" x14ac:dyDescent="0.25">
      <c r="A17" s="18" t="e">
        <f>Lentilles!#REF!</f>
        <v>#REF!</v>
      </c>
      <c r="B17" s="20" t="e">
        <f>Lentilles!#REF!</f>
        <v>#REF!</v>
      </c>
      <c r="C17" s="104"/>
      <c r="D17" s="105"/>
      <c r="E17" s="105">
        <v>25220</v>
      </c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12"/>
      <c r="Q17" s="105"/>
      <c r="R17" s="105">
        <v>9540</v>
      </c>
      <c r="S17" s="106">
        <f>301+602</f>
        <v>903</v>
      </c>
      <c r="T17" s="105"/>
      <c r="U17" s="105"/>
      <c r="V17" s="105"/>
      <c r="W17" s="105"/>
      <c r="X17" s="105"/>
      <c r="Y17" s="110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12"/>
      <c r="AX17" s="104"/>
      <c r="AY17" s="105"/>
      <c r="AZ17" s="106"/>
      <c r="BA17" s="105"/>
      <c r="BB17" s="105"/>
      <c r="BC17" s="105"/>
      <c r="BD17" s="105"/>
      <c r="BE17" s="105"/>
      <c r="BF17" s="105"/>
      <c r="BG17" s="105"/>
      <c r="BH17" s="112"/>
      <c r="BI17" s="104"/>
      <c r="BJ17" s="105"/>
      <c r="BK17" s="105">
        <v>22310</v>
      </c>
      <c r="BL17" s="105"/>
      <c r="BM17" s="105"/>
      <c r="BN17" s="105"/>
      <c r="BO17" s="105"/>
      <c r="BP17" s="105"/>
      <c r="BQ17" s="112"/>
      <c r="BR17" s="105"/>
      <c r="BS17" s="105"/>
      <c r="BT17" s="121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12"/>
      <c r="CG17" s="121">
        <v>8</v>
      </c>
      <c r="CH17" s="105">
        <v>2</v>
      </c>
      <c r="CI17" s="105"/>
      <c r="CJ17" s="105"/>
      <c r="CK17" s="105"/>
      <c r="CL17" s="121"/>
      <c r="CM17" s="105"/>
      <c r="CN17" s="110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12"/>
      <c r="DM17" s="104"/>
      <c r="DN17" s="105"/>
      <c r="DO17" s="121"/>
      <c r="DP17" s="105"/>
      <c r="DQ17" s="105"/>
      <c r="DR17" s="105"/>
      <c r="DS17" s="105"/>
      <c r="DT17" s="105"/>
      <c r="DU17" s="105"/>
      <c r="DV17" s="105"/>
      <c r="DW17" s="112"/>
      <c r="DX17" s="104"/>
      <c r="DY17" s="105"/>
      <c r="DZ17" s="105">
        <v>22</v>
      </c>
      <c r="EA17" s="105"/>
      <c r="EB17" s="105"/>
      <c r="EC17" s="105"/>
      <c r="ED17" s="105"/>
      <c r="EE17" s="105"/>
      <c r="EF17" s="112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</row>
    <row r="18" spans="1:160" s="1" customFormat="1" ht="16.5" customHeight="1" x14ac:dyDescent="0.25">
      <c r="A18" s="18" t="e">
        <f>Lentilles!#REF!</f>
        <v>#REF!</v>
      </c>
      <c r="B18" s="20" t="e">
        <f>Lentilles!#REF!</f>
        <v>#REF!</v>
      </c>
      <c r="C18" s="104"/>
      <c r="D18" s="105"/>
      <c r="E18" s="105">
        <v>26800</v>
      </c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12"/>
      <c r="Q18" s="105"/>
      <c r="R18" s="105"/>
      <c r="S18" s="106">
        <v>29020</v>
      </c>
      <c r="T18" s="105"/>
      <c r="U18" s="105"/>
      <c r="V18" s="105"/>
      <c r="W18" s="105"/>
      <c r="X18" s="105"/>
      <c r="Y18" s="110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12"/>
      <c r="AX18" s="104"/>
      <c r="AY18" s="106"/>
      <c r="AZ18" s="106"/>
      <c r="BA18" s="106">
        <v>22090</v>
      </c>
      <c r="BB18" s="106"/>
      <c r="BC18" s="106"/>
      <c r="BD18" s="106"/>
      <c r="BE18" s="106"/>
      <c r="BF18" s="106"/>
      <c r="BG18" s="106"/>
      <c r="BH18" s="107"/>
      <c r="BI18" s="123"/>
      <c r="BJ18" s="106"/>
      <c r="BK18" s="106">
        <v>21850</v>
      </c>
      <c r="BL18" s="106"/>
      <c r="BM18" s="106"/>
      <c r="BN18" s="106"/>
      <c r="BO18" s="106"/>
      <c r="BP18" s="106"/>
      <c r="BQ18" s="107"/>
      <c r="BR18" s="104"/>
      <c r="BS18" s="105"/>
      <c r="BT18" s="121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12"/>
      <c r="CF18" s="121"/>
      <c r="CG18" s="122"/>
      <c r="CH18" s="105">
        <v>29</v>
      </c>
      <c r="CI18" s="105"/>
      <c r="CJ18" s="105"/>
      <c r="CK18" s="105"/>
      <c r="CL18" s="121"/>
      <c r="CM18" s="105"/>
      <c r="CN18" s="110"/>
      <c r="CO18" s="105"/>
      <c r="CP18" s="105"/>
      <c r="CQ18" s="105"/>
      <c r="CR18" s="105"/>
      <c r="CS18" s="105"/>
      <c r="CT18" s="105"/>
      <c r="CU18" s="105"/>
      <c r="CV18" s="105"/>
      <c r="CW18" s="105"/>
      <c r="CX18" s="105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5"/>
      <c r="DJ18" s="105"/>
      <c r="DK18" s="105"/>
      <c r="DL18" s="112"/>
      <c r="DM18" s="104"/>
      <c r="DN18" s="106"/>
      <c r="DO18" s="121"/>
      <c r="DP18" s="106">
        <v>22</v>
      </c>
      <c r="DQ18" s="106"/>
      <c r="DR18" s="106"/>
      <c r="DS18" s="106"/>
      <c r="DT18" s="106"/>
      <c r="DU18" s="106"/>
      <c r="DV18" s="106"/>
      <c r="DW18" s="107"/>
      <c r="DX18" s="123"/>
      <c r="DY18" s="106"/>
      <c r="DZ18" s="106">
        <v>22</v>
      </c>
      <c r="EA18" s="106"/>
      <c r="EB18" s="106"/>
      <c r="EC18" s="106"/>
      <c r="ED18" s="106"/>
      <c r="EE18" s="106"/>
      <c r="EF18" s="107"/>
      <c r="EG18" s="40"/>
      <c r="EH18" s="40"/>
      <c r="EI18" s="40"/>
      <c r="EJ18" s="40"/>
      <c r="EK18" s="40"/>
      <c r="EL18" s="40"/>
      <c r="EM18" s="40"/>
      <c r="EN18" s="40"/>
      <c r="EO18" s="40"/>
      <c r="EP18" s="40"/>
      <c r="EQ18" s="40"/>
      <c r="ER18" s="40"/>
      <c r="ES18" s="40"/>
      <c r="ET18" s="40"/>
      <c r="EU18" s="40"/>
      <c r="EV18" s="40"/>
      <c r="EW18" s="40"/>
      <c r="EX18" s="40"/>
      <c r="EY18" s="40"/>
      <c r="EZ18" s="40"/>
      <c r="FA18" s="40"/>
      <c r="FB18" s="40"/>
      <c r="FC18" s="40"/>
      <c r="FD18" s="40"/>
    </row>
    <row r="19" spans="1:160" s="1" customFormat="1" ht="16.5" customHeight="1" x14ac:dyDescent="0.25">
      <c r="A19" s="18" t="e">
        <f>Lentilles!#REF!</f>
        <v>#REF!</v>
      </c>
      <c r="B19" s="20" t="e">
        <f>Lentilles!#REF!</f>
        <v>#REF!</v>
      </c>
      <c r="C19" s="104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6"/>
      <c r="P19" s="112"/>
      <c r="Q19" s="105"/>
      <c r="R19" s="105"/>
      <c r="S19" s="106">
        <v>29020</v>
      </c>
      <c r="T19" s="105"/>
      <c r="U19" s="105"/>
      <c r="V19" s="105"/>
      <c r="W19" s="105"/>
      <c r="X19" s="105"/>
      <c r="Y19" s="110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12"/>
      <c r="AX19" s="104"/>
      <c r="AY19" s="105"/>
      <c r="AZ19" s="106">
        <v>21680</v>
      </c>
      <c r="BA19" s="105"/>
      <c r="BB19" s="105"/>
      <c r="BC19" s="105"/>
      <c r="BD19" s="105"/>
      <c r="BE19" s="105"/>
      <c r="BF19" s="105"/>
      <c r="BG19" s="105"/>
      <c r="BH19" s="112"/>
      <c r="BI19" s="104"/>
      <c r="BJ19" s="105"/>
      <c r="BK19" s="105"/>
      <c r="BL19" s="105"/>
      <c r="BM19" s="105"/>
      <c r="BN19" s="106"/>
      <c r="BO19" s="106"/>
      <c r="BP19" s="105"/>
      <c r="BQ19" s="112"/>
      <c r="BR19" s="104"/>
      <c r="BS19" s="105"/>
      <c r="BT19" s="121"/>
      <c r="BU19" s="105"/>
      <c r="BV19" s="105"/>
      <c r="BW19" s="105"/>
      <c r="BX19" s="105"/>
      <c r="BY19" s="105"/>
      <c r="BZ19" s="105"/>
      <c r="CA19" s="105"/>
      <c r="CB19" s="105"/>
      <c r="CC19" s="105"/>
      <c r="CD19" s="106"/>
      <c r="CE19" s="112"/>
      <c r="CF19" s="121"/>
      <c r="CG19" s="122"/>
      <c r="CH19" s="105">
        <v>29</v>
      </c>
      <c r="CI19" s="105"/>
      <c r="CJ19" s="105"/>
      <c r="CK19" s="105"/>
      <c r="CL19" s="121"/>
      <c r="CM19" s="105"/>
      <c r="CN19" s="110"/>
      <c r="CO19" s="105"/>
      <c r="CP19" s="105"/>
      <c r="CQ19" s="105"/>
      <c r="CR19" s="105"/>
      <c r="CS19" s="105"/>
      <c r="CT19" s="105"/>
      <c r="CU19" s="105"/>
      <c r="CV19" s="105"/>
      <c r="CW19" s="105"/>
      <c r="CX19" s="105"/>
      <c r="CY19" s="105"/>
      <c r="CZ19" s="105"/>
      <c r="DA19" s="105"/>
      <c r="DB19" s="105"/>
      <c r="DC19" s="105"/>
      <c r="DD19" s="105"/>
      <c r="DE19" s="105"/>
      <c r="DF19" s="105"/>
      <c r="DG19" s="105"/>
      <c r="DH19" s="105"/>
      <c r="DI19" s="105"/>
      <c r="DJ19" s="105"/>
      <c r="DK19" s="105"/>
      <c r="DL19" s="112"/>
      <c r="DM19" s="104"/>
      <c r="DN19" s="105"/>
      <c r="DO19" s="121">
        <v>24</v>
      </c>
      <c r="DP19" s="105"/>
      <c r="DQ19" s="105"/>
      <c r="DR19" s="105"/>
      <c r="DS19" s="105"/>
      <c r="DT19" s="105"/>
      <c r="DU19" s="105"/>
      <c r="DV19" s="105"/>
      <c r="DW19" s="112"/>
      <c r="DX19" s="104"/>
      <c r="DY19" s="105"/>
      <c r="DZ19" s="105"/>
      <c r="EA19" s="105"/>
      <c r="EB19" s="105"/>
      <c r="EC19" s="106"/>
      <c r="ED19" s="106"/>
      <c r="EE19" s="105"/>
      <c r="EF19" s="112"/>
      <c r="EG19" s="40"/>
      <c r="EH19" s="40"/>
      <c r="EI19" s="40"/>
      <c r="EJ19" s="40"/>
      <c r="EK19" s="40"/>
      <c r="EL19" s="40"/>
      <c r="EM19" s="40"/>
      <c r="EN19" s="40"/>
      <c r="EO19" s="40"/>
      <c r="EP19" s="40"/>
      <c r="EQ19" s="40"/>
      <c r="ER19" s="40"/>
      <c r="ES19" s="40"/>
      <c r="ET19" s="40"/>
      <c r="EU19" s="40"/>
      <c r="EV19" s="40"/>
      <c r="EW19" s="40"/>
      <c r="EX19" s="40"/>
      <c r="EY19" s="40"/>
      <c r="EZ19" s="40"/>
      <c r="FA19" s="40"/>
      <c r="FB19" s="40"/>
      <c r="FC19" s="40"/>
      <c r="FD19" s="40"/>
    </row>
    <row r="20" spans="1:160" s="1" customFormat="1" ht="16.5" customHeight="1" x14ac:dyDescent="0.25">
      <c r="A20" s="18" t="e">
        <f>Lentilles!#REF!</f>
        <v>#REF!</v>
      </c>
      <c r="B20" s="20" t="e">
        <f>Lentilles!#REF!</f>
        <v>#REF!</v>
      </c>
      <c r="C20" s="104">
        <v>2180</v>
      </c>
      <c r="D20" s="105"/>
      <c r="E20" s="105"/>
      <c r="F20" s="105">
        <v>21620</v>
      </c>
      <c r="G20" s="105"/>
      <c r="H20" s="105"/>
      <c r="I20" s="105"/>
      <c r="J20" s="105"/>
      <c r="K20" s="105"/>
      <c r="L20" s="105"/>
      <c r="M20" s="105"/>
      <c r="N20" s="105"/>
      <c r="O20" s="106"/>
      <c r="P20" s="112"/>
      <c r="Q20" s="105">
        <f>11930+23880</f>
        <v>35810</v>
      </c>
      <c r="R20" s="105"/>
      <c r="S20" s="106"/>
      <c r="T20" s="105"/>
      <c r="U20" s="105"/>
      <c r="V20" s="105"/>
      <c r="W20" s="105"/>
      <c r="X20" s="105"/>
      <c r="Y20" s="110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12"/>
      <c r="AX20" s="104"/>
      <c r="AY20" s="105"/>
      <c r="AZ20" s="106"/>
      <c r="BA20" s="105"/>
      <c r="BB20" s="105"/>
      <c r="BC20" s="105"/>
      <c r="BD20" s="105"/>
      <c r="BE20" s="105"/>
      <c r="BF20" s="105"/>
      <c r="BG20" s="105"/>
      <c r="BH20" s="112"/>
      <c r="BI20" s="104"/>
      <c r="BJ20" s="105"/>
      <c r="BK20" s="105"/>
      <c r="BL20" s="105"/>
      <c r="BM20" s="105"/>
      <c r="BN20" s="106"/>
      <c r="BO20" s="106"/>
      <c r="BP20" s="105"/>
      <c r="BQ20" s="112"/>
      <c r="BR20" s="104">
        <v>2</v>
      </c>
      <c r="BS20" s="105"/>
      <c r="BT20" s="121"/>
      <c r="BU20" s="105"/>
      <c r="BV20" s="105"/>
      <c r="BW20" s="105"/>
      <c r="BX20" s="105"/>
      <c r="BY20" s="105"/>
      <c r="BZ20" s="105"/>
      <c r="CA20" s="105"/>
      <c r="CB20" s="105"/>
      <c r="CC20" s="105"/>
      <c r="CD20" s="106"/>
      <c r="CE20" s="112"/>
      <c r="CF20" s="122">
        <f>10+20</f>
        <v>30</v>
      </c>
      <c r="CG20" s="122"/>
      <c r="CH20" s="105"/>
      <c r="CI20" s="105"/>
      <c r="CJ20" s="105"/>
      <c r="CK20" s="105"/>
      <c r="CL20" s="121"/>
      <c r="CM20" s="105"/>
      <c r="CN20" s="110"/>
      <c r="CO20" s="105"/>
      <c r="CP20" s="105"/>
      <c r="CQ20" s="105"/>
      <c r="CR20" s="105"/>
      <c r="CS20" s="105"/>
      <c r="CT20" s="105"/>
      <c r="CU20" s="105"/>
      <c r="CV20" s="105"/>
      <c r="CW20" s="105"/>
      <c r="CX20" s="105"/>
      <c r="CY20" s="105"/>
      <c r="CZ20" s="105"/>
      <c r="DA20" s="105"/>
      <c r="DB20" s="105"/>
      <c r="DC20" s="105"/>
      <c r="DD20" s="105"/>
      <c r="DE20" s="105"/>
      <c r="DF20" s="105"/>
      <c r="DG20" s="105"/>
      <c r="DH20" s="105"/>
      <c r="DI20" s="105"/>
      <c r="DJ20" s="105"/>
      <c r="DK20" s="105"/>
      <c r="DL20" s="112"/>
      <c r="DM20" s="104"/>
      <c r="DN20" s="105"/>
      <c r="DO20" s="121"/>
      <c r="DP20" s="105"/>
      <c r="DQ20" s="105"/>
      <c r="DR20" s="105"/>
      <c r="DS20" s="105"/>
      <c r="DT20" s="105"/>
      <c r="DU20" s="105"/>
      <c r="DV20" s="105"/>
      <c r="DW20" s="112"/>
      <c r="DX20" s="104"/>
      <c r="DY20" s="105"/>
      <c r="DZ20" s="105"/>
      <c r="EA20" s="105"/>
      <c r="EB20" s="105"/>
      <c r="EC20" s="106"/>
      <c r="ED20" s="106"/>
      <c r="EE20" s="105"/>
      <c r="EF20" s="112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</row>
    <row r="21" spans="1:160" s="1" customFormat="1" ht="15.75" customHeight="1" x14ac:dyDescent="0.25">
      <c r="A21" s="18" t="e">
        <f>Lentilles!#REF!</f>
        <v>#REF!</v>
      </c>
      <c r="B21" s="20" t="e">
        <f>Lentilles!#REF!</f>
        <v>#REF!</v>
      </c>
      <c r="C21" s="104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12"/>
      <c r="Q21" s="105"/>
      <c r="R21" s="105"/>
      <c r="S21" s="106"/>
      <c r="T21" s="105"/>
      <c r="U21" s="105"/>
      <c r="V21" s="105"/>
      <c r="W21" s="105"/>
      <c r="X21" s="105"/>
      <c r="Y21" s="110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12"/>
      <c r="AX21" s="104"/>
      <c r="AY21" s="105"/>
      <c r="AZ21" s="106"/>
      <c r="BA21" s="105"/>
      <c r="BB21" s="105"/>
      <c r="BC21" s="105"/>
      <c r="BD21" s="105"/>
      <c r="BE21" s="105"/>
      <c r="BF21" s="105"/>
      <c r="BG21" s="105"/>
      <c r="BH21" s="112"/>
      <c r="BI21" s="104"/>
      <c r="BJ21" s="105"/>
      <c r="BK21" s="105"/>
      <c r="BL21" s="105"/>
      <c r="BM21" s="105"/>
      <c r="BN21" s="106"/>
      <c r="BO21" s="106"/>
      <c r="BP21" s="105"/>
      <c r="BQ21" s="112"/>
      <c r="BR21" s="104"/>
      <c r="BS21" s="105"/>
      <c r="BT21" s="121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12"/>
      <c r="CF21" s="121"/>
      <c r="CG21" s="122"/>
      <c r="CH21" s="105"/>
      <c r="CI21" s="105"/>
      <c r="CJ21" s="105"/>
      <c r="CK21" s="105"/>
      <c r="CL21" s="121"/>
      <c r="CM21" s="105"/>
      <c r="CN21" s="110"/>
      <c r="CO21" s="105"/>
      <c r="CP21" s="105"/>
      <c r="CQ21" s="105"/>
      <c r="CR21" s="105"/>
      <c r="CS21" s="105"/>
      <c r="CT21" s="105"/>
      <c r="CU21" s="105"/>
      <c r="CV21" s="105"/>
      <c r="CW21" s="105"/>
      <c r="CX21" s="105"/>
      <c r="CY21" s="105"/>
      <c r="CZ21" s="105"/>
      <c r="DA21" s="105"/>
      <c r="DB21" s="105"/>
      <c r="DC21" s="105"/>
      <c r="DD21" s="105"/>
      <c r="DE21" s="105"/>
      <c r="DF21" s="105"/>
      <c r="DG21" s="105"/>
      <c r="DH21" s="105"/>
      <c r="DI21" s="105"/>
      <c r="DJ21" s="105"/>
      <c r="DK21" s="105"/>
      <c r="DL21" s="112"/>
      <c r="DM21" s="104"/>
      <c r="DN21" s="105"/>
      <c r="DO21" s="121"/>
      <c r="DP21" s="105"/>
      <c r="DQ21" s="105"/>
      <c r="DR21" s="105"/>
      <c r="DS21" s="105"/>
      <c r="DT21" s="105"/>
      <c r="DU21" s="105"/>
      <c r="DV21" s="105"/>
      <c r="DW21" s="112"/>
      <c r="DX21" s="104"/>
      <c r="DY21" s="105"/>
      <c r="DZ21" s="105"/>
      <c r="EA21" s="105"/>
      <c r="EB21" s="105"/>
      <c r="EC21" s="106"/>
      <c r="ED21" s="106"/>
      <c r="EE21" s="105"/>
      <c r="EF21" s="112"/>
      <c r="EG21" s="40"/>
      <c r="EH21" s="40"/>
      <c r="EI21" s="40"/>
      <c r="EJ21" s="40"/>
      <c r="EK21" s="40"/>
      <c r="EL21" s="40"/>
      <c r="EM21" s="40"/>
      <c r="EN21" s="40"/>
      <c r="EO21" s="40"/>
      <c r="EP21" s="40"/>
      <c r="EQ21" s="40"/>
      <c r="ER21" s="40"/>
      <c r="ES21" s="40"/>
      <c r="ET21" s="40"/>
      <c r="EU21" s="40"/>
      <c r="EV21" s="40"/>
      <c r="EW21" s="40"/>
      <c r="EX21" s="40"/>
      <c r="EY21" s="40"/>
      <c r="EZ21" s="40"/>
      <c r="FA21" s="40"/>
      <c r="FB21" s="40"/>
      <c r="FC21" s="40"/>
      <c r="FD21" s="40"/>
    </row>
    <row r="22" spans="1:160" s="1" customFormat="1" ht="16.5" customHeight="1" x14ac:dyDescent="0.25">
      <c r="A22" s="18" t="e">
        <f>Lentilles!#REF!</f>
        <v>#REF!</v>
      </c>
      <c r="B22" s="20" t="e">
        <f>Lentilles!#REF!</f>
        <v>#REF!</v>
      </c>
      <c r="C22" s="104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12"/>
      <c r="Q22" s="105"/>
      <c r="R22" s="105"/>
      <c r="S22" s="106"/>
      <c r="T22" s="105"/>
      <c r="U22" s="105"/>
      <c r="V22" s="105"/>
      <c r="W22" s="105"/>
      <c r="X22" s="105"/>
      <c r="Y22" s="110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12"/>
      <c r="AX22" s="104"/>
      <c r="AY22" s="105"/>
      <c r="AZ22" s="106"/>
      <c r="BA22" s="105"/>
      <c r="BB22" s="105"/>
      <c r="BC22" s="105"/>
      <c r="BD22" s="105"/>
      <c r="BE22" s="105"/>
      <c r="BF22" s="105"/>
      <c r="BG22" s="105"/>
      <c r="BH22" s="112"/>
      <c r="BI22" s="104"/>
      <c r="BJ22" s="105"/>
      <c r="BK22" s="105"/>
      <c r="BL22" s="105"/>
      <c r="BM22" s="105"/>
      <c r="BN22" s="106"/>
      <c r="BO22" s="106"/>
      <c r="BP22" s="105"/>
      <c r="BQ22" s="112"/>
      <c r="BR22" s="104"/>
      <c r="BS22" s="105"/>
      <c r="BT22" s="121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12"/>
      <c r="CF22" s="121"/>
      <c r="CG22" s="122"/>
      <c r="CH22" s="105"/>
      <c r="CI22" s="105"/>
      <c r="CJ22" s="105"/>
      <c r="CK22" s="105"/>
      <c r="CL22" s="121"/>
      <c r="CM22" s="105"/>
      <c r="CN22" s="110"/>
      <c r="CO22" s="105"/>
      <c r="CP22" s="105"/>
      <c r="CQ22" s="105"/>
      <c r="CR22" s="105"/>
      <c r="CS22" s="105"/>
      <c r="CT22" s="105"/>
      <c r="CU22" s="105"/>
      <c r="CV22" s="105"/>
      <c r="CW22" s="105"/>
      <c r="CX22" s="105"/>
      <c r="CY22" s="105"/>
      <c r="CZ22" s="105"/>
      <c r="DA22" s="105"/>
      <c r="DB22" s="105"/>
      <c r="DC22" s="105"/>
      <c r="DD22" s="105"/>
      <c r="DE22" s="105"/>
      <c r="DF22" s="105"/>
      <c r="DG22" s="105"/>
      <c r="DH22" s="105"/>
      <c r="DI22" s="105"/>
      <c r="DJ22" s="105"/>
      <c r="DK22" s="105"/>
      <c r="DL22" s="112"/>
      <c r="DM22" s="104"/>
      <c r="DN22" s="105"/>
      <c r="DO22" s="121"/>
      <c r="DP22" s="105"/>
      <c r="DQ22" s="105"/>
      <c r="DR22" s="105"/>
      <c r="DS22" s="105"/>
      <c r="DT22" s="105"/>
      <c r="DU22" s="105"/>
      <c r="DV22" s="105"/>
      <c r="DW22" s="112"/>
      <c r="DX22" s="104"/>
      <c r="DY22" s="105"/>
      <c r="DZ22" s="105"/>
      <c r="EA22" s="105"/>
      <c r="EB22" s="105"/>
      <c r="EC22" s="106"/>
      <c r="ED22" s="106"/>
      <c r="EE22" s="105"/>
      <c r="EF22" s="112"/>
      <c r="EG22" s="40"/>
      <c r="EH22" s="40"/>
      <c r="EI22" s="40"/>
      <c r="EJ22" s="40"/>
      <c r="EK22" s="40"/>
      <c r="EL22" s="40"/>
      <c r="EM22" s="40"/>
      <c r="EN22" s="40"/>
      <c r="EO22" s="40"/>
      <c r="EP22" s="40"/>
      <c r="EQ22" s="40"/>
      <c r="ER22" s="40"/>
      <c r="ES22" s="40"/>
      <c r="ET22" s="40"/>
      <c r="EU22" s="40"/>
      <c r="EV22" s="40"/>
      <c r="EW22" s="40"/>
      <c r="EX22" s="40"/>
      <c r="EY22" s="40"/>
      <c r="EZ22" s="40"/>
      <c r="FA22" s="40"/>
      <c r="FB22" s="40"/>
      <c r="FC22" s="40"/>
      <c r="FD22" s="40"/>
    </row>
    <row r="23" spans="1:160" s="1" customFormat="1" ht="16.95" customHeight="1" x14ac:dyDescent="0.25">
      <c r="A23" s="18" t="e">
        <f>Lentilles!#REF!</f>
        <v>#REF!</v>
      </c>
      <c r="B23" s="20" t="e">
        <f>Lentilles!#REF!</f>
        <v>#REF!</v>
      </c>
      <c r="C23" s="104"/>
      <c r="D23" s="105"/>
      <c r="E23" s="105">
        <v>22430</v>
      </c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12"/>
      <c r="Q23" s="105">
        <v>23920</v>
      </c>
      <c r="R23" s="105"/>
      <c r="S23" s="106">
        <v>26400</v>
      </c>
      <c r="T23" s="105"/>
      <c r="U23" s="105"/>
      <c r="V23" s="105"/>
      <c r="W23" s="105"/>
      <c r="X23" s="105"/>
      <c r="Y23" s="110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12"/>
      <c r="AX23" s="104"/>
      <c r="AY23" s="105"/>
      <c r="AZ23" s="106"/>
      <c r="BA23" s="105"/>
      <c r="BB23" s="105"/>
      <c r="BC23" s="105"/>
      <c r="BD23" s="105"/>
      <c r="BE23" s="105"/>
      <c r="BF23" s="105"/>
      <c r="BG23" s="105"/>
      <c r="BH23" s="112"/>
      <c r="BI23" s="104"/>
      <c r="BJ23" s="105"/>
      <c r="BK23" s="105"/>
      <c r="BL23" s="105"/>
      <c r="BM23" s="105"/>
      <c r="BN23" s="106"/>
      <c r="BO23" s="106"/>
      <c r="BP23" s="105"/>
      <c r="BQ23" s="112"/>
      <c r="BR23" s="104"/>
      <c r="BS23" s="105"/>
      <c r="BT23" s="121">
        <v>24</v>
      </c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12"/>
      <c r="CF23" s="121">
        <v>20</v>
      </c>
      <c r="CG23" s="122"/>
      <c r="CH23" s="105">
        <v>29</v>
      </c>
      <c r="CI23" s="105"/>
      <c r="CJ23" s="105"/>
      <c r="CK23" s="105"/>
      <c r="CL23" s="121"/>
      <c r="CM23" s="105"/>
      <c r="CN23" s="110"/>
      <c r="CO23" s="105"/>
      <c r="CP23" s="105"/>
      <c r="CQ23" s="105"/>
      <c r="CR23" s="105"/>
      <c r="CS23" s="105"/>
      <c r="CT23" s="105"/>
      <c r="CU23" s="105"/>
      <c r="CV23" s="105"/>
      <c r="CW23" s="105"/>
      <c r="CX23" s="105"/>
      <c r="CY23" s="105"/>
      <c r="CZ23" s="105"/>
      <c r="DA23" s="105"/>
      <c r="DB23" s="105"/>
      <c r="DC23" s="105"/>
      <c r="DD23" s="105"/>
      <c r="DE23" s="105"/>
      <c r="DF23" s="105"/>
      <c r="DG23" s="105"/>
      <c r="DH23" s="105"/>
      <c r="DI23" s="105"/>
      <c r="DJ23" s="105"/>
      <c r="DK23" s="105"/>
      <c r="DL23" s="112"/>
      <c r="DM23" s="104"/>
      <c r="DN23" s="105"/>
      <c r="DO23" s="121"/>
      <c r="DP23" s="105"/>
      <c r="DQ23" s="105"/>
      <c r="DR23" s="105"/>
      <c r="DS23" s="105"/>
      <c r="DT23" s="105"/>
      <c r="DU23" s="105"/>
      <c r="DV23" s="105"/>
      <c r="DW23" s="112"/>
      <c r="DX23" s="104"/>
      <c r="DY23" s="105"/>
      <c r="DZ23" s="105"/>
      <c r="EA23" s="105"/>
      <c r="EB23" s="105"/>
      <c r="EC23" s="106"/>
      <c r="ED23" s="106"/>
      <c r="EE23" s="105"/>
      <c r="EF23" s="112"/>
      <c r="EG23" s="40"/>
      <c r="EH23" s="40"/>
      <c r="EI23" s="40"/>
      <c r="EJ23" s="40"/>
      <c r="EK23" s="40"/>
      <c r="EL23" s="40"/>
      <c r="EM23" s="40"/>
      <c r="EN23" s="40"/>
      <c r="EO23" s="40"/>
      <c r="EP23" s="40"/>
      <c r="EQ23" s="40"/>
      <c r="ER23" s="40"/>
      <c r="ES23" s="40"/>
      <c r="ET23" s="40"/>
      <c r="EU23" s="40"/>
      <c r="EV23" s="40"/>
      <c r="EW23" s="40"/>
      <c r="EX23" s="40"/>
      <c r="EY23" s="40"/>
      <c r="EZ23" s="40"/>
      <c r="FA23" s="40"/>
      <c r="FB23" s="40"/>
      <c r="FC23" s="40"/>
      <c r="FD23" s="40"/>
    </row>
    <row r="24" spans="1:160" s="1" customFormat="1" ht="16.5" customHeight="1" x14ac:dyDescent="0.25">
      <c r="A24" s="18" t="e">
        <f>Lentilles!#REF!</f>
        <v>#REF!</v>
      </c>
      <c r="B24" s="20" t="e">
        <f>Lentilles!#REF!</f>
        <v>#REF!</v>
      </c>
      <c r="C24" s="104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12"/>
      <c r="Q24" s="105">
        <v>23800</v>
      </c>
      <c r="R24" s="105"/>
      <c r="T24" s="105"/>
      <c r="U24" s="105"/>
      <c r="V24" s="105"/>
      <c r="W24" s="105"/>
      <c r="X24" s="105"/>
      <c r="Y24" s="110"/>
      <c r="Z24" s="106"/>
      <c r="AA24" s="105"/>
      <c r="AB24" s="106"/>
      <c r="AC24" s="105"/>
      <c r="AD24" s="105"/>
      <c r="AE24" s="105"/>
      <c r="AF24" s="105"/>
      <c r="AG24" s="105"/>
      <c r="AH24" s="105"/>
      <c r="AI24" s="106"/>
      <c r="AJ24" s="106"/>
      <c r="AK24" s="106"/>
      <c r="AL24" s="106"/>
      <c r="AM24" s="106"/>
      <c r="AN24" s="105"/>
      <c r="AO24" s="106"/>
      <c r="AP24" s="105"/>
      <c r="AQ24" s="105"/>
      <c r="AR24" s="105"/>
      <c r="AS24" s="106"/>
      <c r="AT24" s="105"/>
      <c r="AU24" s="106"/>
      <c r="AV24" s="105"/>
      <c r="AW24" s="112"/>
      <c r="AX24" s="123"/>
      <c r="AY24" s="105"/>
      <c r="AZ24" s="106"/>
      <c r="BA24" s="106"/>
      <c r="BB24" s="106"/>
      <c r="BC24" s="106"/>
      <c r="BD24" s="106"/>
      <c r="BE24" s="106"/>
      <c r="BF24" s="106"/>
      <c r="BG24" s="106"/>
      <c r="BH24" s="107"/>
      <c r="BI24" s="123"/>
      <c r="BJ24" s="106"/>
      <c r="BK24" s="106"/>
      <c r="BL24" s="106"/>
      <c r="BM24" s="106"/>
      <c r="BN24" s="106"/>
      <c r="BO24" s="106"/>
      <c r="BP24" s="106"/>
      <c r="BQ24" s="107"/>
      <c r="BR24" s="104"/>
      <c r="BS24" s="105"/>
      <c r="BT24" s="121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12"/>
      <c r="CF24" s="121">
        <v>20</v>
      </c>
      <c r="CG24" s="122"/>
      <c r="CI24" s="105"/>
      <c r="CJ24" s="105"/>
      <c r="CK24" s="105"/>
      <c r="CL24" s="121"/>
      <c r="CM24" s="105"/>
      <c r="CN24" s="110"/>
      <c r="CO24" s="106"/>
      <c r="CP24" s="105"/>
      <c r="CQ24" s="106"/>
      <c r="CR24" s="105"/>
      <c r="CS24" s="105"/>
      <c r="CT24" s="105"/>
      <c r="CU24" s="105"/>
      <c r="CV24" s="105"/>
      <c r="CW24" s="105"/>
      <c r="CX24" s="106"/>
      <c r="CY24" s="106"/>
      <c r="CZ24" s="106"/>
      <c r="DA24" s="106"/>
      <c r="DB24" s="106"/>
      <c r="DC24" s="105"/>
      <c r="DD24" s="106"/>
      <c r="DE24" s="105"/>
      <c r="DF24" s="105"/>
      <c r="DG24" s="105"/>
      <c r="DH24" s="106"/>
      <c r="DI24" s="105"/>
      <c r="DJ24" s="106"/>
      <c r="DK24" s="105"/>
      <c r="DL24" s="112"/>
      <c r="DM24" s="123"/>
      <c r="DN24" s="105"/>
      <c r="DO24" s="121"/>
      <c r="DP24" s="106"/>
      <c r="DQ24" s="106"/>
      <c r="DR24" s="106"/>
      <c r="DS24" s="106"/>
      <c r="DT24" s="106"/>
      <c r="DU24" s="106"/>
      <c r="DV24" s="106"/>
      <c r="DW24" s="107"/>
      <c r="DX24" s="123"/>
      <c r="DY24" s="106"/>
      <c r="DZ24" s="106"/>
      <c r="EA24" s="106"/>
      <c r="EB24" s="106"/>
      <c r="EC24" s="106"/>
      <c r="ED24" s="106"/>
      <c r="EE24" s="106"/>
      <c r="EF24" s="107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</row>
    <row r="25" spans="1:160" s="1" customFormat="1" ht="16.5" customHeight="1" x14ac:dyDescent="0.25">
      <c r="A25" s="18" t="e">
        <f>Lentilles!#REF!</f>
        <v>#REF!</v>
      </c>
      <c r="B25" s="20" t="e">
        <f>Lentilles!#REF!</f>
        <v>#REF!</v>
      </c>
      <c r="C25" s="104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12"/>
      <c r="Q25" s="105"/>
      <c r="R25" s="105"/>
      <c r="S25" s="106">
        <f>21820+28660</f>
        <v>50480</v>
      </c>
      <c r="T25" s="105"/>
      <c r="U25" s="105">
        <v>23940</v>
      </c>
      <c r="V25" s="105"/>
      <c r="W25" s="105"/>
      <c r="X25" s="105"/>
      <c r="Y25" s="110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12"/>
      <c r="AX25" s="104"/>
      <c r="AY25" s="106"/>
      <c r="AZ25" s="106"/>
      <c r="BA25" s="106"/>
      <c r="BB25" s="106"/>
      <c r="BC25" s="106"/>
      <c r="BD25" s="106"/>
      <c r="BE25" s="106"/>
      <c r="BF25" s="106"/>
      <c r="BG25" s="106"/>
      <c r="BH25" s="107"/>
      <c r="BI25" s="123"/>
      <c r="BJ25" s="106"/>
      <c r="BK25" s="106">
        <f>25410+21340+21660</f>
        <v>68410</v>
      </c>
      <c r="BL25" s="106"/>
      <c r="BM25" s="106"/>
      <c r="BN25" s="106"/>
      <c r="BO25" s="106"/>
      <c r="BP25" s="106"/>
      <c r="BQ25" s="107"/>
      <c r="BR25" s="104"/>
      <c r="BS25" s="105"/>
      <c r="BT25" s="121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12"/>
      <c r="CF25" s="121"/>
      <c r="CG25" s="122"/>
      <c r="CH25" s="105">
        <f>29+23</f>
        <v>52</v>
      </c>
      <c r="CI25" s="105"/>
      <c r="CJ25" s="105">
        <v>20</v>
      </c>
      <c r="CK25" s="105"/>
      <c r="CL25" s="121"/>
      <c r="CM25" s="105"/>
      <c r="CN25" s="110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105"/>
      <c r="DG25" s="105"/>
      <c r="DH25" s="105"/>
      <c r="DI25" s="105"/>
      <c r="DJ25" s="105"/>
      <c r="DK25" s="105"/>
      <c r="DL25" s="112"/>
      <c r="DM25" s="104"/>
      <c r="DN25" s="106"/>
      <c r="DO25" s="121"/>
      <c r="DP25" s="106"/>
      <c r="DQ25" s="106"/>
      <c r="DR25" s="106"/>
      <c r="DS25" s="106"/>
      <c r="DT25" s="106"/>
      <c r="DU25" s="106"/>
      <c r="DV25" s="106"/>
      <c r="DW25" s="107"/>
      <c r="DX25" s="123"/>
      <c r="DY25" s="106"/>
      <c r="DZ25" s="106">
        <f>20+20+22</f>
        <v>62</v>
      </c>
      <c r="EA25" s="106"/>
      <c r="EB25" s="106"/>
      <c r="EC25" s="106"/>
      <c r="ED25" s="106"/>
      <c r="EE25" s="106"/>
      <c r="EF25" s="107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</row>
    <row r="26" spans="1:160" s="1" customFormat="1" ht="16.5" customHeight="1" x14ac:dyDescent="0.25">
      <c r="A26" s="18" t="e">
        <f>Lentilles!#REF!</f>
        <v>#REF!</v>
      </c>
      <c r="B26" s="20" t="e">
        <f>Lentilles!#REF!</f>
        <v>#REF!</v>
      </c>
      <c r="C26" s="104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12"/>
      <c r="Q26" s="105"/>
      <c r="R26" s="105"/>
      <c r="S26" s="106">
        <v>23040</v>
      </c>
      <c r="T26" s="105"/>
      <c r="U26" s="105">
        <v>23900</v>
      </c>
      <c r="V26" s="105"/>
      <c r="W26" s="105"/>
      <c r="X26" s="105"/>
      <c r="Y26" s="110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12"/>
      <c r="AX26" s="104"/>
      <c r="AY26" s="105"/>
      <c r="AZ26" s="106"/>
      <c r="BA26" s="105">
        <v>21130</v>
      </c>
      <c r="BB26" s="105"/>
      <c r="BC26" s="105"/>
      <c r="BD26" s="105"/>
      <c r="BE26" s="105"/>
      <c r="BF26" s="105"/>
      <c r="BG26" s="105"/>
      <c r="BH26" s="112"/>
      <c r="BI26" s="104"/>
      <c r="BJ26" s="105"/>
      <c r="BK26" s="105"/>
      <c r="BL26" s="105"/>
      <c r="BM26" s="105"/>
      <c r="BN26" s="106"/>
      <c r="BO26" s="106"/>
      <c r="BP26" s="105"/>
      <c r="BQ26" s="112"/>
      <c r="BR26" s="104"/>
      <c r="BS26" s="105"/>
      <c r="BT26" s="121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12"/>
      <c r="CF26" s="121">
        <v>10</v>
      </c>
      <c r="CG26" s="122"/>
      <c r="CH26" s="122">
        <v>24</v>
      </c>
      <c r="CI26" s="105"/>
      <c r="CJ26" s="105">
        <v>20</v>
      </c>
      <c r="CK26" s="105"/>
      <c r="CL26" s="121"/>
      <c r="CM26" s="105"/>
      <c r="CN26" s="105"/>
      <c r="CP26" s="105"/>
      <c r="CQ26" s="105"/>
      <c r="CR26" s="105"/>
      <c r="CS26" s="105"/>
      <c r="CT26" s="105"/>
      <c r="CU26" s="105"/>
      <c r="CV26" s="105"/>
      <c r="CW26" s="105"/>
      <c r="CX26" s="105"/>
      <c r="CY26" s="105"/>
      <c r="CZ26" s="105"/>
      <c r="DA26" s="105"/>
      <c r="DB26" s="105"/>
      <c r="DC26" s="105"/>
      <c r="DD26" s="105"/>
      <c r="DE26" s="105"/>
      <c r="DF26" s="105"/>
      <c r="DG26" s="105"/>
      <c r="DH26" s="105"/>
      <c r="DI26" s="105"/>
      <c r="DJ26" s="105"/>
      <c r="DK26" s="105"/>
      <c r="DL26" s="112"/>
      <c r="DM26" s="104"/>
      <c r="DN26" s="105"/>
      <c r="DO26" s="121"/>
      <c r="DP26" s="105">
        <v>22</v>
      </c>
      <c r="DQ26" s="105"/>
      <c r="DR26" s="105"/>
      <c r="DS26" s="105"/>
      <c r="DT26" s="105"/>
      <c r="DU26" s="105"/>
      <c r="DV26" s="105"/>
      <c r="DW26" s="112"/>
      <c r="DX26" s="104"/>
      <c r="DY26" s="105"/>
      <c r="DZ26" s="105"/>
      <c r="EA26" s="105"/>
      <c r="EB26" s="105"/>
      <c r="EC26" s="106"/>
      <c r="ED26" s="106"/>
      <c r="EE26" s="105"/>
      <c r="EF26" s="112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</row>
    <row r="27" spans="1:160" s="1" customFormat="1" ht="16.5" customHeight="1" x14ac:dyDescent="0.25">
      <c r="A27" s="18" t="e">
        <f>Lentilles!#REF!</f>
        <v>#REF!</v>
      </c>
      <c r="B27" s="20" t="e">
        <f>Lentilles!#REF!</f>
        <v>#REF!</v>
      </c>
      <c r="C27" s="104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12"/>
      <c r="Q27" s="105">
        <f>11970+23920</f>
        <v>35890</v>
      </c>
      <c r="R27" s="105"/>
      <c r="S27" s="106">
        <v>23940</v>
      </c>
      <c r="T27" s="105"/>
      <c r="U27" s="105"/>
      <c r="V27" s="105"/>
      <c r="W27" s="105"/>
      <c r="X27" s="105"/>
      <c r="Y27" s="110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12"/>
      <c r="AX27" s="159"/>
      <c r="AY27" s="105"/>
      <c r="AZ27" s="105"/>
      <c r="BA27" s="105"/>
      <c r="BB27" s="105"/>
      <c r="BC27" s="105"/>
      <c r="BD27" s="105"/>
      <c r="BE27" s="105"/>
      <c r="BF27" s="105"/>
      <c r="BG27" s="105"/>
      <c r="BH27" s="112"/>
      <c r="BI27" s="104"/>
      <c r="BJ27" s="105"/>
      <c r="BK27" s="105"/>
      <c r="BL27" s="105"/>
      <c r="BM27" s="105"/>
      <c r="BN27" s="106"/>
      <c r="BO27" s="106"/>
      <c r="BP27" s="105"/>
      <c r="BQ27" s="112"/>
      <c r="BR27" s="104"/>
      <c r="BS27" s="105"/>
      <c r="BT27" s="121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12"/>
      <c r="CF27" s="121">
        <v>20</v>
      </c>
      <c r="CG27" s="122"/>
      <c r="CH27" s="105">
        <v>24</v>
      </c>
      <c r="CI27" s="105"/>
      <c r="CJ27" s="105"/>
      <c r="CK27" s="105"/>
      <c r="CL27" s="121"/>
      <c r="CM27" s="105"/>
      <c r="CN27" s="110"/>
      <c r="CO27" s="105"/>
      <c r="CP27" s="105"/>
      <c r="CQ27" s="105"/>
      <c r="CR27" s="105"/>
      <c r="CS27" s="105"/>
      <c r="CT27" s="105"/>
      <c r="CU27" s="105"/>
      <c r="CV27" s="105"/>
      <c r="CW27" s="105"/>
      <c r="CX27" s="105"/>
      <c r="CY27" s="105"/>
      <c r="CZ27" s="105"/>
      <c r="DA27" s="105"/>
      <c r="DB27" s="105"/>
      <c r="DC27" s="105"/>
      <c r="DD27" s="105"/>
      <c r="DE27" s="105"/>
      <c r="DF27" s="105"/>
      <c r="DG27" s="105"/>
      <c r="DH27" s="105"/>
      <c r="DI27" s="105"/>
      <c r="DJ27" s="105"/>
      <c r="DK27" s="105"/>
      <c r="DL27" s="112"/>
      <c r="DM27" s="104"/>
      <c r="DN27" s="105"/>
      <c r="DO27" s="121"/>
      <c r="DP27" s="105"/>
      <c r="DQ27" s="105"/>
      <c r="DR27" s="105"/>
      <c r="DS27" s="105"/>
      <c r="DT27" s="105"/>
      <c r="DU27" s="105"/>
      <c r="DV27" s="105"/>
      <c r="DW27" s="112"/>
      <c r="DX27" s="104"/>
      <c r="DY27" s="105"/>
      <c r="DZ27" s="105"/>
      <c r="EA27" s="105"/>
      <c r="EB27" s="105"/>
      <c r="EC27" s="106"/>
      <c r="ED27" s="106"/>
      <c r="EE27" s="105"/>
      <c r="EF27" s="112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</row>
    <row r="28" spans="1:160" s="1" customFormat="1" ht="16.5" customHeight="1" x14ac:dyDescent="0.25">
      <c r="A28" s="18" t="e">
        <f>Lentilles!#REF!</f>
        <v>#REF!</v>
      </c>
      <c r="B28" s="20" t="e">
        <f>Lentilles!#REF!</f>
        <v>#REF!</v>
      </c>
      <c r="C28" s="104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12"/>
      <c r="Q28" s="105"/>
      <c r="R28" s="105"/>
      <c r="S28" s="106"/>
      <c r="T28" s="105"/>
      <c r="U28" s="105"/>
      <c r="V28" s="105"/>
      <c r="W28" s="105"/>
      <c r="X28" s="105"/>
      <c r="Y28" s="110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12"/>
      <c r="AX28" s="104"/>
      <c r="AY28" s="105"/>
      <c r="AZ28" s="106"/>
      <c r="BA28" s="105"/>
      <c r="BB28" s="105"/>
      <c r="BC28" s="105"/>
      <c r="BD28" s="105"/>
      <c r="BE28" s="105"/>
      <c r="BF28" s="105"/>
      <c r="BG28" s="105"/>
      <c r="BH28" s="112"/>
      <c r="BI28" s="104"/>
      <c r="BJ28" s="105"/>
      <c r="BK28" s="105"/>
      <c r="BL28" s="105"/>
      <c r="BM28" s="105"/>
      <c r="BN28" s="106"/>
      <c r="BO28" s="106"/>
      <c r="BP28" s="105"/>
      <c r="BQ28" s="112"/>
      <c r="BR28" s="104"/>
      <c r="BS28" s="105"/>
      <c r="BT28" s="121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 s="112"/>
      <c r="CF28" s="121"/>
      <c r="CG28" s="122"/>
      <c r="CH28" s="105"/>
      <c r="CI28" s="105"/>
      <c r="CJ28" s="105"/>
      <c r="CK28" s="105"/>
      <c r="CL28" s="121"/>
      <c r="CM28" s="105"/>
      <c r="CN28" s="110"/>
      <c r="CO28" s="105"/>
      <c r="CP28" s="105"/>
      <c r="CQ28" s="105"/>
      <c r="CR28" s="105"/>
      <c r="CS28" s="105"/>
      <c r="CT28" s="105"/>
      <c r="CU28" s="105"/>
      <c r="CV28" s="105"/>
      <c r="CW28" s="105"/>
      <c r="CX28" s="105"/>
      <c r="CY28" s="105"/>
      <c r="CZ28" s="105"/>
      <c r="DA28" s="105"/>
      <c r="DB28" s="105"/>
      <c r="DC28" s="105"/>
      <c r="DD28" s="105"/>
      <c r="DE28" s="105"/>
      <c r="DF28" s="105"/>
      <c r="DG28" s="105"/>
      <c r="DH28" s="105"/>
      <c r="DI28" s="105"/>
      <c r="DJ28" s="105"/>
      <c r="DK28" s="105"/>
      <c r="DL28" s="112"/>
      <c r="DM28" s="104"/>
      <c r="DN28" s="11"/>
      <c r="DO28" s="11"/>
      <c r="DP28" s="105"/>
      <c r="DQ28" s="105"/>
      <c r="DR28" s="105"/>
      <c r="DS28" s="105"/>
      <c r="DT28" s="105"/>
      <c r="DU28" s="105"/>
      <c r="DV28" s="105"/>
      <c r="DW28" s="112"/>
      <c r="DX28" s="104"/>
      <c r="DY28" s="105"/>
      <c r="DZ28" s="105"/>
      <c r="EA28" s="105"/>
      <c r="EB28" s="105"/>
      <c r="EC28" s="106"/>
      <c r="ED28" s="106"/>
      <c r="EE28" s="105"/>
      <c r="EF28" s="112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</row>
    <row r="29" spans="1:160" s="1" customFormat="1" ht="16.5" customHeight="1" x14ac:dyDescent="0.25">
      <c r="A29" s="18" t="e">
        <f>Lentilles!#REF!</f>
        <v>#REF!</v>
      </c>
      <c r="B29" s="20" t="e">
        <f>Lentilles!#REF!</f>
        <v>#REF!</v>
      </c>
      <c r="C29" s="104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12"/>
      <c r="Q29" s="105"/>
      <c r="R29" s="105"/>
      <c r="S29" s="106"/>
      <c r="T29" s="105"/>
      <c r="U29" s="105"/>
      <c r="V29" s="105"/>
      <c r="W29" s="105"/>
      <c r="X29" s="105"/>
      <c r="Y29" s="110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12"/>
      <c r="AX29" s="104"/>
      <c r="AY29" s="105"/>
      <c r="AZ29" s="106"/>
      <c r="BA29" s="105"/>
      <c r="BB29" s="105"/>
      <c r="BC29" s="105"/>
      <c r="BD29" s="105"/>
      <c r="BE29" s="105"/>
      <c r="BF29" s="105"/>
      <c r="BG29" s="105"/>
      <c r="BH29" s="112"/>
      <c r="BI29" s="104"/>
      <c r="BJ29" s="105"/>
      <c r="BK29" s="105"/>
      <c r="BL29" s="105"/>
      <c r="BM29" s="105"/>
      <c r="BN29" s="106"/>
      <c r="BO29" s="106"/>
      <c r="BP29" s="105"/>
      <c r="BQ29" s="112"/>
      <c r="BR29" s="104"/>
      <c r="BS29" s="105"/>
      <c r="BT29" s="121"/>
      <c r="BU29" s="105"/>
      <c r="BV29" s="105"/>
      <c r="BW29" s="105"/>
      <c r="BX29" s="105"/>
      <c r="BY29" s="105"/>
      <c r="BZ29" s="105"/>
      <c r="CA29" s="105"/>
      <c r="CB29" s="105"/>
      <c r="CC29" s="105"/>
      <c r="CD29" s="105"/>
      <c r="CE29" s="112"/>
      <c r="CF29" s="121"/>
      <c r="CG29" s="122"/>
      <c r="CH29" s="105"/>
      <c r="CI29" s="105"/>
      <c r="CJ29" s="105"/>
      <c r="CK29" s="105"/>
      <c r="CL29" s="121"/>
      <c r="CM29" s="105"/>
      <c r="CN29" s="110"/>
      <c r="CO29" s="105"/>
      <c r="CP29" s="105"/>
      <c r="CQ29" s="105"/>
      <c r="CR29" s="105"/>
      <c r="CS29" s="105"/>
      <c r="CT29" s="105"/>
      <c r="CU29" s="105"/>
      <c r="CV29" s="105"/>
      <c r="CW29" s="105"/>
      <c r="CX29" s="105"/>
      <c r="CY29" s="105"/>
      <c r="CZ29" s="105"/>
      <c r="DA29" s="105"/>
      <c r="DB29" s="105"/>
      <c r="DC29" s="105"/>
      <c r="DD29" s="105"/>
      <c r="DE29" s="105"/>
      <c r="DF29" s="105"/>
      <c r="DG29" s="105"/>
      <c r="DH29" s="105"/>
      <c r="DI29" s="105"/>
      <c r="DJ29" s="105"/>
      <c r="DK29" s="105"/>
      <c r="DL29" s="112"/>
      <c r="DM29" s="104"/>
      <c r="DN29" s="105"/>
      <c r="DO29" s="121"/>
      <c r="DP29" s="105"/>
      <c r="DQ29" s="105"/>
      <c r="DR29" s="105"/>
      <c r="DS29" s="105"/>
      <c r="DT29" s="105"/>
      <c r="DU29" s="105"/>
      <c r="DV29" s="105"/>
      <c r="DW29" s="112"/>
      <c r="DX29" s="104"/>
      <c r="DY29" s="105"/>
      <c r="DZ29" s="105"/>
      <c r="EA29" s="105"/>
      <c r="EB29" s="105"/>
      <c r="EC29" s="106"/>
      <c r="ED29" s="106"/>
      <c r="EE29" s="105"/>
      <c r="EF29" s="112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</row>
    <row r="30" spans="1:160" s="1" customFormat="1" ht="16.5" customHeight="1" x14ac:dyDescent="0.25">
      <c r="A30" s="18" t="e">
        <f>Lentilles!#REF!</f>
        <v>#REF!</v>
      </c>
      <c r="B30" s="20" t="e">
        <f>Lentilles!#REF!</f>
        <v>#REF!</v>
      </c>
      <c r="C30" s="104"/>
      <c r="D30" s="105"/>
      <c r="E30" s="105">
        <v>27040</v>
      </c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12"/>
      <c r="Q30" s="105">
        <v>23980</v>
      </c>
      <c r="R30" s="105"/>
      <c r="S30" s="106">
        <v>28040</v>
      </c>
      <c r="T30" s="105"/>
      <c r="U30" s="105"/>
      <c r="V30" s="105"/>
      <c r="W30" s="105"/>
      <c r="X30" s="105"/>
      <c r="Y30" s="110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  <c r="AS30" s="105"/>
      <c r="AT30" s="105"/>
      <c r="AU30" s="105"/>
      <c r="AV30" s="105"/>
      <c r="AW30" s="112"/>
      <c r="AX30" s="104"/>
      <c r="AY30" s="105"/>
      <c r="AZ30" s="106"/>
      <c r="BA30" s="105"/>
      <c r="BB30" s="105"/>
      <c r="BC30" s="105"/>
      <c r="BD30" s="105"/>
      <c r="BE30" s="105"/>
      <c r="BF30" s="105"/>
      <c r="BG30" s="105"/>
      <c r="BH30" s="112"/>
      <c r="BI30" s="104"/>
      <c r="BJ30" s="105"/>
      <c r="BK30" s="105">
        <v>23160</v>
      </c>
      <c r="BL30" s="105"/>
      <c r="BM30" s="105"/>
      <c r="BN30" s="106"/>
      <c r="BO30" s="106"/>
      <c r="BP30" s="105"/>
      <c r="BQ30" s="112"/>
      <c r="BR30" s="104"/>
      <c r="BS30" s="105"/>
      <c r="BT30" s="121"/>
      <c r="BU30" s="105"/>
      <c r="BV30" s="105"/>
      <c r="BW30" s="105"/>
      <c r="BX30" s="105"/>
      <c r="BY30" s="105"/>
      <c r="BZ30" s="105"/>
      <c r="CA30" s="105"/>
      <c r="CB30" s="105"/>
      <c r="CC30" s="105"/>
      <c r="CD30" s="105"/>
      <c r="CE30" s="112"/>
      <c r="CF30" s="122">
        <v>20</v>
      </c>
      <c r="CG30" s="122"/>
      <c r="CH30" s="105">
        <v>29</v>
      </c>
      <c r="CI30" s="105"/>
      <c r="CJ30" s="105"/>
      <c r="CK30" s="105"/>
      <c r="CL30" s="121"/>
      <c r="CM30" s="105"/>
      <c r="CN30" s="110"/>
      <c r="CO30" s="105"/>
      <c r="CP30" s="105"/>
      <c r="CQ30" s="105"/>
      <c r="CR30" s="105"/>
      <c r="CS30" s="105"/>
      <c r="CT30" s="105"/>
      <c r="CU30" s="105"/>
      <c r="CV30" s="105"/>
      <c r="CW30" s="105"/>
      <c r="CX30" s="105"/>
      <c r="CY30" s="105"/>
      <c r="CZ30" s="105"/>
      <c r="DA30" s="105"/>
      <c r="DB30" s="105"/>
      <c r="DC30" s="105"/>
      <c r="DD30" s="105"/>
      <c r="DE30" s="105"/>
      <c r="DF30" s="105"/>
      <c r="DG30" s="105"/>
      <c r="DH30" s="105"/>
      <c r="DI30" s="105"/>
      <c r="DJ30" s="105"/>
      <c r="DK30" s="105"/>
      <c r="DL30" s="112"/>
      <c r="DM30" s="104"/>
      <c r="DN30" s="105"/>
      <c r="DO30" s="121"/>
      <c r="DP30" s="105"/>
      <c r="DQ30" s="105"/>
      <c r="DR30" s="105"/>
      <c r="DS30" s="105"/>
      <c r="DT30" s="105"/>
      <c r="DU30" s="105"/>
      <c r="DV30" s="105"/>
      <c r="DW30" s="112"/>
      <c r="DX30" s="104"/>
      <c r="DY30" s="105"/>
      <c r="DZ30" s="105">
        <v>20</v>
      </c>
      <c r="EA30" s="105"/>
      <c r="EB30" s="105"/>
      <c r="EC30" s="106"/>
      <c r="ED30" s="106"/>
      <c r="EE30" s="105"/>
      <c r="EF30" s="112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</row>
    <row r="31" spans="1:160" s="1" customFormat="1" ht="16.5" customHeight="1" x14ac:dyDescent="0.25">
      <c r="A31" s="18" t="e">
        <f>Lentilles!#REF!</f>
        <v>#REF!</v>
      </c>
      <c r="B31" s="20" t="e">
        <f>Lentilles!#REF!</f>
        <v>#REF!</v>
      </c>
      <c r="C31" s="104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12"/>
      <c r="Q31" s="105">
        <f>23880</f>
        <v>23880</v>
      </c>
      <c r="S31" s="106"/>
      <c r="T31" s="105"/>
      <c r="U31" s="105">
        <v>23920</v>
      </c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  <c r="AP31" s="105"/>
      <c r="AQ31" s="105"/>
      <c r="AR31" s="105"/>
      <c r="AS31" s="105"/>
      <c r="AT31" s="105"/>
      <c r="AU31" s="105"/>
      <c r="AV31" s="105"/>
      <c r="AW31" s="112"/>
      <c r="AX31" s="104"/>
      <c r="AY31" s="105"/>
      <c r="AZ31" s="106"/>
      <c r="BA31" s="105"/>
      <c r="BB31" s="105"/>
      <c r="BC31" s="105"/>
      <c r="BD31" s="105"/>
      <c r="BE31" s="105"/>
      <c r="BF31" s="105"/>
      <c r="BG31" s="105"/>
      <c r="BH31" s="112"/>
      <c r="BI31" s="104"/>
      <c r="BJ31" s="105"/>
      <c r="BK31" s="105">
        <v>22180</v>
      </c>
      <c r="BL31" s="105"/>
      <c r="BM31" s="105"/>
      <c r="BN31" s="105"/>
      <c r="BO31" s="105"/>
      <c r="BP31" s="105"/>
      <c r="BQ31" s="112"/>
      <c r="BR31" s="104"/>
      <c r="BS31" s="105"/>
      <c r="BT31" s="121"/>
      <c r="BU31" s="105"/>
      <c r="BV31" s="105"/>
      <c r="BW31" s="105"/>
      <c r="BX31" s="105"/>
      <c r="BY31" s="105"/>
      <c r="BZ31" s="105"/>
      <c r="CA31" s="105"/>
      <c r="CB31" s="105"/>
      <c r="CC31" s="105"/>
      <c r="CD31" s="105"/>
      <c r="CE31" s="112"/>
      <c r="CF31" s="122">
        <v>20</v>
      </c>
      <c r="CH31" s="105"/>
      <c r="CI31" s="105"/>
      <c r="CJ31" s="105">
        <v>20</v>
      </c>
      <c r="CK31" s="105"/>
      <c r="CL31" s="121"/>
      <c r="CM31" s="105"/>
      <c r="CN31" s="110"/>
      <c r="CO31" s="105"/>
      <c r="CP31" s="105"/>
      <c r="CQ31" s="105"/>
      <c r="CR31" s="105"/>
      <c r="CS31" s="105"/>
      <c r="CT31" s="105"/>
      <c r="CU31" s="105"/>
      <c r="CV31" s="105"/>
      <c r="CW31" s="105"/>
      <c r="CX31" s="105"/>
      <c r="CY31" s="105"/>
      <c r="CZ31" s="105"/>
      <c r="DA31" s="105"/>
      <c r="DB31" s="105"/>
      <c r="DC31" s="105"/>
      <c r="DD31" s="105"/>
      <c r="DE31" s="105"/>
      <c r="DF31" s="105"/>
      <c r="DG31" s="105"/>
      <c r="DH31" s="105"/>
      <c r="DI31" s="105"/>
      <c r="DJ31" s="105"/>
      <c r="DK31" s="105"/>
      <c r="DL31" s="112"/>
      <c r="DM31" s="104"/>
      <c r="DN31" s="105"/>
      <c r="DO31" s="121"/>
      <c r="DP31" s="105"/>
      <c r="DQ31" s="105"/>
      <c r="DR31" s="105"/>
      <c r="DS31" s="105"/>
      <c r="DT31" s="105"/>
      <c r="DU31" s="105"/>
      <c r="DV31" s="105"/>
      <c r="DW31" s="112"/>
      <c r="DX31" s="104"/>
      <c r="DY31" s="105"/>
      <c r="DZ31" s="105">
        <v>20</v>
      </c>
      <c r="EA31" s="105"/>
      <c r="EB31" s="105"/>
      <c r="EC31" s="105"/>
      <c r="ED31" s="105"/>
      <c r="EE31" s="105"/>
      <c r="EF31" s="112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</row>
    <row r="32" spans="1:160" s="1" customFormat="1" ht="16.5" customHeight="1" x14ac:dyDescent="0.25">
      <c r="A32" s="18" t="e">
        <f>Lentilles!#REF!</f>
        <v>#REF!</v>
      </c>
      <c r="B32" s="20" t="e">
        <f>Lentilles!#REF!</f>
        <v>#REF!</v>
      </c>
      <c r="C32" s="104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12"/>
      <c r="Q32" s="105">
        <v>23840</v>
      </c>
      <c r="R32" s="105">
        <v>11970</v>
      </c>
      <c r="S32" s="106">
        <v>24980</v>
      </c>
      <c r="T32" s="105"/>
      <c r="U32" s="105"/>
      <c r="V32" s="105"/>
      <c r="W32" s="105"/>
      <c r="X32" s="105"/>
      <c r="Y32" s="110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12"/>
      <c r="AX32" s="104"/>
      <c r="AY32" s="106"/>
      <c r="AZ32" s="106">
        <f>22710+23470</f>
        <v>46180</v>
      </c>
      <c r="BA32" s="106"/>
      <c r="BB32" s="106"/>
      <c r="BC32" s="106"/>
      <c r="BD32" s="106"/>
      <c r="BE32" s="106"/>
      <c r="BF32" s="106"/>
      <c r="BG32" s="106"/>
      <c r="BH32" s="107"/>
      <c r="BI32" s="123"/>
      <c r="BJ32" s="106"/>
      <c r="BK32" s="106"/>
      <c r="BL32" s="106"/>
      <c r="BM32" s="106"/>
      <c r="BN32" s="106"/>
      <c r="BO32" s="106"/>
      <c r="BP32" s="106"/>
      <c r="BQ32" s="107"/>
      <c r="BR32" s="104"/>
      <c r="BS32" s="105"/>
      <c r="BT32" s="121"/>
      <c r="BU32" s="105"/>
      <c r="BV32" s="105"/>
      <c r="BW32" s="105"/>
      <c r="BX32" s="105"/>
      <c r="BY32" s="105"/>
      <c r="BZ32" s="105"/>
      <c r="CA32" s="105"/>
      <c r="CB32" s="105"/>
      <c r="CC32" s="105"/>
      <c r="CD32" s="105"/>
      <c r="CE32" s="112"/>
      <c r="CF32" s="104">
        <v>20</v>
      </c>
      <c r="CG32" s="122">
        <v>10</v>
      </c>
      <c r="CH32" s="105">
        <v>28</v>
      </c>
      <c r="CI32" s="105"/>
      <c r="CJ32" s="105"/>
      <c r="CK32" s="105"/>
      <c r="CL32" s="121"/>
      <c r="CM32" s="105"/>
      <c r="CN32" s="110"/>
      <c r="CO32" s="105"/>
      <c r="CP32" s="105"/>
      <c r="CQ32" s="105"/>
      <c r="CR32" s="105"/>
      <c r="CS32" s="105"/>
      <c r="CT32" s="105"/>
      <c r="CU32" s="105"/>
      <c r="CV32" s="105"/>
      <c r="CW32" s="105"/>
      <c r="CX32" s="105"/>
      <c r="CY32" s="105"/>
      <c r="CZ32" s="105"/>
      <c r="DA32" s="105"/>
      <c r="DB32" s="105"/>
      <c r="DC32" s="105"/>
      <c r="DD32" s="105"/>
      <c r="DE32" s="105"/>
      <c r="DF32" s="105"/>
      <c r="DG32" s="105"/>
      <c r="DH32" s="105"/>
      <c r="DI32" s="105"/>
      <c r="DJ32" s="105"/>
      <c r="DK32" s="105"/>
      <c r="DL32" s="112"/>
      <c r="DM32" s="104"/>
      <c r="DN32" s="106"/>
      <c r="DO32" s="121">
        <v>44</v>
      </c>
      <c r="DP32" s="106"/>
      <c r="DQ32" s="106"/>
      <c r="DR32" s="106"/>
      <c r="DS32" s="106"/>
      <c r="DT32" s="106"/>
      <c r="DU32" s="106"/>
      <c r="DV32" s="106"/>
      <c r="DW32" s="107"/>
      <c r="DX32" s="123"/>
      <c r="DY32" s="106"/>
      <c r="DZ32" s="106"/>
      <c r="EA32" s="106"/>
      <c r="EB32" s="106"/>
      <c r="EC32" s="106"/>
      <c r="ED32" s="106"/>
      <c r="EE32" s="106"/>
      <c r="EF32" s="107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</row>
    <row r="33" spans="1:160" s="1" customFormat="1" ht="15.6" customHeight="1" x14ac:dyDescent="0.25">
      <c r="A33" s="18" t="e">
        <f>Lentilles!#REF!</f>
        <v>#REF!</v>
      </c>
      <c r="B33" s="20" t="e">
        <f>Lentilles!#REF!</f>
        <v>#REF!</v>
      </c>
      <c r="C33" s="104"/>
      <c r="D33" s="105"/>
      <c r="E33" s="105">
        <v>23390</v>
      </c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12"/>
      <c r="Q33" s="105"/>
      <c r="R33" s="105"/>
      <c r="S33" s="106"/>
      <c r="T33" s="105"/>
      <c r="U33" s="105"/>
      <c r="V33" s="105"/>
      <c r="W33" s="105"/>
      <c r="X33" s="105">
        <v>23940</v>
      </c>
      <c r="Y33" s="110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12"/>
      <c r="AX33" s="104"/>
      <c r="AY33" s="105"/>
      <c r="AZ33" s="106"/>
      <c r="BA33" s="105"/>
      <c r="BB33" s="105"/>
      <c r="BC33" s="105"/>
      <c r="BD33" s="105"/>
      <c r="BE33" s="105"/>
      <c r="BF33" s="105"/>
      <c r="BG33" s="105"/>
      <c r="BH33" s="112"/>
      <c r="BI33" s="104"/>
      <c r="BJ33" s="105"/>
      <c r="BK33" s="105"/>
      <c r="BL33" s="105"/>
      <c r="BM33" s="105"/>
      <c r="BN33" s="106"/>
      <c r="BO33" s="106"/>
      <c r="BP33" s="105"/>
      <c r="BQ33" s="141"/>
      <c r="BR33" s="104"/>
      <c r="BS33" s="105"/>
      <c r="BT33" s="121">
        <v>22</v>
      </c>
      <c r="BU33" s="105"/>
      <c r="BV33" s="105"/>
      <c r="BW33" s="105"/>
      <c r="BX33" s="105"/>
      <c r="BY33" s="105"/>
      <c r="BZ33" s="105"/>
      <c r="CA33" s="105"/>
      <c r="CB33" s="105"/>
      <c r="CC33" s="105"/>
      <c r="CD33" s="105"/>
      <c r="CE33" s="112"/>
      <c r="CF33" s="121"/>
      <c r="CG33" s="122"/>
      <c r="CH33" s="105"/>
      <c r="CI33" s="105"/>
      <c r="CJ33" s="105"/>
      <c r="CK33" s="105"/>
      <c r="CL33" s="121"/>
      <c r="CM33" s="105">
        <v>20</v>
      </c>
      <c r="CN33" s="110"/>
      <c r="CO33" s="105"/>
      <c r="CP33" s="105"/>
      <c r="CQ33" s="105"/>
      <c r="CR33" s="105"/>
      <c r="CS33" s="105"/>
      <c r="CT33" s="105"/>
      <c r="CU33" s="105"/>
      <c r="CV33" s="105"/>
      <c r="CW33" s="105"/>
      <c r="CX33" s="105"/>
      <c r="CY33" s="105"/>
      <c r="CZ33" s="105"/>
      <c r="DA33" s="105"/>
      <c r="DB33" s="105"/>
      <c r="DC33" s="105"/>
      <c r="DD33" s="105"/>
      <c r="DE33" s="105"/>
      <c r="DF33" s="105"/>
      <c r="DG33" s="105"/>
      <c r="DH33" s="105"/>
      <c r="DI33" s="105"/>
      <c r="DJ33" s="105"/>
      <c r="DK33" s="105"/>
      <c r="DL33" s="112"/>
      <c r="DM33" s="104"/>
      <c r="DN33" s="105"/>
      <c r="DO33" s="121"/>
      <c r="DP33" s="105"/>
      <c r="DQ33" s="105"/>
      <c r="DR33" s="105"/>
      <c r="DS33" s="105"/>
      <c r="DT33" s="105"/>
      <c r="DU33" s="105"/>
      <c r="DV33" s="105"/>
      <c r="DW33" s="112"/>
      <c r="DX33" s="104"/>
      <c r="DY33" s="105"/>
      <c r="DZ33" s="105"/>
      <c r="EA33" s="105"/>
      <c r="EB33" s="105"/>
      <c r="EC33" s="106"/>
      <c r="ED33" s="106"/>
      <c r="EE33" s="105"/>
      <c r="EF33" s="112"/>
      <c r="EG33" s="40"/>
      <c r="EH33" s="40"/>
      <c r="EI33" s="40"/>
      <c r="EJ33" s="40"/>
      <c r="EK33" s="40"/>
      <c r="EL33" s="40"/>
      <c r="EM33" s="40"/>
      <c r="EN33" s="40"/>
      <c r="EO33" s="40"/>
      <c r="EP33" s="40"/>
      <c r="EQ33" s="40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  <c r="FD33" s="40"/>
    </row>
    <row r="34" spans="1:160" s="1" customFormat="1" ht="16.5" customHeight="1" x14ac:dyDescent="0.25">
      <c r="A34" s="18" t="e">
        <f>Lentilles!#REF!</f>
        <v>#REF!</v>
      </c>
      <c r="B34" s="20" t="e">
        <f>Lentilles!#REF!</f>
        <v>#REF!</v>
      </c>
      <c r="C34" s="104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12"/>
      <c r="Q34" s="105"/>
      <c r="R34" s="105"/>
      <c r="S34" s="106"/>
      <c r="T34" s="105"/>
      <c r="U34" s="105"/>
      <c r="V34" s="105"/>
      <c r="W34" s="105"/>
      <c r="X34" s="105"/>
      <c r="Y34" s="110"/>
      <c r="Z34" s="105"/>
      <c r="AA34" s="105"/>
      <c r="AB34" s="105"/>
      <c r="AC34" s="105"/>
      <c r="AD34" s="105"/>
      <c r="AE34" s="105">
        <v>1001</v>
      </c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12"/>
      <c r="AX34" s="104"/>
      <c r="AY34" s="105"/>
      <c r="AZ34" s="106"/>
      <c r="BA34" s="105"/>
      <c r="BB34" s="105"/>
      <c r="BC34" s="105"/>
      <c r="BD34" s="105"/>
      <c r="BE34" s="105"/>
      <c r="BF34" s="105"/>
      <c r="BG34" s="105"/>
      <c r="BH34" s="112"/>
      <c r="BI34" s="104"/>
      <c r="BJ34" s="105"/>
      <c r="BK34" s="105"/>
      <c r="BL34" s="105"/>
      <c r="BM34" s="105"/>
      <c r="BN34" s="106"/>
      <c r="BO34" s="106"/>
      <c r="BP34" s="105"/>
      <c r="BQ34" s="112"/>
      <c r="BR34" s="104"/>
      <c r="BS34" s="105"/>
      <c r="BT34" s="121"/>
      <c r="BU34" s="105"/>
      <c r="BV34" s="105"/>
      <c r="BW34" s="105"/>
      <c r="BX34" s="105"/>
      <c r="BY34" s="105"/>
      <c r="BZ34" s="105"/>
      <c r="CA34" s="105"/>
      <c r="CB34" s="105"/>
      <c r="CC34" s="105"/>
      <c r="CD34" s="105"/>
      <c r="CE34" s="112"/>
      <c r="CF34" s="121"/>
      <c r="CG34" s="122"/>
      <c r="CH34" s="122"/>
      <c r="CI34" s="105"/>
      <c r="CJ34" s="105"/>
      <c r="CK34" s="105"/>
      <c r="CL34" s="121"/>
      <c r="CM34" s="105"/>
      <c r="CN34" s="110"/>
      <c r="CO34" s="105"/>
      <c r="CP34" s="105"/>
      <c r="CQ34" s="105"/>
      <c r="CR34" s="105"/>
      <c r="CS34" s="105"/>
      <c r="CT34" s="105"/>
      <c r="CU34" s="105"/>
      <c r="CV34" s="105"/>
      <c r="CW34" s="105"/>
      <c r="CX34" s="105"/>
      <c r="CY34" s="105"/>
      <c r="CZ34" s="105"/>
      <c r="DA34" s="105"/>
      <c r="DB34" s="105"/>
      <c r="DC34" s="105"/>
      <c r="DD34" s="105"/>
      <c r="DE34" s="105"/>
      <c r="DF34" s="105"/>
      <c r="DG34" s="105"/>
      <c r="DH34" s="105"/>
      <c r="DI34" s="105"/>
      <c r="DJ34" s="105"/>
      <c r="DK34" s="105"/>
      <c r="DL34" s="112"/>
      <c r="DM34" s="104"/>
      <c r="DN34" s="105"/>
      <c r="DO34" s="121"/>
      <c r="DP34" s="105"/>
      <c r="DQ34" s="105"/>
      <c r="DR34" s="105"/>
      <c r="DS34" s="105"/>
      <c r="DT34" s="105"/>
      <c r="DU34" s="105"/>
      <c r="DV34" s="105"/>
      <c r="DW34" s="112"/>
      <c r="DX34" s="104"/>
      <c r="DY34" s="105"/>
      <c r="DZ34" s="105"/>
      <c r="EA34" s="105"/>
      <c r="EB34" s="105"/>
      <c r="EC34" s="106"/>
      <c r="ED34" s="106"/>
      <c r="EE34" s="105"/>
      <c r="EF34" s="112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</row>
    <row r="35" spans="1:160" s="2" customFormat="1" ht="13.8" thickBot="1" x14ac:dyDescent="0.3">
      <c r="A35" s="76" t="s">
        <v>1</v>
      </c>
      <c r="B35" s="75"/>
      <c r="C35" s="124">
        <f t="shared" ref="C35:J35" si="0">SUM(C4:C34)</f>
        <v>2180</v>
      </c>
      <c r="D35" s="125">
        <f t="shared" si="0"/>
        <v>0</v>
      </c>
      <c r="E35" s="125">
        <f t="shared" si="0"/>
        <v>147170</v>
      </c>
      <c r="F35" s="125">
        <f t="shared" si="0"/>
        <v>21620</v>
      </c>
      <c r="G35" s="125">
        <f t="shared" si="0"/>
        <v>0</v>
      </c>
      <c r="H35" s="125">
        <f t="shared" si="0"/>
        <v>0</v>
      </c>
      <c r="I35" s="125">
        <f t="shared" si="0"/>
        <v>0</v>
      </c>
      <c r="J35" s="125">
        <f t="shared" si="0"/>
        <v>0</v>
      </c>
      <c r="K35" s="125"/>
      <c r="L35" s="125"/>
      <c r="M35" s="125">
        <f>SUM(M3:M34)</f>
        <v>0</v>
      </c>
      <c r="N35" s="125">
        <f>SUM(N4:N34)</f>
        <v>0</v>
      </c>
      <c r="O35" s="125">
        <f>SUM(O4:O34)</f>
        <v>0</v>
      </c>
      <c r="P35" s="126">
        <f>SUM(P3:P34)</f>
        <v>0</v>
      </c>
      <c r="Q35" s="124">
        <f t="shared" ref="Q35:V35" si="1">SUM(Q4:Q34)</f>
        <v>239960</v>
      </c>
      <c r="R35" s="125">
        <f t="shared" si="1"/>
        <v>45530</v>
      </c>
      <c r="S35" s="125">
        <f t="shared" si="1"/>
        <v>344945</v>
      </c>
      <c r="T35" s="125">
        <f t="shared" si="1"/>
        <v>0</v>
      </c>
      <c r="U35" s="125">
        <f t="shared" si="1"/>
        <v>96081</v>
      </c>
      <c r="V35" s="125">
        <f t="shared" si="1"/>
        <v>0</v>
      </c>
      <c r="W35" s="125">
        <f t="shared" ref="W35:BQ35" si="2">SUM(W4:W34)</f>
        <v>31090</v>
      </c>
      <c r="X35" s="125">
        <f t="shared" si="2"/>
        <v>47820</v>
      </c>
      <c r="Y35" s="125">
        <f t="shared" si="2"/>
        <v>11840</v>
      </c>
      <c r="Z35" s="125">
        <f t="shared" si="2"/>
        <v>0</v>
      </c>
      <c r="AA35" s="125">
        <f t="shared" si="2"/>
        <v>0</v>
      </c>
      <c r="AB35" s="125">
        <f t="shared" si="2"/>
        <v>0</v>
      </c>
      <c r="AC35" s="125">
        <f t="shared" si="2"/>
        <v>0</v>
      </c>
      <c r="AD35" s="125">
        <f t="shared" si="2"/>
        <v>0</v>
      </c>
      <c r="AE35" s="125">
        <f t="shared" si="2"/>
        <v>1001</v>
      </c>
      <c r="AF35" s="125">
        <f t="shared" si="2"/>
        <v>0</v>
      </c>
      <c r="AG35" s="125">
        <f t="shared" si="2"/>
        <v>0</v>
      </c>
      <c r="AH35" s="125">
        <f t="shared" si="2"/>
        <v>0</v>
      </c>
      <c r="AI35" s="125">
        <f t="shared" si="2"/>
        <v>0</v>
      </c>
      <c r="AJ35" s="125">
        <f t="shared" si="2"/>
        <v>0</v>
      </c>
      <c r="AK35" s="125">
        <f t="shared" si="2"/>
        <v>0</v>
      </c>
      <c r="AL35" s="125">
        <f t="shared" si="2"/>
        <v>0</v>
      </c>
      <c r="AM35" s="125">
        <f t="shared" si="2"/>
        <v>0</v>
      </c>
      <c r="AN35" s="125">
        <f t="shared" si="2"/>
        <v>0</v>
      </c>
      <c r="AO35" s="125">
        <f t="shared" si="2"/>
        <v>0</v>
      </c>
      <c r="AP35" s="125">
        <f t="shared" si="2"/>
        <v>0</v>
      </c>
      <c r="AQ35" s="125">
        <f t="shared" si="2"/>
        <v>0</v>
      </c>
      <c r="AR35" s="125">
        <f t="shared" si="2"/>
        <v>0</v>
      </c>
      <c r="AS35" s="125">
        <f t="shared" si="2"/>
        <v>0</v>
      </c>
      <c r="AT35" s="125">
        <f t="shared" si="2"/>
        <v>0</v>
      </c>
      <c r="AU35" s="125">
        <f t="shared" si="2"/>
        <v>0</v>
      </c>
      <c r="AV35" s="125">
        <f t="shared" si="2"/>
        <v>0</v>
      </c>
      <c r="AW35" s="126">
        <f t="shared" si="2"/>
        <v>0</v>
      </c>
      <c r="AX35" s="124">
        <f t="shared" si="2"/>
        <v>0</v>
      </c>
      <c r="AY35" s="125">
        <f t="shared" si="2"/>
        <v>20670</v>
      </c>
      <c r="AZ35" s="125">
        <f t="shared" si="2"/>
        <v>138835</v>
      </c>
      <c r="BA35" s="125">
        <f>SUM(BA4:BA34)</f>
        <v>43220</v>
      </c>
      <c r="BB35" s="125">
        <f t="shared" si="2"/>
        <v>0</v>
      </c>
      <c r="BC35" s="125">
        <f t="shared" si="2"/>
        <v>0</v>
      </c>
      <c r="BD35" s="125">
        <f t="shared" si="2"/>
        <v>0</v>
      </c>
      <c r="BE35" s="125">
        <f t="shared" si="2"/>
        <v>0</v>
      </c>
      <c r="BF35" s="125">
        <f t="shared" si="2"/>
        <v>0</v>
      </c>
      <c r="BG35" s="125">
        <f t="shared" si="2"/>
        <v>0</v>
      </c>
      <c r="BH35" s="126">
        <f t="shared" si="2"/>
        <v>0</v>
      </c>
      <c r="BI35" s="125">
        <f t="shared" si="2"/>
        <v>0</v>
      </c>
      <c r="BJ35" s="125">
        <f t="shared" si="2"/>
        <v>0</v>
      </c>
      <c r="BK35" s="125">
        <f t="shared" si="2"/>
        <v>203650</v>
      </c>
      <c r="BL35" s="125">
        <f t="shared" si="2"/>
        <v>0</v>
      </c>
      <c r="BM35" s="125">
        <f t="shared" si="2"/>
        <v>0</v>
      </c>
      <c r="BN35" s="125">
        <f t="shared" si="2"/>
        <v>0</v>
      </c>
      <c r="BO35" s="125">
        <f t="shared" si="2"/>
        <v>0</v>
      </c>
      <c r="BP35" s="125">
        <f t="shared" si="2"/>
        <v>0</v>
      </c>
      <c r="BQ35" s="126">
        <f t="shared" si="2"/>
        <v>0</v>
      </c>
      <c r="BR35" s="124">
        <f t="shared" ref="BR35:BY35" si="3">SUM(BR4:BR34)</f>
        <v>2</v>
      </c>
      <c r="BS35" s="125">
        <f t="shared" si="3"/>
        <v>0</v>
      </c>
      <c r="BT35" s="125">
        <f t="shared" si="3"/>
        <v>70</v>
      </c>
      <c r="BU35" s="125">
        <f t="shared" si="3"/>
        <v>0</v>
      </c>
      <c r="BV35" s="125">
        <f t="shared" si="3"/>
        <v>0</v>
      </c>
      <c r="BW35" s="125">
        <f t="shared" si="3"/>
        <v>0</v>
      </c>
      <c r="BX35" s="125">
        <f t="shared" si="3"/>
        <v>0</v>
      </c>
      <c r="BY35" s="125">
        <f t="shared" si="3"/>
        <v>0</v>
      </c>
      <c r="BZ35" s="125"/>
      <c r="CA35" s="125"/>
      <c r="CB35" s="125">
        <f>SUM(CB3:CB34)</f>
        <v>0</v>
      </c>
      <c r="CC35" s="125">
        <f>SUM(CC4:CC34)</f>
        <v>0</v>
      </c>
      <c r="CD35" s="125">
        <f>SUM(CD4:CD34)</f>
        <v>0</v>
      </c>
      <c r="CE35" s="126">
        <f>SUM(CE3:CE34)</f>
        <v>0</v>
      </c>
      <c r="CF35" s="124">
        <f t="shared" ref="CF35:DR35" si="4">SUM(CF4:CF34)</f>
        <v>201</v>
      </c>
      <c r="CG35" s="125">
        <f t="shared" si="4"/>
        <v>39</v>
      </c>
      <c r="CH35" s="125">
        <f t="shared" si="4"/>
        <v>389</v>
      </c>
      <c r="CI35" s="125">
        <f t="shared" si="4"/>
        <v>0</v>
      </c>
      <c r="CJ35" s="125">
        <f t="shared" si="4"/>
        <v>80</v>
      </c>
      <c r="CK35" s="125">
        <f t="shared" si="4"/>
        <v>0</v>
      </c>
      <c r="CL35" s="125">
        <f t="shared" si="4"/>
        <v>26</v>
      </c>
      <c r="CM35" s="125">
        <f t="shared" si="4"/>
        <v>40</v>
      </c>
      <c r="CN35" s="125">
        <f t="shared" si="4"/>
        <v>12</v>
      </c>
      <c r="CO35" s="125">
        <f t="shared" si="4"/>
        <v>0</v>
      </c>
      <c r="CP35" s="125">
        <f t="shared" si="4"/>
        <v>0</v>
      </c>
      <c r="CQ35" s="125">
        <f t="shared" si="4"/>
        <v>0</v>
      </c>
      <c r="CR35" s="125">
        <f t="shared" si="4"/>
        <v>0</v>
      </c>
      <c r="CS35" s="125">
        <f t="shared" si="4"/>
        <v>0</v>
      </c>
      <c r="CT35" s="125">
        <f t="shared" si="4"/>
        <v>0</v>
      </c>
      <c r="CU35" s="125">
        <f t="shared" si="4"/>
        <v>0</v>
      </c>
      <c r="CV35" s="125">
        <f t="shared" si="4"/>
        <v>0</v>
      </c>
      <c r="CW35" s="125">
        <f t="shared" si="4"/>
        <v>0</v>
      </c>
      <c r="CX35" s="125">
        <f t="shared" si="4"/>
        <v>0</v>
      </c>
      <c r="CY35" s="125">
        <f t="shared" si="4"/>
        <v>0</v>
      </c>
      <c r="CZ35" s="125">
        <f t="shared" si="4"/>
        <v>0</v>
      </c>
      <c r="DA35" s="125">
        <f t="shared" si="4"/>
        <v>0</v>
      </c>
      <c r="DB35" s="125">
        <f t="shared" si="4"/>
        <v>0</v>
      </c>
      <c r="DC35" s="125">
        <f t="shared" si="4"/>
        <v>0</v>
      </c>
      <c r="DD35" s="125">
        <f t="shared" si="4"/>
        <v>0</v>
      </c>
      <c r="DE35" s="125">
        <f t="shared" si="4"/>
        <v>0</v>
      </c>
      <c r="DF35" s="125">
        <f t="shared" si="4"/>
        <v>0</v>
      </c>
      <c r="DG35" s="125">
        <f t="shared" si="4"/>
        <v>0</v>
      </c>
      <c r="DH35" s="125">
        <f t="shared" si="4"/>
        <v>0</v>
      </c>
      <c r="DI35" s="125">
        <f t="shared" si="4"/>
        <v>0</v>
      </c>
      <c r="DJ35" s="125">
        <f t="shared" si="4"/>
        <v>0</v>
      </c>
      <c r="DK35" s="125">
        <f t="shared" si="4"/>
        <v>0</v>
      </c>
      <c r="DL35" s="126">
        <f t="shared" si="4"/>
        <v>0</v>
      </c>
      <c r="DM35" s="124">
        <f t="shared" si="4"/>
        <v>0</v>
      </c>
      <c r="DN35" s="125">
        <f t="shared" si="4"/>
        <v>22</v>
      </c>
      <c r="DO35" s="125">
        <f t="shared" si="4"/>
        <v>137</v>
      </c>
      <c r="DP35" s="125">
        <f t="shared" si="4"/>
        <v>44</v>
      </c>
      <c r="DQ35" s="125">
        <f t="shared" si="4"/>
        <v>0</v>
      </c>
      <c r="DR35" s="125">
        <f t="shared" si="4"/>
        <v>0</v>
      </c>
      <c r="DS35" s="125"/>
      <c r="DT35" s="125">
        <f t="shared" ref="DT35:EF35" si="5">SUM(DT4:DT34)</f>
        <v>0</v>
      </c>
      <c r="DU35" s="125">
        <f t="shared" si="5"/>
        <v>0</v>
      </c>
      <c r="DV35" s="125">
        <f t="shared" si="5"/>
        <v>0</v>
      </c>
      <c r="DW35" s="126">
        <f t="shared" si="5"/>
        <v>0</v>
      </c>
      <c r="DX35" s="125">
        <f t="shared" si="5"/>
        <v>0</v>
      </c>
      <c r="DY35" s="125">
        <f t="shared" si="5"/>
        <v>0</v>
      </c>
      <c r="DZ35" s="125">
        <f t="shared" si="5"/>
        <v>189</v>
      </c>
      <c r="EA35" s="125">
        <f t="shared" si="5"/>
        <v>0</v>
      </c>
      <c r="EB35" s="125">
        <f t="shared" si="5"/>
        <v>0</v>
      </c>
      <c r="EC35" s="125">
        <f t="shared" si="5"/>
        <v>0</v>
      </c>
      <c r="ED35" s="125">
        <f t="shared" si="5"/>
        <v>0</v>
      </c>
      <c r="EE35" s="125">
        <f t="shared" si="5"/>
        <v>0</v>
      </c>
      <c r="EF35" s="126">
        <f t="shared" si="5"/>
        <v>0</v>
      </c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</row>
    <row r="36" spans="1:160" x14ac:dyDescent="0.25">
      <c r="A36" s="96"/>
      <c r="B36" s="96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  <c r="AW36" s="97"/>
      <c r="AX36" s="97"/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97"/>
      <c r="BK36" s="97"/>
      <c r="BL36" s="97"/>
      <c r="BM36" s="97"/>
      <c r="BN36" s="98"/>
      <c r="BO36" s="98"/>
      <c r="BP36" s="98"/>
      <c r="BQ36" s="98"/>
      <c r="BR36" s="98"/>
      <c r="BS36" s="98"/>
      <c r="BT36" s="98"/>
      <c r="BU36" s="98"/>
      <c r="BV36" s="98"/>
      <c r="BW36" s="98"/>
      <c r="BX36" s="98"/>
      <c r="BY36" s="98"/>
      <c r="BZ36" s="98"/>
      <c r="CA36" s="98"/>
      <c r="CB36" s="98"/>
      <c r="CC36" s="98"/>
      <c r="CD36" s="98"/>
      <c r="CE36" s="98"/>
      <c r="CF36" s="98"/>
      <c r="CG36" s="98"/>
      <c r="CH36" s="98"/>
      <c r="CI36" s="98"/>
      <c r="CJ36" s="98"/>
      <c r="CK36" s="98"/>
      <c r="CL36" s="98"/>
      <c r="CM36" s="98"/>
      <c r="CN36" s="98"/>
      <c r="CO36" s="98"/>
      <c r="CP36" s="98"/>
      <c r="CQ36" s="98"/>
      <c r="CR36" s="98"/>
      <c r="CS36" s="98"/>
      <c r="CT36" s="98"/>
      <c r="CU36" s="98"/>
      <c r="CV36" s="98"/>
      <c r="CW36" s="98"/>
      <c r="CX36" s="98"/>
      <c r="CY36" s="98"/>
      <c r="CZ36" s="98"/>
      <c r="DA36" s="98"/>
      <c r="DB36" s="98"/>
      <c r="DC36" s="98"/>
      <c r="DD36" s="98"/>
      <c r="DE36" s="98"/>
      <c r="DF36" s="98"/>
      <c r="DG36" s="98"/>
      <c r="DH36" s="98"/>
      <c r="DI36" s="98"/>
      <c r="DJ36" s="98"/>
      <c r="DK36" s="98"/>
      <c r="DL36" s="98"/>
      <c r="DM36" s="98"/>
      <c r="DN36" s="98"/>
      <c r="DO36" s="98"/>
      <c r="DP36" s="98"/>
      <c r="DQ36" s="98"/>
      <c r="DR36" s="98"/>
      <c r="DS36" s="98"/>
      <c r="DT36" s="98"/>
      <c r="DU36" s="98"/>
      <c r="DV36" s="98"/>
      <c r="DW36" s="98"/>
      <c r="DX36" s="98"/>
      <c r="DY36" s="98"/>
      <c r="DZ36" s="98"/>
      <c r="EA36" s="98"/>
      <c r="EB36" s="98"/>
      <c r="EC36" s="98"/>
      <c r="ED36" s="98"/>
      <c r="EE36" s="98"/>
      <c r="EF36" s="98"/>
      <c r="EG36" s="98"/>
      <c r="EH36" s="98"/>
      <c r="EI36" s="98"/>
      <c r="EJ36" s="98"/>
      <c r="EK36" s="98"/>
      <c r="EL36" s="98"/>
      <c r="EM36" s="98"/>
      <c r="EN36" s="98"/>
      <c r="EO36" s="98"/>
      <c r="EP36" s="98"/>
      <c r="EQ36" s="98"/>
      <c r="ER36" s="98"/>
      <c r="ES36" s="98"/>
      <c r="ET36" s="98"/>
      <c r="EU36" s="98"/>
      <c r="EV36" s="98"/>
      <c r="EW36" s="98"/>
      <c r="EX36" s="98"/>
      <c r="EY36" s="98"/>
      <c r="EZ36" s="98"/>
      <c r="FA36" s="98"/>
      <c r="FB36" s="98"/>
      <c r="FC36" s="98"/>
      <c r="FD36" s="98"/>
    </row>
    <row r="37" spans="1:160" x14ac:dyDescent="0.25">
      <c r="A37" s="96"/>
      <c r="B37" s="96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8"/>
      <c r="BO37" s="98"/>
      <c r="BP37" s="98"/>
      <c r="BQ37" s="98"/>
      <c r="BR37" s="98"/>
      <c r="BS37" s="98"/>
      <c r="BT37" s="98"/>
      <c r="BU37" s="98"/>
      <c r="BV37" s="98"/>
      <c r="BW37" s="98"/>
      <c r="BX37" s="98"/>
      <c r="BY37" s="98"/>
      <c r="BZ37" s="98"/>
      <c r="CA37" s="98"/>
      <c r="CB37" s="98"/>
      <c r="CC37" s="98"/>
      <c r="CD37" s="98"/>
      <c r="CE37" s="98"/>
      <c r="CF37" s="98"/>
      <c r="CG37" s="98"/>
      <c r="CH37" s="98"/>
      <c r="CI37" s="98"/>
      <c r="CJ37" s="98"/>
      <c r="CK37" s="98"/>
      <c r="CL37" s="98"/>
      <c r="CM37" s="98"/>
      <c r="CN37" s="98"/>
      <c r="CO37" s="98"/>
      <c r="CP37" s="98"/>
      <c r="CQ37" s="98"/>
      <c r="CR37" s="98"/>
      <c r="CS37" s="98"/>
      <c r="CT37" s="98"/>
      <c r="CU37" s="98"/>
      <c r="CV37" s="98"/>
      <c r="CW37" s="98"/>
      <c r="CX37" s="98"/>
      <c r="CY37" s="98"/>
      <c r="CZ37" s="98"/>
      <c r="DA37" s="98"/>
      <c r="DB37" s="98"/>
      <c r="DC37" s="98"/>
      <c r="DD37" s="98"/>
      <c r="DE37" s="98"/>
      <c r="DF37" s="98"/>
      <c r="DG37" s="98"/>
      <c r="DH37" s="98"/>
      <c r="DI37" s="98"/>
      <c r="DJ37" s="98"/>
      <c r="DK37" s="98"/>
      <c r="DL37" s="98"/>
      <c r="DM37" s="98"/>
      <c r="DN37" s="98"/>
      <c r="DO37" s="98"/>
      <c r="DP37" s="98"/>
      <c r="DQ37" s="98"/>
      <c r="DR37" s="98"/>
      <c r="DS37" s="98"/>
      <c r="DT37" s="98"/>
      <c r="DU37" s="98"/>
      <c r="DV37" s="98"/>
      <c r="DW37" s="98"/>
      <c r="DX37" s="98"/>
      <c r="DY37" s="98"/>
      <c r="DZ37" s="98"/>
      <c r="EA37" s="98"/>
      <c r="EB37" s="98"/>
      <c r="EC37" s="98"/>
      <c r="ED37" s="98"/>
      <c r="EE37" s="98"/>
      <c r="EF37" s="98"/>
      <c r="EG37" s="98"/>
      <c r="EH37" s="98"/>
      <c r="EI37" s="98"/>
      <c r="EJ37" s="98"/>
      <c r="EK37" s="98"/>
      <c r="EL37" s="98"/>
      <c r="EM37" s="98"/>
      <c r="EN37" s="98"/>
      <c r="EO37" s="98"/>
      <c r="EP37" s="98"/>
      <c r="EQ37" s="98"/>
      <c r="ER37" s="98"/>
      <c r="ES37" s="98"/>
      <c r="ET37" s="98"/>
      <c r="EU37" s="98"/>
      <c r="EV37" s="98"/>
      <c r="EW37" s="98"/>
      <c r="EX37" s="98"/>
      <c r="EY37" s="98"/>
      <c r="EZ37" s="98"/>
      <c r="FA37" s="98"/>
      <c r="FB37" s="98"/>
      <c r="FC37" s="98"/>
      <c r="FD37" s="98"/>
    </row>
    <row r="38" spans="1:160" ht="15.6" thickBot="1" x14ac:dyDescent="0.3">
      <c r="A38" s="96"/>
      <c r="B38" s="96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8"/>
      <c r="BO38" s="98"/>
      <c r="BP38" s="98"/>
      <c r="BQ38" s="98"/>
      <c r="BR38" s="98"/>
      <c r="BS38" s="98"/>
      <c r="BT38" s="98"/>
      <c r="BU38" s="98"/>
      <c r="BV38" s="98"/>
      <c r="BW38" s="98"/>
      <c r="BX38" s="98"/>
      <c r="BY38" s="98"/>
      <c r="BZ38" s="98"/>
      <c r="CA38" s="98"/>
      <c r="CB38" s="98"/>
      <c r="CC38" s="98"/>
      <c r="CD38" s="98"/>
      <c r="CE38" s="98"/>
      <c r="CF38" s="98"/>
      <c r="CG38" s="98"/>
      <c r="CH38" s="98"/>
      <c r="CI38" s="98"/>
      <c r="CJ38" s="98"/>
      <c r="CK38" s="98"/>
      <c r="CL38" s="98"/>
      <c r="CM38" s="98"/>
      <c r="CN38" s="98"/>
      <c r="CO38" s="98"/>
      <c r="CP38" s="98"/>
      <c r="CQ38" s="98"/>
      <c r="CR38" s="98"/>
      <c r="CS38" s="98"/>
      <c r="CT38" s="98"/>
      <c r="CU38" s="98"/>
      <c r="CV38" s="98"/>
      <c r="CW38" s="98"/>
      <c r="CX38" s="98"/>
      <c r="CY38" s="98"/>
      <c r="CZ38" s="98"/>
      <c r="DA38" s="98"/>
      <c r="DB38" s="98"/>
      <c r="DC38" s="98"/>
      <c r="DD38" s="98"/>
      <c r="DE38" s="98"/>
      <c r="DF38" s="98"/>
      <c r="DG38" s="98"/>
      <c r="DH38" s="98"/>
      <c r="DI38" s="98"/>
      <c r="DJ38" s="98"/>
      <c r="DK38" s="98"/>
      <c r="DL38" s="98"/>
      <c r="DM38" s="98"/>
      <c r="DN38" s="98"/>
      <c r="DO38" s="98"/>
      <c r="DP38" s="98"/>
      <c r="DQ38" s="98"/>
      <c r="DR38" s="98"/>
      <c r="DS38" s="98"/>
      <c r="DT38" s="98"/>
      <c r="DU38" s="98"/>
      <c r="DV38" s="98"/>
      <c r="DW38" s="98"/>
      <c r="DX38" s="98"/>
      <c r="DY38" s="98"/>
      <c r="DZ38" s="98"/>
      <c r="EA38" s="98"/>
      <c r="EB38" s="98"/>
      <c r="EC38" s="98"/>
      <c r="ED38" s="98"/>
      <c r="EE38" s="98"/>
      <c r="EF38" s="98"/>
      <c r="EG38" s="98"/>
      <c r="EH38" s="98"/>
      <c r="EI38" s="98"/>
      <c r="EJ38" s="98"/>
      <c r="EK38" s="98"/>
      <c r="EL38" s="98"/>
      <c r="EM38" s="98"/>
      <c r="EN38" s="98"/>
      <c r="EO38" s="98"/>
      <c r="EP38" s="98"/>
      <c r="EQ38" s="98"/>
      <c r="ER38" s="98"/>
      <c r="ES38" s="98"/>
      <c r="ET38" s="98"/>
      <c r="EU38" s="98"/>
      <c r="EV38" s="98"/>
      <c r="EW38" s="98"/>
      <c r="EX38" s="98"/>
      <c r="EY38" s="98"/>
      <c r="EZ38" s="98"/>
      <c r="FA38" s="98"/>
      <c r="FB38" s="98"/>
      <c r="FC38" s="98"/>
      <c r="FD38" s="98"/>
    </row>
    <row r="39" spans="1:160" x14ac:dyDescent="0.25">
      <c r="A39" s="96"/>
      <c r="B39" s="96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204" t="s">
        <v>96</v>
      </c>
      <c r="R39" s="100"/>
      <c r="S39" s="97"/>
      <c r="T39" s="204" t="s">
        <v>94</v>
      </c>
      <c r="U39" s="100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98"/>
      <c r="DC39" s="98"/>
      <c r="DD39" s="98"/>
      <c r="DE39" s="98"/>
      <c r="DF39" s="98"/>
      <c r="DG39" s="98"/>
      <c r="DH39" s="98"/>
      <c r="DI39" s="98"/>
      <c r="DJ39" s="98"/>
      <c r="DK39" s="98"/>
      <c r="DL39" s="98"/>
      <c r="DM39" s="98"/>
      <c r="DN39" s="98"/>
      <c r="DO39" s="98"/>
      <c r="DP39" s="98"/>
      <c r="DQ39" s="98"/>
      <c r="DR39" s="98"/>
      <c r="DS39" s="98"/>
      <c r="DT39" s="98"/>
      <c r="DU39" s="98"/>
      <c r="DV39" s="98"/>
      <c r="DW39" s="98"/>
      <c r="DX39" s="98"/>
      <c r="DY39" s="98"/>
      <c r="DZ39" s="98"/>
      <c r="EA39" s="98"/>
      <c r="EB39" s="98"/>
      <c r="EC39" s="98"/>
      <c r="ED39" s="98"/>
      <c r="EE39" s="98"/>
      <c r="EF39" s="98"/>
      <c r="EG39" s="98"/>
      <c r="EH39" s="98"/>
      <c r="EI39" s="98"/>
      <c r="EJ39" s="98"/>
      <c r="EK39" s="98"/>
      <c r="EL39" s="98"/>
      <c r="EM39" s="98"/>
      <c r="EN39" s="98"/>
      <c r="EO39" s="98"/>
      <c r="EP39" s="98"/>
      <c r="EQ39" s="98"/>
      <c r="ER39" s="98"/>
      <c r="ES39" s="98"/>
      <c r="ET39" s="98"/>
      <c r="EU39" s="98"/>
      <c r="EV39" s="98"/>
      <c r="EW39" s="98"/>
      <c r="EX39" s="98"/>
      <c r="EY39" s="98"/>
      <c r="EZ39" s="98"/>
      <c r="FA39" s="98"/>
      <c r="FB39" s="98"/>
      <c r="FC39" s="98"/>
      <c r="FD39" s="98"/>
    </row>
    <row r="40" spans="1:160" x14ac:dyDescent="0.25">
      <c r="A40" s="96"/>
      <c r="B40" s="96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205"/>
      <c r="R40" s="101">
        <f>Q35+R35+S35+T35+U35+V35+W35+X35+Y35+Z35+AA35+AB35+AC35+AD35+AE35+AF35+AG35+AH35</f>
        <v>818267</v>
      </c>
      <c r="S40" s="148"/>
      <c r="T40" s="205"/>
      <c r="U40" s="101">
        <f>C35+D35+E35+F35+G35+H35</f>
        <v>170970</v>
      </c>
      <c r="V40" s="148"/>
      <c r="W40" s="148"/>
      <c r="X40" s="148"/>
      <c r="Y40" s="148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8"/>
      <c r="BO40" s="98"/>
      <c r="BP40" s="98"/>
      <c r="BQ40" s="98"/>
      <c r="BR40" s="98"/>
      <c r="BS40" s="98"/>
      <c r="BT40" s="98"/>
      <c r="BU40" s="98"/>
      <c r="BV40" s="98"/>
      <c r="BW40" s="98"/>
      <c r="BX40" s="98"/>
      <c r="BY40" s="98"/>
      <c r="BZ40" s="98"/>
      <c r="CA40" s="98"/>
      <c r="CB40" s="98"/>
      <c r="CC40" s="98"/>
      <c r="CD40" s="98"/>
      <c r="CE40" s="98"/>
      <c r="CF40" s="98"/>
      <c r="CG40" s="98"/>
      <c r="CH40" s="98"/>
      <c r="CI40" s="98"/>
      <c r="CJ40" s="98"/>
      <c r="CK40" s="98"/>
      <c r="CL40" s="98"/>
      <c r="CM40" s="98"/>
      <c r="CN40" s="98"/>
      <c r="CO40" s="98"/>
      <c r="CP40" s="98"/>
      <c r="CQ40" s="98"/>
      <c r="CR40" s="98"/>
      <c r="CS40" s="98"/>
      <c r="CT40" s="98"/>
      <c r="CU40" s="98"/>
      <c r="CV40" s="98"/>
      <c r="CW40" s="98"/>
      <c r="CX40" s="98"/>
      <c r="CY40" s="98"/>
      <c r="CZ40" s="98"/>
      <c r="DA40" s="98"/>
      <c r="DB40" s="98"/>
      <c r="DC40" s="98"/>
      <c r="DD40" s="98"/>
      <c r="DE40" s="98"/>
      <c r="DF40" s="98"/>
      <c r="DG40" s="98"/>
      <c r="DH40" s="98"/>
      <c r="DI40" s="98"/>
      <c r="DJ40" s="98"/>
      <c r="DK40" s="98"/>
      <c r="DL40" s="98"/>
      <c r="DM40" s="98"/>
      <c r="DN40" s="98"/>
      <c r="DO40" s="98"/>
      <c r="DP40" s="98"/>
      <c r="DQ40" s="98"/>
      <c r="DR40" s="98"/>
      <c r="DS40" s="98"/>
      <c r="DT40" s="98"/>
      <c r="DU40" s="98"/>
      <c r="DV40" s="98"/>
      <c r="DW40" s="98"/>
      <c r="DX40" s="98"/>
      <c r="DY40" s="98"/>
      <c r="DZ40" s="98"/>
      <c r="EA40" s="98"/>
      <c r="EB40" s="98"/>
      <c r="EC40" s="98"/>
      <c r="ED40" s="98"/>
      <c r="EE40" s="98"/>
      <c r="EF40" s="98"/>
      <c r="EG40" s="98"/>
      <c r="EH40" s="98"/>
      <c r="EI40" s="98"/>
      <c r="EJ40" s="98"/>
      <c r="EK40" s="98"/>
      <c r="EL40" s="98"/>
      <c r="EM40" s="98"/>
      <c r="EN40" s="98"/>
      <c r="EO40" s="98"/>
      <c r="EP40" s="98"/>
      <c r="EQ40" s="98"/>
      <c r="ER40" s="98"/>
      <c r="ES40" s="98"/>
      <c r="ET40" s="98"/>
      <c r="EU40" s="98"/>
      <c r="EV40" s="98"/>
      <c r="EW40" s="98"/>
      <c r="EX40" s="98"/>
      <c r="EY40" s="98"/>
      <c r="EZ40" s="98"/>
      <c r="FA40" s="98"/>
      <c r="FB40" s="98"/>
      <c r="FC40" s="98"/>
      <c r="FD40" s="98"/>
    </row>
    <row r="41" spans="1:160" ht="15.6" thickBot="1" x14ac:dyDescent="0.3">
      <c r="A41" s="96"/>
      <c r="B41" s="96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206"/>
      <c r="R41" s="102"/>
      <c r="S41" s="148"/>
      <c r="T41" s="206"/>
      <c r="U41" s="102"/>
      <c r="V41" s="148"/>
      <c r="W41" s="148"/>
      <c r="X41" s="148"/>
      <c r="Y41" s="148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  <c r="AZ41" s="97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  <c r="BM41" s="97"/>
      <c r="BN41" s="98"/>
      <c r="BO41" s="98"/>
      <c r="BP41" s="98"/>
      <c r="BQ41" s="98"/>
      <c r="BR41" s="98"/>
      <c r="BS41" s="98"/>
      <c r="BT41" s="98"/>
      <c r="BU41" s="98"/>
      <c r="BV41" s="98"/>
      <c r="BW41" s="98"/>
      <c r="BX41" s="98"/>
      <c r="BY41" s="98"/>
      <c r="BZ41" s="98"/>
      <c r="CA41" s="98"/>
      <c r="CB41" s="98"/>
      <c r="CC41" s="98"/>
      <c r="CD41" s="98"/>
      <c r="CE41" s="98"/>
      <c r="CF41" s="98"/>
      <c r="CG41" s="98"/>
      <c r="CH41" s="98"/>
      <c r="CI41" s="98"/>
      <c r="CJ41" s="98"/>
      <c r="CK41" s="98"/>
      <c r="CL41" s="98"/>
      <c r="CM41" s="98"/>
      <c r="CN41" s="98"/>
      <c r="CO41" s="98"/>
      <c r="CP41" s="98"/>
      <c r="CQ41" s="98"/>
      <c r="CR41" s="98"/>
      <c r="CS41" s="98"/>
      <c r="CT41" s="98"/>
      <c r="CU41" s="98"/>
      <c r="CV41" s="98"/>
      <c r="CW41" s="98"/>
      <c r="CX41" s="98"/>
      <c r="CY41" s="98"/>
      <c r="CZ41" s="98"/>
      <c r="DA41" s="98"/>
      <c r="DB41" s="98"/>
      <c r="DC41" s="98"/>
      <c r="DD41" s="98"/>
      <c r="DE41" s="98"/>
      <c r="DF41" s="98"/>
      <c r="DG41" s="98"/>
      <c r="DH41" s="98"/>
      <c r="DI41" s="98"/>
      <c r="DJ41" s="98"/>
      <c r="DK41" s="98"/>
      <c r="DL41" s="98"/>
      <c r="DM41" s="98"/>
      <c r="DN41" s="98"/>
      <c r="DO41" s="98"/>
      <c r="DP41" s="98"/>
      <c r="DQ41" s="98"/>
      <c r="DR41" s="98"/>
      <c r="DS41" s="98"/>
      <c r="DT41" s="98"/>
      <c r="DU41" s="98"/>
      <c r="DV41" s="98"/>
      <c r="DW41" s="98"/>
      <c r="DX41" s="98"/>
      <c r="DY41" s="98"/>
      <c r="DZ41" s="98"/>
      <c r="EA41" s="98"/>
      <c r="EB41" s="98"/>
      <c r="EC41" s="98"/>
      <c r="ED41" s="98"/>
      <c r="EE41" s="98"/>
      <c r="EF41" s="98"/>
      <c r="EG41" s="98"/>
      <c r="EH41" s="98"/>
      <c r="EI41" s="98"/>
      <c r="EJ41" s="98"/>
      <c r="EK41" s="98"/>
      <c r="EL41" s="98"/>
      <c r="EM41" s="98"/>
      <c r="EN41" s="98"/>
      <c r="EO41" s="98"/>
      <c r="EP41" s="98"/>
      <c r="EQ41" s="98"/>
      <c r="ER41" s="98"/>
      <c r="ES41" s="98"/>
      <c r="ET41" s="98"/>
      <c r="EU41" s="98"/>
      <c r="EV41" s="98"/>
      <c r="EW41" s="98"/>
      <c r="EX41" s="98"/>
      <c r="EY41" s="98"/>
      <c r="EZ41" s="98"/>
      <c r="FA41" s="98"/>
      <c r="FB41" s="98"/>
      <c r="FC41" s="98"/>
      <c r="FD41" s="98"/>
    </row>
    <row r="42" spans="1:160" ht="15.6" thickBot="1" x14ac:dyDescent="0.3">
      <c r="A42" s="96"/>
      <c r="B42" s="96"/>
      <c r="C42" s="97"/>
      <c r="D42" s="97"/>
      <c r="E42" s="97"/>
      <c r="F42" s="97"/>
      <c r="G42" s="97" t="s">
        <v>42</v>
      </c>
      <c r="H42" s="97"/>
      <c r="I42" s="97"/>
      <c r="J42" s="97"/>
      <c r="K42" s="97"/>
      <c r="L42" s="97"/>
      <c r="M42" s="97"/>
      <c r="N42" s="97"/>
      <c r="O42" s="97"/>
      <c r="P42" s="97"/>
      <c r="Q42" s="71"/>
      <c r="R42" s="71"/>
      <c r="S42" s="148"/>
      <c r="T42" s="148"/>
      <c r="U42" s="148"/>
      <c r="V42" s="148"/>
      <c r="W42" s="148"/>
      <c r="X42" s="148"/>
      <c r="Y42" s="148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  <c r="AZ42" s="97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7"/>
      <c r="BL42" s="97"/>
      <c r="BM42" s="97"/>
      <c r="BN42" s="98"/>
      <c r="BO42" s="98"/>
      <c r="BP42" s="98"/>
      <c r="BQ42" s="98"/>
      <c r="BR42" s="98"/>
      <c r="BS42" s="98"/>
      <c r="BT42" s="98"/>
      <c r="BU42" s="98"/>
      <c r="BV42" s="98"/>
      <c r="BW42" s="98"/>
      <c r="BX42" s="98"/>
      <c r="BY42" s="98"/>
      <c r="BZ42" s="98"/>
      <c r="CA42" s="98"/>
      <c r="CB42" s="98"/>
      <c r="CC42" s="98"/>
      <c r="CD42" s="98"/>
      <c r="CE42" s="98"/>
      <c r="CF42" s="98"/>
      <c r="CG42" s="98"/>
      <c r="CH42" s="98"/>
      <c r="CI42" s="98"/>
      <c r="CJ42" s="98"/>
      <c r="CK42" s="98"/>
      <c r="CL42" s="98"/>
      <c r="CM42" s="98"/>
      <c r="CN42" s="98"/>
      <c r="CO42" s="98"/>
      <c r="CP42" s="98"/>
      <c r="CQ42" s="98"/>
      <c r="CR42" s="98"/>
      <c r="CS42" s="98"/>
      <c r="CT42" s="98"/>
      <c r="CU42" s="98"/>
      <c r="CV42" s="98"/>
      <c r="CW42" s="98"/>
      <c r="CX42" s="98"/>
      <c r="CY42" s="98"/>
      <c r="CZ42" s="98"/>
      <c r="DA42" s="98"/>
      <c r="DB42" s="98"/>
      <c r="DC42" s="98"/>
      <c r="DD42" s="98"/>
      <c r="DE42" s="98"/>
      <c r="DF42" s="98"/>
      <c r="DG42" s="98"/>
      <c r="DH42" s="98"/>
      <c r="DI42" s="98"/>
      <c r="DJ42" s="98"/>
      <c r="DK42" s="98"/>
      <c r="DL42" s="98"/>
      <c r="DM42" s="98"/>
      <c r="DN42" s="98"/>
      <c r="DO42" s="98"/>
      <c r="DP42" s="98"/>
      <c r="DQ42" s="98"/>
      <c r="DR42" s="98"/>
      <c r="DS42" s="98"/>
      <c r="DT42" s="98"/>
      <c r="DU42" s="98"/>
      <c r="DV42" s="98"/>
      <c r="DW42" s="98"/>
      <c r="DX42" s="98"/>
      <c r="DY42" s="98"/>
      <c r="DZ42" s="98"/>
      <c r="EA42" s="98"/>
      <c r="EB42" s="98"/>
      <c r="EC42" s="98"/>
      <c r="ED42" s="98"/>
      <c r="EE42" s="98"/>
      <c r="EF42" s="98"/>
      <c r="EG42" s="98"/>
      <c r="EH42" s="98"/>
      <c r="EI42" s="98"/>
      <c r="EJ42" s="98"/>
      <c r="EK42" s="98"/>
      <c r="EL42" s="98"/>
      <c r="EM42" s="98"/>
      <c r="EN42" s="98"/>
      <c r="EO42" s="98"/>
      <c r="EP42" s="98"/>
      <c r="EQ42" s="98"/>
      <c r="ER42" s="98"/>
      <c r="ES42" s="98"/>
      <c r="ET42" s="98"/>
      <c r="EU42" s="98"/>
      <c r="EV42" s="98"/>
      <c r="EW42" s="98"/>
      <c r="EX42" s="98"/>
      <c r="EY42" s="98"/>
      <c r="EZ42" s="98"/>
      <c r="FA42" s="98"/>
      <c r="FB42" s="98"/>
      <c r="FC42" s="98"/>
      <c r="FD42" s="98"/>
    </row>
    <row r="43" spans="1:160" x14ac:dyDescent="0.25">
      <c r="A43" s="96"/>
      <c r="B43" s="96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204" t="s">
        <v>97</v>
      </c>
      <c r="R43" s="100"/>
      <c r="S43" s="148"/>
      <c r="T43" s="204" t="s">
        <v>95</v>
      </c>
      <c r="U43" s="100"/>
      <c r="V43" s="148"/>
      <c r="W43" s="148"/>
      <c r="X43" s="148"/>
      <c r="Y43" s="148"/>
      <c r="Z43" s="97"/>
      <c r="AA43" s="97"/>
      <c r="AB43" s="97"/>
      <c r="AC43" s="97"/>
      <c r="AD43" s="97"/>
      <c r="AE43" s="97"/>
      <c r="AF43" s="97"/>
      <c r="AG43" s="97"/>
      <c r="AH43" s="97"/>
      <c r="AI43" s="97"/>
      <c r="AJ43" s="97"/>
      <c r="AK43" s="97"/>
      <c r="AL43" s="97"/>
      <c r="AM43" s="97"/>
      <c r="AN43" s="97"/>
      <c r="AO43" s="97"/>
      <c r="AP43" s="97"/>
      <c r="AQ43" s="97"/>
      <c r="AR43" s="97"/>
      <c r="AS43" s="97"/>
      <c r="AT43" s="97"/>
      <c r="AU43" s="97"/>
      <c r="AV43" s="97"/>
      <c r="AW43" s="97"/>
      <c r="AX43" s="97"/>
      <c r="AY43" s="97"/>
      <c r="AZ43" s="97"/>
      <c r="BA43" s="97"/>
      <c r="BB43" s="97"/>
      <c r="BC43" s="97"/>
      <c r="BD43" s="97"/>
      <c r="BE43" s="97"/>
      <c r="BF43" s="97"/>
      <c r="BG43" s="97"/>
      <c r="BH43" s="97"/>
      <c r="BI43" s="97"/>
      <c r="BJ43" s="97"/>
      <c r="BK43" s="97"/>
      <c r="BL43" s="97"/>
      <c r="BM43" s="97"/>
      <c r="BN43" s="98"/>
      <c r="BO43" s="98"/>
      <c r="BP43" s="98"/>
      <c r="BQ43" s="98"/>
      <c r="BR43" s="98"/>
      <c r="BS43" s="98"/>
      <c r="BT43" s="98"/>
      <c r="BU43" s="98"/>
      <c r="BV43" s="98"/>
      <c r="BW43" s="98"/>
      <c r="BX43" s="98"/>
      <c r="BY43" s="98"/>
      <c r="BZ43" s="98"/>
      <c r="CA43" s="98"/>
      <c r="CB43" s="98"/>
      <c r="CC43" s="98"/>
      <c r="CD43" s="98"/>
      <c r="CE43" s="98"/>
      <c r="CF43" s="98"/>
      <c r="CG43" s="98"/>
      <c r="CH43" s="98"/>
      <c r="CI43" s="98"/>
      <c r="CJ43" s="98"/>
      <c r="CK43" s="98"/>
      <c r="CL43" s="98"/>
      <c r="CM43" s="98"/>
      <c r="CN43" s="98"/>
      <c r="CO43" s="98"/>
      <c r="CP43" s="98"/>
      <c r="CQ43" s="98"/>
      <c r="CR43" s="98"/>
      <c r="CS43" s="98"/>
      <c r="CT43" s="98"/>
      <c r="CU43" s="98"/>
      <c r="CV43" s="98"/>
      <c r="CW43" s="98"/>
      <c r="CX43" s="98"/>
      <c r="CY43" s="98"/>
      <c r="CZ43" s="98"/>
      <c r="DA43" s="98"/>
      <c r="DB43" s="98"/>
      <c r="DC43" s="98"/>
      <c r="DD43" s="98"/>
      <c r="DE43" s="98"/>
      <c r="DF43" s="98"/>
      <c r="DG43" s="98"/>
      <c r="DH43" s="98"/>
      <c r="DI43" s="98"/>
      <c r="DJ43" s="98"/>
      <c r="DK43" s="98"/>
      <c r="DL43" s="98"/>
      <c r="DM43" s="98"/>
      <c r="DN43" s="98"/>
      <c r="DO43" s="98"/>
      <c r="DP43" s="98"/>
      <c r="DQ43" s="98"/>
      <c r="DR43" s="98"/>
      <c r="DS43" s="98"/>
      <c r="DT43" s="98"/>
      <c r="DU43" s="98"/>
      <c r="DV43" s="98"/>
      <c r="DW43" s="98"/>
      <c r="DX43" s="98"/>
      <c r="DY43" s="98"/>
      <c r="DZ43" s="98"/>
      <c r="EA43" s="98"/>
      <c r="EB43" s="98"/>
      <c r="EC43" s="98"/>
      <c r="ED43" s="98"/>
      <c r="EE43" s="98"/>
      <c r="EF43" s="98"/>
      <c r="EG43" s="98"/>
      <c r="EH43" s="98"/>
      <c r="EI43" s="98"/>
      <c r="EJ43" s="98"/>
      <c r="EK43" s="98"/>
      <c r="EL43" s="98"/>
      <c r="EM43" s="98"/>
      <c r="EN43" s="98"/>
      <c r="EO43" s="98"/>
      <c r="EP43" s="98"/>
      <c r="EQ43" s="98"/>
      <c r="ER43" s="98"/>
      <c r="ES43" s="98"/>
      <c r="ET43" s="98"/>
      <c r="EU43" s="98"/>
      <c r="EV43" s="98"/>
      <c r="EW43" s="98"/>
      <c r="EX43" s="98"/>
      <c r="EY43" s="98"/>
      <c r="EZ43" s="98"/>
      <c r="FA43" s="98"/>
      <c r="FB43" s="98"/>
      <c r="FC43" s="98"/>
      <c r="FD43" s="98"/>
    </row>
    <row r="44" spans="1:160" x14ac:dyDescent="0.25">
      <c r="A44" s="96"/>
      <c r="B44" s="96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205"/>
      <c r="R44" s="101">
        <f>AX35+AY35+AZ35+BA35+BB35+BC35+BD35+BE35</f>
        <v>202725</v>
      </c>
      <c r="S44" s="97"/>
      <c r="T44" s="205"/>
      <c r="U44" s="101">
        <f>BI35+BJ35+BK35+BL35+BM35+BN35</f>
        <v>203650</v>
      </c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  <c r="AI44" s="97"/>
      <c r="AJ44" s="97"/>
      <c r="AK44" s="97"/>
      <c r="AL44" s="97"/>
      <c r="AM44" s="97"/>
      <c r="AN44" s="97"/>
      <c r="AO44" s="97"/>
      <c r="AP44" s="97"/>
      <c r="AQ44" s="97"/>
      <c r="AR44" s="97"/>
      <c r="AS44" s="97"/>
      <c r="AT44" s="97"/>
      <c r="AU44" s="97"/>
      <c r="AV44" s="97"/>
      <c r="AW44" s="97"/>
      <c r="AX44" s="97"/>
      <c r="AY44" s="97"/>
      <c r="AZ44" s="97"/>
      <c r="BA44" s="97"/>
      <c r="BB44" s="97"/>
      <c r="BC44" s="97"/>
      <c r="BD44" s="97"/>
      <c r="BE44" s="97"/>
      <c r="BF44" s="97"/>
      <c r="BG44" s="97"/>
      <c r="BH44" s="97"/>
      <c r="BI44" s="97"/>
      <c r="BJ44" s="97"/>
      <c r="BK44" s="97"/>
      <c r="BL44" s="97"/>
      <c r="BM44" s="97"/>
      <c r="BN44" s="98"/>
      <c r="BO44" s="98"/>
      <c r="BP44" s="98"/>
      <c r="BQ44" s="98"/>
      <c r="BR44" s="98"/>
      <c r="BS44" s="98"/>
      <c r="BT44" s="98"/>
      <c r="BU44" s="98"/>
      <c r="BV44" s="98"/>
      <c r="BW44" s="98"/>
      <c r="BX44" s="98"/>
      <c r="BY44" s="98"/>
      <c r="BZ44" s="98"/>
      <c r="CA44" s="98"/>
      <c r="CB44" s="98"/>
      <c r="CC44" s="98"/>
      <c r="CD44" s="98"/>
      <c r="CE44" s="98"/>
      <c r="CF44" s="98"/>
      <c r="CG44" s="98"/>
      <c r="CH44" s="98"/>
      <c r="CI44" s="98"/>
      <c r="CJ44" s="98"/>
      <c r="CK44" s="98"/>
      <c r="CL44" s="98"/>
      <c r="CM44" s="98"/>
      <c r="CN44" s="98"/>
      <c r="CO44" s="98"/>
      <c r="CP44" s="98"/>
      <c r="CQ44" s="98"/>
      <c r="CR44" s="98"/>
      <c r="CS44" s="98"/>
      <c r="CT44" s="98"/>
      <c r="CU44" s="98"/>
      <c r="CV44" s="98"/>
      <c r="CW44" s="98"/>
      <c r="CX44" s="98"/>
      <c r="CY44" s="98"/>
      <c r="CZ44" s="98"/>
      <c r="DA44" s="98"/>
      <c r="DB44" s="98"/>
      <c r="DC44" s="98"/>
      <c r="DD44" s="98"/>
      <c r="DE44" s="98"/>
      <c r="DF44" s="98"/>
      <c r="DG44" s="98"/>
      <c r="DH44" s="98"/>
      <c r="DI44" s="98"/>
      <c r="DJ44" s="98"/>
      <c r="DK44" s="98"/>
      <c r="DL44" s="98"/>
      <c r="DM44" s="98"/>
      <c r="DN44" s="98"/>
      <c r="DO44" s="98"/>
      <c r="DP44" s="98"/>
      <c r="DQ44" s="98"/>
      <c r="DR44" s="98"/>
      <c r="DS44" s="98"/>
      <c r="DT44" s="98"/>
      <c r="DU44" s="98"/>
      <c r="DV44" s="98"/>
      <c r="DW44" s="98"/>
      <c r="DX44" s="98"/>
      <c r="DY44" s="98"/>
      <c r="DZ44" s="98"/>
      <c r="EA44" s="98"/>
      <c r="EB44" s="98"/>
      <c r="EC44" s="98"/>
      <c r="ED44" s="98"/>
      <c r="EE44" s="98"/>
      <c r="EF44" s="98"/>
      <c r="EG44" s="98"/>
      <c r="EH44" s="98"/>
      <c r="EI44" s="98"/>
      <c r="EJ44" s="98"/>
      <c r="EK44" s="98"/>
      <c r="EL44" s="98"/>
      <c r="EM44" s="98"/>
      <c r="EN44" s="98"/>
      <c r="EO44" s="98"/>
      <c r="EP44" s="98"/>
      <c r="EQ44" s="98"/>
      <c r="ER44" s="98"/>
      <c r="ES44" s="98"/>
      <c r="ET44" s="98"/>
      <c r="EU44" s="98"/>
      <c r="EV44" s="98"/>
      <c r="EW44" s="98"/>
      <c r="EX44" s="98"/>
      <c r="EY44" s="98"/>
      <c r="EZ44" s="98"/>
      <c r="FA44" s="98"/>
      <c r="FB44" s="98"/>
      <c r="FC44" s="98"/>
      <c r="FD44" s="98"/>
    </row>
    <row r="45" spans="1:160" ht="15.6" thickBot="1" x14ac:dyDescent="0.3">
      <c r="A45" s="96"/>
      <c r="B45" s="96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206"/>
      <c r="R45" s="102"/>
      <c r="S45" s="97"/>
      <c r="T45" s="206"/>
      <c r="U45" s="102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  <c r="AP45" s="97"/>
      <c r="AQ45" s="97"/>
      <c r="AR45" s="97"/>
      <c r="AS45" s="97"/>
      <c r="AT45" s="97"/>
      <c r="AU45" s="97"/>
      <c r="AV45" s="97"/>
      <c r="AW45" s="97"/>
      <c r="AX45" s="97"/>
      <c r="AY45" s="97"/>
      <c r="AZ45" s="97"/>
      <c r="BA45" s="97"/>
      <c r="BB45" s="97"/>
      <c r="BC45" s="97"/>
      <c r="BD45" s="97"/>
      <c r="BE45" s="97"/>
      <c r="BF45" s="97"/>
      <c r="BG45" s="97"/>
      <c r="BH45" s="97"/>
      <c r="BI45" s="97"/>
      <c r="BJ45" s="97"/>
      <c r="BK45" s="97"/>
      <c r="BL45" s="97"/>
      <c r="BM45" s="97"/>
      <c r="BN45" s="98"/>
      <c r="BO45" s="98"/>
      <c r="BP45" s="98"/>
      <c r="BQ45" s="98"/>
      <c r="BR45" s="98"/>
      <c r="BS45" s="98"/>
      <c r="BT45" s="98"/>
      <c r="BU45" s="98"/>
      <c r="BV45" s="98"/>
      <c r="BW45" s="98"/>
      <c r="BX45" s="98"/>
      <c r="BY45" s="98"/>
      <c r="BZ45" s="98"/>
      <c r="CA45" s="98"/>
      <c r="CB45" s="98"/>
      <c r="CC45" s="98"/>
      <c r="CD45" s="98"/>
      <c r="CE45" s="98"/>
      <c r="CF45" s="98"/>
      <c r="CG45" s="98"/>
      <c r="CH45" s="98"/>
      <c r="CI45" s="98"/>
      <c r="CJ45" s="98"/>
      <c r="CK45" s="98"/>
      <c r="CL45" s="98"/>
      <c r="CM45" s="98"/>
      <c r="CN45" s="98"/>
      <c r="CO45" s="98"/>
      <c r="CP45" s="98"/>
      <c r="CQ45" s="98"/>
      <c r="CR45" s="98"/>
      <c r="CS45" s="98"/>
      <c r="CT45" s="98"/>
      <c r="CU45" s="98"/>
      <c r="CV45" s="98"/>
      <c r="CW45" s="98"/>
      <c r="CX45" s="98"/>
      <c r="CY45" s="98"/>
      <c r="CZ45" s="98"/>
      <c r="DA45" s="98"/>
      <c r="DB45" s="98"/>
      <c r="DC45" s="98"/>
      <c r="DD45" s="98"/>
      <c r="DE45" s="98"/>
      <c r="DF45" s="98"/>
      <c r="DG45" s="98"/>
      <c r="DH45" s="98"/>
      <c r="DI45" s="98"/>
      <c r="DJ45" s="98"/>
      <c r="DK45" s="98"/>
      <c r="DL45" s="98"/>
      <c r="DM45" s="98"/>
      <c r="DN45" s="98"/>
      <c r="DO45" s="98"/>
      <c r="DP45" s="98"/>
      <c r="DQ45" s="98"/>
      <c r="DR45" s="98"/>
      <c r="DS45" s="98"/>
      <c r="DT45" s="98"/>
      <c r="DU45" s="98"/>
      <c r="DV45" s="98"/>
      <c r="DW45" s="98"/>
      <c r="DX45" s="98"/>
      <c r="DY45" s="98"/>
      <c r="DZ45" s="98"/>
      <c r="EA45" s="98"/>
      <c r="EB45" s="98"/>
      <c r="EC45" s="98"/>
      <c r="ED45" s="98"/>
      <c r="EE45" s="98"/>
      <c r="EF45" s="98"/>
      <c r="EG45" s="98"/>
      <c r="EH45" s="98"/>
      <c r="EI45" s="98"/>
      <c r="EJ45" s="98"/>
      <c r="EK45" s="98"/>
      <c r="EL45" s="98"/>
      <c r="EM45" s="98"/>
      <c r="EN45" s="98"/>
      <c r="EO45" s="98"/>
      <c r="EP45" s="98"/>
      <c r="EQ45" s="98"/>
      <c r="ER45" s="98"/>
      <c r="ES45" s="98"/>
      <c r="ET45" s="98"/>
      <c r="EU45" s="98"/>
      <c r="EV45" s="98"/>
      <c r="EW45" s="98"/>
      <c r="EX45" s="98"/>
      <c r="EY45" s="98"/>
      <c r="EZ45" s="98"/>
      <c r="FA45" s="98"/>
      <c r="FB45" s="98"/>
      <c r="FC45" s="98"/>
      <c r="FD45" s="98"/>
    </row>
    <row r="46" spans="1:160" x14ac:dyDescent="0.25">
      <c r="A46" s="96"/>
      <c r="B46" s="96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/>
      <c r="AI46" s="97"/>
      <c r="AJ46" s="97"/>
      <c r="AK46" s="97"/>
      <c r="AL46" s="97"/>
      <c r="AM46" s="97"/>
      <c r="AN46" s="97"/>
      <c r="AO46" s="97"/>
      <c r="AP46" s="97"/>
      <c r="AQ46" s="97"/>
      <c r="AR46" s="97"/>
      <c r="AS46" s="97"/>
      <c r="AT46" s="97"/>
      <c r="AU46" s="97"/>
      <c r="AV46" s="97"/>
      <c r="AW46" s="97"/>
      <c r="AX46" s="97"/>
      <c r="AY46" s="97"/>
      <c r="AZ46" s="97"/>
      <c r="BA46" s="97"/>
      <c r="BB46" s="97"/>
      <c r="BC46" s="97"/>
      <c r="BD46" s="97"/>
      <c r="BE46" s="97"/>
      <c r="BF46" s="97"/>
      <c r="BG46" s="97"/>
      <c r="BH46" s="97"/>
      <c r="BI46" s="97"/>
      <c r="BJ46" s="97"/>
      <c r="BK46" s="97"/>
      <c r="BL46" s="97"/>
      <c r="BM46" s="97"/>
      <c r="BN46" s="98"/>
      <c r="BO46" s="98"/>
      <c r="BP46" s="98"/>
      <c r="BQ46" s="98"/>
      <c r="BR46" s="98"/>
      <c r="BS46" s="98"/>
      <c r="BT46" s="98"/>
      <c r="BU46" s="98"/>
      <c r="BV46" s="98"/>
      <c r="BW46" s="98"/>
      <c r="BX46" s="98"/>
      <c r="BY46" s="98"/>
      <c r="BZ46" s="98"/>
      <c r="CA46" s="98"/>
      <c r="CB46" s="98"/>
      <c r="CC46" s="98"/>
      <c r="CD46" s="98"/>
      <c r="CE46" s="98"/>
      <c r="CF46" s="98"/>
      <c r="CG46" s="98"/>
      <c r="CH46" s="98"/>
      <c r="CI46" s="98"/>
      <c r="CJ46" s="98"/>
      <c r="CK46" s="98"/>
      <c r="CL46" s="98"/>
      <c r="CM46" s="98"/>
      <c r="CN46" s="98"/>
      <c r="CO46" s="98"/>
      <c r="CP46" s="98"/>
      <c r="CQ46" s="98"/>
      <c r="CR46" s="98"/>
      <c r="CS46" s="98"/>
      <c r="CT46" s="98"/>
      <c r="CU46" s="98"/>
      <c r="CV46" s="98"/>
      <c r="CW46" s="98"/>
      <c r="CX46" s="98"/>
      <c r="CY46" s="98"/>
      <c r="CZ46" s="98"/>
      <c r="DA46" s="98"/>
      <c r="DB46" s="98"/>
      <c r="DC46" s="98"/>
      <c r="DD46" s="98"/>
      <c r="DE46" s="98"/>
      <c r="DF46" s="98"/>
      <c r="DG46" s="98"/>
      <c r="DH46" s="98"/>
      <c r="DI46" s="98"/>
      <c r="DJ46" s="98"/>
      <c r="DK46" s="98"/>
      <c r="DL46" s="98"/>
      <c r="DM46" s="98"/>
      <c r="DN46" s="98"/>
      <c r="DO46" s="98"/>
      <c r="DP46" s="98"/>
      <c r="DQ46" s="98"/>
      <c r="DR46" s="98"/>
      <c r="DS46" s="98"/>
      <c r="DT46" s="98"/>
      <c r="DU46" s="98"/>
      <c r="DV46" s="98"/>
      <c r="DW46" s="98"/>
      <c r="DX46" s="98"/>
      <c r="DY46" s="98"/>
      <c r="DZ46" s="98"/>
      <c r="EA46" s="98"/>
      <c r="EB46" s="98"/>
      <c r="EC46" s="98"/>
      <c r="ED46" s="98"/>
      <c r="EE46" s="98"/>
      <c r="EF46" s="98"/>
      <c r="EG46" s="98"/>
      <c r="EH46" s="98"/>
      <c r="EI46" s="98"/>
      <c r="EJ46" s="98"/>
      <c r="EK46" s="98"/>
      <c r="EL46" s="98"/>
      <c r="EM46" s="98"/>
      <c r="EN46" s="98"/>
      <c r="EO46" s="98"/>
      <c r="EP46" s="98"/>
      <c r="EQ46" s="98"/>
      <c r="ER46" s="98"/>
      <c r="ES46" s="98"/>
      <c r="ET46" s="98"/>
      <c r="EU46" s="98"/>
      <c r="EV46" s="98"/>
      <c r="EW46" s="98"/>
      <c r="EX46" s="98"/>
      <c r="EY46" s="98"/>
      <c r="EZ46" s="98"/>
      <c r="FA46" s="98"/>
      <c r="FB46" s="98"/>
      <c r="FC46" s="98"/>
      <c r="FD46" s="98"/>
    </row>
    <row r="47" spans="1:160" x14ac:dyDescent="0.25">
      <c r="A47" s="96"/>
      <c r="B47" s="96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7"/>
      <c r="AM47" s="97"/>
      <c r="AN47" s="97"/>
      <c r="AO47" s="97"/>
      <c r="AP47" s="97"/>
      <c r="AQ47" s="97"/>
      <c r="AR47" s="97"/>
      <c r="AS47" s="97"/>
      <c r="AT47" s="97"/>
      <c r="AU47" s="97"/>
      <c r="AV47" s="97"/>
      <c r="AW47" s="97"/>
      <c r="AX47" s="97"/>
      <c r="AY47" s="97"/>
      <c r="AZ47" s="97"/>
      <c r="BA47" s="97"/>
      <c r="BB47" s="97"/>
      <c r="BC47" s="97"/>
      <c r="BD47" s="97"/>
      <c r="BE47" s="97"/>
      <c r="BF47" s="97"/>
      <c r="BG47" s="97"/>
      <c r="BH47" s="97"/>
      <c r="BI47" s="97"/>
      <c r="BJ47" s="97"/>
      <c r="BK47" s="97"/>
      <c r="BL47" s="97"/>
      <c r="BM47" s="97"/>
      <c r="BN47" s="98"/>
      <c r="BO47" s="98"/>
      <c r="BP47" s="98"/>
      <c r="BQ47" s="98"/>
      <c r="BR47" s="98"/>
      <c r="BS47" s="98"/>
      <c r="BT47" s="98"/>
      <c r="BU47" s="98"/>
      <c r="BV47" s="98"/>
      <c r="BW47" s="98"/>
      <c r="BX47" s="98"/>
      <c r="BY47" s="98"/>
      <c r="BZ47" s="98"/>
      <c r="CA47" s="98"/>
      <c r="CB47" s="98"/>
      <c r="CC47" s="98"/>
      <c r="CD47" s="98"/>
      <c r="CE47" s="98"/>
      <c r="CF47" s="98"/>
      <c r="CG47" s="98"/>
      <c r="CH47" s="98"/>
      <c r="CI47" s="98"/>
      <c r="CJ47" s="98"/>
      <c r="CK47" s="98"/>
      <c r="CL47" s="98"/>
      <c r="CM47" s="98"/>
      <c r="CN47" s="98"/>
      <c r="CO47" s="98"/>
      <c r="CP47" s="98"/>
      <c r="CQ47" s="98"/>
      <c r="CR47" s="98"/>
      <c r="CS47" s="98"/>
      <c r="CT47" s="98"/>
      <c r="CU47" s="98"/>
      <c r="CV47" s="98"/>
      <c r="CW47" s="98"/>
      <c r="CX47" s="98"/>
      <c r="CY47" s="98"/>
      <c r="CZ47" s="98"/>
      <c r="DA47" s="98"/>
      <c r="DB47" s="98"/>
      <c r="DC47" s="98"/>
      <c r="DD47" s="98"/>
      <c r="DE47" s="98"/>
      <c r="DF47" s="98"/>
      <c r="DG47" s="98"/>
      <c r="DH47" s="98"/>
      <c r="DI47" s="98"/>
      <c r="DJ47" s="98"/>
      <c r="DK47" s="98"/>
      <c r="DL47" s="98"/>
      <c r="DM47" s="98"/>
      <c r="DN47" s="98"/>
      <c r="DO47" s="98"/>
      <c r="DP47" s="98"/>
      <c r="DQ47" s="98"/>
      <c r="DR47" s="98"/>
      <c r="DS47" s="98"/>
      <c r="DT47" s="98"/>
      <c r="DU47" s="98"/>
      <c r="DV47" s="98"/>
      <c r="DW47" s="98"/>
      <c r="DX47" s="98"/>
      <c r="DY47" s="98"/>
      <c r="DZ47" s="98"/>
      <c r="EA47" s="98"/>
      <c r="EB47" s="98"/>
      <c r="EC47" s="98"/>
      <c r="ED47" s="98"/>
      <c r="EE47" s="98"/>
      <c r="EF47" s="98"/>
      <c r="EG47" s="98"/>
      <c r="EH47" s="98"/>
      <c r="EI47" s="98"/>
      <c r="EJ47" s="98"/>
      <c r="EK47" s="98"/>
      <c r="EL47" s="98"/>
      <c r="EM47" s="98"/>
      <c r="EN47" s="98"/>
      <c r="EO47" s="98"/>
      <c r="EP47" s="98"/>
      <c r="EQ47" s="98"/>
      <c r="ER47" s="98"/>
      <c r="ES47" s="98"/>
      <c r="ET47" s="98"/>
      <c r="EU47" s="98"/>
      <c r="EV47" s="98"/>
      <c r="EW47" s="98"/>
      <c r="EX47" s="98"/>
      <c r="EY47" s="98"/>
      <c r="EZ47" s="98"/>
      <c r="FA47" s="98"/>
      <c r="FB47" s="98"/>
      <c r="FC47" s="98"/>
      <c r="FD47" s="98"/>
    </row>
    <row r="48" spans="1:160" x14ac:dyDescent="0.25">
      <c r="A48" s="96"/>
      <c r="B48" s="96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  <c r="AI48" s="97"/>
      <c r="AJ48" s="97"/>
      <c r="AK48" s="97"/>
      <c r="AL48" s="97"/>
      <c r="AM48" s="97"/>
      <c r="AN48" s="97"/>
      <c r="AO48" s="97"/>
      <c r="AP48" s="97"/>
      <c r="AQ48" s="97"/>
      <c r="AR48" s="97"/>
      <c r="AS48" s="97"/>
      <c r="AT48" s="97"/>
      <c r="AU48" s="97"/>
      <c r="AV48" s="97"/>
      <c r="AW48" s="97"/>
      <c r="AX48" s="97"/>
      <c r="AY48" s="97"/>
      <c r="AZ48" s="97"/>
      <c r="BA48" s="97"/>
      <c r="BB48" s="97"/>
      <c r="BC48" s="97"/>
      <c r="BD48" s="97"/>
      <c r="BE48" s="97"/>
      <c r="BF48" s="97"/>
      <c r="BG48" s="97"/>
      <c r="BH48" s="97"/>
      <c r="BI48" s="97"/>
      <c r="BJ48" s="97"/>
      <c r="BK48" s="97"/>
      <c r="BL48" s="97"/>
      <c r="BM48" s="97"/>
      <c r="BN48" s="98"/>
      <c r="BO48" s="98"/>
      <c r="BP48" s="98"/>
      <c r="BQ48" s="98"/>
      <c r="BR48" s="98"/>
      <c r="BS48" s="98"/>
      <c r="BT48" s="98"/>
      <c r="BU48" s="98"/>
      <c r="BV48" s="98"/>
      <c r="BW48" s="98"/>
      <c r="BX48" s="98"/>
      <c r="BY48" s="98"/>
      <c r="BZ48" s="98"/>
      <c r="CA48" s="98"/>
      <c r="CB48" s="98"/>
      <c r="CC48" s="98"/>
      <c r="CD48" s="98"/>
      <c r="CE48" s="98"/>
      <c r="CF48" s="98"/>
      <c r="CG48" s="98"/>
      <c r="CH48" s="98"/>
      <c r="CI48" s="98"/>
      <c r="CJ48" s="98"/>
      <c r="CK48" s="98"/>
      <c r="CL48" s="98"/>
      <c r="CM48" s="98"/>
      <c r="CN48" s="98"/>
      <c r="CO48" s="98"/>
      <c r="CP48" s="98"/>
      <c r="CQ48" s="98"/>
      <c r="CR48" s="98"/>
      <c r="CS48" s="98"/>
      <c r="CT48" s="98"/>
      <c r="CU48" s="98"/>
      <c r="CV48" s="98"/>
      <c r="CW48" s="98"/>
      <c r="CX48" s="98"/>
      <c r="CY48" s="98"/>
      <c r="CZ48" s="98"/>
      <c r="DA48" s="98"/>
      <c r="DB48" s="98"/>
      <c r="DC48" s="98"/>
      <c r="DD48" s="98"/>
      <c r="DE48" s="98"/>
      <c r="DF48" s="98"/>
      <c r="DG48" s="98"/>
      <c r="DH48" s="98"/>
      <c r="DI48" s="98"/>
      <c r="DJ48" s="98"/>
      <c r="DK48" s="98"/>
      <c r="DL48" s="98"/>
      <c r="DM48" s="98"/>
      <c r="DN48" s="98"/>
      <c r="DO48" s="98"/>
      <c r="DP48" s="98"/>
      <c r="DQ48" s="98"/>
      <c r="DR48" s="98"/>
      <c r="DS48" s="98"/>
      <c r="DT48" s="98"/>
      <c r="DU48" s="98"/>
      <c r="DV48" s="98"/>
      <c r="DW48" s="98"/>
      <c r="DX48" s="98"/>
      <c r="DY48" s="98"/>
      <c r="DZ48" s="98"/>
      <c r="EA48" s="98"/>
      <c r="EB48" s="98"/>
      <c r="EC48" s="98"/>
      <c r="ED48" s="98"/>
      <c r="EE48" s="98"/>
      <c r="EF48" s="98"/>
      <c r="EG48" s="98"/>
      <c r="EH48" s="98"/>
      <c r="EI48" s="98"/>
      <c r="EJ48" s="98"/>
      <c r="EK48" s="98"/>
      <c r="EL48" s="98"/>
      <c r="EM48" s="98"/>
      <c r="EN48" s="98"/>
      <c r="EO48" s="98"/>
      <c r="EP48" s="98"/>
      <c r="EQ48" s="98"/>
      <c r="ER48" s="98"/>
      <c r="ES48" s="98"/>
      <c r="ET48" s="98"/>
      <c r="EU48" s="98"/>
      <c r="EV48" s="98"/>
      <c r="EW48" s="98"/>
      <c r="EX48" s="98"/>
      <c r="EY48" s="98"/>
      <c r="EZ48" s="98"/>
      <c r="FA48" s="98"/>
      <c r="FB48" s="98"/>
      <c r="FC48" s="98"/>
      <c r="FD48" s="98"/>
    </row>
    <row r="49" spans="1:160" x14ac:dyDescent="0.25">
      <c r="A49" s="96"/>
      <c r="B49" s="96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97"/>
      <c r="AH49" s="97"/>
      <c r="AI49" s="97"/>
      <c r="AJ49" s="97"/>
      <c r="AK49" s="97"/>
      <c r="AL49" s="97"/>
      <c r="AM49" s="97"/>
      <c r="AN49" s="97"/>
      <c r="AO49" s="97"/>
      <c r="AP49" s="97"/>
      <c r="AQ49" s="97"/>
      <c r="AR49" s="97"/>
      <c r="AS49" s="97"/>
      <c r="AT49" s="97"/>
      <c r="AU49" s="97"/>
      <c r="AV49" s="97"/>
      <c r="AW49" s="97"/>
      <c r="AX49" s="97"/>
      <c r="AY49" s="97"/>
      <c r="AZ49" s="97"/>
      <c r="BA49" s="97"/>
      <c r="BB49" s="97"/>
      <c r="BC49" s="97"/>
      <c r="BD49" s="97"/>
      <c r="BE49" s="97"/>
      <c r="BF49" s="97"/>
      <c r="BG49" s="97"/>
      <c r="BH49" s="97"/>
      <c r="BI49" s="97"/>
      <c r="BJ49" s="97"/>
      <c r="BK49" s="97"/>
      <c r="BL49" s="97"/>
      <c r="BM49" s="97"/>
      <c r="BN49" s="98"/>
      <c r="BO49" s="98"/>
      <c r="BP49" s="98"/>
      <c r="BQ49" s="98"/>
      <c r="BR49" s="98"/>
      <c r="BS49" s="98"/>
      <c r="BT49" s="98"/>
      <c r="BU49" s="98"/>
      <c r="BV49" s="98"/>
      <c r="BW49" s="98"/>
      <c r="BX49" s="98"/>
      <c r="BY49" s="98"/>
      <c r="BZ49" s="98"/>
      <c r="CA49" s="98"/>
      <c r="CB49" s="98"/>
      <c r="CC49" s="98"/>
      <c r="CD49" s="98"/>
      <c r="CE49" s="98"/>
      <c r="CF49" s="98"/>
      <c r="CG49" s="98"/>
      <c r="CH49" s="98"/>
      <c r="CI49" s="98"/>
      <c r="CJ49" s="98"/>
      <c r="CK49" s="98"/>
      <c r="CL49" s="98"/>
      <c r="CM49" s="98"/>
      <c r="CN49" s="98"/>
      <c r="CO49" s="98"/>
      <c r="CP49" s="98"/>
      <c r="CQ49" s="98"/>
      <c r="CR49" s="98"/>
      <c r="CS49" s="98"/>
      <c r="CT49" s="98"/>
      <c r="CU49" s="98"/>
      <c r="CV49" s="98"/>
      <c r="CW49" s="98"/>
      <c r="CX49" s="98"/>
      <c r="CY49" s="98"/>
      <c r="CZ49" s="98"/>
      <c r="DA49" s="98"/>
      <c r="DB49" s="98"/>
      <c r="DC49" s="98"/>
      <c r="DD49" s="98"/>
      <c r="DE49" s="98"/>
      <c r="DF49" s="98"/>
      <c r="DG49" s="98"/>
      <c r="DH49" s="98"/>
      <c r="DI49" s="98"/>
      <c r="DJ49" s="98"/>
      <c r="DK49" s="98"/>
      <c r="DL49" s="98"/>
      <c r="DM49" s="98"/>
      <c r="DN49" s="98"/>
      <c r="DO49" s="98"/>
      <c r="DP49" s="98"/>
      <c r="DQ49" s="98"/>
      <c r="DR49" s="98"/>
      <c r="DS49" s="98"/>
      <c r="DT49" s="98"/>
      <c r="DU49" s="98"/>
      <c r="DV49" s="98"/>
      <c r="DW49" s="98"/>
      <c r="DX49" s="98"/>
      <c r="DY49" s="98"/>
      <c r="DZ49" s="98"/>
      <c r="EA49" s="98"/>
      <c r="EB49" s="98"/>
      <c r="EC49" s="98"/>
      <c r="ED49" s="98"/>
      <c r="EE49" s="98"/>
      <c r="EF49" s="98"/>
      <c r="EG49" s="98"/>
      <c r="EH49" s="98"/>
      <c r="EI49" s="98"/>
      <c r="EJ49" s="98"/>
      <c r="EK49" s="98"/>
      <c r="EL49" s="98"/>
      <c r="EM49" s="98"/>
      <c r="EN49" s="98"/>
      <c r="EO49" s="98"/>
      <c r="EP49" s="98"/>
      <c r="EQ49" s="98"/>
      <c r="ER49" s="98"/>
      <c r="ES49" s="98"/>
      <c r="ET49" s="98"/>
      <c r="EU49" s="98"/>
      <c r="EV49" s="98"/>
      <c r="EW49" s="98"/>
      <c r="EX49" s="98"/>
      <c r="EY49" s="98"/>
      <c r="EZ49" s="98"/>
      <c r="FA49" s="98"/>
      <c r="FB49" s="98"/>
      <c r="FC49" s="98"/>
      <c r="FD49" s="98"/>
    </row>
    <row r="50" spans="1:160" x14ac:dyDescent="0.25">
      <c r="A50" s="96"/>
      <c r="B50" s="96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97"/>
      <c r="AV50" s="97"/>
      <c r="AW50" s="97"/>
      <c r="AX50" s="97"/>
      <c r="AY50" s="97"/>
      <c r="AZ50" s="97"/>
      <c r="BA50" s="97"/>
      <c r="BB50" s="97"/>
      <c r="BC50" s="97"/>
      <c r="BD50" s="97"/>
      <c r="BE50" s="97"/>
      <c r="BF50" s="97"/>
      <c r="BG50" s="97"/>
      <c r="BH50" s="97"/>
      <c r="BI50" s="97"/>
      <c r="BJ50" s="97"/>
      <c r="BK50" s="97"/>
      <c r="BL50" s="97"/>
      <c r="BM50" s="97"/>
      <c r="BN50" s="98"/>
      <c r="BO50" s="98"/>
      <c r="BP50" s="98"/>
      <c r="BQ50" s="98"/>
      <c r="BR50" s="98"/>
      <c r="BS50" s="98"/>
      <c r="BT50" s="98"/>
      <c r="BU50" s="98"/>
      <c r="BV50" s="98"/>
      <c r="BW50" s="98"/>
      <c r="BX50" s="98"/>
      <c r="BY50" s="98"/>
      <c r="BZ50" s="98"/>
      <c r="CA50" s="98"/>
      <c r="CB50" s="98"/>
      <c r="CC50" s="98"/>
      <c r="CD50" s="98"/>
      <c r="CE50" s="98"/>
      <c r="CF50" s="98"/>
      <c r="CG50" s="98"/>
      <c r="CH50" s="98"/>
      <c r="CI50" s="98"/>
      <c r="CJ50" s="98"/>
      <c r="CK50" s="98"/>
      <c r="CL50" s="98"/>
      <c r="CM50" s="98"/>
      <c r="CN50" s="98"/>
      <c r="CO50" s="98"/>
      <c r="CP50" s="98"/>
      <c r="CQ50" s="98"/>
      <c r="CR50" s="98"/>
      <c r="CS50" s="98"/>
      <c r="CT50" s="98"/>
      <c r="CU50" s="98"/>
      <c r="CV50" s="98"/>
      <c r="CW50" s="98"/>
      <c r="CX50" s="98"/>
      <c r="CY50" s="98"/>
      <c r="CZ50" s="98"/>
      <c r="DA50" s="98"/>
      <c r="DB50" s="98"/>
      <c r="DC50" s="98"/>
      <c r="DD50" s="98"/>
      <c r="DE50" s="98"/>
      <c r="DF50" s="98"/>
      <c r="DG50" s="98"/>
      <c r="DH50" s="98"/>
      <c r="DI50" s="98"/>
      <c r="DJ50" s="98"/>
      <c r="DK50" s="98"/>
      <c r="DL50" s="98"/>
      <c r="DM50" s="98"/>
      <c r="DN50" s="98"/>
      <c r="DO50" s="98"/>
      <c r="DP50" s="98"/>
      <c r="DQ50" s="98"/>
      <c r="DR50" s="98"/>
      <c r="DS50" s="98"/>
      <c r="DT50" s="98"/>
      <c r="DU50" s="98"/>
      <c r="DV50" s="98"/>
      <c r="DW50" s="98"/>
      <c r="DX50" s="98"/>
      <c r="DY50" s="98"/>
      <c r="DZ50" s="98"/>
      <c r="EA50" s="98"/>
      <c r="EB50" s="98"/>
      <c r="EC50" s="98"/>
      <c r="ED50" s="98"/>
      <c r="EE50" s="98"/>
      <c r="EF50" s="98"/>
      <c r="EG50" s="98"/>
      <c r="EH50" s="98"/>
      <c r="EI50" s="98"/>
      <c r="EJ50" s="98"/>
      <c r="EK50" s="98"/>
      <c r="EL50" s="98"/>
      <c r="EM50" s="98"/>
      <c r="EN50" s="98"/>
      <c r="EO50" s="98"/>
      <c r="EP50" s="98"/>
      <c r="EQ50" s="98"/>
      <c r="ER50" s="98"/>
      <c r="ES50" s="98"/>
      <c r="ET50" s="98"/>
      <c r="EU50" s="98"/>
      <c r="EV50" s="98"/>
      <c r="EW50" s="98"/>
      <c r="EX50" s="98"/>
      <c r="EY50" s="98"/>
      <c r="EZ50" s="98"/>
      <c r="FA50" s="98"/>
      <c r="FB50" s="98"/>
      <c r="FC50" s="98"/>
      <c r="FD50" s="98"/>
    </row>
    <row r="51" spans="1:160" x14ac:dyDescent="0.25">
      <c r="A51" s="96"/>
      <c r="B51" s="96"/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7"/>
      <c r="AC51" s="97"/>
      <c r="AD51" s="97"/>
      <c r="AE51" s="97"/>
      <c r="AF51" s="97"/>
      <c r="AG51" s="97"/>
      <c r="AH51" s="97"/>
      <c r="AI51" s="97"/>
      <c r="AJ51" s="97"/>
      <c r="AK51" s="97"/>
      <c r="AL51" s="97"/>
      <c r="AM51" s="97"/>
      <c r="AN51" s="97"/>
      <c r="AO51" s="97"/>
      <c r="AP51" s="97"/>
      <c r="AQ51" s="97"/>
      <c r="AR51" s="97"/>
      <c r="AS51" s="97"/>
      <c r="AT51" s="97"/>
      <c r="AU51" s="97"/>
      <c r="AV51" s="97"/>
      <c r="AW51" s="97"/>
      <c r="AX51" s="97"/>
      <c r="AY51" s="97"/>
      <c r="AZ51" s="97"/>
      <c r="BA51" s="97"/>
      <c r="BB51" s="97"/>
      <c r="BC51" s="97"/>
      <c r="BD51" s="97"/>
      <c r="BE51" s="97"/>
      <c r="BF51" s="97"/>
      <c r="BG51" s="97"/>
      <c r="BH51" s="97"/>
      <c r="BI51" s="97"/>
      <c r="BJ51" s="97"/>
      <c r="BK51" s="97"/>
      <c r="BL51" s="97"/>
      <c r="BM51" s="97"/>
      <c r="BN51" s="98"/>
      <c r="BO51" s="98"/>
      <c r="BP51" s="98"/>
      <c r="BQ51" s="98"/>
      <c r="BR51" s="98"/>
      <c r="BS51" s="98"/>
      <c r="BT51" s="98"/>
      <c r="BU51" s="98"/>
      <c r="BV51" s="98"/>
      <c r="BW51" s="98"/>
      <c r="BX51" s="98"/>
      <c r="BY51" s="98"/>
      <c r="BZ51" s="98"/>
      <c r="CA51" s="98"/>
      <c r="CB51" s="98"/>
      <c r="CC51" s="98"/>
      <c r="CD51" s="98"/>
      <c r="CE51" s="98"/>
      <c r="CF51" s="98"/>
      <c r="CG51" s="98"/>
      <c r="CH51" s="98"/>
      <c r="CI51" s="98"/>
      <c r="CJ51" s="98"/>
      <c r="CK51" s="98"/>
      <c r="CL51" s="98"/>
      <c r="CM51" s="98"/>
      <c r="CN51" s="98"/>
      <c r="CO51" s="98"/>
      <c r="CP51" s="98"/>
      <c r="CQ51" s="98"/>
      <c r="CR51" s="98"/>
      <c r="CS51" s="98"/>
      <c r="CT51" s="98"/>
      <c r="CU51" s="98"/>
      <c r="CV51" s="98"/>
      <c r="CW51" s="98"/>
      <c r="CX51" s="98"/>
      <c r="CY51" s="98"/>
      <c r="CZ51" s="98"/>
      <c r="DA51" s="98"/>
      <c r="DB51" s="98"/>
      <c r="DC51" s="98"/>
      <c r="DD51" s="98"/>
      <c r="DE51" s="98"/>
      <c r="DF51" s="98"/>
      <c r="DG51" s="98"/>
      <c r="DH51" s="98"/>
      <c r="DI51" s="98"/>
      <c r="DJ51" s="98"/>
      <c r="DK51" s="98"/>
      <c r="DL51" s="98"/>
      <c r="DM51" s="98"/>
      <c r="DN51" s="98"/>
      <c r="DO51" s="98"/>
      <c r="DP51" s="98"/>
      <c r="DQ51" s="98"/>
      <c r="DR51" s="98"/>
      <c r="DS51" s="98"/>
      <c r="DT51" s="98"/>
      <c r="DU51" s="98"/>
      <c r="DV51" s="98"/>
      <c r="DW51" s="98"/>
      <c r="DX51" s="98"/>
      <c r="DY51" s="98"/>
      <c r="DZ51" s="98"/>
      <c r="EA51" s="98"/>
      <c r="EB51" s="98"/>
      <c r="EC51" s="98"/>
      <c r="ED51" s="98"/>
      <c r="EE51" s="98"/>
      <c r="EF51" s="98"/>
      <c r="EG51" s="98"/>
      <c r="EH51" s="98"/>
      <c r="EI51" s="98"/>
      <c r="EJ51" s="98"/>
      <c r="EK51" s="98"/>
      <c r="EL51" s="98"/>
      <c r="EM51" s="98"/>
      <c r="EN51" s="98"/>
      <c r="EO51" s="98"/>
      <c r="EP51" s="98"/>
      <c r="EQ51" s="98"/>
      <c r="ER51" s="98"/>
      <c r="ES51" s="98"/>
      <c r="ET51" s="98"/>
      <c r="EU51" s="98"/>
      <c r="EV51" s="98"/>
      <c r="EW51" s="98"/>
      <c r="EX51" s="98"/>
      <c r="EY51" s="98"/>
      <c r="EZ51" s="98"/>
      <c r="FA51" s="98"/>
      <c r="FB51" s="98"/>
      <c r="FC51" s="98"/>
      <c r="FD51" s="98"/>
    </row>
    <row r="52" spans="1:160" x14ac:dyDescent="0.25">
      <c r="A52" s="96"/>
      <c r="B52" s="96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97"/>
      <c r="AP52" s="97"/>
      <c r="AQ52" s="97"/>
      <c r="AR52" s="97"/>
      <c r="AS52" s="97"/>
      <c r="AT52" s="97"/>
      <c r="AU52" s="97"/>
      <c r="AV52" s="97"/>
      <c r="AW52" s="97"/>
      <c r="AX52" s="97"/>
      <c r="AY52" s="97"/>
      <c r="AZ52" s="97"/>
      <c r="BA52" s="97"/>
      <c r="BB52" s="97"/>
      <c r="BC52" s="97"/>
      <c r="BD52" s="97"/>
      <c r="BE52" s="97"/>
      <c r="BF52" s="97"/>
      <c r="BG52" s="97"/>
      <c r="BH52" s="97"/>
      <c r="BI52" s="97"/>
      <c r="BJ52" s="97"/>
      <c r="BK52" s="97"/>
      <c r="BL52" s="97"/>
      <c r="BM52" s="97"/>
      <c r="BN52" s="98"/>
      <c r="BO52" s="98"/>
      <c r="BP52" s="98"/>
      <c r="BQ52" s="98"/>
      <c r="BR52" s="98"/>
      <c r="BS52" s="98"/>
      <c r="BT52" s="98"/>
      <c r="BU52" s="98"/>
      <c r="BV52" s="98"/>
      <c r="BW52" s="98"/>
      <c r="BX52" s="98"/>
      <c r="BY52" s="98"/>
      <c r="BZ52" s="98"/>
      <c r="CA52" s="98"/>
      <c r="CB52" s="98"/>
      <c r="CC52" s="98"/>
      <c r="CD52" s="98"/>
      <c r="CE52" s="98"/>
      <c r="CF52" s="98"/>
      <c r="CG52" s="98"/>
      <c r="CH52" s="98"/>
      <c r="CI52" s="98"/>
      <c r="CJ52" s="98"/>
      <c r="CK52" s="98"/>
      <c r="CL52" s="98"/>
      <c r="CM52" s="98"/>
      <c r="CN52" s="98"/>
      <c r="CO52" s="98"/>
      <c r="CP52" s="98"/>
      <c r="CQ52" s="98"/>
      <c r="CR52" s="98"/>
      <c r="CS52" s="98"/>
      <c r="CT52" s="98"/>
      <c r="CU52" s="98"/>
      <c r="CV52" s="98"/>
      <c r="CW52" s="98"/>
      <c r="CX52" s="98"/>
      <c r="CY52" s="98"/>
      <c r="CZ52" s="98"/>
      <c r="DA52" s="98"/>
      <c r="DB52" s="98"/>
      <c r="DC52" s="98"/>
      <c r="DD52" s="98"/>
      <c r="DE52" s="98"/>
      <c r="DF52" s="98"/>
      <c r="DG52" s="98"/>
      <c r="DH52" s="98"/>
      <c r="DI52" s="98"/>
      <c r="DJ52" s="98"/>
      <c r="DK52" s="98"/>
      <c r="DL52" s="98"/>
      <c r="DM52" s="98"/>
      <c r="DN52" s="98"/>
      <c r="DO52" s="98"/>
      <c r="DP52" s="98"/>
      <c r="DQ52" s="98"/>
      <c r="DR52" s="98"/>
      <c r="DS52" s="98"/>
      <c r="DT52" s="98"/>
      <c r="DU52" s="98"/>
      <c r="DV52" s="98"/>
      <c r="DW52" s="98"/>
      <c r="DX52" s="98"/>
      <c r="DY52" s="98"/>
      <c r="DZ52" s="98"/>
      <c r="EA52" s="98"/>
      <c r="EB52" s="98"/>
      <c r="EC52" s="98"/>
      <c r="ED52" s="98"/>
      <c r="EE52" s="98"/>
      <c r="EF52" s="98"/>
      <c r="EG52" s="98"/>
      <c r="EH52" s="98"/>
      <c r="EI52" s="98"/>
      <c r="EJ52" s="98"/>
      <c r="EK52" s="98"/>
      <c r="EL52" s="98"/>
      <c r="EM52" s="98"/>
      <c r="EN52" s="98"/>
      <c r="EO52" s="98"/>
      <c r="EP52" s="98"/>
      <c r="EQ52" s="98"/>
      <c r="ER52" s="98"/>
      <c r="ES52" s="98"/>
      <c r="ET52" s="98"/>
      <c r="EU52" s="98"/>
      <c r="EV52" s="98"/>
      <c r="EW52" s="98"/>
      <c r="EX52" s="98"/>
      <c r="EY52" s="98"/>
      <c r="EZ52" s="98"/>
      <c r="FA52" s="98"/>
      <c r="FB52" s="98"/>
      <c r="FC52" s="98"/>
      <c r="FD52" s="98"/>
    </row>
    <row r="53" spans="1:160" x14ac:dyDescent="0.25">
      <c r="A53" s="96"/>
      <c r="B53" s="96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7"/>
      <c r="AP53" s="97"/>
      <c r="AQ53" s="97"/>
      <c r="AR53" s="97"/>
      <c r="AS53" s="97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7"/>
      <c r="BE53" s="97"/>
      <c r="BF53" s="97"/>
      <c r="BG53" s="97"/>
      <c r="BH53" s="97"/>
      <c r="BI53" s="97"/>
      <c r="BJ53" s="97"/>
      <c r="BK53" s="97"/>
      <c r="BL53" s="97"/>
      <c r="BM53" s="97"/>
      <c r="BN53" s="98"/>
      <c r="BO53" s="98"/>
      <c r="BP53" s="98"/>
      <c r="BQ53" s="98"/>
      <c r="BR53" s="98"/>
      <c r="BS53" s="98"/>
      <c r="BT53" s="98"/>
      <c r="BU53" s="98"/>
      <c r="BV53" s="98"/>
      <c r="BW53" s="98"/>
      <c r="BX53" s="98"/>
      <c r="BY53" s="98"/>
      <c r="BZ53" s="98"/>
      <c r="CA53" s="98"/>
      <c r="CB53" s="98"/>
      <c r="CC53" s="98"/>
      <c r="CD53" s="98"/>
      <c r="CE53" s="98"/>
      <c r="CF53" s="98"/>
      <c r="CG53" s="98"/>
      <c r="CH53" s="98"/>
      <c r="CI53" s="98"/>
      <c r="CJ53" s="98"/>
      <c r="CK53" s="98"/>
      <c r="CL53" s="98"/>
      <c r="CM53" s="98"/>
      <c r="CN53" s="98"/>
      <c r="CO53" s="98"/>
      <c r="CP53" s="98"/>
      <c r="CQ53" s="98"/>
      <c r="CR53" s="98"/>
      <c r="CS53" s="98"/>
      <c r="CT53" s="98"/>
      <c r="CU53" s="98"/>
      <c r="CV53" s="98"/>
      <c r="CW53" s="98"/>
      <c r="CX53" s="98"/>
      <c r="CY53" s="98"/>
      <c r="CZ53" s="98"/>
      <c r="DA53" s="98"/>
      <c r="DB53" s="98"/>
      <c r="DC53" s="98"/>
      <c r="DD53" s="98"/>
      <c r="DE53" s="98"/>
      <c r="DF53" s="98"/>
      <c r="DG53" s="98"/>
      <c r="DH53" s="98"/>
      <c r="DI53" s="98"/>
      <c r="DJ53" s="98"/>
      <c r="DK53" s="98"/>
      <c r="DL53" s="98"/>
      <c r="DM53" s="98"/>
      <c r="DN53" s="98"/>
      <c r="DO53" s="98"/>
      <c r="DP53" s="98"/>
      <c r="DQ53" s="98"/>
      <c r="DR53" s="98"/>
      <c r="DS53" s="98"/>
      <c r="DT53" s="98"/>
      <c r="DU53" s="98"/>
      <c r="DV53" s="98"/>
      <c r="DW53" s="98"/>
      <c r="DX53" s="98"/>
      <c r="DY53" s="98"/>
      <c r="DZ53" s="98"/>
      <c r="EA53" s="98"/>
      <c r="EB53" s="98"/>
      <c r="EC53" s="98"/>
      <c r="ED53" s="98"/>
      <c r="EE53" s="98"/>
      <c r="EF53" s="98"/>
      <c r="EG53" s="98"/>
      <c r="EH53" s="98"/>
      <c r="EI53" s="98"/>
      <c r="EJ53" s="98"/>
      <c r="EK53" s="98"/>
      <c r="EL53" s="98"/>
      <c r="EM53" s="98"/>
      <c r="EN53" s="98"/>
      <c r="EO53" s="98"/>
      <c r="EP53" s="98"/>
      <c r="EQ53" s="98"/>
      <c r="ER53" s="98"/>
      <c r="ES53" s="98"/>
      <c r="ET53" s="98"/>
      <c r="EU53" s="98"/>
      <c r="EV53" s="98"/>
      <c r="EW53" s="98"/>
      <c r="EX53" s="98"/>
      <c r="EY53" s="98"/>
      <c r="EZ53" s="98"/>
      <c r="FA53" s="98"/>
      <c r="FB53" s="98"/>
      <c r="FC53" s="98"/>
      <c r="FD53" s="98"/>
    </row>
    <row r="54" spans="1:160" x14ac:dyDescent="0.25">
      <c r="A54" s="96"/>
      <c r="B54" s="96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8"/>
      <c r="BO54" s="98"/>
      <c r="BP54" s="98"/>
      <c r="BQ54" s="98"/>
      <c r="BR54" s="98"/>
      <c r="BS54" s="98"/>
      <c r="BT54" s="98"/>
      <c r="BU54" s="98"/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/>
      <c r="CK54" s="98"/>
      <c r="CL54" s="98"/>
      <c r="CM54" s="98"/>
      <c r="CN54" s="98"/>
      <c r="CO54" s="98"/>
      <c r="CP54" s="98"/>
      <c r="CQ54" s="98"/>
      <c r="CR54" s="98"/>
      <c r="CS54" s="98"/>
      <c r="CT54" s="98"/>
      <c r="CU54" s="98"/>
      <c r="CV54" s="98"/>
      <c r="CW54" s="98"/>
      <c r="CX54" s="98"/>
      <c r="CY54" s="98"/>
      <c r="CZ54" s="98"/>
      <c r="DA54" s="98"/>
      <c r="DB54" s="98"/>
      <c r="DC54" s="98"/>
      <c r="DD54" s="98"/>
      <c r="DE54" s="98"/>
      <c r="DF54" s="98"/>
      <c r="DG54" s="98"/>
      <c r="DH54" s="98"/>
      <c r="DI54" s="98"/>
      <c r="DJ54" s="98"/>
      <c r="DK54" s="98"/>
      <c r="DL54" s="98"/>
      <c r="DM54" s="98"/>
      <c r="DN54" s="98"/>
      <c r="DO54" s="98"/>
      <c r="DP54" s="98"/>
      <c r="DQ54" s="98"/>
      <c r="DR54" s="98"/>
      <c r="DS54" s="98"/>
      <c r="DT54" s="98"/>
      <c r="DU54" s="98"/>
      <c r="DV54" s="98"/>
      <c r="DW54" s="98"/>
      <c r="DX54" s="98"/>
      <c r="DY54" s="98"/>
      <c r="DZ54" s="98"/>
      <c r="EA54" s="98"/>
      <c r="EB54" s="98"/>
      <c r="EC54" s="98"/>
      <c r="ED54" s="98"/>
      <c r="EE54" s="98"/>
      <c r="EF54" s="98"/>
      <c r="EG54" s="98"/>
      <c r="EH54" s="98"/>
      <c r="EI54" s="98"/>
      <c r="EJ54" s="98"/>
      <c r="EK54" s="98"/>
      <c r="EL54" s="98"/>
      <c r="EM54" s="98"/>
      <c r="EN54" s="98"/>
      <c r="EO54" s="98"/>
      <c r="EP54" s="98"/>
      <c r="EQ54" s="98"/>
      <c r="ER54" s="98"/>
      <c r="ES54" s="98"/>
      <c r="ET54" s="98"/>
      <c r="EU54" s="98"/>
      <c r="EV54" s="98"/>
      <c r="EW54" s="98"/>
      <c r="EX54" s="98"/>
      <c r="EY54" s="98"/>
      <c r="EZ54" s="98"/>
      <c r="FA54" s="98"/>
      <c r="FB54" s="98"/>
      <c r="FC54" s="98"/>
      <c r="FD54" s="98"/>
    </row>
    <row r="55" spans="1:160" x14ac:dyDescent="0.25">
      <c r="A55" s="96"/>
      <c r="B55" s="96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97"/>
      <c r="BJ55" s="97"/>
      <c r="BK55" s="97"/>
      <c r="BL55" s="97"/>
      <c r="BM55" s="97"/>
      <c r="BN55" s="98"/>
      <c r="BO55" s="98"/>
      <c r="BP55" s="98"/>
      <c r="BQ55" s="98"/>
      <c r="BR55" s="98"/>
      <c r="BS55" s="98"/>
      <c r="BT55" s="98"/>
      <c r="BU55" s="98"/>
      <c r="BV55" s="98"/>
      <c r="BW55" s="98"/>
      <c r="BX55" s="98"/>
      <c r="BY55" s="98"/>
      <c r="BZ55" s="98"/>
      <c r="CA55" s="98"/>
      <c r="CB55" s="98"/>
      <c r="CC55" s="98"/>
      <c r="CD55" s="98"/>
      <c r="CE55" s="98"/>
      <c r="CF55" s="98"/>
      <c r="CG55" s="98"/>
      <c r="CH55" s="98"/>
      <c r="CI55" s="98"/>
      <c r="CJ55" s="98"/>
      <c r="CK55" s="98"/>
      <c r="CL55" s="98"/>
      <c r="CM55" s="98"/>
      <c r="CN55" s="98"/>
      <c r="CO55" s="98"/>
      <c r="CP55" s="98"/>
      <c r="CQ55" s="98"/>
      <c r="CR55" s="98"/>
      <c r="CS55" s="98"/>
      <c r="CT55" s="98"/>
      <c r="CU55" s="98"/>
      <c r="CV55" s="98"/>
      <c r="CW55" s="98"/>
      <c r="CX55" s="98"/>
      <c r="CY55" s="98"/>
      <c r="CZ55" s="98"/>
      <c r="DA55" s="98"/>
      <c r="DB55" s="98"/>
      <c r="DC55" s="98"/>
      <c r="DD55" s="98"/>
      <c r="DE55" s="98"/>
      <c r="DF55" s="98"/>
      <c r="DG55" s="98"/>
      <c r="DH55" s="98"/>
      <c r="DI55" s="98"/>
      <c r="DJ55" s="98"/>
      <c r="DK55" s="98"/>
      <c r="DL55" s="98"/>
      <c r="DM55" s="98"/>
      <c r="DN55" s="98"/>
      <c r="DO55" s="98"/>
      <c r="DP55" s="98"/>
      <c r="DQ55" s="98"/>
      <c r="DR55" s="98"/>
      <c r="DS55" s="98"/>
      <c r="DT55" s="98"/>
      <c r="DU55" s="98"/>
      <c r="DV55" s="98"/>
      <c r="DW55" s="98"/>
      <c r="DX55" s="98"/>
      <c r="DY55" s="98"/>
      <c r="DZ55" s="98"/>
      <c r="EA55" s="98"/>
      <c r="EB55" s="98"/>
      <c r="EC55" s="98"/>
      <c r="ED55" s="98"/>
      <c r="EE55" s="98"/>
      <c r="EF55" s="98"/>
      <c r="EG55" s="98"/>
      <c r="EH55" s="98"/>
      <c r="EI55" s="98"/>
      <c r="EJ55" s="98"/>
      <c r="EK55" s="98"/>
      <c r="EL55" s="98"/>
      <c r="EM55" s="98"/>
      <c r="EN55" s="98"/>
      <c r="EO55" s="98"/>
      <c r="EP55" s="98"/>
      <c r="EQ55" s="98"/>
      <c r="ER55" s="98"/>
      <c r="ES55" s="98"/>
      <c r="ET55" s="98"/>
      <c r="EU55" s="98"/>
      <c r="EV55" s="98"/>
      <c r="EW55" s="98"/>
      <c r="EX55" s="98"/>
      <c r="EY55" s="98"/>
      <c r="EZ55" s="98"/>
      <c r="FA55" s="98"/>
      <c r="FB55" s="98"/>
      <c r="FC55" s="98"/>
      <c r="FD55" s="98"/>
    </row>
    <row r="56" spans="1:160" x14ac:dyDescent="0.25">
      <c r="A56" s="96"/>
      <c r="B56" s="96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O56" s="97"/>
      <c r="AP56" s="97"/>
      <c r="AQ56" s="97"/>
      <c r="AR56" s="97"/>
      <c r="AS56" s="97"/>
      <c r="AT56" s="97"/>
      <c r="AU56" s="97"/>
      <c r="AV56" s="97"/>
      <c r="AW56" s="97"/>
      <c r="AX56" s="97"/>
      <c r="AY56" s="97"/>
      <c r="AZ56" s="97"/>
      <c r="BA56" s="97"/>
      <c r="BB56" s="97"/>
      <c r="BC56" s="97"/>
      <c r="BD56" s="97"/>
      <c r="BE56" s="97"/>
      <c r="BF56" s="97"/>
      <c r="BG56" s="97"/>
      <c r="BH56" s="97"/>
      <c r="BI56" s="97"/>
      <c r="BJ56" s="97"/>
      <c r="BK56" s="97"/>
      <c r="BL56" s="97"/>
      <c r="BM56" s="97"/>
      <c r="BN56" s="98"/>
      <c r="BO56" s="98"/>
      <c r="BP56" s="98"/>
      <c r="BQ56" s="98"/>
      <c r="BR56" s="98"/>
      <c r="BS56" s="98"/>
      <c r="BT56" s="98"/>
      <c r="BU56" s="98"/>
      <c r="BV56" s="98"/>
      <c r="BW56" s="98"/>
      <c r="BX56" s="98"/>
      <c r="BY56" s="98"/>
      <c r="BZ56" s="98"/>
      <c r="CA56" s="98"/>
      <c r="CB56" s="98"/>
      <c r="CC56" s="98"/>
      <c r="CD56" s="98"/>
      <c r="CE56" s="98"/>
      <c r="CF56" s="98"/>
      <c r="CG56" s="98"/>
      <c r="CH56" s="98"/>
      <c r="CI56" s="98"/>
      <c r="CJ56" s="98"/>
      <c r="CK56" s="98"/>
      <c r="CL56" s="98"/>
      <c r="CM56" s="98"/>
      <c r="CN56" s="98"/>
      <c r="CO56" s="98"/>
      <c r="CP56" s="98"/>
      <c r="CQ56" s="98"/>
      <c r="CR56" s="98"/>
      <c r="CS56" s="98"/>
      <c r="CT56" s="98"/>
      <c r="CU56" s="98"/>
      <c r="CV56" s="98"/>
      <c r="CW56" s="98"/>
      <c r="CX56" s="98"/>
      <c r="CY56" s="98"/>
      <c r="CZ56" s="98"/>
      <c r="DA56" s="98"/>
      <c r="DB56" s="98"/>
      <c r="DC56" s="98"/>
      <c r="DD56" s="98"/>
      <c r="DE56" s="98"/>
      <c r="DF56" s="98"/>
      <c r="DG56" s="98"/>
      <c r="DH56" s="98"/>
      <c r="DI56" s="98"/>
      <c r="DJ56" s="98"/>
      <c r="DK56" s="98"/>
      <c r="DL56" s="98"/>
      <c r="DM56" s="98"/>
      <c r="DN56" s="98"/>
      <c r="DO56" s="98"/>
      <c r="DP56" s="98"/>
      <c r="DQ56" s="98"/>
      <c r="DR56" s="98"/>
      <c r="DS56" s="98"/>
      <c r="DT56" s="98"/>
      <c r="DU56" s="98"/>
      <c r="DV56" s="98"/>
      <c r="DW56" s="98"/>
      <c r="DX56" s="98"/>
      <c r="DY56" s="98"/>
      <c r="DZ56" s="98"/>
      <c r="EA56" s="98"/>
      <c r="EB56" s="98"/>
      <c r="EC56" s="98"/>
      <c r="ED56" s="98"/>
      <c r="EE56" s="98"/>
      <c r="EF56" s="98"/>
      <c r="EG56" s="98"/>
      <c r="EH56" s="98"/>
      <c r="EI56" s="98"/>
      <c r="EJ56" s="98"/>
      <c r="EK56" s="98"/>
      <c r="EL56" s="98"/>
      <c r="EM56" s="98"/>
      <c r="EN56" s="98"/>
      <c r="EO56" s="98"/>
      <c r="EP56" s="98"/>
      <c r="EQ56" s="98"/>
      <c r="ER56" s="98"/>
      <c r="ES56" s="98"/>
      <c r="ET56" s="98"/>
      <c r="EU56" s="98"/>
      <c r="EV56" s="98"/>
      <c r="EW56" s="98"/>
      <c r="EX56" s="98"/>
      <c r="EY56" s="98"/>
      <c r="EZ56" s="98"/>
      <c r="FA56" s="98"/>
      <c r="FB56" s="98"/>
      <c r="FC56" s="98"/>
      <c r="FD56" s="98"/>
    </row>
    <row r="57" spans="1:160" x14ac:dyDescent="0.25">
      <c r="A57" s="96"/>
      <c r="B57" s="96"/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7"/>
      <c r="AB57" s="97"/>
      <c r="AC57" s="97"/>
      <c r="AD57" s="97"/>
      <c r="AE57" s="97"/>
      <c r="AF57" s="97"/>
      <c r="AG57" s="97"/>
      <c r="AH57" s="97"/>
      <c r="AI57" s="97"/>
      <c r="AJ57" s="97"/>
      <c r="AK57" s="97"/>
      <c r="AL57" s="97"/>
      <c r="AM57" s="97"/>
      <c r="AN57" s="97"/>
      <c r="AO57" s="97"/>
      <c r="AP57" s="97"/>
      <c r="AQ57" s="97"/>
      <c r="AR57" s="97"/>
      <c r="AS57" s="97"/>
      <c r="AT57" s="97"/>
      <c r="AU57" s="97"/>
      <c r="AV57" s="97"/>
      <c r="AW57" s="97"/>
      <c r="AX57" s="97"/>
      <c r="AY57" s="97"/>
      <c r="AZ57" s="97"/>
      <c r="BA57" s="97"/>
      <c r="BB57" s="97"/>
      <c r="BC57" s="97"/>
      <c r="BD57" s="97"/>
      <c r="BE57" s="97"/>
      <c r="BF57" s="97"/>
      <c r="BG57" s="97"/>
      <c r="BH57" s="97"/>
      <c r="BI57" s="97"/>
      <c r="BJ57" s="97"/>
      <c r="BK57" s="97"/>
      <c r="BL57" s="97"/>
      <c r="BM57" s="97"/>
      <c r="BN57" s="98"/>
      <c r="BO57" s="98"/>
      <c r="BP57" s="98"/>
      <c r="BQ57" s="98"/>
      <c r="BR57" s="98"/>
      <c r="BS57" s="98"/>
      <c r="BT57" s="98"/>
      <c r="BU57" s="98"/>
      <c r="BV57" s="98"/>
      <c r="BW57" s="98"/>
      <c r="BX57" s="98"/>
      <c r="BY57" s="98"/>
      <c r="BZ57" s="98"/>
      <c r="CA57" s="98"/>
      <c r="CB57" s="98"/>
      <c r="CC57" s="98"/>
      <c r="CD57" s="98"/>
      <c r="CE57" s="98"/>
      <c r="CF57" s="98"/>
      <c r="CG57" s="98"/>
      <c r="CH57" s="98"/>
      <c r="CI57" s="98"/>
      <c r="CJ57" s="98"/>
      <c r="CK57" s="98"/>
      <c r="CL57" s="98"/>
      <c r="CM57" s="98"/>
      <c r="CN57" s="98"/>
      <c r="CO57" s="98"/>
      <c r="CP57" s="98"/>
      <c r="CQ57" s="98"/>
      <c r="CR57" s="98"/>
      <c r="CS57" s="98"/>
      <c r="CT57" s="98"/>
      <c r="CU57" s="98"/>
      <c r="CV57" s="98"/>
      <c r="CW57" s="98"/>
      <c r="CX57" s="98"/>
      <c r="CY57" s="98"/>
      <c r="CZ57" s="98"/>
      <c r="DA57" s="98"/>
      <c r="DB57" s="98"/>
      <c r="DC57" s="98"/>
      <c r="DD57" s="98"/>
      <c r="DE57" s="98"/>
      <c r="DF57" s="98"/>
      <c r="DG57" s="98"/>
      <c r="DH57" s="98"/>
      <c r="DI57" s="98"/>
      <c r="DJ57" s="98"/>
      <c r="DK57" s="98"/>
      <c r="DL57" s="98"/>
      <c r="DM57" s="98"/>
      <c r="DN57" s="98"/>
      <c r="DO57" s="98"/>
      <c r="DP57" s="98"/>
      <c r="DQ57" s="98"/>
      <c r="DR57" s="98"/>
      <c r="DS57" s="98"/>
      <c r="DT57" s="98"/>
      <c r="DU57" s="98"/>
      <c r="DV57" s="98"/>
      <c r="DW57" s="98"/>
      <c r="DX57" s="98"/>
      <c r="DY57" s="98"/>
      <c r="DZ57" s="98"/>
      <c r="EA57" s="98"/>
      <c r="EB57" s="98"/>
      <c r="EC57" s="98"/>
      <c r="ED57" s="98"/>
      <c r="EE57" s="98"/>
      <c r="EF57" s="98"/>
      <c r="EG57" s="98"/>
      <c r="EH57" s="98"/>
      <c r="EI57" s="98"/>
      <c r="EJ57" s="98"/>
      <c r="EK57" s="98"/>
      <c r="EL57" s="98"/>
      <c r="EM57" s="98"/>
      <c r="EN57" s="98"/>
      <c r="EO57" s="98"/>
      <c r="EP57" s="98"/>
      <c r="EQ57" s="98"/>
      <c r="ER57" s="98"/>
      <c r="ES57" s="98"/>
      <c r="ET57" s="98"/>
      <c r="EU57" s="98"/>
      <c r="EV57" s="98"/>
      <c r="EW57" s="98"/>
      <c r="EX57" s="98"/>
      <c r="EY57" s="98"/>
      <c r="EZ57" s="98"/>
      <c r="FA57" s="98"/>
      <c r="FB57" s="98"/>
      <c r="FC57" s="98"/>
      <c r="FD57" s="98"/>
    </row>
    <row r="58" spans="1:160" x14ac:dyDescent="0.25">
      <c r="A58" s="96"/>
      <c r="B58" s="96"/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7"/>
      <c r="AC58" s="97"/>
      <c r="AD58" s="97"/>
      <c r="AE58" s="97"/>
      <c r="AF58" s="97"/>
      <c r="AG58" s="97"/>
      <c r="AH58" s="97"/>
      <c r="AI58" s="97"/>
      <c r="AJ58" s="97"/>
      <c r="AK58" s="97"/>
      <c r="AL58" s="97"/>
      <c r="AM58" s="97"/>
      <c r="AN58" s="97"/>
      <c r="AO58" s="97"/>
      <c r="AP58" s="97"/>
      <c r="AQ58" s="97"/>
      <c r="AR58" s="97"/>
      <c r="AS58" s="97"/>
      <c r="AT58" s="97"/>
      <c r="AU58" s="97"/>
      <c r="AV58" s="97"/>
      <c r="AW58" s="97"/>
      <c r="AX58" s="97"/>
      <c r="AY58" s="97"/>
      <c r="AZ58" s="97"/>
      <c r="BA58" s="97"/>
      <c r="BB58" s="97"/>
      <c r="BC58" s="97"/>
      <c r="BD58" s="97"/>
      <c r="BE58" s="97"/>
      <c r="BF58" s="97"/>
      <c r="BG58" s="97"/>
      <c r="BH58" s="97"/>
      <c r="BI58" s="97"/>
      <c r="BJ58" s="97"/>
      <c r="BK58" s="97"/>
      <c r="BL58" s="97"/>
      <c r="BM58" s="97"/>
      <c r="BN58" s="98"/>
      <c r="BO58" s="98"/>
      <c r="BP58" s="98"/>
      <c r="BQ58" s="98"/>
      <c r="BR58" s="98"/>
      <c r="BS58" s="98"/>
      <c r="BT58" s="98"/>
      <c r="BU58" s="98"/>
      <c r="BV58" s="98"/>
      <c r="BW58" s="98"/>
      <c r="BX58" s="98"/>
      <c r="BY58" s="98"/>
      <c r="BZ58" s="98"/>
      <c r="CA58" s="98"/>
      <c r="CB58" s="98"/>
      <c r="CC58" s="98"/>
      <c r="CD58" s="98"/>
      <c r="CE58" s="98"/>
      <c r="CF58" s="98"/>
      <c r="CG58" s="98"/>
      <c r="CH58" s="98"/>
      <c r="CI58" s="98"/>
      <c r="CJ58" s="98"/>
      <c r="CK58" s="98"/>
      <c r="CL58" s="98"/>
      <c r="CM58" s="98"/>
      <c r="CN58" s="98"/>
      <c r="CO58" s="98"/>
      <c r="CP58" s="98"/>
      <c r="CQ58" s="98"/>
      <c r="CR58" s="98"/>
      <c r="CS58" s="98"/>
      <c r="CT58" s="98"/>
      <c r="CU58" s="98"/>
      <c r="CV58" s="98"/>
      <c r="CW58" s="98"/>
      <c r="CX58" s="98"/>
      <c r="CY58" s="98"/>
      <c r="CZ58" s="98"/>
      <c r="DA58" s="98"/>
      <c r="DB58" s="98"/>
      <c r="DC58" s="98"/>
      <c r="DD58" s="98"/>
      <c r="DE58" s="98"/>
      <c r="DF58" s="98"/>
      <c r="DG58" s="98"/>
      <c r="DH58" s="98"/>
      <c r="DI58" s="98"/>
      <c r="DJ58" s="98"/>
      <c r="DK58" s="98"/>
      <c r="DL58" s="98"/>
      <c r="DM58" s="98"/>
      <c r="DN58" s="98"/>
      <c r="DO58" s="98"/>
      <c r="DP58" s="98"/>
      <c r="DQ58" s="98"/>
      <c r="DR58" s="98"/>
      <c r="DS58" s="98"/>
      <c r="DT58" s="98"/>
      <c r="DU58" s="98"/>
      <c r="DV58" s="98"/>
      <c r="DW58" s="98"/>
      <c r="DX58" s="98"/>
      <c r="DY58" s="98"/>
      <c r="DZ58" s="98"/>
      <c r="EA58" s="98"/>
      <c r="EB58" s="98"/>
      <c r="EC58" s="98"/>
      <c r="ED58" s="98"/>
      <c r="EE58" s="98"/>
      <c r="EF58" s="98"/>
      <c r="EG58" s="98"/>
      <c r="EH58" s="98"/>
      <c r="EI58" s="98"/>
      <c r="EJ58" s="98"/>
      <c r="EK58" s="98"/>
      <c r="EL58" s="98"/>
      <c r="EM58" s="98"/>
      <c r="EN58" s="98"/>
      <c r="EO58" s="98"/>
      <c r="EP58" s="98"/>
      <c r="EQ58" s="98"/>
      <c r="ER58" s="98"/>
      <c r="ES58" s="98"/>
      <c r="ET58" s="98"/>
      <c r="EU58" s="98"/>
      <c r="EV58" s="98"/>
      <c r="EW58" s="98"/>
      <c r="EX58" s="98"/>
      <c r="EY58" s="98"/>
      <c r="EZ58" s="98"/>
      <c r="FA58" s="98"/>
      <c r="FB58" s="98"/>
      <c r="FC58" s="98"/>
      <c r="FD58" s="98"/>
    </row>
    <row r="59" spans="1:160" x14ac:dyDescent="0.25">
      <c r="A59" s="96"/>
      <c r="B59" s="96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/>
      <c r="AI59" s="97"/>
      <c r="AJ59" s="97"/>
      <c r="AK59" s="97"/>
      <c r="AL59" s="97"/>
      <c r="AM59" s="97"/>
      <c r="AN59" s="97"/>
      <c r="AO59" s="97"/>
      <c r="AP59" s="97"/>
      <c r="AQ59" s="97"/>
      <c r="AR59" s="97"/>
      <c r="AS59" s="97"/>
      <c r="AT59" s="97"/>
      <c r="AU59" s="97"/>
      <c r="AV59" s="97"/>
      <c r="AW59" s="97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97"/>
      <c r="BK59" s="97"/>
      <c r="BL59" s="97"/>
      <c r="BM59" s="97"/>
      <c r="BN59" s="98"/>
      <c r="BO59" s="98"/>
      <c r="BP59" s="98"/>
      <c r="BQ59" s="98"/>
      <c r="BR59" s="98"/>
      <c r="BS59" s="98"/>
      <c r="BT59" s="98"/>
      <c r="BU59" s="98"/>
      <c r="BV59" s="98"/>
      <c r="BW59" s="98"/>
      <c r="BX59" s="98"/>
      <c r="BY59" s="98"/>
      <c r="BZ59" s="98"/>
      <c r="CA59" s="98"/>
      <c r="CB59" s="98"/>
      <c r="CC59" s="98"/>
      <c r="CD59" s="98"/>
      <c r="CE59" s="98"/>
      <c r="CF59" s="98"/>
      <c r="CG59" s="98"/>
      <c r="CH59" s="98"/>
      <c r="CI59" s="98"/>
      <c r="CJ59" s="98"/>
      <c r="CK59" s="98"/>
      <c r="CL59" s="98"/>
      <c r="CM59" s="98"/>
      <c r="CN59" s="98"/>
      <c r="CO59" s="98"/>
      <c r="CP59" s="98"/>
      <c r="CQ59" s="98"/>
      <c r="CR59" s="98"/>
      <c r="CS59" s="98"/>
      <c r="CT59" s="98"/>
      <c r="CU59" s="98"/>
      <c r="CV59" s="98"/>
      <c r="CW59" s="98"/>
      <c r="CX59" s="98"/>
      <c r="CY59" s="98"/>
      <c r="CZ59" s="98"/>
      <c r="DA59" s="98"/>
      <c r="DB59" s="98"/>
      <c r="DC59" s="98"/>
      <c r="DD59" s="98"/>
      <c r="DE59" s="98"/>
      <c r="DF59" s="98"/>
      <c r="DG59" s="98"/>
      <c r="DH59" s="98"/>
      <c r="DI59" s="98"/>
      <c r="DJ59" s="98"/>
      <c r="DK59" s="98"/>
      <c r="DL59" s="98"/>
      <c r="DM59" s="98"/>
      <c r="DN59" s="98"/>
      <c r="DO59" s="98"/>
      <c r="DP59" s="98"/>
      <c r="DQ59" s="98"/>
      <c r="DR59" s="98"/>
      <c r="DS59" s="98"/>
      <c r="DT59" s="98"/>
      <c r="DU59" s="98"/>
      <c r="DV59" s="98"/>
      <c r="DW59" s="98"/>
      <c r="DX59" s="98"/>
      <c r="DY59" s="98"/>
      <c r="DZ59" s="98"/>
      <c r="EA59" s="98"/>
      <c r="EB59" s="98"/>
      <c r="EC59" s="98"/>
      <c r="ED59" s="98"/>
      <c r="EE59" s="98"/>
      <c r="EF59" s="98"/>
      <c r="EG59" s="98"/>
      <c r="EH59" s="98"/>
      <c r="EI59" s="98"/>
      <c r="EJ59" s="98"/>
      <c r="EK59" s="98"/>
      <c r="EL59" s="98"/>
      <c r="EM59" s="98"/>
      <c r="EN59" s="98"/>
      <c r="EO59" s="98"/>
      <c r="EP59" s="98"/>
      <c r="EQ59" s="98"/>
      <c r="ER59" s="98"/>
      <c r="ES59" s="98"/>
      <c r="ET59" s="98"/>
      <c r="EU59" s="98"/>
      <c r="EV59" s="98"/>
      <c r="EW59" s="98"/>
      <c r="EX59" s="98"/>
      <c r="EY59" s="98"/>
      <c r="EZ59" s="98"/>
      <c r="FA59" s="98"/>
      <c r="FB59" s="98"/>
      <c r="FC59" s="98"/>
      <c r="FD59" s="98"/>
    </row>
    <row r="60" spans="1:160" x14ac:dyDescent="0.25">
      <c r="A60" s="96"/>
      <c r="B60" s="96"/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97"/>
      <c r="AE60" s="97"/>
      <c r="AF60" s="97"/>
      <c r="AG60" s="97"/>
      <c r="AH60" s="97"/>
      <c r="AI60" s="97"/>
      <c r="AJ60" s="97"/>
      <c r="AK60" s="97"/>
      <c r="AL60" s="97"/>
      <c r="AM60" s="97"/>
      <c r="AN60" s="97"/>
      <c r="AO60" s="97"/>
      <c r="AP60" s="97"/>
      <c r="AQ60" s="97"/>
      <c r="AR60" s="97"/>
      <c r="AS60" s="97"/>
      <c r="AT60" s="97"/>
      <c r="AU60" s="97"/>
      <c r="AV60" s="97"/>
      <c r="AW60" s="97"/>
      <c r="AX60" s="97"/>
      <c r="AY60" s="97"/>
      <c r="AZ60" s="97"/>
      <c r="BA60" s="97"/>
      <c r="BB60" s="97"/>
      <c r="BC60" s="97"/>
      <c r="BD60" s="97"/>
      <c r="BE60" s="97"/>
      <c r="BF60" s="97"/>
      <c r="BG60" s="97"/>
      <c r="BH60" s="97"/>
      <c r="BI60" s="97"/>
      <c r="BJ60" s="97"/>
      <c r="BK60" s="97"/>
      <c r="BL60" s="97"/>
      <c r="BM60" s="97"/>
      <c r="BN60" s="98"/>
      <c r="BO60" s="98"/>
      <c r="BP60" s="98"/>
      <c r="BQ60" s="98"/>
      <c r="BR60" s="98"/>
      <c r="BS60" s="98"/>
      <c r="BT60" s="98"/>
      <c r="BU60" s="98"/>
      <c r="BV60" s="98"/>
      <c r="BW60" s="98"/>
      <c r="BX60" s="98"/>
      <c r="BY60" s="98"/>
      <c r="BZ60" s="98"/>
      <c r="CA60" s="98"/>
      <c r="CB60" s="98"/>
      <c r="CC60" s="98"/>
      <c r="CD60" s="98"/>
      <c r="CE60" s="98"/>
      <c r="CF60" s="98"/>
      <c r="CG60" s="98"/>
      <c r="CH60" s="98"/>
      <c r="CI60" s="98"/>
      <c r="CJ60" s="98"/>
      <c r="CK60" s="98"/>
      <c r="CL60" s="98"/>
      <c r="CM60" s="98"/>
      <c r="CN60" s="98"/>
      <c r="CO60" s="98"/>
      <c r="CP60" s="98"/>
      <c r="CQ60" s="98"/>
      <c r="CR60" s="98"/>
      <c r="CS60" s="98"/>
      <c r="CT60" s="98"/>
      <c r="CU60" s="98"/>
      <c r="CV60" s="98"/>
      <c r="CW60" s="98"/>
      <c r="CX60" s="98"/>
      <c r="CY60" s="98"/>
      <c r="CZ60" s="98"/>
      <c r="DA60" s="98"/>
      <c r="DB60" s="98"/>
      <c r="DC60" s="98"/>
      <c r="DD60" s="98"/>
      <c r="DE60" s="98"/>
      <c r="DF60" s="98"/>
      <c r="DG60" s="98"/>
      <c r="DH60" s="98"/>
      <c r="DI60" s="98"/>
      <c r="DJ60" s="98"/>
      <c r="DK60" s="98"/>
      <c r="DL60" s="98"/>
      <c r="DM60" s="98"/>
      <c r="DN60" s="98"/>
      <c r="DO60" s="98"/>
      <c r="DP60" s="98"/>
      <c r="DQ60" s="98"/>
      <c r="DR60" s="98"/>
      <c r="DS60" s="98"/>
      <c r="DT60" s="98"/>
      <c r="DU60" s="98"/>
      <c r="DV60" s="98"/>
      <c r="DW60" s="98"/>
      <c r="DX60" s="98"/>
      <c r="DY60" s="98"/>
      <c r="DZ60" s="98"/>
      <c r="EA60" s="98"/>
      <c r="EB60" s="98"/>
      <c r="EC60" s="98"/>
      <c r="ED60" s="98"/>
      <c r="EE60" s="98"/>
      <c r="EF60" s="98"/>
      <c r="EG60" s="98"/>
      <c r="EH60" s="98"/>
      <c r="EI60" s="98"/>
      <c r="EJ60" s="98"/>
      <c r="EK60" s="98"/>
      <c r="EL60" s="98"/>
      <c r="EM60" s="98"/>
      <c r="EN60" s="98"/>
      <c r="EO60" s="98"/>
      <c r="EP60" s="98"/>
      <c r="EQ60" s="98"/>
      <c r="ER60" s="98"/>
      <c r="ES60" s="98"/>
      <c r="ET60" s="98"/>
      <c r="EU60" s="98"/>
      <c r="EV60" s="98"/>
      <c r="EW60" s="98"/>
      <c r="EX60" s="98"/>
      <c r="EY60" s="98"/>
      <c r="EZ60" s="98"/>
      <c r="FA60" s="98"/>
      <c r="FB60" s="98"/>
      <c r="FC60" s="98"/>
      <c r="FD60" s="98"/>
    </row>
    <row r="61" spans="1:160" x14ac:dyDescent="0.25">
      <c r="A61" s="96"/>
      <c r="B61" s="96"/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97"/>
      <c r="AJ61" s="97"/>
      <c r="AK61" s="97"/>
      <c r="AL61" s="97"/>
      <c r="AM61" s="97"/>
      <c r="AN61" s="97"/>
      <c r="AO61" s="97"/>
      <c r="AP61" s="97"/>
      <c r="AQ61" s="97"/>
      <c r="AR61" s="97"/>
      <c r="AS61" s="97"/>
      <c r="AT61" s="97"/>
      <c r="AU61" s="97"/>
      <c r="AV61" s="97"/>
      <c r="AW61" s="97"/>
      <c r="AX61" s="97"/>
      <c r="AY61" s="97"/>
      <c r="AZ61" s="97"/>
      <c r="BA61" s="97"/>
      <c r="BB61" s="97"/>
      <c r="BC61" s="97"/>
      <c r="BD61" s="97"/>
      <c r="BE61" s="97"/>
      <c r="BF61" s="97"/>
      <c r="BG61" s="97"/>
      <c r="BH61" s="97"/>
      <c r="BI61" s="97"/>
      <c r="BJ61" s="97"/>
      <c r="BK61" s="97"/>
      <c r="BL61" s="97"/>
      <c r="BM61" s="97"/>
      <c r="BN61" s="98"/>
      <c r="BO61" s="98"/>
      <c r="BP61" s="98"/>
      <c r="BQ61" s="98"/>
      <c r="BR61" s="98"/>
      <c r="BS61" s="98"/>
      <c r="BT61" s="98"/>
      <c r="BU61" s="98"/>
      <c r="BV61" s="98"/>
      <c r="BW61" s="98"/>
      <c r="BX61" s="98"/>
      <c r="BY61" s="98"/>
      <c r="BZ61" s="98"/>
      <c r="CA61" s="98"/>
      <c r="CB61" s="98"/>
      <c r="CC61" s="98"/>
      <c r="CD61" s="98"/>
      <c r="CE61" s="98"/>
      <c r="CF61" s="98"/>
      <c r="CG61" s="98"/>
      <c r="CH61" s="98"/>
      <c r="CI61" s="98"/>
      <c r="CJ61" s="98"/>
      <c r="CK61" s="98"/>
      <c r="CL61" s="98"/>
      <c r="CM61" s="98"/>
      <c r="CN61" s="98"/>
      <c r="CO61" s="98"/>
      <c r="CP61" s="98"/>
      <c r="CQ61" s="98"/>
      <c r="CR61" s="98"/>
      <c r="CS61" s="98"/>
      <c r="CT61" s="98"/>
      <c r="CU61" s="98"/>
      <c r="CV61" s="98"/>
      <c r="CW61" s="98"/>
      <c r="CX61" s="98"/>
      <c r="CY61" s="98"/>
      <c r="CZ61" s="98"/>
      <c r="DA61" s="98"/>
      <c r="DB61" s="98"/>
      <c r="DC61" s="98"/>
      <c r="DD61" s="98"/>
      <c r="DE61" s="98"/>
      <c r="DF61" s="98"/>
      <c r="DG61" s="98"/>
      <c r="DH61" s="98"/>
      <c r="DI61" s="98"/>
      <c r="DJ61" s="98"/>
      <c r="DK61" s="98"/>
      <c r="DL61" s="98"/>
      <c r="DM61" s="98"/>
      <c r="DN61" s="98"/>
      <c r="DO61" s="98"/>
      <c r="DP61" s="98"/>
      <c r="DQ61" s="98"/>
      <c r="DR61" s="98"/>
      <c r="DS61" s="98"/>
      <c r="DT61" s="98"/>
      <c r="DU61" s="98"/>
      <c r="DV61" s="98"/>
      <c r="DW61" s="98"/>
      <c r="DX61" s="98"/>
      <c r="DY61" s="98"/>
      <c r="DZ61" s="98"/>
      <c r="EA61" s="98"/>
      <c r="EB61" s="98"/>
      <c r="EC61" s="98"/>
      <c r="ED61" s="98"/>
      <c r="EE61" s="98"/>
      <c r="EF61" s="98"/>
      <c r="EG61" s="98"/>
      <c r="EH61" s="98"/>
      <c r="EI61" s="98"/>
      <c r="EJ61" s="98"/>
      <c r="EK61" s="98"/>
      <c r="EL61" s="98"/>
      <c r="EM61" s="98"/>
      <c r="EN61" s="98"/>
      <c r="EO61" s="98"/>
      <c r="EP61" s="98"/>
      <c r="EQ61" s="98"/>
      <c r="ER61" s="98"/>
      <c r="ES61" s="98"/>
      <c r="ET61" s="98"/>
      <c r="EU61" s="98"/>
      <c r="EV61" s="98"/>
      <c r="EW61" s="98"/>
      <c r="EX61" s="98"/>
      <c r="EY61" s="98"/>
      <c r="EZ61" s="98"/>
      <c r="FA61" s="98"/>
      <c r="FB61" s="98"/>
      <c r="FC61" s="98"/>
      <c r="FD61" s="98"/>
    </row>
    <row r="62" spans="1:160" x14ac:dyDescent="0.25">
      <c r="A62" s="96"/>
      <c r="B62" s="96"/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7"/>
      <c r="AB62" s="97"/>
      <c r="AC62" s="97"/>
      <c r="AD62" s="97"/>
      <c r="AE62" s="97"/>
      <c r="AF62" s="97"/>
      <c r="AG62" s="97"/>
      <c r="AH62" s="97"/>
      <c r="AI62" s="97"/>
      <c r="AJ62" s="97"/>
      <c r="AK62" s="97"/>
      <c r="AL62" s="97"/>
      <c r="AM62" s="97"/>
      <c r="AN62" s="97"/>
      <c r="AO62" s="97"/>
      <c r="AP62" s="97"/>
      <c r="AQ62" s="97"/>
      <c r="AR62" s="97"/>
      <c r="AS62" s="97"/>
      <c r="AT62" s="97"/>
      <c r="AU62" s="97"/>
      <c r="AV62" s="97"/>
      <c r="AW62" s="97"/>
      <c r="AX62" s="97"/>
      <c r="AY62" s="97"/>
      <c r="AZ62" s="97"/>
      <c r="BA62" s="97"/>
      <c r="BB62" s="97"/>
      <c r="BC62" s="97"/>
      <c r="BD62" s="97"/>
      <c r="BE62" s="97"/>
      <c r="BF62" s="97"/>
      <c r="BG62" s="97"/>
      <c r="BH62" s="97"/>
      <c r="BI62" s="97"/>
      <c r="BJ62" s="97"/>
      <c r="BK62" s="97"/>
      <c r="BL62" s="97"/>
      <c r="BM62" s="97"/>
      <c r="BN62" s="98"/>
      <c r="BO62" s="98"/>
      <c r="BP62" s="98"/>
      <c r="BQ62" s="98"/>
      <c r="BR62" s="98"/>
      <c r="BS62" s="98"/>
      <c r="BT62" s="98"/>
      <c r="BU62" s="98"/>
      <c r="BV62" s="98"/>
      <c r="BW62" s="98"/>
      <c r="BX62" s="98"/>
      <c r="BY62" s="98"/>
      <c r="BZ62" s="98"/>
      <c r="CA62" s="98"/>
      <c r="CB62" s="98"/>
      <c r="CC62" s="98"/>
      <c r="CD62" s="98"/>
      <c r="CE62" s="98"/>
      <c r="CF62" s="98"/>
      <c r="CG62" s="98"/>
      <c r="CH62" s="98"/>
      <c r="CI62" s="98"/>
      <c r="CJ62" s="98"/>
      <c r="CK62" s="98"/>
      <c r="CL62" s="98"/>
      <c r="CM62" s="98"/>
      <c r="CN62" s="98"/>
      <c r="CO62" s="98"/>
      <c r="CP62" s="98"/>
      <c r="CQ62" s="98"/>
      <c r="CR62" s="98"/>
      <c r="CS62" s="98"/>
      <c r="CT62" s="98"/>
      <c r="CU62" s="98"/>
      <c r="CV62" s="98"/>
      <c r="CW62" s="98"/>
      <c r="CX62" s="98"/>
      <c r="CY62" s="98"/>
      <c r="CZ62" s="98"/>
      <c r="DA62" s="98"/>
      <c r="DB62" s="98"/>
      <c r="DC62" s="98"/>
      <c r="DD62" s="98"/>
      <c r="DE62" s="98"/>
      <c r="DF62" s="98"/>
      <c r="DG62" s="98"/>
      <c r="DH62" s="98"/>
      <c r="DI62" s="98"/>
      <c r="DJ62" s="98"/>
      <c r="DK62" s="98"/>
      <c r="DL62" s="98"/>
      <c r="DM62" s="98"/>
      <c r="DN62" s="98"/>
      <c r="DO62" s="98"/>
      <c r="DP62" s="98"/>
      <c r="DQ62" s="98"/>
      <c r="DR62" s="98"/>
      <c r="DS62" s="98"/>
      <c r="DT62" s="98"/>
      <c r="DU62" s="98"/>
      <c r="DV62" s="98"/>
      <c r="DW62" s="98"/>
      <c r="DX62" s="98"/>
      <c r="DY62" s="98"/>
      <c r="DZ62" s="98"/>
      <c r="EA62" s="98"/>
      <c r="EB62" s="98"/>
      <c r="EC62" s="98"/>
      <c r="ED62" s="98"/>
      <c r="EE62" s="98"/>
      <c r="EF62" s="98"/>
      <c r="EG62" s="98"/>
      <c r="EH62" s="98"/>
      <c r="EI62" s="98"/>
      <c r="EJ62" s="98"/>
      <c r="EK62" s="98"/>
      <c r="EL62" s="98"/>
      <c r="EM62" s="98"/>
      <c r="EN62" s="98"/>
      <c r="EO62" s="98"/>
      <c r="EP62" s="98"/>
      <c r="EQ62" s="98"/>
      <c r="ER62" s="98"/>
      <c r="ES62" s="98"/>
      <c r="ET62" s="98"/>
      <c r="EU62" s="98"/>
      <c r="EV62" s="98"/>
      <c r="EW62" s="98"/>
      <c r="EX62" s="98"/>
      <c r="EY62" s="98"/>
      <c r="EZ62" s="98"/>
      <c r="FA62" s="98"/>
      <c r="FB62" s="98"/>
      <c r="FC62" s="98"/>
      <c r="FD62" s="98"/>
    </row>
    <row r="63" spans="1:160" x14ac:dyDescent="0.25">
      <c r="A63" s="96"/>
      <c r="B63" s="96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7"/>
      <c r="AB63" s="97"/>
      <c r="AC63" s="97"/>
      <c r="AD63" s="97"/>
      <c r="AE63" s="97"/>
      <c r="AF63" s="97"/>
      <c r="AG63" s="97"/>
      <c r="AH63" s="97"/>
      <c r="AI63" s="97"/>
      <c r="AJ63" s="97"/>
      <c r="AK63" s="97"/>
      <c r="AL63" s="97"/>
      <c r="AM63" s="97"/>
      <c r="AN63" s="97"/>
      <c r="AO63" s="97"/>
      <c r="AP63" s="97"/>
      <c r="AQ63" s="97"/>
      <c r="AR63" s="97"/>
      <c r="AS63" s="97"/>
      <c r="AT63" s="97"/>
      <c r="AU63" s="97"/>
      <c r="AV63" s="97"/>
      <c r="AW63" s="97"/>
      <c r="AX63" s="97"/>
      <c r="AY63" s="97"/>
      <c r="AZ63" s="97"/>
      <c r="BA63" s="97"/>
      <c r="BB63" s="97"/>
      <c r="BC63" s="97"/>
      <c r="BD63" s="97"/>
      <c r="BE63" s="97"/>
      <c r="BF63" s="97"/>
      <c r="BG63" s="97"/>
      <c r="BH63" s="97"/>
      <c r="BI63" s="97"/>
      <c r="BJ63" s="97"/>
      <c r="BK63" s="97"/>
      <c r="BL63" s="97"/>
      <c r="BM63" s="97"/>
      <c r="BN63" s="98"/>
      <c r="BO63" s="98"/>
      <c r="BP63" s="98"/>
      <c r="BQ63" s="98"/>
      <c r="BR63" s="98"/>
      <c r="BS63" s="98"/>
      <c r="BT63" s="98"/>
      <c r="BU63" s="98"/>
      <c r="BV63" s="98"/>
      <c r="BW63" s="98"/>
      <c r="BX63" s="98"/>
      <c r="BY63" s="98"/>
      <c r="BZ63" s="98"/>
      <c r="CA63" s="98"/>
      <c r="CB63" s="98"/>
      <c r="CC63" s="98"/>
      <c r="CD63" s="98"/>
      <c r="CE63" s="98"/>
      <c r="CF63" s="98"/>
      <c r="CG63" s="98"/>
      <c r="CH63" s="98"/>
      <c r="CI63" s="98"/>
      <c r="CJ63" s="98"/>
      <c r="CK63" s="98"/>
      <c r="CL63" s="98"/>
      <c r="CM63" s="98"/>
      <c r="CN63" s="98"/>
      <c r="CO63" s="98"/>
      <c r="CP63" s="98"/>
      <c r="CQ63" s="98"/>
      <c r="CR63" s="98"/>
      <c r="CS63" s="98"/>
      <c r="CT63" s="98"/>
      <c r="CU63" s="98"/>
      <c r="CV63" s="98"/>
      <c r="CW63" s="98"/>
      <c r="CX63" s="98"/>
      <c r="CY63" s="98"/>
      <c r="CZ63" s="98"/>
      <c r="DA63" s="98"/>
      <c r="DB63" s="98"/>
      <c r="DC63" s="98"/>
      <c r="DD63" s="98"/>
      <c r="DE63" s="98"/>
      <c r="DF63" s="98"/>
      <c r="DG63" s="98"/>
      <c r="DH63" s="98"/>
      <c r="DI63" s="98"/>
      <c r="DJ63" s="98"/>
      <c r="DK63" s="98"/>
      <c r="DL63" s="98"/>
      <c r="DM63" s="98"/>
      <c r="DN63" s="98"/>
      <c r="DO63" s="98"/>
      <c r="DP63" s="98"/>
      <c r="DQ63" s="98"/>
      <c r="DR63" s="98"/>
      <c r="DS63" s="98"/>
      <c r="DT63" s="98"/>
      <c r="DU63" s="98"/>
      <c r="DV63" s="98"/>
      <c r="DW63" s="98"/>
      <c r="DX63" s="98"/>
      <c r="DY63" s="98"/>
      <c r="DZ63" s="98"/>
      <c r="EA63" s="98"/>
      <c r="EB63" s="98"/>
      <c r="EC63" s="98"/>
      <c r="ED63" s="98"/>
      <c r="EE63" s="98"/>
      <c r="EF63" s="98"/>
      <c r="EG63" s="98"/>
      <c r="EH63" s="98"/>
      <c r="EI63" s="98"/>
      <c r="EJ63" s="98"/>
      <c r="EK63" s="98"/>
      <c r="EL63" s="98"/>
      <c r="EM63" s="98"/>
      <c r="EN63" s="98"/>
      <c r="EO63" s="98"/>
      <c r="EP63" s="98"/>
      <c r="EQ63" s="98"/>
      <c r="ER63" s="98"/>
      <c r="ES63" s="98"/>
      <c r="ET63" s="98"/>
      <c r="EU63" s="98"/>
      <c r="EV63" s="98"/>
      <c r="EW63" s="98"/>
      <c r="EX63" s="98"/>
      <c r="EY63" s="98"/>
      <c r="EZ63" s="98"/>
      <c r="FA63" s="98"/>
      <c r="FB63" s="98"/>
      <c r="FC63" s="98"/>
      <c r="FD63" s="98"/>
    </row>
    <row r="64" spans="1:160" x14ac:dyDescent="0.25">
      <c r="A64" s="96"/>
      <c r="B64" s="96"/>
      <c r="C64" s="97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  <c r="AB64" s="97"/>
      <c r="AC64" s="97"/>
      <c r="AD64" s="97"/>
      <c r="AE64" s="97"/>
      <c r="AF64" s="97"/>
      <c r="AG64" s="97"/>
      <c r="AH64" s="97"/>
      <c r="AI64" s="97"/>
      <c r="AJ64" s="97"/>
      <c r="AK64" s="97"/>
      <c r="AL64" s="97"/>
      <c r="AM64" s="97"/>
      <c r="AN64" s="97"/>
      <c r="AO64" s="97"/>
      <c r="AP64" s="97"/>
      <c r="AQ64" s="97"/>
      <c r="AR64" s="97"/>
      <c r="AS64" s="97"/>
      <c r="AT64" s="97"/>
      <c r="AU64" s="97"/>
      <c r="AV64" s="97"/>
      <c r="AW64" s="97"/>
      <c r="AX64" s="97"/>
      <c r="AY64" s="97"/>
      <c r="AZ64" s="97"/>
      <c r="BA64" s="97"/>
      <c r="BB64" s="97"/>
      <c r="BC64" s="97"/>
      <c r="BD64" s="97"/>
      <c r="BE64" s="97"/>
      <c r="BF64" s="97"/>
      <c r="BG64" s="97"/>
      <c r="BH64" s="97"/>
      <c r="BI64" s="97"/>
      <c r="BJ64" s="97"/>
      <c r="BK64" s="97"/>
      <c r="BL64" s="97"/>
      <c r="BM64" s="97"/>
      <c r="BN64" s="98"/>
      <c r="BO64" s="98"/>
      <c r="BP64" s="98"/>
      <c r="BQ64" s="98"/>
      <c r="BR64" s="98"/>
      <c r="BS64" s="98"/>
      <c r="BT64" s="98"/>
      <c r="BU64" s="98"/>
      <c r="BV64" s="98"/>
      <c r="BW64" s="98"/>
      <c r="BX64" s="98"/>
      <c r="BY64" s="98"/>
      <c r="BZ64" s="98"/>
      <c r="CA64" s="98"/>
      <c r="CB64" s="98"/>
      <c r="CC64" s="98"/>
      <c r="CD64" s="98"/>
      <c r="CE64" s="98"/>
      <c r="CF64" s="98"/>
      <c r="CG64" s="98"/>
      <c r="CH64" s="98"/>
      <c r="CI64" s="98"/>
      <c r="CJ64" s="98"/>
      <c r="CK64" s="98"/>
      <c r="CL64" s="98"/>
      <c r="CM64" s="98"/>
      <c r="CN64" s="98"/>
      <c r="CO64" s="98"/>
      <c r="CP64" s="98"/>
      <c r="CQ64" s="98"/>
      <c r="CR64" s="98"/>
      <c r="CS64" s="98"/>
      <c r="CT64" s="98"/>
      <c r="CU64" s="98"/>
      <c r="CV64" s="98"/>
      <c r="CW64" s="98"/>
      <c r="CX64" s="98"/>
      <c r="CY64" s="98"/>
      <c r="CZ64" s="98"/>
      <c r="DA64" s="98"/>
      <c r="DB64" s="98"/>
      <c r="DC64" s="98"/>
      <c r="DD64" s="98"/>
      <c r="DE64" s="98"/>
      <c r="DF64" s="98"/>
      <c r="DG64" s="98"/>
      <c r="DH64" s="98"/>
      <c r="DI64" s="98"/>
      <c r="DJ64" s="98"/>
      <c r="DK64" s="98"/>
      <c r="DL64" s="98"/>
      <c r="DM64" s="98"/>
      <c r="DN64" s="98"/>
      <c r="DO64" s="98"/>
      <c r="DP64" s="98"/>
      <c r="DQ64" s="98"/>
      <c r="DR64" s="98"/>
      <c r="DS64" s="98"/>
      <c r="DT64" s="98"/>
      <c r="DU64" s="98"/>
      <c r="DV64" s="98"/>
      <c r="DW64" s="98"/>
      <c r="DX64" s="98"/>
      <c r="DY64" s="98"/>
      <c r="DZ64" s="98"/>
      <c r="EA64" s="98"/>
      <c r="EB64" s="98"/>
      <c r="EC64" s="98"/>
      <c r="ED64" s="98"/>
      <c r="EE64" s="98"/>
      <c r="EF64" s="98"/>
      <c r="EG64" s="98"/>
      <c r="EH64" s="98"/>
      <c r="EI64" s="98"/>
      <c r="EJ64" s="98"/>
      <c r="EK64" s="98"/>
      <c r="EL64" s="98"/>
      <c r="EM64" s="98"/>
      <c r="EN64" s="98"/>
      <c r="EO64" s="98"/>
      <c r="EP64" s="98"/>
      <c r="EQ64" s="98"/>
      <c r="ER64" s="98"/>
      <c r="ES64" s="98"/>
      <c r="ET64" s="98"/>
      <c r="EU64" s="98"/>
      <c r="EV64" s="98"/>
      <c r="EW64" s="98"/>
      <c r="EX64" s="98"/>
      <c r="EY64" s="98"/>
      <c r="EZ64" s="98"/>
      <c r="FA64" s="98"/>
      <c r="FB64" s="98"/>
      <c r="FC64" s="98"/>
      <c r="FD64" s="98"/>
    </row>
    <row r="65" spans="1:160" x14ac:dyDescent="0.25">
      <c r="A65" s="96"/>
      <c r="B65" s="96"/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/>
      <c r="AI65" s="97"/>
      <c r="AJ65" s="97"/>
      <c r="AK65" s="97"/>
      <c r="AL65" s="97"/>
      <c r="AM65" s="97"/>
      <c r="AN65" s="97"/>
      <c r="AO65" s="97"/>
      <c r="AP65" s="97"/>
      <c r="AQ65" s="97"/>
      <c r="AR65" s="97"/>
      <c r="AS65" s="97"/>
      <c r="AT65" s="97"/>
      <c r="AU65" s="97"/>
      <c r="AV65" s="97"/>
      <c r="AW65" s="97"/>
      <c r="AX65" s="97"/>
      <c r="AY65" s="97"/>
      <c r="AZ65" s="97"/>
      <c r="BA65" s="97"/>
      <c r="BB65" s="97"/>
      <c r="BC65" s="97"/>
      <c r="BD65" s="97"/>
      <c r="BE65" s="97"/>
      <c r="BF65" s="97"/>
      <c r="BG65" s="97"/>
      <c r="BH65" s="97"/>
      <c r="BI65" s="97"/>
      <c r="BJ65" s="97"/>
      <c r="BK65" s="97"/>
      <c r="BL65" s="97"/>
      <c r="BM65" s="97"/>
      <c r="BN65" s="98"/>
      <c r="BO65" s="98"/>
      <c r="BP65" s="98"/>
      <c r="BQ65" s="98"/>
      <c r="BR65" s="98"/>
      <c r="BS65" s="98"/>
      <c r="BT65" s="98"/>
      <c r="BU65" s="98"/>
      <c r="BV65" s="98"/>
      <c r="BW65" s="98"/>
      <c r="BX65" s="98"/>
      <c r="BY65" s="98"/>
      <c r="BZ65" s="98"/>
      <c r="CA65" s="98"/>
      <c r="CB65" s="98"/>
      <c r="CC65" s="98"/>
      <c r="CD65" s="98"/>
      <c r="CE65" s="98"/>
      <c r="CF65" s="98"/>
      <c r="CG65" s="98"/>
      <c r="CH65" s="98"/>
      <c r="CI65" s="98"/>
      <c r="CJ65" s="98"/>
      <c r="CK65" s="98"/>
      <c r="CL65" s="98"/>
      <c r="CM65" s="98"/>
      <c r="CN65" s="98"/>
      <c r="CO65" s="98"/>
      <c r="CP65" s="98"/>
      <c r="CQ65" s="98"/>
      <c r="CR65" s="98"/>
      <c r="CS65" s="98"/>
      <c r="CT65" s="98"/>
      <c r="CU65" s="98"/>
      <c r="CV65" s="98"/>
      <c r="CW65" s="98"/>
      <c r="CX65" s="98"/>
      <c r="CY65" s="98"/>
      <c r="CZ65" s="98"/>
      <c r="DA65" s="98"/>
      <c r="DB65" s="98"/>
      <c r="DC65" s="98"/>
      <c r="DD65" s="98"/>
      <c r="DE65" s="98"/>
      <c r="DF65" s="98"/>
      <c r="DG65" s="98"/>
      <c r="DH65" s="98"/>
      <c r="DI65" s="98"/>
      <c r="DJ65" s="98"/>
      <c r="DK65" s="98"/>
      <c r="DL65" s="98"/>
      <c r="DM65" s="98"/>
      <c r="DN65" s="98"/>
      <c r="DO65" s="98"/>
      <c r="DP65" s="98"/>
      <c r="DQ65" s="98"/>
      <c r="DR65" s="98"/>
      <c r="DS65" s="98"/>
      <c r="DT65" s="98"/>
      <c r="DU65" s="98"/>
      <c r="DV65" s="98"/>
      <c r="DW65" s="98"/>
      <c r="DX65" s="98"/>
      <c r="DY65" s="98"/>
      <c r="DZ65" s="98"/>
      <c r="EA65" s="98"/>
      <c r="EB65" s="98"/>
      <c r="EC65" s="98"/>
      <c r="ED65" s="98"/>
      <c r="EE65" s="98"/>
      <c r="EF65" s="98"/>
      <c r="EG65" s="98"/>
      <c r="EH65" s="98"/>
      <c r="EI65" s="98"/>
      <c r="EJ65" s="98"/>
      <c r="EK65" s="98"/>
      <c r="EL65" s="98"/>
      <c r="EM65" s="98"/>
      <c r="EN65" s="98"/>
      <c r="EO65" s="98"/>
      <c r="EP65" s="98"/>
      <c r="EQ65" s="98"/>
      <c r="ER65" s="98"/>
      <c r="ES65" s="98"/>
      <c r="ET65" s="98"/>
      <c r="EU65" s="98"/>
      <c r="EV65" s="98"/>
      <c r="EW65" s="98"/>
      <c r="EX65" s="98"/>
      <c r="EY65" s="98"/>
      <c r="EZ65" s="98"/>
      <c r="FA65" s="98"/>
      <c r="FB65" s="98"/>
      <c r="FC65" s="98"/>
      <c r="FD65" s="98"/>
    </row>
    <row r="66" spans="1:160" x14ac:dyDescent="0.25">
      <c r="A66" s="96"/>
      <c r="B66" s="96"/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7"/>
      <c r="AB66" s="97"/>
      <c r="AC66" s="97"/>
      <c r="AD66" s="97"/>
      <c r="AE66" s="97"/>
      <c r="AF66" s="97"/>
      <c r="AG66" s="97"/>
      <c r="AH66" s="97"/>
      <c r="AI66" s="97"/>
      <c r="AJ66" s="97"/>
      <c r="AK66" s="97"/>
      <c r="AL66" s="97"/>
      <c r="AM66" s="97"/>
      <c r="AN66" s="97"/>
      <c r="AO66" s="97"/>
      <c r="AP66" s="97"/>
      <c r="AQ66" s="97"/>
      <c r="AR66" s="97"/>
      <c r="AS66" s="97"/>
      <c r="AT66" s="97"/>
      <c r="AU66" s="97"/>
      <c r="AV66" s="97"/>
      <c r="AW66" s="97"/>
      <c r="AX66" s="97"/>
      <c r="AY66" s="97"/>
      <c r="AZ66" s="97"/>
      <c r="BA66" s="97"/>
      <c r="BB66" s="97"/>
      <c r="BC66" s="97"/>
      <c r="BD66" s="97"/>
      <c r="BE66" s="97"/>
      <c r="BF66" s="97"/>
      <c r="BG66" s="97"/>
      <c r="BH66" s="97"/>
      <c r="BI66" s="97"/>
      <c r="BJ66" s="97"/>
      <c r="BK66" s="97"/>
      <c r="BL66" s="97"/>
      <c r="BM66" s="97"/>
      <c r="BN66" s="98"/>
      <c r="BO66" s="98"/>
      <c r="BP66" s="98"/>
      <c r="BQ66" s="98"/>
      <c r="BR66" s="98"/>
      <c r="BS66" s="98"/>
      <c r="BT66" s="98"/>
      <c r="BU66" s="98"/>
      <c r="BV66" s="98"/>
      <c r="BW66" s="98"/>
      <c r="BX66" s="98"/>
      <c r="BY66" s="98"/>
      <c r="BZ66" s="98"/>
      <c r="CA66" s="98"/>
      <c r="CB66" s="98"/>
      <c r="CC66" s="98"/>
      <c r="CD66" s="98"/>
      <c r="CE66" s="98"/>
      <c r="CF66" s="98"/>
      <c r="CG66" s="98"/>
      <c r="CH66" s="98"/>
      <c r="CI66" s="98"/>
      <c r="CJ66" s="98"/>
      <c r="CK66" s="98"/>
      <c r="CL66" s="98"/>
      <c r="CM66" s="98"/>
      <c r="CN66" s="98"/>
      <c r="CO66" s="98"/>
      <c r="CP66" s="98"/>
      <c r="CQ66" s="98"/>
      <c r="CR66" s="98"/>
      <c r="CS66" s="98"/>
      <c r="CT66" s="98"/>
      <c r="CU66" s="98"/>
      <c r="CV66" s="98"/>
      <c r="CW66" s="98"/>
      <c r="CX66" s="98"/>
      <c r="CY66" s="98"/>
      <c r="CZ66" s="98"/>
      <c r="DA66" s="98"/>
      <c r="DB66" s="98"/>
      <c r="DC66" s="98"/>
      <c r="DD66" s="98"/>
      <c r="DE66" s="98"/>
      <c r="DF66" s="98"/>
      <c r="DG66" s="98"/>
      <c r="DH66" s="98"/>
      <c r="DI66" s="98"/>
      <c r="DJ66" s="98"/>
      <c r="DK66" s="98"/>
      <c r="DL66" s="98"/>
      <c r="DM66" s="98"/>
      <c r="DN66" s="98"/>
      <c r="DO66" s="98"/>
      <c r="DP66" s="98"/>
      <c r="DQ66" s="98"/>
      <c r="DR66" s="98"/>
      <c r="DS66" s="98"/>
      <c r="DT66" s="98"/>
      <c r="DU66" s="98"/>
      <c r="DV66" s="98"/>
      <c r="DW66" s="98"/>
      <c r="DX66" s="98"/>
      <c r="DY66" s="98"/>
      <c r="DZ66" s="98"/>
      <c r="EA66" s="98"/>
      <c r="EB66" s="98"/>
      <c r="EC66" s="98"/>
      <c r="ED66" s="98"/>
      <c r="EE66" s="98"/>
      <c r="EF66" s="98"/>
      <c r="EG66" s="98"/>
      <c r="EH66" s="98"/>
      <c r="EI66" s="98"/>
      <c r="EJ66" s="98"/>
      <c r="EK66" s="98"/>
      <c r="EL66" s="98"/>
      <c r="EM66" s="98"/>
      <c r="EN66" s="98"/>
      <c r="EO66" s="98"/>
      <c r="EP66" s="98"/>
      <c r="EQ66" s="98"/>
      <c r="ER66" s="98"/>
      <c r="ES66" s="98"/>
      <c r="ET66" s="98"/>
      <c r="EU66" s="98"/>
      <c r="EV66" s="98"/>
      <c r="EW66" s="98"/>
      <c r="EX66" s="98"/>
      <c r="EY66" s="98"/>
      <c r="EZ66" s="98"/>
      <c r="FA66" s="98"/>
      <c r="FB66" s="98"/>
      <c r="FC66" s="98"/>
      <c r="FD66" s="98"/>
    </row>
    <row r="67" spans="1:160" x14ac:dyDescent="0.25">
      <c r="A67" s="96"/>
      <c r="B67" s="96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7"/>
      <c r="AB67" s="97"/>
      <c r="AC67" s="97"/>
      <c r="AD67" s="97"/>
      <c r="AE67" s="97"/>
      <c r="AF67" s="97"/>
      <c r="AG67" s="97"/>
      <c r="AH67" s="97"/>
      <c r="AI67" s="97"/>
      <c r="AJ67" s="97"/>
      <c r="AK67" s="97"/>
      <c r="AL67" s="97"/>
      <c r="AM67" s="97"/>
      <c r="AN67" s="97"/>
      <c r="AO67" s="97"/>
      <c r="AP67" s="97"/>
      <c r="AQ67" s="97"/>
      <c r="AR67" s="97"/>
      <c r="AS67" s="97"/>
      <c r="AT67" s="97"/>
      <c r="AU67" s="97"/>
      <c r="AV67" s="97"/>
      <c r="AW67" s="97"/>
      <c r="AX67" s="97"/>
      <c r="AY67" s="97"/>
      <c r="AZ67" s="97"/>
      <c r="BA67" s="97"/>
      <c r="BB67" s="97"/>
      <c r="BC67" s="97"/>
      <c r="BD67" s="97"/>
      <c r="BE67" s="97"/>
      <c r="BF67" s="97"/>
      <c r="BG67" s="97"/>
      <c r="BH67" s="97"/>
      <c r="BI67" s="97"/>
      <c r="BJ67" s="97"/>
      <c r="BK67" s="97"/>
      <c r="BL67" s="97"/>
      <c r="BM67" s="97"/>
      <c r="BN67" s="98"/>
      <c r="BO67" s="98"/>
      <c r="BP67" s="98"/>
      <c r="BQ67" s="98"/>
      <c r="BR67" s="98"/>
      <c r="BS67" s="98"/>
      <c r="BT67" s="98"/>
      <c r="BU67" s="98"/>
      <c r="BV67" s="98"/>
      <c r="BW67" s="98"/>
      <c r="BX67" s="98"/>
      <c r="BY67" s="98"/>
      <c r="BZ67" s="98"/>
      <c r="CA67" s="98"/>
      <c r="CB67" s="98"/>
      <c r="CC67" s="98"/>
      <c r="CD67" s="98"/>
      <c r="CE67" s="98"/>
      <c r="CF67" s="98"/>
      <c r="CG67" s="98"/>
      <c r="CH67" s="98"/>
      <c r="CI67" s="98"/>
      <c r="CJ67" s="98"/>
      <c r="CK67" s="98"/>
      <c r="CL67" s="98"/>
      <c r="CM67" s="98"/>
      <c r="CN67" s="98"/>
      <c r="CO67" s="98"/>
      <c r="CP67" s="98"/>
      <c r="CQ67" s="98"/>
      <c r="CR67" s="98"/>
      <c r="CS67" s="98"/>
      <c r="CT67" s="98"/>
      <c r="CU67" s="98"/>
      <c r="CV67" s="98"/>
      <c r="CW67" s="98"/>
      <c r="CX67" s="98"/>
      <c r="CY67" s="98"/>
      <c r="CZ67" s="98"/>
      <c r="DA67" s="98"/>
      <c r="DB67" s="98"/>
      <c r="DC67" s="98"/>
      <c r="DD67" s="98"/>
      <c r="DE67" s="98"/>
      <c r="DF67" s="98"/>
      <c r="DG67" s="98"/>
      <c r="DH67" s="98"/>
      <c r="DI67" s="98"/>
      <c r="DJ67" s="98"/>
      <c r="DK67" s="98"/>
      <c r="DL67" s="98"/>
      <c r="DM67" s="98"/>
      <c r="DN67" s="98"/>
      <c r="DO67" s="98"/>
      <c r="DP67" s="98"/>
      <c r="DQ67" s="98"/>
      <c r="DR67" s="98"/>
      <c r="DS67" s="98"/>
      <c r="DT67" s="98"/>
      <c r="DU67" s="98"/>
      <c r="DV67" s="98"/>
      <c r="DW67" s="98"/>
      <c r="DX67" s="98"/>
      <c r="DY67" s="98"/>
      <c r="DZ67" s="98"/>
      <c r="EA67" s="98"/>
      <c r="EB67" s="98"/>
      <c r="EC67" s="98"/>
      <c r="ED67" s="98"/>
      <c r="EE67" s="98"/>
      <c r="EF67" s="98"/>
      <c r="EG67" s="98"/>
      <c r="EH67" s="98"/>
      <c r="EI67" s="98"/>
      <c r="EJ67" s="98"/>
      <c r="EK67" s="98"/>
      <c r="EL67" s="98"/>
      <c r="EM67" s="98"/>
      <c r="EN67" s="98"/>
      <c r="EO67" s="98"/>
      <c r="EP67" s="98"/>
      <c r="EQ67" s="98"/>
      <c r="ER67" s="98"/>
      <c r="ES67" s="98"/>
      <c r="ET67" s="98"/>
      <c r="EU67" s="98"/>
      <c r="EV67" s="98"/>
      <c r="EW67" s="98"/>
      <c r="EX67" s="98"/>
      <c r="EY67" s="98"/>
      <c r="EZ67" s="98"/>
      <c r="FA67" s="98"/>
      <c r="FB67" s="98"/>
      <c r="FC67" s="98"/>
      <c r="FD67" s="98"/>
    </row>
    <row r="68" spans="1:160" x14ac:dyDescent="0.25">
      <c r="A68" s="96"/>
      <c r="B68" s="96"/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  <c r="AB68" s="97"/>
      <c r="AC68" s="97"/>
      <c r="AD68" s="97"/>
      <c r="AE68" s="97"/>
      <c r="AF68" s="97"/>
      <c r="AG68" s="97"/>
      <c r="AH68" s="97"/>
      <c r="AI68" s="97"/>
      <c r="AJ68" s="97"/>
      <c r="AK68" s="97"/>
      <c r="AL68" s="97"/>
      <c r="AM68" s="97"/>
      <c r="AN68" s="97"/>
      <c r="AO68" s="97"/>
      <c r="AP68" s="97"/>
      <c r="AQ68" s="97"/>
      <c r="AR68" s="97"/>
      <c r="AS68" s="97"/>
      <c r="AT68" s="97"/>
      <c r="AU68" s="97"/>
      <c r="AV68" s="97"/>
      <c r="AW68" s="97"/>
      <c r="AX68" s="97"/>
      <c r="AY68" s="97"/>
      <c r="AZ68" s="97"/>
      <c r="BA68" s="97"/>
      <c r="BB68" s="97"/>
      <c r="BC68" s="97"/>
      <c r="BD68" s="97"/>
      <c r="BE68" s="97"/>
      <c r="BF68" s="97"/>
      <c r="BG68" s="97"/>
      <c r="BH68" s="97"/>
      <c r="BI68" s="97"/>
      <c r="BJ68" s="97"/>
      <c r="BK68" s="97"/>
      <c r="BL68" s="97"/>
      <c r="BM68" s="97"/>
      <c r="BN68" s="98"/>
      <c r="BO68" s="98"/>
      <c r="BP68" s="98"/>
      <c r="BQ68" s="98"/>
      <c r="BR68" s="98"/>
      <c r="BS68" s="98"/>
      <c r="BT68" s="98"/>
      <c r="BU68" s="98"/>
      <c r="BV68" s="98"/>
      <c r="BW68" s="98"/>
      <c r="BX68" s="98"/>
      <c r="BY68" s="98"/>
      <c r="BZ68" s="98"/>
      <c r="CA68" s="98"/>
      <c r="CB68" s="98"/>
      <c r="CC68" s="98"/>
      <c r="CD68" s="98"/>
      <c r="CE68" s="98"/>
      <c r="CF68" s="98"/>
      <c r="CG68" s="98"/>
      <c r="CH68" s="98"/>
      <c r="CI68" s="98"/>
      <c r="CJ68" s="98"/>
      <c r="CK68" s="98"/>
      <c r="CL68" s="98"/>
      <c r="CM68" s="98"/>
      <c r="CN68" s="98"/>
      <c r="CO68" s="98"/>
      <c r="CP68" s="98"/>
      <c r="CQ68" s="98"/>
      <c r="CR68" s="98"/>
      <c r="CS68" s="98"/>
      <c r="CT68" s="98"/>
      <c r="CU68" s="98"/>
      <c r="CV68" s="98"/>
      <c r="CW68" s="98"/>
      <c r="CX68" s="98"/>
      <c r="CY68" s="98"/>
      <c r="CZ68" s="98"/>
      <c r="DA68" s="98"/>
      <c r="DB68" s="98"/>
      <c r="DC68" s="98"/>
      <c r="DD68" s="98"/>
      <c r="DE68" s="98"/>
      <c r="DF68" s="98"/>
      <c r="DG68" s="98"/>
      <c r="DH68" s="98"/>
      <c r="DI68" s="98"/>
      <c r="DJ68" s="98"/>
      <c r="DK68" s="98"/>
      <c r="DL68" s="98"/>
      <c r="DM68" s="98"/>
      <c r="DN68" s="98"/>
      <c r="DO68" s="98"/>
      <c r="DP68" s="98"/>
      <c r="DQ68" s="98"/>
      <c r="DR68" s="98"/>
      <c r="DS68" s="98"/>
      <c r="DT68" s="98"/>
      <c r="DU68" s="98"/>
      <c r="DV68" s="98"/>
      <c r="DW68" s="98"/>
      <c r="DX68" s="98"/>
      <c r="DY68" s="98"/>
      <c r="DZ68" s="98"/>
      <c r="EA68" s="98"/>
      <c r="EB68" s="98"/>
      <c r="EC68" s="98"/>
      <c r="ED68" s="98"/>
      <c r="EE68" s="98"/>
      <c r="EF68" s="98"/>
      <c r="EG68" s="98"/>
      <c r="EH68" s="98"/>
      <c r="EI68" s="98"/>
      <c r="EJ68" s="98"/>
      <c r="EK68" s="98"/>
      <c r="EL68" s="98"/>
      <c r="EM68" s="98"/>
      <c r="EN68" s="98"/>
      <c r="EO68" s="98"/>
      <c r="EP68" s="98"/>
      <c r="EQ68" s="98"/>
      <c r="ER68" s="98"/>
      <c r="ES68" s="98"/>
      <c r="ET68" s="98"/>
      <c r="EU68" s="98"/>
      <c r="EV68" s="98"/>
      <c r="EW68" s="98"/>
      <c r="EX68" s="98"/>
      <c r="EY68" s="98"/>
      <c r="EZ68" s="98"/>
      <c r="FA68" s="98"/>
      <c r="FB68" s="98"/>
      <c r="FC68" s="98"/>
      <c r="FD68" s="98"/>
    </row>
    <row r="69" spans="1:160" x14ac:dyDescent="0.25">
      <c r="A69" s="96"/>
      <c r="B69" s="96"/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  <c r="AB69" s="97"/>
      <c r="AC69" s="97"/>
      <c r="AD69" s="97"/>
      <c r="AE69" s="97"/>
      <c r="AF69" s="97"/>
      <c r="AG69" s="97"/>
      <c r="AH69" s="97"/>
      <c r="AI69" s="97"/>
      <c r="AJ69" s="97"/>
      <c r="AK69" s="97"/>
      <c r="AL69" s="97"/>
      <c r="AM69" s="97"/>
      <c r="AN69" s="97"/>
      <c r="AO69" s="97"/>
      <c r="AP69" s="97"/>
      <c r="AQ69" s="97"/>
      <c r="AR69" s="97"/>
      <c r="AS69" s="97"/>
      <c r="AT69" s="97"/>
      <c r="AU69" s="97"/>
      <c r="AV69" s="97"/>
      <c r="AW69" s="97"/>
      <c r="AX69" s="97"/>
      <c r="AY69" s="97"/>
      <c r="AZ69" s="97"/>
      <c r="BA69" s="97"/>
      <c r="BB69" s="97"/>
      <c r="BC69" s="97"/>
      <c r="BD69" s="97"/>
      <c r="BE69" s="97"/>
      <c r="BF69" s="97"/>
      <c r="BG69" s="97"/>
      <c r="BH69" s="97"/>
      <c r="BI69" s="97"/>
      <c r="BJ69" s="97"/>
      <c r="BK69" s="97"/>
      <c r="BL69" s="97"/>
      <c r="BM69" s="97"/>
      <c r="BN69" s="98"/>
      <c r="BO69" s="98"/>
      <c r="BP69" s="98"/>
      <c r="BQ69" s="98"/>
      <c r="BR69" s="98"/>
      <c r="BS69" s="98"/>
      <c r="BT69" s="98"/>
      <c r="BU69" s="98"/>
      <c r="BV69" s="98"/>
      <c r="BW69" s="98"/>
      <c r="BX69" s="98"/>
      <c r="BY69" s="98"/>
      <c r="BZ69" s="98"/>
      <c r="CA69" s="98"/>
      <c r="CB69" s="98"/>
      <c r="CC69" s="98"/>
      <c r="CD69" s="98"/>
      <c r="CE69" s="98"/>
      <c r="CF69" s="98"/>
      <c r="CG69" s="98"/>
      <c r="CH69" s="98"/>
      <c r="CI69" s="98"/>
      <c r="CJ69" s="98"/>
      <c r="CK69" s="98"/>
      <c r="CL69" s="98"/>
      <c r="CM69" s="98"/>
      <c r="CN69" s="98"/>
      <c r="CO69" s="98"/>
      <c r="CP69" s="98"/>
      <c r="CQ69" s="98"/>
      <c r="CR69" s="98"/>
      <c r="CS69" s="98"/>
      <c r="CT69" s="98"/>
      <c r="CU69" s="98"/>
      <c r="CV69" s="98"/>
      <c r="CW69" s="98"/>
      <c r="CX69" s="98"/>
      <c r="CY69" s="98"/>
      <c r="CZ69" s="98"/>
      <c r="DA69" s="98"/>
      <c r="DB69" s="98"/>
      <c r="DC69" s="98"/>
      <c r="DD69" s="98"/>
      <c r="DE69" s="98"/>
      <c r="DF69" s="98"/>
      <c r="DG69" s="98"/>
      <c r="DH69" s="98"/>
      <c r="DI69" s="98"/>
      <c r="DJ69" s="98"/>
      <c r="DK69" s="98"/>
      <c r="DL69" s="98"/>
      <c r="DM69" s="98"/>
      <c r="DN69" s="98"/>
      <c r="DO69" s="98"/>
      <c r="DP69" s="98"/>
      <c r="DQ69" s="98"/>
      <c r="DR69" s="98"/>
      <c r="DS69" s="98"/>
      <c r="DT69" s="98"/>
      <c r="DU69" s="98"/>
      <c r="DV69" s="98"/>
      <c r="DW69" s="98"/>
      <c r="DX69" s="98"/>
      <c r="DY69" s="98"/>
      <c r="DZ69" s="98"/>
      <c r="EA69" s="98"/>
      <c r="EB69" s="98"/>
      <c r="EC69" s="98"/>
      <c r="ED69" s="98"/>
      <c r="EE69" s="98"/>
      <c r="EF69" s="98"/>
      <c r="EG69" s="98"/>
      <c r="EH69" s="98"/>
      <c r="EI69" s="98"/>
      <c r="EJ69" s="98"/>
      <c r="EK69" s="98"/>
      <c r="EL69" s="98"/>
      <c r="EM69" s="98"/>
      <c r="EN69" s="98"/>
      <c r="EO69" s="98"/>
      <c r="EP69" s="98"/>
      <c r="EQ69" s="98"/>
      <c r="ER69" s="98"/>
      <c r="ES69" s="98"/>
      <c r="ET69" s="98"/>
      <c r="EU69" s="98"/>
      <c r="EV69" s="98"/>
      <c r="EW69" s="98"/>
      <c r="EX69" s="98"/>
      <c r="EY69" s="98"/>
      <c r="EZ69" s="98"/>
      <c r="FA69" s="98"/>
      <c r="FB69" s="98"/>
      <c r="FC69" s="98"/>
      <c r="FD69" s="98"/>
    </row>
    <row r="70" spans="1:160" x14ac:dyDescent="0.25">
      <c r="A70" s="96"/>
      <c r="B70" s="96"/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  <c r="AA70" s="97"/>
      <c r="AB70" s="97"/>
      <c r="AC70" s="97"/>
      <c r="AD70" s="97"/>
      <c r="AE70" s="97"/>
      <c r="AF70" s="97"/>
      <c r="AG70" s="97"/>
      <c r="AH70" s="97"/>
      <c r="AI70" s="97"/>
      <c r="AJ70" s="97"/>
      <c r="AK70" s="97"/>
      <c r="AL70" s="97"/>
      <c r="AM70" s="97"/>
      <c r="AN70" s="97"/>
      <c r="AO70" s="97"/>
      <c r="AP70" s="97"/>
      <c r="AQ70" s="97"/>
      <c r="AR70" s="97"/>
      <c r="AS70" s="97"/>
      <c r="AT70" s="97"/>
      <c r="AU70" s="97"/>
      <c r="AV70" s="97"/>
      <c r="AW70" s="97"/>
      <c r="AX70" s="97"/>
      <c r="AY70" s="97"/>
      <c r="AZ70" s="97"/>
      <c r="BA70" s="97"/>
      <c r="BB70" s="97"/>
      <c r="BC70" s="97"/>
      <c r="BD70" s="97"/>
      <c r="BE70" s="97"/>
      <c r="BF70" s="97"/>
      <c r="BG70" s="97"/>
      <c r="BH70" s="97"/>
      <c r="BI70" s="97"/>
      <c r="BJ70" s="97"/>
      <c r="BK70" s="97"/>
      <c r="BL70" s="97"/>
      <c r="BM70" s="97"/>
      <c r="BN70" s="98"/>
      <c r="BO70" s="98"/>
      <c r="BP70" s="98"/>
      <c r="BQ70" s="98"/>
      <c r="BR70" s="98"/>
      <c r="BS70" s="98"/>
      <c r="BT70" s="98"/>
      <c r="BU70" s="98"/>
      <c r="BV70" s="98"/>
      <c r="BW70" s="98"/>
      <c r="BX70" s="98"/>
      <c r="BY70" s="98"/>
      <c r="BZ70" s="98"/>
      <c r="CA70" s="98"/>
      <c r="CB70" s="98"/>
      <c r="CC70" s="98"/>
      <c r="CD70" s="98"/>
      <c r="CE70" s="98"/>
      <c r="CF70" s="98"/>
      <c r="CG70" s="98"/>
      <c r="CH70" s="98"/>
      <c r="CI70" s="98"/>
      <c r="CJ70" s="98"/>
      <c r="CK70" s="98"/>
      <c r="CL70" s="98"/>
      <c r="CM70" s="98"/>
      <c r="CN70" s="98"/>
      <c r="CO70" s="98"/>
      <c r="CP70" s="98"/>
      <c r="CQ70" s="98"/>
      <c r="CR70" s="98"/>
      <c r="CS70" s="98"/>
      <c r="CT70" s="98"/>
      <c r="CU70" s="98"/>
      <c r="CV70" s="98"/>
      <c r="CW70" s="98"/>
      <c r="CX70" s="98"/>
      <c r="CY70" s="98"/>
      <c r="CZ70" s="98"/>
      <c r="DA70" s="98"/>
      <c r="DB70" s="98"/>
      <c r="DC70" s="98"/>
      <c r="DD70" s="98"/>
      <c r="DE70" s="98"/>
      <c r="DF70" s="98"/>
      <c r="DG70" s="98"/>
      <c r="DH70" s="98"/>
      <c r="DI70" s="98"/>
      <c r="DJ70" s="98"/>
      <c r="DK70" s="98"/>
      <c r="DL70" s="98"/>
      <c r="DM70" s="98"/>
      <c r="DN70" s="98"/>
      <c r="DO70" s="98"/>
      <c r="DP70" s="98"/>
      <c r="DQ70" s="98"/>
      <c r="DR70" s="98"/>
      <c r="DS70" s="98"/>
      <c r="DT70" s="98"/>
      <c r="DU70" s="98"/>
      <c r="DV70" s="98"/>
      <c r="DW70" s="98"/>
      <c r="DX70" s="98"/>
      <c r="DY70" s="98"/>
      <c r="DZ70" s="98"/>
      <c r="EA70" s="98"/>
      <c r="EB70" s="98"/>
      <c r="EC70" s="98"/>
      <c r="ED70" s="98"/>
      <c r="EE70" s="98"/>
      <c r="EF70" s="98"/>
      <c r="EG70" s="98"/>
      <c r="EH70" s="98"/>
      <c r="EI70" s="98"/>
      <c r="EJ70" s="98"/>
      <c r="EK70" s="98"/>
      <c r="EL70" s="98"/>
      <c r="EM70" s="98"/>
      <c r="EN70" s="98"/>
      <c r="EO70" s="98"/>
      <c r="EP70" s="98"/>
      <c r="EQ70" s="98"/>
      <c r="ER70" s="98"/>
      <c r="ES70" s="98"/>
      <c r="ET70" s="98"/>
      <c r="EU70" s="98"/>
      <c r="EV70" s="98"/>
      <c r="EW70" s="98"/>
      <c r="EX70" s="98"/>
      <c r="EY70" s="98"/>
      <c r="EZ70" s="98"/>
      <c r="FA70" s="98"/>
      <c r="FB70" s="98"/>
      <c r="FC70" s="98"/>
      <c r="FD70" s="98"/>
    </row>
    <row r="71" spans="1:160" x14ac:dyDescent="0.25">
      <c r="A71" s="96"/>
      <c r="B71" s="96"/>
      <c r="C71" s="97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7"/>
      <c r="AH71" s="97"/>
      <c r="AI71" s="97"/>
      <c r="AJ71" s="97"/>
      <c r="AK71" s="97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7"/>
      <c r="BG71" s="97"/>
      <c r="BH71" s="97"/>
      <c r="BI71" s="97"/>
      <c r="BJ71" s="97"/>
      <c r="BK71" s="97"/>
      <c r="BL71" s="97"/>
      <c r="BM71" s="97"/>
      <c r="BN71" s="98"/>
      <c r="BO71" s="98"/>
      <c r="BP71" s="98"/>
      <c r="BQ71" s="98"/>
      <c r="BR71" s="98"/>
      <c r="BS71" s="98"/>
      <c r="BT71" s="98"/>
      <c r="BU71" s="98"/>
      <c r="BV71" s="98"/>
      <c r="BW71" s="98"/>
      <c r="BX71" s="98"/>
      <c r="BY71" s="98"/>
      <c r="BZ71" s="98"/>
      <c r="CA71" s="98"/>
      <c r="CB71" s="98"/>
      <c r="CC71" s="98"/>
      <c r="CD71" s="98"/>
      <c r="CE71" s="98"/>
      <c r="CF71" s="98"/>
      <c r="CG71" s="98"/>
      <c r="CH71" s="98"/>
      <c r="CI71" s="98"/>
      <c r="CJ71" s="98"/>
      <c r="CK71" s="98"/>
      <c r="CL71" s="98"/>
      <c r="CM71" s="98"/>
      <c r="CN71" s="98"/>
      <c r="CO71" s="98"/>
      <c r="CP71" s="98"/>
      <c r="CQ71" s="98"/>
      <c r="CR71" s="98"/>
      <c r="CS71" s="98"/>
      <c r="CT71" s="98"/>
      <c r="CU71" s="98"/>
      <c r="CV71" s="98"/>
      <c r="CW71" s="98"/>
      <c r="CX71" s="98"/>
      <c r="CY71" s="98"/>
      <c r="CZ71" s="98"/>
      <c r="DA71" s="98"/>
      <c r="DB71" s="98"/>
      <c r="DC71" s="98"/>
      <c r="DD71" s="98"/>
      <c r="DE71" s="98"/>
      <c r="DF71" s="98"/>
      <c r="DG71" s="98"/>
      <c r="DH71" s="98"/>
      <c r="DI71" s="98"/>
      <c r="DJ71" s="98"/>
      <c r="DK71" s="98"/>
      <c r="DL71" s="98"/>
      <c r="DM71" s="98"/>
      <c r="DN71" s="98"/>
      <c r="DO71" s="98"/>
      <c r="DP71" s="98"/>
      <c r="DQ71" s="98"/>
      <c r="DR71" s="98"/>
      <c r="DS71" s="98"/>
      <c r="DT71" s="98"/>
      <c r="DU71" s="98"/>
      <c r="DV71" s="98"/>
      <c r="DW71" s="98"/>
      <c r="DX71" s="98"/>
      <c r="DY71" s="98"/>
      <c r="DZ71" s="98"/>
      <c r="EA71" s="98"/>
      <c r="EB71" s="98"/>
      <c r="EC71" s="98"/>
      <c r="ED71" s="98"/>
      <c r="EE71" s="98"/>
      <c r="EF71" s="98"/>
      <c r="EG71" s="98"/>
      <c r="EH71" s="98"/>
      <c r="EI71" s="98"/>
      <c r="EJ71" s="98"/>
      <c r="EK71" s="98"/>
      <c r="EL71" s="98"/>
      <c r="EM71" s="98"/>
      <c r="EN71" s="98"/>
      <c r="EO71" s="98"/>
      <c r="EP71" s="98"/>
      <c r="EQ71" s="98"/>
      <c r="ER71" s="98"/>
      <c r="ES71" s="98"/>
      <c r="ET71" s="98"/>
      <c r="EU71" s="98"/>
      <c r="EV71" s="98"/>
      <c r="EW71" s="98"/>
      <c r="EX71" s="98"/>
      <c r="EY71" s="98"/>
      <c r="EZ71" s="98"/>
      <c r="FA71" s="98"/>
      <c r="FB71" s="98"/>
      <c r="FC71" s="98"/>
      <c r="FD71" s="98"/>
    </row>
    <row r="72" spans="1:160" x14ac:dyDescent="0.25">
      <c r="A72" s="96"/>
      <c r="B72" s="96"/>
      <c r="C72" s="97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7"/>
      <c r="AB72" s="97"/>
      <c r="AC72" s="97"/>
      <c r="AD72" s="97"/>
      <c r="AE72" s="97"/>
      <c r="AF72" s="97"/>
      <c r="AG72" s="97"/>
      <c r="AH72" s="97"/>
      <c r="AI72" s="97"/>
      <c r="AJ72" s="97"/>
      <c r="AK72" s="97"/>
      <c r="AL72" s="97"/>
      <c r="AM72" s="97"/>
      <c r="AN72" s="97"/>
      <c r="AO72" s="97"/>
      <c r="AP72" s="97"/>
      <c r="AQ72" s="97"/>
      <c r="AR72" s="97"/>
      <c r="AS72" s="97"/>
      <c r="AT72" s="97"/>
      <c r="AU72" s="97"/>
      <c r="AV72" s="97"/>
      <c r="AW72" s="97"/>
      <c r="AX72" s="97"/>
      <c r="AY72" s="97"/>
      <c r="AZ72" s="97"/>
      <c r="BA72" s="97"/>
      <c r="BB72" s="97"/>
      <c r="BC72" s="97"/>
      <c r="BD72" s="97"/>
      <c r="BE72" s="97"/>
      <c r="BF72" s="97"/>
      <c r="BG72" s="97"/>
      <c r="BH72" s="97"/>
      <c r="BI72" s="97"/>
      <c r="BJ72" s="97"/>
      <c r="BK72" s="97"/>
      <c r="BL72" s="97"/>
      <c r="BM72" s="97"/>
      <c r="BN72" s="98"/>
      <c r="BO72" s="98"/>
      <c r="BP72" s="98"/>
      <c r="BQ72" s="98"/>
      <c r="BR72" s="98"/>
      <c r="BS72" s="98"/>
      <c r="BT72" s="98"/>
      <c r="BU72" s="98"/>
      <c r="BV72" s="98"/>
      <c r="BW72" s="98"/>
      <c r="BX72" s="98"/>
      <c r="BY72" s="98"/>
      <c r="BZ72" s="98"/>
      <c r="CA72" s="98"/>
      <c r="CB72" s="98"/>
      <c r="CC72" s="98"/>
      <c r="CD72" s="98"/>
      <c r="CE72" s="98"/>
      <c r="CF72" s="98"/>
      <c r="CG72" s="98"/>
      <c r="CH72" s="98"/>
      <c r="CI72" s="98"/>
      <c r="CJ72" s="98"/>
      <c r="CK72" s="98"/>
      <c r="CL72" s="98"/>
      <c r="CM72" s="98"/>
      <c r="CN72" s="98"/>
      <c r="CO72" s="98"/>
      <c r="CP72" s="98"/>
      <c r="CQ72" s="98"/>
      <c r="CR72" s="98"/>
      <c r="CS72" s="98"/>
      <c r="CT72" s="98"/>
      <c r="CU72" s="98"/>
      <c r="CV72" s="98"/>
      <c r="CW72" s="98"/>
      <c r="CX72" s="98"/>
      <c r="CY72" s="98"/>
      <c r="CZ72" s="98"/>
      <c r="DA72" s="98"/>
      <c r="DB72" s="98"/>
      <c r="DC72" s="98"/>
      <c r="DD72" s="98"/>
      <c r="DE72" s="98"/>
      <c r="DF72" s="98"/>
      <c r="DG72" s="98"/>
      <c r="DH72" s="98"/>
      <c r="DI72" s="98"/>
      <c r="DJ72" s="98"/>
      <c r="DK72" s="98"/>
      <c r="DL72" s="98"/>
      <c r="DM72" s="98"/>
      <c r="DN72" s="98"/>
      <c r="DO72" s="98"/>
      <c r="DP72" s="98"/>
      <c r="DQ72" s="98"/>
      <c r="DR72" s="98"/>
      <c r="DS72" s="98"/>
      <c r="DT72" s="98"/>
      <c r="DU72" s="98"/>
      <c r="DV72" s="98"/>
      <c r="DW72" s="98"/>
      <c r="DX72" s="98"/>
      <c r="DY72" s="98"/>
      <c r="DZ72" s="98"/>
      <c r="EA72" s="98"/>
      <c r="EB72" s="98"/>
      <c r="EC72" s="98"/>
      <c r="ED72" s="98"/>
      <c r="EE72" s="98"/>
      <c r="EF72" s="98"/>
      <c r="EG72" s="98"/>
      <c r="EH72" s="98"/>
      <c r="EI72" s="98"/>
      <c r="EJ72" s="98"/>
      <c r="EK72" s="98"/>
      <c r="EL72" s="98"/>
      <c r="EM72" s="98"/>
      <c r="EN72" s="98"/>
      <c r="EO72" s="98"/>
      <c r="EP72" s="98"/>
      <c r="EQ72" s="98"/>
      <c r="ER72" s="98"/>
      <c r="ES72" s="98"/>
      <c r="ET72" s="98"/>
      <c r="EU72" s="98"/>
      <c r="EV72" s="98"/>
      <c r="EW72" s="98"/>
      <c r="EX72" s="98"/>
      <c r="EY72" s="98"/>
      <c r="EZ72" s="98"/>
      <c r="FA72" s="98"/>
      <c r="FB72" s="98"/>
      <c r="FC72" s="98"/>
      <c r="FD72" s="98"/>
    </row>
    <row r="73" spans="1:160" x14ac:dyDescent="0.25">
      <c r="A73" s="96"/>
      <c r="B73" s="96"/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97"/>
      <c r="AC73" s="97"/>
      <c r="AD73" s="97"/>
      <c r="AE73" s="97"/>
      <c r="AF73" s="97"/>
      <c r="AG73" s="97"/>
      <c r="AH73" s="97"/>
      <c r="AI73" s="97"/>
      <c r="AJ73" s="97"/>
      <c r="AK73" s="97"/>
      <c r="AL73" s="97"/>
      <c r="AM73" s="97"/>
      <c r="AN73" s="97"/>
      <c r="AO73" s="97"/>
      <c r="AP73" s="97"/>
      <c r="AQ73" s="97"/>
      <c r="AR73" s="97"/>
      <c r="AS73" s="97"/>
      <c r="AT73" s="97"/>
      <c r="AU73" s="97"/>
      <c r="AV73" s="97"/>
      <c r="AW73" s="97"/>
      <c r="AX73" s="97"/>
      <c r="AY73" s="97"/>
      <c r="AZ73" s="97"/>
      <c r="BA73" s="97"/>
      <c r="BB73" s="97"/>
      <c r="BC73" s="97"/>
      <c r="BD73" s="97"/>
      <c r="BE73" s="97"/>
      <c r="BF73" s="97"/>
      <c r="BG73" s="97"/>
      <c r="BH73" s="97"/>
      <c r="BI73" s="97"/>
      <c r="BJ73" s="97"/>
      <c r="BK73" s="97"/>
      <c r="BL73" s="97"/>
      <c r="BM73" s="97"/>
      <c r="BN73" s="98"/>
      <c r="BO73" s="98"/>
      <c r="BP73" s="98"/>
      <c r="BQ73" s="98"/>
      <c r="BR73" s="98"/>
      <c r="BS73" s="98"/>
      <c r="BT73" s="98"/>
      <c r="BU73" s="98"/>
      <c r="BV73" s="98"/>
      <c r="BW73" s="98"/>
      <c r="BX73" s="98"/>
      <c r="BY73" s="98"/>
      <c r="BZ73" s="98"/>
      <c r="CA73" s="98"/>
      <c r="CB73" s="98"/>
      <c r="CC73" s="98"/>
      <c r="CD73" s="98"/>
      <c r="CE73" s="98"/>
      <c r="CF73" s="98"/>
      <c r="CG73" s="98"/>
      <c r="CH73" s="98"/>
      <c r="CI73" s="98"/>
      <c r="CJ73" s="98"/>
      <c r="CK73" s="98"/>
      <c r="CL73" s="98"/>
      <c r="CM73" s="98"/>
      <c r="CN73" s="98"/>
      <c r="CO73" s="98"/>
      <c r="CP73" s="98"/>
      <c r="CQ73" s="98"/>
      <c r="CR73" s="98"/>
      <c r="CS73" s="98"/>
      <c r="CT73" s="98"/>
      <c r="CU73" s="98"/>
      <c r="CV73" s="98"/>
      <c r="CW73" s="98"/>
      <c r="CX73" s="98"/>
      <c r="CY73" s="98"/>
      <c r="CZ73" s="98"/>
      <c r="DA73" s="98"/>
      <c r="DB73" s="98"/>
      <c r="DC73" s="98"/>
      <c r="DD73" s="98"/>
      <c r="DE73" s="98"/>
      <c r="DF73" s="98"/>
      <c r="DG73" s="98"/>
      <c r="DH73" s="98"/>
      <c r="DI73" s="98"/>
      <c r="DJ73" s="98"/>
      <c r="DK73" s="98"/>
      <c r="DL73" s="98"/>
      <c r="DM73" s="98"/>
      <c r="DN73" s="98"/>
      <c r="DO73" s="98"/>
      <c r="DP73" s="98"/>
      <c r="DQ73" s="98"/>
      <c r="DR73" s="98"/>
      <c r="DS73" s="98"/>
      <c r="DT73" s="98"/>
      <c r="DU73" s="98"/>
      <c r="DV73" s="98"/>
      <c r="DW73" s="98"/>
      <c r="DX73" s="98"/>
      <c r="DY73" s="98"/>
      <c r="DZ73" s="98"/>
      <c r="EA73" s="98"/>
      <c r="EB73" s="98"/>
      <c r="EC73" s="98"/>
      <c r="ED73" s="98"/>
      <c r="EE73" s="98"/>
      <c r="EF73" s="98"/>
      <c r="EG73" s="98"/>
      <c r="EH73" s="98"/>
      <c r="EI73" s="98"/>
      <c r="EJ73" s="98"/>
      <c r="EK73" s="98"/>
      <c r="EL73" s="98"/>
      <c r="EM73" s="98"/>
      <c r="EN73" s="98"/>
      <c r="EO73" s="98"/>
      <c r="EP73" s="98"/>
      <c r="EQ73" s="98"/>
      <c r="ER73" s="98"/>
      <c r="ES73" s="98"/>
      <c r="ET73" s="98"/>
      <c r="EU73" s="98"/>
      <c r="EV73" s="98"/>
      <c r="EW73" s="98"/>
      <c r="EX73" s="98"/>
      <c r="EY73" s="98"/>
      <c r="EZ73" s="98"/>
      <c r="FA73" s="98"/>
      <c r="FB73" s="98"/>
      <c r="FC73" s="98"/>
      <c r="FD73" s="98"/>
    </row>
    <row r="74" spans="1:160" x14ac:dyDescent="0.25">
      <c r="A74" s="96"/>
      <c r="B74" s="96"/>
      <c r="C74" s="97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7"/>
      <c r="AB74" s="97"/>
      <c r="AC74" s="97"/>
      <c r="AD74" s="97"/>
      <c r="AE74" s="97"/>
      <c r="AF74" s="97"/>
      <c r="AG74" s="97"/>
      <c r="AH74" s="97"/>
      <c r="AI74" s="97"/>
      <c r="AJ74" s="97"/>
      <c r="AK74" s="97"/>
      <c r="AL74" s="97"/>
      <c r="AM74" s="97"/>
      <c r="AN74" s="97"/>
      <c r="AO74" s="97"/>
      <c r="AP74" s="97"/>
      <c r="AQ74" s="97"/>
      <c r="AR74" s="97"/>
      <c r="AS74" s="97"/>
      <c r="AT74" s="97"/>
      <c r="AU74" s="97"/>
      <c r="AV74" s="97"/>
      <c r="AW74" s="97"/>
      <c r="AX74" s="97"/>
      <c r="AY74" s="97"/>
      <c r="AZ74" s="97"/>
      <c r="BA74" s="97"/>
      <c r="BB74" s="97"/>
      <c r="BC74" s="97"/>
      <c r="BD74" s="97"/>
      <c r="BE74" s="97"/>
      <c r="BF74" s="97"/>
      <c r="BG74" s="97"/>
      <c r="BH74" s="97"/>
      <c r="BI74" s="97"/>
      <c r="BJ74" s="97"/>
      <c r="BK74" s="97"/>
      <c r="BL74" s="97"/>
      <c r="BM74" s="97"/>
      <c r="BN74" s="98"/>
      <c r="BO74" s="98"/>
      <c r="BP74" s="98"/>
      <c r="BQ74" s="98"/>
      <c r="BR74" s="98"/>
      <c r="BS74" s="98"/>
      <c r="BT74" s="98"/>
      <c r="BU74" s="98"/>
      <c r="BV74" s="98"/>
      <c r="BW74" s="98"/>
      <c r="BX74" s="98"/>
      <c r="BY74" s="98"/>
      <c r="BZ74" s="98"/>
      <c r="CA74" s="98"/>
      <c r="CB74" s="98"/>
      <c r="CC74" s="98"/>
      <c r="CD74" s="98"/>
      <c r="CE74" s="98"/>
      <c r="CF74" s="98"/>
      <c r="CG74" s="98"/>
      <c r="CH74" s="98"/>
      <c r="CI74" s="98"/>
      <c r="CJ74" s="98"/>
      <c r="CK74" s="98"/>
      <c r="CL74" s="98"/>
      <c r="CM74" s="98"/>
      <c r="CN74" s="98"/>
      <c r="CO74" s="98"/>
      <c r="CP74" s="98"/>
      <c r="CQ74" s="98"/>
      <c r="CR74" s="98"/>
      <c r="CS74" s="98"/>
      <c r="CT74" s="98"/>
      <c r="CU74" s="98"/>
      <c r="CV74" s="98"/>
      <c r="CW74" s="98"/>
      <c r="CX74" s="98"/>
      <c r="CY74" s="98"/>
      <c r="CZ74" s="98"/>
      <c r="DA74" s="98"/>
      <c r="DB74" s="98"/>
      <c r="DC74" s="98"/>
      <c r="DD74" s="98"/>
      <c r="DE74" s="98"/>
      <c r="DF74" s="98"/>
      <c r="DG74" s="98"/>
      <c r="DH74" s="98"/>
      <c r="DI74" s="98"/>
      <c r="DJ74" s="98"/>
      <c r="DK74" s="98"/>
      <c r="DL74" s="98"/>
      <c r="DM74" s="98"/>
      <c r="DN74" s="98"/>
      <c r="DO74" s="98"/>
      <c r="DP74" s="98"/>
      <c r="DQ74" s="98"/>
      <c r="DR74" s="98"/>
      <c r="DS74" s="98"/>
      <c r="DT74" s="98"/>
      <c r="DU74" s="98"/>
      <c r="DV74" s="98"/>
      <c r="DW74" s="98"/>
      <c r="DX74" s="98"/>
      <c r="DY74" s="98"/>
      <c r="DZ74" s="98"/>
      <c r="EA74" s="98"/>
      <c r="EB74" s="98"/>
      <c r="EC74" s="98"/>
      <c r="ED74" s="98"/>
      <c r="EE74" s="98"/>
      <c r="EF74" s="98"/>
      <c r="EG74" s="98"/>
      <c r="EH74" s="98"/>
      <c r="EI74" s="98"/>
      <c r="EJ74" s="98"/>
      <c r="EK74" s="98"/>
      <c r="EL74" s="98"/>
      <c r="EM74" s="98"/>
      <c r="EN74" s="98"/>
      <c r="EO74" s="98"/>
      <c r="EP74" s="98"/>
      <c r="EQ74" s="98"/>
      <c r="ER74" s="98"/>
      <c r="ES74" s="98"/>
      <c r="ET74" s="98"/>
      <c r="EU74" s="98"/>
      <c r="EV74" s="98"/>
      <c r="EW74" s="98"/>
      <c r="EX74" s="98"/>
      <c r="EY74" s="98"/>
      <c r="EZ74" s="98"/>
      <c r="FA74" s="98"/>
      <c r="FB74" s="98"/>
      <c r="FC74" s="98"/>
      <c r="FD74" s="98"/>
    </row>
    <row r="75" spans="1:160" x14ac:dyDescent="0.25">
      <c r="A75" s="96"/>
      <c r="B75" s="96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7"/>
      <c r="AH75" s="97"/>
      <c r="AI75" s="97"/>
      <c r="AJ75" s="97"/>
      <c r="AK75" s="97"/>
      <c r="AL75" s="97"/>
      <c r="AM75" s="9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7"/>
      <c r="BJ75" s="97"/>
      <c r="BK75" s="97"/>
      <c r="BL75" s="97"/>
      <c r="BM75" s="97"/>
      <c r="BN75" s="98"/>
      <c r="BO75" s="9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8"/>
      <c r="CA75" s="98"/>
      <c r="CB75" s="98"/>
      <c r="CC75" s="98"/>
      <c r="CD75" s="98"/>
      <c r="CE75" s="98"/>
      <c r="CF75" s="98"/>
      <c r="CG75" s="98"/>
      <c r="CH75" s="98"/>
      <c r="CI75" s="98"/>
      <c r="CJ75" s="98"/>
      <c r="CK75" s="98"/>
      <c r="CL75" s="98"/>
      <c r="CM75" s="98"/>
      <c r="CN75" s="98"/>
      <c r="CO75" s="98"/>
      <c r="CP75" s="98"/>
      <c r="CQ75" s="9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8"/>
      <c r="DC75" s="98"/>
      <c r="DD75" s="98"/>
      <c r="DE75" s="98"/>
      <c r="DF75" s="98"/>
      <c r="DG75" s="98"/>
      <c r="DH75" s="98"/>
      <c r="DI75" s="98"/>
      <c r="DJ75" s="98"/>
      <c r="DK75" s="98"/>
      <c r="DL75" s="98"/>
      <c r="DM75" s="98"/>
      <c r="DN75" s="98"/>
      <c r="DO75" s="98"/>
      <c r="DP75" s="98"/>
      <c r="DQ75" s="98"/>
      <c r="DR75" s="98"/>
      <c r="DS75" s="98"/>
      <c r="DT75" s="98"/>
      <c r="DU75" s="98"/>
      <c r="DV75" s="98"/>
      <c r="DW75" s="98"/>
      <c r="DX75" s="98"/>
      <c r="DY75" s="98"/>
      <c r="DZ75" s="98"/>
      <c r="EA75" s="98"/>
      <c r="EB75" s="98"/>
      <c r="EC75" s="98"/>
      <c r="ED75" s="98"/>
      <c r="EE75" s="98"/>
      <c r="EF75" s="98"/>
      <c r="EG75" s="98"/>
      <c r="EH75" s="98"/>
      <c r="EI75" s="98"/>
      <c r="EJ75" s="98"/>
      <c r="EK75" s="98"/>
      <c r="EL75" s="98"/>
      <c r="EM75" s="98"/>
      <c r="EN75" s="98"/>
      <c r="EO75" s="98"/>
      <c r="EP75" s="98"/>
      <c r="EQ75" s="98"/>
      <c r="ER75" s="98"/>
      <c r="ES75" s="98"/>
      <c r="ET75" s="98"/>
      <c r="EU75" s="98"/>
      <c r="EV75" s="98"/>
      <c r="EW75" s="98"/>
      <c r="EX75" s="98"/>
      <c r="EY75" s="98"/>
      <c r="EZ75" s="98"/>
      <c r="FA75" s="98"/>
      <c r="FB75" s="98"/>
      <c r="FC75" s="98"/>
      <c r="FD75" s="98"/>
    </row>
    <row r="76" spans="1:160" x14ac:dyDescent="0.25">
      <c r="A76" s="96"/>
      <c r="B76" s="96"/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7"/>
      <c r="AF76" s="97"/>
      <c r="AG76" s="97"/>
      <c r="AH76" s="97"/>
      <c r="AI76" s="97"/>
      <c r="AJ76" s="97"/>
      <c r="AK76" s="97"/>
      <c r="AL76" s="97"/>
      <c r="AM76" s="97"/>
      <c r="AN76" s="97"/>
      <c r="AO76" s="97"/>
      <c r="AP76" s="97"/>
      <c r="AQ76" s="97"/>
      <c r="AR76" s="97"/>
      <c r="AS76" s="97"/>
      <c r="AT76" s="97"/>
      <c r="AU76" s="97"/>
      <c r="AV76" s="97"/>
      <c r="AW76" s="97"/>
      <c r="AX76" s="97"/>
      <c r="AY76" s="97"/>
      <c r="AZ76" s="97"/>
      <c r="BA76" s="97"/>
      <c r="BB76" s="97"/>
      <c r="BC76" s="97"/>
      <c r="BD76" s="97"/>
      <c r="BE76" s="97"/>
      <c r="BF76" s="97"/>
      <c r="BG76" s="97"/>
      <c r="BH76" s="97"/>
      <c r="BI76" s="97"/>
      <c r="BJ76" s="97"/>
      <c r="BK76" s="97"/>
      <c r="BL76" s="97"/>
      <c r="BM76" s="97"/>
      <c r="BN76" s="98"/>
      <c r="BO76" s="98"/>
      <c r="BP76" s="98"/>
      <c r="BQ76" s="98"/>
      <c r="BR76" s="98"/>
      <c r="BS76" s="98"/>
      <c r="BT76" s="98"/>
      <c r="BU76" s="98"/>
      <c r="BV76" s="98"/>
      <c r="BW76" s="98"/>
      <c r="BX76" s="98"/>
      <c r="BY76" s="98"/>
      <c r="BZ76" s="98"/>
      <c r="CA76" s="98"/>
      <c r="CB76" s="98"/>
      <c r="CC76" s="98"/>
      <c r="CD76" s="98"/>
      <c r="CE76" s="98"/>
      <c r="CF76" s="98"/>
      <c r="CG76" s="98"/>
      <c r="CH76" s="98"/>
      <c r="CI76" s="98"/>
      <c r="CJ76" s="98"/>
      <c r="CK76" s="98"/>
      <c r="CL76" s="98"/>
      <c r="CM76" s="98"/>
      <c r="CN76" s="98"/>
      <c r="CO76" s="98"/>
      <c r="CP76" s="98"/>
      <c r="CQ76" s="98"/>
      <c r="CR76" s="98"/>
      <c r="CS76" s="98"/>
      <c r="CT76" s="98"/>
      <c r="CU76" s="98"/>
      <c r="CV76" s="98"/>
      <c r="CW76" s="98"/>
      <c r="CX76" s="98"/>
      <c r="CY76" s="98"/>
      <c r="CZ76" s="98"/>
      <c r="DA76" s="98"/>
      <c r="DB76" s="98"/>
      <c r="DC76" s="98"/>
      <c r="DD76" s="98"/>
      <c r="DE76" s="98"/>
      <c r="DF76" s="98"/>
      <c r="DG76" s="98"/>
      <c r="DH76" s="98"/>
      <c r="DI76" s="98"/>
      <c r="DJ76" s="98"/>
      <c r="DK76" s="98"/>
      <c r="DL76" s="98"/>
      <c r="DM76" s="98"/>
      <c r="DN76" s="98"/>
      <c r="DO76" s="98"/>
      <c r="DP76" s="98"/>
      <c r="DQ76" s="98"/>
      <c r="DR76" s="98"/>
      <c r="DS76" s="98"/>
      <c r="DT76" s="98"/>
      <c r="DU76" s="98"/>
      <c r="DV76" s="98"/>
      <c r="DW76" s="98"/>
      <c r="DX76" s="98"/>
      <c r="DY76" s="98"/>
      <c r="DZ76" s="98"/>
      <c r="EA76" s="98"/>
      <c r="EB76" s="98"/>
      <c r="EC76" s="98"/>
      <c r="ED76" s="98"/>
      <c r="EE76" s="98"/>
      <c r="EF76" s="98"/>
      <c r="EG76" s="98"/>
      <c r="EH76" s="98"/>
      <c r="EI76" s="98"/>
      <c r="EJ76" s="98"/>
      <c r="EK76" s="98"/>
      <c r="EL76" s="98"/>
      <c r="EM76" s="98"/>
      <c r="EN76" s="98"/>
      <c r="EO76" s="98"/>
      <c r="EP76" s="98"/>
      <c r="EQ76" s="98"/>
      <c r="ER76" s="98"/>
      <c r="ES76" s="98"/>
      <c r="ET76" s="98"/>
      <c r="EU76" s="98"/>
      <c r="EV76" s="98"/>
      <c r="EW76" s="98"/>
      <c r="EX76" s="98"/>
      <c r="EY76" s="98"/>
      <c r="EZ76" s="98"/>
      <c r="FA76" s="98"/>
      <c r="FB76" s="98"/>
      <c r="FC76" s="98"/>
      <c r="FD76" s="98"/>
    </row>
    <row r="77" spans="1:160" x14ac:dyDescent="0.25">
      <c r="A77" s="96"/>
      <c r="B77" s="96"/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7"/>
      <c r="AB77" s="97"/>
      <c r="AC77" s="97"/>
      <c r="AD77" s="97"/>
      <c r="AE77" s="97"/>
      <c r="AF77" s="97"/>
      <c r="AG77" s="97"/>
      <c r="AH77" s="97"/>
      <c r="AI77" s="97"/>
      <c r="AJ77" s="97"/>
      <c r="AK77" s="97"/>
      <c r="AL77" s="97"/>
      <c r="AM77" s="97"/>
      <c r="AN77" s="97"/>
      <c r="AO77" s="97"/>
      <c r="AP77" s="97"/>
      <c r="AQ77" s="97"/>
      <c r="AR77" s="97"/>
      <c r="AS77" s="97"/>
      <c r="AT77" s="97"/>
      <c r="AU77" s="97"/>
      <c r="AV77" s="97"/>
      <c r="AW77" s="97"/>
      <c r="AX77" s="97"/>
      <c r="AY77" s="97"/>
      <c r="AZ77" s="97"/>
      <c r="BA77" s="97"/>
      <c r="BB77" s="97"/>
      <c r="BC77" s="97"/>
      <c r="BD77" s="97"/>
      <c r="BE77" s="97"/>
      <c r="BF77" s="97"/>
      <c r="BG77" s="97"/>
      <c r="BH77" s="97"/>
      <c r="BI77" s="97"/>
      <c r="BJ77" s="97"/>
      <c r="BK77" s="97"/>
      <c r="BL77" s="97"/>
      <c r="BM77" s="97"/>
      <c r="BN77" s="98"/>
      <c r="BO77" s="98"/>
      <c r="BP77" s="98"/>
      <c r="BQ77" s="98"/>
      <c r="BR77" s="98"/>
      <c r="BS77" s="98"/>
      <c r="BT77" s="98"/>
      <c r="BU77" s="98"/>
      <c r="BV77" s="98"/>
      <c r="BW77" s="98"/>
      <c r="BX77" s="98"/>
      <c r="BY77" s="98"/>
      <c r="BZ77" s="98"/>
      <c r="CA77" s="98"/>
      <c r="CB77" s="98"/>
      <c r="CC77" s="98"/>
      <c r="CD77" s="98"/>
      <c r="CE77" s="98"/>
      <c r="CF77" s="98"/>
      <c r="CG77" s="98"/>
      <c r="CH77" s="98"/>
      <c r="CI77" s="98"/>
      <c r="CJ77" s="98"/>
      <c r="CK77" s="98"/>
      <c r="CL77" s="98"/>
      <c r="CM77" s="98"/>
      <c r="CN77" s="98"/>
      <c r="CO77" s="98"/>
      <c r="CP77" s="98"/>
      <c r="CQ77" s="98"/>
      <c r="CR77" s="98"/>
      <c r="CS77" s="98"/>
      <c r="CT77" s="98"/>
      <c r="CU77" s="98"/>
      <c r="CV77" s="98"/>
      <c r="CW77" s="98"/>
      <c r="CX77" s="98"/>
      <c r="CY77" s="98"/>
      <c r="CZ77" s="98"/>
      <c r="DA77" s="98"/>
      <c r="DB77" s="98"/>
      <c r="DC77" s="98"/>
      <c r="DD77" s="98"/>
      <c r="DE77" s="98"/>
      <c r="DF77" s="98"/>
      <c r="DG77" s="98"/>
      <c r="DH77" s="98"/>
      <c r="DI77" s="98"/>
      <c r="DJ77" s="98"/>
      <c r="DK77" s="98"/>
      <c r="DL77" s="98"/>
      <c r="DM77" s="98"/>
      <c r="DN77" s="98"/>
      <c r="DO77" s="98"/>
      <c r="DP77" s="98"/>
      <c r="DQ77" s="98"/>
      <c r="DR77" s="98"/>
      <c r="DS77" s="98"/>
      <c r="DT77" s="98"/>
      <c r="DU77" s="98"/>
      <c r="DV77" s="98"/>
      <c r="DW77" s="98"/>
      <c r="DX77" s="98"/>
      <c r="DY77" s="98"/>
      <c r="DZ77" s="98"/>
      <c r="EA77" s="98"/>
      <c r="EB77" s="98"/>
      <c r="EC77" s="98"/>
      <c r="ED77" s="98"/>
      <c r="EE77" s="98"/>
      <c r="EF77" s="98"/>
      <c r="EG77" s="98"/>
      <c r="EH77" s="98"/>
      <c r="EI77" s="98"/>
      <c r="EJ77" s="98"/>
      <c r="EK77" s="98"/>
      <c r="EL77" s="98"/>
      <c r="EM77" s="98"/>
      <c r="EN77" s="98"/>
      <c r="EO77" s="98"/>
      <c r="EP77" s="98"/>
      <c r="EQ77" s="98"/>
      <c r="ER77" s="98"/>
      <c r="ES77" s="98"/>
      <c r="ET77" s="98"/>
      <c r="EU77" s="98"/>
      <c r="EV77" s="98"/>
      <c r="EW77" s="98"/>
      <c r="EX77" s="98"/>
      <c r="EY77" s="98"/>
      <c r="EZ77" s="98"/>
      <c r="FA77" s="98"/>
      <c r="FB77" s="98"/>
      <c r="FC77" s="98"/>
      <c r="FD77" s="98"/>
    </row>
    <row r="78" spans="1:160" x14ac:dyDescent="0.25">
      <c r="A78" s="96"/>
      <c r="B78" s="96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/>
      <c r="AH78" s="97"/>
      <c r="AI78" s="97"/>
      <c r="AJ78" s="97"/>
      <c r="AK78" s="97"/>
      <c r="AL78" s="97"/>
      <c r="AM78" s="97"/>
      <c r="AN78" s="97"/>
      <c r="AO78" s="97"/>
      <c r="AP78" s="97"/>
      <c r="AQ78" s="97"/>
      <c r="AR78" s="97"/>
      <c r="AS78" s="97"/>
      <c r="AT78" s="97"/>
      <c r="AU78" s="97"/>
      <c r="AV78" s="97"/>
      <c r="AW78" s="97"/>
      <c r="AX78" s="97"/>
      <c r="AY78" s="97"/>
      <c r="AZ78" s="97"/>
      <c r="BA78" s="97"/>
      <c r="BB78" s="97"/>
      <c r="BC78" s="97"/>
      <c r="BD78" s="97"/>
      <c r="BE78" s="97"/>
      <c r="BF78" s="97"/>
      <c r="BG78" s="97"/>
      <c r="BH78" s="97"/>
      <c r="BI78" s="97"/>
      <c r="BJ78" s="97"/>
      <c r="BK78" s="97"/>
      <c r="BL78" s="97"/>
      <c r="BM78" s="97"/>
      <c r="BN78" s="98"/>
      <c r="BO78" s="98"/>
      <c r="BP78" s="98"/>
      <c r="BQ78" s="98"/>
      <c r="BR78" s="98"/>
      <c r="BS78" s="98"/>
      <c r="BT78" s="98"/>
      <c r="BU78" s="98"/>
      <c r="BV78" s="98"/>
      <c r="BW78" s="98"/>
      <c r="BX78" s="98"/>
      <c r="BY78" s="98"/>
      <c r="BZ78" s="98"/>
      <c r="CA78" s="98"/>
      <c r="CB78" s="98"/>
      <c r="CC78" s="98"/>
      <c r="CD78" s="98"/>
      <c r="CE78" s="98"/>
      <c r="CF78" s="98"/>
      <c r="CG78" s="98"/>
      <c r="CH78" s="98"/>
      <c r="CI78" s="98"/>
      <c r="CJ78" s="98"/>
      <c r="CK78" s="98"/>
      <c r="CL78" s="98"/>
      <c r="CM78" s="98"/>
      <c r="CN78" s="98"/>
      <c r="CO78" s="98"/>
      <c r="CP78" s="98"/>
      <c r="CQ78" s="98"/>
      <c r="CR78" s="98"/>
      <c r="CS78" s="98"/>
      <c r="CT78" s="98"/>
      <c r="CU78" s="98"/>
      <c r="CV78" s="98"/>
      <c r="CW78" s="98"/>
      <c r="CX78" s="98"/>
      <c r="CY78" s="98"/>
      <c r="CZ78" s="98"/>
      <c r="DA78" s="98"/>
      <c r="DB78" s="98"/>
      <c r="DC78" s="98"/>
      <c r="DD78" s="98"/>
      <c r="DE78" s="98"/>
      <c r="DF78" s="98"/>
      <c r="DG78" s="98"/>
      <c r="DH78" s="98"/>
      <c r="DI78" s="98"/>
      <c r="DJ78" s="98"/>
      <c r="DK78" s="98"/>
      <c r="DL78" s="98"/>
      <c r="DM78" s="98"/>
      <c r="DN78" s="98"/>
      <c r="DO78" s="98"/>
      <c r="DP78" s="98"/>
      <c r="DQ78" s="98"/>
      <c r="DR78" s="98"/>
      <c r="DS78" s="98"/>
      <c r="DT78" s="98"/>
      <c r="DU78" s="98"/>
      <c r="DV78" s="98"/>
      <c r="DW78" s="98"/>
      <c r="DX78" s="98"/>
      <c r="DY78" s="98"/>
      <c r="DZ78" s="98"/>
      <c r="EA78" s="98"/>
      <c r="EB78" s="98"/>
      <c r="EC78" s="98"/>
      <c r="ED78" s="98"/>
      <c r="EE78" s="98"/>
      <c r="EF78" s="98"/>
      <c r="EG78" s="98"/>
      <c r="EH78" s="98"/>
      <c r="EI78" s="98"/>
      <c r="EJ78" s="98"/>
      <c r="EK78" s="98"/>
      <c r="EL78" s="98"/>
      <c r="EM78" s="98"/>
      <c r="EN78" s="98"/>
      <c r="EO78" s="98"/>
      <c r="EP78" s="98"/>
      <c r="EQ78" s="98"/>
      <c r="ER78" s="98"/>
      <c r="ES78" s="98"/>
      <c r="ET78" s="98"/>
      <c r="EU78" s="98"/>
      <c r="EV78" s="98"/>
      <c r="EW78" s="98"/>
      <c r="EX78" s="98"/>
      <c r="EY78" s="98"/>
      <c r="EZ78" s="98"/>
      <c r="FA78" s="98"/>
      <c r="FB78" s="98"/>
      <c r="FC78" s="98"/>
      <c r="FD78" s="98"/>
    </row>
    <row r="79" spans="1:160" x14ac:dyDescent="0.25">
      <c r="A79" s="96"/>
      <c r="B79" s="96"/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  <c r="AA79" s="97"/>
      <c r="AB79" s="97"/>
      <c r="AC79" s="97"/>
      <c r="AD79" s="97"/>
      <c r="AE79" s="97"/>
      <c r="AF79" s="97"/>
      <c r="AG79" s="97"/>
      <c r="AH79" s="97"/>
      <c r="AI79" s="97"/>
      <c r="AJ79" s="97"/>
      <c r="AK79" s="97"/>
      <c r="AL79" s="97"/>
      <c r="AM79" s="97"/>
      <c r="AN79" s="97"/>
      <c r="AO79" s="97"/>
      <c r="AP79" s="97"/>
      <c r="AQ79" s="97"/>
      <c r="AR79" s="97"/>
      <c r="AS79" s="97"/>
      <c r="AT79" s="97"/>
      <c r="AU79" s="97"/>
      <c r="AV79" s="97"/>
      <c r="AW79" s="97"/>
      <c r="AX79" s="97"/>
      <c r="AY79" s="97"/>
      <c r="AZ79" s="97"/>
      <c r="BA79" s="97"/>
      <c r="BB79" s="97"/>
      <c r="BC79" s="97"/>
      <c r="BD79" s="97"/>
      <c r="BE79" s="97"/>
      <c r="BF79" s="97"/>
      <c r="BG79" s="97"/>
      <c r="BH79" s="97"/>
      <c r="BI79" s="97"/>
      <c r="BJ79" s="97"/>
      <c r="BK79" s="97"/>
      <c r="BL79" s="97"/>
      <c r="BM79" s="97"/>
      <c r="BN79" s="98"/>
      <c r="BO79" s="98"/>
      <c r="BP79" s="98"/>
      <c r="BQ79" s="98"/>
      <c r="BR79" s="98"/>
      <c r="BS79" s="98"/>
      <c r="BT79" s="98"/>
      <c r="BU79" s="98"/>
      <c r="BV79" s="98"/>
      <c r="BW79" s="98"/>
      <c r="BX79" s="98"/>
      <c r="BY79" s="98"/>
      <c r="BZ79" s="98"/>
      <c r="CA79" s="98"/>
      <c r="CB79" s="98"/>
      <c r="CC79" s="98"/>
      <c r="CD79" s="98"/>
      <c r="CE79" s="98"/>
      <c r="CF79" s="98"/>
      <c r="CG79" s="98"/>
      <c r="CH79" s="98"/>
      <c r="CI79" s="98"/>
      <c r="CJ79" s="98"/>
      <c r="CK79" s="98"/>
      <c r="CL79" s="98"/>
      <c r="CM79" s="98"/>
      <c r="CN79" s="98"/>
      <c r="CO79" s="98"/>
      <c r="CP79" s="98"/>
      <c r="CQ79" s="98"/>
      <c r="CR79" s="98"/>
      <c r="CS79" s="98"/>
      <c r="CT79" s="98"/>
      <c r="CU79" s="98"/>
      <c r="CV79" s="98"/>
      <c r="CW79" s="98"/>
      <c r="CX79" s="98"/>
      <c r="CY79" s="98"/>
      <c r="CZ79" s="98"/>
      <c r="DA79" s="98"/>
      <c r="DB79" s="98"/>
      <c r="DC79" s="98"/>
      <c r="DD79" s="98"/>
      <c r="DE79" s="98"/>
      <c r="DF79" s="98"/>
      <c r="DG79" s="98"/>
      <c r="DH79" s="98"/>
      <c r="DI79" s="98"/>
      <c r="DJ79" s="98"/>
      <c r="DK79" s="98"/>
      <c r="DL79" s="98"/>
      <c r="DM79" s="98"/>
      <c r="DN79" s="98"/>
      <c r="DO79" s="98"/>
      <c r="DP79" s="98"/>
      <c r="DQ79" s="98"/>
      <c r="DR79" s="98"/>
      <c r="DS79" s="98"/>
      <c r="DT79" s="98"/>
      <c r="DU79" s="98"/>
      <c r="DV79" s="98"/>
      <c r="DW79" s="98"/>
      <c r="DX79" s="98"/>
      <c r="DY79" s="98"/>
      <c r="DZ79" s="98"/>
      <c r="EA79" s="98"/>
      <c r="EB79" s="98"/>
      <c r="EC79" s="98"/>
      <c r="ED79" s="98"/>
      <c r="EE79" s="98"/>
      <c r="EF79" s="98"/>
      <c r="EG79" s="98"/>
      <c r="EH79" s="98"/>
      <c r="EI79" s="98"/>
      <c r="EJ79" s="98"/>
      <c r="EK79" s="98"/>
      <c r="EL79" s="98"/>
      <c r="EM79" s="98"/>
      <c r="EN79" s="98"/>
      <c r="EO79" s="98"/>
      <c r="EP79" s="98"/>
      <c r="EQ79" s="98"/>
      <c r="ER79" s="98"/>
      <c r="ES79" s="98"/>
      <c r="ET79" s="98"/>
      <c r="EU79" s="98"/>
      <c r="EV79" s="98"/>
      <c r="EW79" s="98"/>
      <c r="EX79" s="98"/>
      <c r="EY79" s="98"/>
      <c r="EZ79" s="98"/>
      <c r="FA79" s="98"/>
      <c r="FB79" s="98"/>
      <c r="FC79" s="98"/>
      <c r="FD79" s="98"/>
    </row>
    <row r="80" spans="1:160" x14ac:dyDescent="0.25">
      <c r="A80" s="96"/>
      <c r="B80" s="96"/>
      <c r="C80" s="97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7"/>
      <c r="AB80" s="97"/>
      <c r="AC80" s="97"/>
      <c r="AD80" s="97"/>
      <c r="AE80" s="97"/>
      <c r="AF80" s="97"/>
      <c r="AG80" s="97"/>
      <c r="AH80" s="97"/>
      <c r="AI80" s="97"/>
      <c r="AJ80" s="97"/>
      <c r="AK80" s="97"/>
      <c r="AL80" s="97"/>
      <c r="AM80" s="97"/>
      <c r="AN80" s="97"/>
      <c r="AO80" s="97"/>
      <c r="AP80" s="97"/>
      <c r="AQ80" s="97"/>
      <c r="AR80" s="97"/>
      <c r="AS80" s="97"/>
      <c r="AT80" s="97"/>
      <c r="AU80" s="97"/>
      <c r="AV80" s="97"/>
      <c r="AW80" s="97"/>
      <c r="AX80" s="97"/>
      <c r="AY80" s="97"/>
      <c r="AZ80" s="97"/>
      <c r="BA80" s="97"/>
      <c r="BB80" s="97"/>
      <c r="BC80" s="97"/>
      <c r="BD80" s="97"/>
      <c r="BE80" s="97"/>
      <c r="BF80" s="97"/>
      <c r="BG80" s="97"/>
      <c r="BH80" s="97"/>
      <c r="BI80" s="97"/>
      <c r="BJ80" s="97"/>
      <c r="BK80" s="97"/>
      <c r="BL80" s="97"/>
      <c r="BM80" s="97"/>
      <c r="BN80" s="98"/>
      <c r="BO80" s="98"/>
      <c r="BP80" s="98"/>
      <c r="BQ80" s="98"/>
      <c r="BR80" s="98"/>
      <c r="BS80" s="98"/>
      <c r="BT80" s="98"/>
      <c r="BU80" s="98"/>
      <c r="BV80" s="98"/>
      <c r="BW80" s="98"/>
      <c r="BX80" s="98"/>
      <c r="BY80" s="98"/>
      <c r="BZ80" s="98"/>
      <c r="CA80" s="98"/>
      <c r="CB80" s="98"/>
      <c r="CC80" s="98"/>
      <c r="CD80" s="98"/>
      <c r="CE80" s="98"/>
      <c r="CF80" s="98"/>
      <c r="CG80" s="98"/>
      <c r="CH80" s="98"/>
      <c r="CI80" s="98"/>
      <c r="CJ80" s="98"/>
      <c r="CK80" s="98"/>
      <c r="CL80" s="98"/>
      <c r="CM80" s="98"/>
      <c r="CN80" s="98"/>
      <c r="CO80" s="98"/>
      <c r="CP80" s="98"/>
      <c r="CQ80" s="98"/>
      <c r="CR80" s="98"/>
      <c r="CS80" s="98"/>
      <c r="CT80" s="98"/>
      <c r="CU80" s="98"/>
      <c r="CV80" s="98"/>
      <c r="CW80" s="98"/>
      <c r="CX80" s="98"/>
      <c r="CY80" s="98"/>
      <c r="CZ80" s="98"/>
      <c r="DA80" s="98"/>
      <c r="DB80" s="98"/>
      <c r="DC80" s="98"/>
      <c r="DD80" s="98"/>
      <c r="DE80" s="98"/>
      <c r="DF80" s="98"/>
      <c r="DG80" s="98"/>
      <c r="DH80" s="98"/>
      <c r="DI80" s="98"/>
      <c r="DJ80" s="98"/>
      <c r="DK80" s="98"/>
      <c r="DL80" s="98"/>
      <c r="DM80" s="98"/>
      <c r="DN80" s="98"/>
      <c r="DO80" s="98"/>
      <c r="DP80" s="98"/>
      <c r="DQ80" s="98"/>
      <c r="DR80" s="98"/>
      <c r="DS80" s="98"/>
      <c r="DT80" s="98"/>
      <c r="DU80" s="98"/>
      <c r="DV80" s="98"/>
      <c r="DW80" s="98"/>
      <c r="DX80" s="98"/>
      <c r="DY80" s="98"/>
      <c r="DZ80" s="98"/>
      <c r="EA80" s="98"/>
      <c r="EB80" s="98"/>
      <c r="EC80" s="98"/>
      <c r="ED80" s="98"/>
      <c r="EE80" s="98"/>
      <c r="EF80" s="98"/>
      <c r="EG80" s="98"/>
      <c r="EH80" s="98"/>
      <c r="EI80" s="98"/>
      <c r="EJ80" s="98"/>
      <c r="EK80" s="98"/>
      <c r="EL80" s="98"/>
      <c r="EM80" s="98"/>
      <c r="EN80" s="98"/>
      <c r="EO80" s="98"/>
      <c r="EP80" s="98"/>
      <c r="EQ80" s="98"/>
      <c r="EV80" s="98"/>
      <c r="EW80" s="98"/>
      <c r="EX80" s="98"/>
      <c r="EY80" s="98"/>
      <c r="EZ80" s="98"/>
      <c r="FA80" s="98"/>
      <c r="FB80" s="98"/>
      <c r="FC80" s="98"/>
      <c r="FD80" s="98"/>
    </row>
    <row r="81" spans="1:147" x14ac:dyDescent="0.25">
      <c r="A81" s="96"/>
      <c r="B81" s="96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/>
      <c r="AH81" s="97"/>
      <c r="AI81" s="97"/>
      <c r="AJ81" s="97"/>
      <c r="AK81" s="97"/>
      <c r="AL81" s="97"/>
      <c r="AM81" s="97"/>
      <c r="AN81" s="97"/>
      <c r="AO81" s="97"/>
      <c r="AP81" s="97"/>
      <c r="AQ81" s="97"/>
      <c r="AR81" s="97"/>
      <c r="AS81" s="97"/>
      <c r="AT81" s="97"/>
      <c r="AU81" s="97"/>
      <c r="AV81" s="97"/>
      <c r="AW81" s="97"/>
      <c r="AX81" s="97"/>
      <c r="AY81" s="97"/>
      <c r="AZ81" s="97"/>
      <c r="BA81" s="97"/>
      <c r="BB81" s="97"/>
      <c r="BC81" s="97"/>
      <c r="BD81" s="97"/>
      <c r="BE81" s="97"/>
      <c r="BF81" s="97"/>
      <c r="BG81" s="97"/>
      <c r="BH81" s="97"/>
      <c r="BI81" s="97"/>
      <c r="BJ81" s="97"/>
      <c r="BK81" s="97"/>
      <c r="BL81" s="97"/>
      <c r="BM81" s="97"/>
      <c r="BN81" s="98"/>
      <c r="BO81" s="98"/>
      <c r="BP81" s="98"/>
      <c r="BQ81" s="98"/>
      <c r="BR81" s="98"/>
      <c r="BS81" s="98"/>
      <c r="BT81" s="98"/>
      <c r="BU81" s="98"/>
      <c r="BV81" s="98"/>
      <c r="BW81" s="98"/>
      <c r="BX81" s="98"/>
      <c r="BY81" s="98"/>
      <c r="BZ81" s="98"/>
      <c r="CA81" s="98"/>
      <c r="CB81" s="98"/>
      <c r="CC81" s="98"/>
      <c r="CD81" s="98"/>
      <c r="CE81" s="98"/>
      <c r="CF81" s="98"/>
      <c r="CG81" s="98"/>
      <c r="CH81" s="98"/>
      <c r="CI81" s="98"/>
      <c r="CJ81" s="98"/>
      <c r="CK81" s="98"/>
      <c r="CL81" s="98"/>
      <c r="CM81" s="98"/>
      <c r="CN81" s="98"/>
      <c r="CO81" s="98"/>
      <c r="CP81" s="98"/>
      <c r="CQ81" s="98"/>
      <c r="CR81" s="98"/>
      <c r="CS81" s="98"/>
      <c r="CT81" s="98"/>
      <c r="CU81" s="98"/>
      <c r="CV81" s="98"/>
      <c r="CW81" s="98"/>
      <c r="CX81" s="98"/>
      <c r="CY81" s="98"/>
      <c r="CZ81" s="98"/>
      <c r="DA81" s="98"/>
      <c r="DB81" s="98"/>
      <c r="DC81" s="98"/>
      <c r="DD81" s="98"/>
      <c r="DE81" s="98"/>
      <c r="DF81" s="98"/>
      <c r="DG81" s="98"/>
      <c r="DH81" s="98"/>
      <c r="DI81" s="98"/>
      <c r="DJ81" s="98"/>
      <c r="DK81" s="98"/>
      <c r="DL81" s="98"/>
      <c r="DM81" s="98"/>
      <c r="DN81" s="98"/>
      <c r="DO81" s="98"/>
      <c r="DP81" s="98"/>
      <c r="DQ81" s="98"/>
      <c r="DR81" s="98"/>
      <c r="DS81" s="98"/>
      <c r="DT81" s="98"/>
      <c r="DU81" s="98"/>
      <c r="DV81" s="98"/>
      <c r="DW81" s="98"/>
      <c r="DX81" s="98"/>
      <c r="DY81" s="98"/>
      <c r="DZ81" s="98"/>
      <c r="EA81" s="98"/>
      <c r="EB81" s="98"/>
      <c r="EC81" s="98"/>
      <c r="ED81" s="98"/>
      <c r="EE81" s="98"/>
      <c r="EF81" s="98"/>
      <c r="EG81" s="98"/>
      <c r="EH81" s="98"/>
      <c r="EI81" s="98"/>
      <c r="EJ81" s="98"/>
      <c r="EK81" s="98"/>
      <c r="EL81" s="98"/>
      <c r="EM81" s="98"/>
      <c r="EN81" s="98"/>
      <c r="EO81" s="98"/>
      <c r="EP81" s="98"/>
      <c r="EQ81" s="98"/>
    </row>
    <row r="82" spans="1:147" x14ac:dyDescent="0.25">
      <c r="A82" s="96"/>
      <c r="B82" s="96"/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7"/>
      <c r="AB82" s="97"/>
      <c r="AC82" s="97"/>
      <c r="AD82" s="97"/>
      <c r="AE82" s="97"/>
      <c r="AF82" s="97"/>
      <c r="AG82" s="97"/>
      <c r="AH82" s="97"/>
      <c r="AI82" s="97"/>
      <c r="AJ82" s="97"/>
      <c r="AK82" s="97"/>
      <c r="AL82" s="97"/>
      <c r="AM82" s="97"/>
      <c r="AN82" s="97"/>
      <c r="AO82" s="97"/>
      <c r="AP82" s="97"/>
      <c r="AQ82" s="97"/>
      <c r="AR82" s="97"/>
      <c r="AS82" s="97"/>
      <c r="AT82" s="97"/>
      <c r="AU82" s="97"/>
      <c r="AV82" s="97"/>
      <c r="AW82" s="97"/>
      <c r="AX82" s="97"/>
      <c r="AY82" s="97"/>
      <c r="AZ82" s="97"/>
      <c r="BA82" s="97"/>
      <c r="BB82" s="97"/>
      <c r="BC82" s="97"/>
      <c r="BD82" s="97"/>
      <c r="BE82" s="97"/>
      <c r="BF82" s="97"/>
      <c r="BG82" s="97"/>
      <c r="BH82" s="97"/>
      <c r="BI82" s="97"/>
      <c r="BJ82" s="97"/>
      <c r="BK82" s="97"/>
      <c r="BL82" s="97"/>
      <c r="BM82" s="97"/>
      <c r="BN82" s="98"/>
      <c r="BO82" s="98"/>
      <c r="BP82" s="98"/>
      <c r="BQ82" s="98"/>
      <c r="BR82" s="98"/>
      <c r="BS82" s="98"/>
      <c r="BT82" s="98"/>
      <c r="BU82" s="98"/>
      <c r="BV82" s="98"/>
      <c r="BW82" s="98"/>
      <c r="BX82" s="98"/>
      <c r="BY82" s="98"/>
      <c r="BZ82" s="98"/>
      <c r="CA82" s="98"/>
      <c r="CB82" s="98"/>
      <c r="CC82" s="98"/>
      <c r="CD82" s="98"/>
      <c r="CE82" s="98"/>
      <c r="CF82" s="98"/>
      <c r="CG82" s="98"/>
      <c r="CH82" s="98"/>
      <c r="CI82" s="98"/>
      <c r="CJ82" s="98"/>
      <c r="CK82" s="98"/>
      <c r="CL82" s="98"/>
      <c r="CM82" s="98"/>
      <c r="CN82" s="98"/>
      <c r="CO82" s="98"/>
      <c r="CP82" s="98"/>
      <c r="CQ82" s="98"/>
      <c r="CR82" s="98"/>
      <c r="CS82" s="98"/>
      <c r="CT82" s="98"/>
      <c r="CU82" s="98"/>
      <c r="CV82" s="98"/>
      <c r="CW82" s="98"/>
      <c r="CX82" s="98"/>
      <c r="CY82" s="98"/>
      <c r="CZ82" s="98"/>
      <c r="DA82" s="98"/>
      <c r="DB82" s="98"/>
      <c r="DC82" s="98"/>
      <c r="DD82" s="98"/>
      <c r="DE82" s="98"/>
      <c r="DF82" s="98"/>
      <c r="DG82" s="98"/>
      <c r="DH82" s="98"/>
      <c r="DI82" s="98"/>
      <c r="DJ82" s="98"/>
      <c r="DK82" s="98"/>
      <c r="DL82" s="98"/>
      <c r="DM82" s="98"/>
      <c r="DN82" s="98"/>
      <c r="DO82" s="98"/>
      <c r="DP82" s="98"/>
      <c r="DQ82" s="98"/>
      <c r="DR82" s="98"/>
      <c r="DS82" s="98"/>
      <c r="DT82" s="98"/>
      <c r="DU82" s="98"/>
      <c r="DV82" s="98"/>
      <c r="DW82" s="98"/>
      <c r="DX82" s="98"/>
      <c r="DY82" s="98"/>
      <c r="DZ82" s="98"/>
      <c r="EA82" s="98"/>
      <c r="EB82" s="98"/>
      <c r="EC82" s="98"/>
      <c r="ED82" s="98"/>
      <c r="EE82" s="98"/>
      <c r="EF82" s="98"/>
      <c r="EG82" s="98"/>
      <c r="EH82" s="98"/>
      <c r="EI82" s="98"/>
      <c r="EJ82" s="98"/>
      <c r="EK82" s="98"/>
      <c r="EL82" s="98"/>
      <c r="EM82" s="98"/>
      <c r="EN82" s="98"/>
      <c r="EO82" s="98"/>
      <c r="EP82" s="98"/>
      <c r="EQ82" s="98"/>
    </row>
    <row r="83" spans="1:147" x14ac:dyDescent="0.25">
      <c r="A83" s="96"/>
      <c r="B83" s="96"/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7"/>
      <c r="AG83" s="97"/>
      <c r="AH83" s="97"/>
      <c r="AI83" s="97"/>
      <c r="AJ83" s="97"/>
      <c r="AK83" s="97"/>
      <c r="AL83" s="97"/>
      <c r="AM83" s="97"/>
      <c r="AN83" s="97"/>
      <c r="AO83" s="97"/>
      <c r="AP83" s="97"/>
      <c r="AQ83" s="97"/>
      <c r="AR83" s="97"/>
      <c r="AS83" s="97"/>
      <c r="AT83" s="97"/>
      <c r="AU83" s="97"/>
      <c r="AV83" s="97"/>
      <c r="AW83" s="97"/>
      <c r="AX83" s="97"/>
      <c r="AY83" s="97"/>
      <c r="AZ83" s="97"/>
      <c r="BA83" s="97"/>
      <c r="BB83" s="97"/>
      <c r="BC83" s="97"/>
      <c r="BD83" s="97"/>
      <c r="BE83" s="97"/>
      <c r="BF83" s="97"/>
      <c r="BG83" s="97"/>
      <c r="BH83" s="97"/>
      <c r="BI83" s="97"/>
      <c r="BJ83" s="97"/>
      <c r="BK83" s="97"/>
      <c r="BL83" s="97"/>
      <c r="BM83" s="97"/>
      <c r="BN83" s="98"/>
      <c r="BO83" s="98"/>
      <c r="BP83" s="98"/>
      <c r="BQ83" s="98"/>
      <c r="BR83" s="98"/>
      <c r="BS83" s="98"/>
      <c r="BT83" s="98"/>
      <c r="BU83" s="98"/>
      <c r="BV83" s="98"/>
      <c r="BW83" s="98"/>
      <c r="BX83" s="98"/>
      <c r="BY83" s="98"/>
      <c r="BZ83" s="98"/>
      <c r="CA83" s="98"/>
      <c r="CB83" s="98"/>
      <c r="CC83" s="98"/>
      <c r="CD83" s="98"/>
      <c r="CE83" s="98"/>
      <c r="CF83" s="98"/>
      <c r="CG83" s="98"/>
      <c r="CH83" s="98"/>
      <c r="CI83" s="98"/>
      <c r="CJ83" s="98"/>
      <c r="CK83" s="98"/>
      <c r="CL83" s="98"/>
      <c r="CM83" s="98"/>
      <c r="CN83" s="98"/>
      <c r="CO83" s="98"/>
      <c r="CP83" s="98"/>
      <c r="CQ83" s="98"/>
      <c r="CR83" s="98"/>
      <c r="CS83" s="98"/>
      <c r="CT83" s="98"/>
      <c r="CU83" s="98"/>
      <c r="CV83" s="98"/>
      <c r="CW83" s="98"/>
      <c r="CX83" s="98"/>
      <c r="CY83" s="98"/>
      <c r="CZ83" s="98"/>
      <c r="DA83" s="98"/>
      <c r="DB83" s="98"/>
      <c r="DC83" s="98"/>
      <c r="DD83" s="98"/>
      <c r="DE83" s="98"/>
      <c r="DF83" s="98"/>
      <c r="DG83" s="98"/>
      <c r="DH83" s="98"/>
      <c r="DI83" s="98"/>
      <c r="DJ83" s="98"/>
      <c r="DK83" s="98"/>
      <c r="DL83" s="98"/>
      <c r="DM83" s="98"/>
      <c r="DN83" s="98"/>
      <c r="DO83" s="98"/>
      <c r="DP83" s="98"/>
      <c r="DQ83" s="98"/>
      <c r="DR83" s="98"/>
      <c r="DS83" s="98"/>
      <c r="DT83" s="98"/>
      <c r="DU83" s="98"/>
      <c r="DV83" s="98"/>
      <c r="DW83" s="98"/>
      <c r="DX83" s="98"/>
      <c r="DY83" s="98"/>
      <c r="DZ83" s="98"/>
      <c r="EA83" s="98"/>
      <c r="EB83" s="98"/>
      <c r="EC83" s="98"/>
      <c r="ED83" s="98"/>
      <c r="EE83" s="98"/>
      <c r="EF83" s="98"/>
      <c r="EG83" s="98"/>
      <c r="EH83" s="98"/>
      <c r="EI83" s="98"/>
      <c r="EJ83" s="98"/>
      <c r="EK83" s="98"/>
      <c r="EL83" s="98"/>
      <c r="EM83" s="98"/>
      <c r="EN83" s="98"/>
      <c r="EO83" s="98"/>
      <c r="EP83" s="98"/>
      <c r="EQ83" s="98"/>
    </row>
    <row r="84" spans="1:147" x14ac:dyDescent="0.25">
      <c r="A84" s="96"/>
      <c r="B84" s="96"/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  <c r="AH84" s="97"/>
      <c r="AI84" s="97"/>
      <c r="AJ84" s="97"/>
      <c r="AK84" s="97"/>
      <c r="AL84" s="97"/>
      <c r="AM84" s="97"/>
      <c r="AN84" s="97"/>
      <c r="AO84" s="97"/>
      <c r="AP84" s="97"/>
      <c r="AQ84" s="97"/>
      <c r="AR84" s="97"/>
      <c r="AS84" s="97"/>
      <c r="AT84" s="97"/>
      <c r="AU84" s="97"/>
      <c r="AV84" s="97"/>
      <c r="AW84" s="97"/>
      <c r="AX84" s="97"/>
      <c r="AY84" s="97"/>
      <c r="AZ84" s="97"/>
      <c r="BA84" s="97"/>
      <c r="BB84" s="97"/>
      <c r="BC84" s="97"/>
      <c r="BD84" s="97"/>
      <c r="BE84" s="97"/>
      <c r="BF84" s="97"/>
      <c r="BG84" s="97"/>
      <c r="BH84" s="97"/>
      <c r="BI84" s="97"/>
      <c r="BJ84" s="97"/>
      <c r="BK84" s="97"/>
      <c r="BL84" s="97"/>
      <c r="BM84" s="97"/>
      <c r="BN84" s="98"/>
      <c r="BO84" s="98"/>
      <c r="BP84" s="98"/>
      <c r="BQ84" s="98"/>
      <c r="BR84" s="98"/>
      <c r="BS84" s="98"/>
      <c r="BT84" s="98"/>
      <c r="BU84" s="98"/>
      <c r="BV84" s="98"/>
      <c r="BW84" s="98"/>
      <c r="BX84" s="98"/>
      <c r="BY84" s="98"/>
      <c r="BZ84" s="98"/>
      <c r="CA84" s="98"/>
      <c r="CB84" s="98"/>
      <c r="CC84" s="98"/>
      <c r="CD84" s="98"/>
      <c r="CE84" s="98"/>
      <c r="CF84" s="98"/>
      <c r="CG84" s="98"/>
      <c r="CH84" s="98"/>
      <c r="CI84" s="98"/>
      <c r="CJ84" s="98"/>
      <c r="CK84" s="98"/>
      <c r="CL84" s="98"/>
      <c r="CM84" s="98"/>
      <c r="CN84" s="98"/>
      <c r="CO84" s="98"/>
      <c r="CP84" s="98"/>
      <c r="CQ84" s="98"/>
      <c r="CR84" s="98"/>
      <c r="CS84" s="98"/>
      <c r="CT84" s="98"/>
      <c r="CU84" s="98"/>
      <c r="CV84" s="98"/>
      <c r="CW84" s="98"/>
      <c r="CX84" s="98"/>
      <c r="CY84" s="98"/>
      <c r="CZ84" s="98"/>
      <c r="DA84" s="98"/>
      <c r="DB84" s="98"/>
      <c r="DC84" s="98"/>
      <c r="DD84" s="98"/>
      <c r="DE84" s="98"/>
      <c r="DF84" s="98"/>
      <c r="DG84" s="98"/>
      <c r="DH84" s="98"/>
      <c r="DI84" s="98"/>
      <c r="DJ84" s="98"/>
      <c r="DK84" s="98"/>
      <c r="DL84" s="98"/>
      <c r="DM84" s="98"/>
      <c r="DN84" s="98"/>
      <c r="DO84" s="98"/>
      <c r="DP84" s="98"/>
      <c r="DQ84" s="98"/>
      <c r="DR84" s="98"/>
      <c r="DS84" s="98"/>
      <c r="DT84" s="98"/>
      <c r="DU84" s="98"/>
      <c r="DV84" s="98"/>
      <c r="DW84" s="98"/>
      <c r="DX84" s="98"/>
      <c r="DY84" s="98"/>
      <c r="DZ84" s="98"/>
      <c r="EA84" s="98"/>
      <c r="EB84" s="98"/>
      <c r="EC84" s="98"/>
      <c r="ED84" s="98"/>
      <c r="EE84" s="98"/>
      <c r="EF84" s="98"/>
      <c r="EG84" s="98"/>
      <c r="EH84" s="98"/>
      <c r="EI84" s="98"/>
      <c r="EJ84" s="98"/>
      <c r="EK84" s="98"/>
      <c r="EL84" s="98"/>
      <c r="EM84" s="98"/>
      <c r="EN84" s="98"/>
      <c r="EO84" s="98"/>
      <c r="EP84" s="98"/>
      <c r="EQ84" s="98"/>
    </row>
    <row r="85" spans="1:147" x14ac:dyDescent="0.25">
      <c r="A85" s="96"/>
      <c r="B85" s="96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7"/>
      <c r="AB85" s="97"/>
      <c r="AC85" s="97"/>
      <c r="AD85" s="97"/>
      <c r="AE85" s="97"/>
      <c r="AF85" s="97"/>
      <c r="AG85" s="97"/>
      <c r="AH85" s="97"/>
      <c r="AI85" s="97"/>
      <c r="AJ85" s="97"/>
      <c r="AK85" s="97"/>
      <c r="AL85" s="97"/>
      <c r="AM85" s="97"/>
      <c r="AN85" s="97"/>
      <c r="AO85" s="97"/>
      <c r="AP85" s="97"/>
      <c r="AQ85" s="97"/>
      <c r="AR85" s="97"/>
      <c r="AS85" s="97"/>
      <c r="AT85" s="97"/>
      <c r="AU85" s="97"/>
      <c r="AV85" s="97"/>
      <c r="AW85" s="97"/>
      <c r="AX85" s="97"/>
      <c r="AY85" s="97"/>
      <c r="AZ85" s="97"/>
      <c r="BA85" s="97"/>
      <c r="BB85" s="97"/>
      <c r="BC85" s="97"/>
      <c r="BD85" s="97"/>
      <c r="BE85" s="97"/>
      <c r="BF85" s="97"/>
      <c r="BG85" s="97"/>
      <c r="BH85" s="97"/>
      <c r="BI85" s="97"/>
      <c r="BJ85" s="97"/>
      <c r="BK85" s="97"/>
      <c r="BL85" s="97"/>
      <c r="BM85" s="97"/>
      <c r="BN85" s="98"/>
      <c r="BO85" s="98"/>
      <c r="BP85" s="98"/>
      <c r="BQ85" s="98"/>
      <c r="BR85" s="98"/>
      <c r="BS85" s="98"/>
      <c r="BT85" s="98"/>
      <c r="BU85" s="98"/>
      <c r="BV85" s="98"/>
      <c r="BW85" s="98"/>
      <c r="BX85" s="98"/>
      <c r="BY85" s="98"/>
      <c r="BZ85" s="98"/>
      <c r="CA85" s="98"/>
      <c r="CB85" s="98"/>
      <c r="CC85" s="98"/>
      <c r="CD85" s="98"/>
      <c r="CE85" s="98"/>
      <c r="CF85" s="98"/>
      <c r="CG85" s="98"/>
      <c r="CH85" s="98"/>
      <c r="CI85" s="98"/>
      <c r="CJ85" s="98"/>
      <c r="CK85" s="98"/>
      <c r="CL85" s="98"/>
      <c r="CM85" s="98"/>
      <c r="CN85" s="98"/>
      <c r="CO85" s="98"/>
      <c r="CP85" s="98"/>
      <c r="CQ85" s="98"/>
      <c r="CR85" s="98"/>
      <c r="CS85" s="98"/>
      <c r="CT85" s="98"/>
      <c r="CU85" s="98"/>
      <c r="CV85" s="98"/>
      <c r="CW85" s="98"/>
      <c r="CX85" s="98"/>
      <c r="CY85" s="98"/>
      <c r="CZ85" s="98"/>
      <c r="DA85" s="98"/>
      <c r="DB85" s="98"/>
      <c r="DC85" s="98"/>
      <c r="DD85" s="98"/>
      <c r="DE85" s="98"/>
      <c r="DF85" s="98"/>
      <c r="DG85" s="98"/>
      <c r="DH85" s="98"/>
      <c r="DI85" s="98"/>
      <c r="DJ85" s="98"/>
      <c r="DK85" s="98"/>
      <c r="DL85" s="98"/>
      <c r="DM85" s="98"/>
      <c r="DN85" s="98"/>
      <c r="DO85" s="98"/>
      <c r="DP85" s="98"/>
      <c r="DQ85" s="98"/>
      <c r="DR85" s="98"/>
      <c r="DS85" s="98"/>
      <c r="DT85" s="98"/>
      <c r="DU85" s="98"/>
      <c r="DV85" s="98"/>
      <c r="DW85" s="98"/>
      <c r="DX85" s="98"/>
      <c r="DY85" s="98"/>
      <c r="DZ85" s="98"/>
      <c r="EA85" s="98"/>
      <c r="EB85" s="98"/>
      <c r="EC85" s="98"/>
      <c r="ED85" s="98"/>
      <c r="EE85" s="98"/>
      <c r="EF85" s="98"/>
      <c r="EG85" s="98"/>
      <c r="EH85" s="98"/>
      <c r="EI85" s="98"/>
      <c r="EJ85" s="98"/>
      <c r="EK85" s="98"/>
      <c r="EL85" s="98"/>
      <c r="EM85" s="98"/>
      <c r="EN85" s="98"/>
      <c r="EO85" s="98"/>
      <c r="EP85" s="98"/>
      <c r="EQ85" s="98"/>
    </row>
    <row r="86" spans="1:147" x14ac:dyDescent="0.25">
      <c r="A86" s="96"/>
      <c r="B86" s="96"/>
      <c r="C86" s="97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7"/>
      <c r="AB86" s="97"/>
      <c r="AC86" s="97"/>
      <c r="AD86" s="97"/>
      <c r="AE86" s="97"/>
      <c r="AF86" s="97"/>
      <c r="AG86" s="97"/>
      <c r="AH86" s="97"/>
      <c r="AI86" s="97"/>
      <c r="AJ86" s="97"/>
      <c r="AK86" s="97"/>
      <c r="AL86" s="97"/>
      <c r="AM86" s="97"/>
      <c r="AN86" s="97"/>
      <c r="AO86" s="97"/>
      <c r="AP86" s="97"/>
      <c r="AQ86" s="97"/>
      <c r="AR86" s="97"/>
      <c r="AS86" s="97"/>
      <c r="AT86" s="97"/>
      <c r="AU86" s="97"/>
      <c r="AV86" s="97"/>
      <c r="AW86" s="97"/>
      <c r="AX86" s="97"/>
      <c r="AY86" s="97"/>
      <c r="AZ86" s="97"/>
      <c r="BA86" s="97"/>
      <c r="BB86" s="97"/>
      <c r="BC86" s="97"/>
      <c r="BD86" s="97"/>
      <c r="BE86" s="97"/>
      <c r="BF86" s="97"/>
      <c r="BG86" s="97"/>
      <c r="BH86" s="97"/>
      <c r="BI86" s="97"/>
      <c r="BJ86" s="97"/>
      <c r="BK86" s="97"/>
      <c r="BL86" s="97"/>
      <c r="BM86" s="97"/>
      <c r="BN86" s="98"/>
      <c r="BO86" s="98"/>
      <c r="BP86" s="98"/>
      <c r="BQ86" s="98"/>
      <c r="BR86" s="98"/>
      <c r="BS86" s="98"/>
      <c r="BT86" s="98"/>
      <c r="BU86" s="98"/>
      <c r="BV86" s="98"/>
      <c r="BW86" s="98"/>
      <c r="BX86" s="98"/>
      <c r="BY86" s="98"/>
      <c r="BZ86" s="98"/>
      <c r="CA86" s="98"/>
      <c r="CB86" s="98"/>
      <c r="CC86" s="98"/>
      <c r="CD86" s="98"/>
      <c r="CE86" s="98"/>
      <c r="CF86" s="98"/>
      <c r="CG86" s="98"/>
      <c r="CH86" s="98"/>
      <c r="CI86" s="98"/>
      <c r="CJ86" s="98"/>
      <c r="CK86" s="98"/>
      <c r="CL86" s="98"/>
      <c r="CM86" s="98"/>
      <c r="CN86" s="98"/>
      <c r="CO86" s="98"/>
      <c r="CP86" s="98"/>
      <c r="CQ86" s="98"/>
      <c r="CR86" s="98"/>
      <c r="CS86" s="98"/>
      <c r="CT86" s="98"/>
      <c r="CU86" s="98"/>
      <c r="CV86" s="98"/>
      <c r="CW86" s="98"/>
      <c r="CX86" s="98"/>
      <c r="CY86" s="98"/>
      <c r="CZ86" s="98"/>
      <c r="DA86" s="98"/>
      <c r="DB86" s="98"/>
      <c r="DC86" s="98"/>
      <c r="DD86" s="98"/>
      <c r="DE86" s="98"/>
      <c r="DF86" s="98"/>
      <c r="DG86" s="98"/>
      <c r="DH86" s="98"/>
      <c r="DI86" s="98"/>
      <c r="DJ86" s="98"/>
      <c r="DK86" s="98"/>
      <c r="DL86" s="98"/>
      <c r="DM86" s="98"/>
      <c r="DN86" s="98"/>
      <c r="DO86" s="98"/>
      <c r="DP86" s="98"/>
      <c r="DQ86" s="98"/>
      <c r="DR86" s="98"/>
      <c r="DS86" s="98"/>
      <c r="DT86" s="98"/>
      <c r="DU86" s="98"/>
      <c r="DV86" s="98"/>
      <c r="DW86" s="98"/>
      <c r="DX86" s="98"/>
      <c r="DY86" s="98"/>
      <c r="DZ86" s="98"/>
      <c r="EA86" s="98"/>
      <c r="EB86" s="98"/>
      <c r="EC86" s="98"/>
      <c r="ED86" s="98"/>
      <c r="EE86" s="98"/>
      <c r="EF86" s="98"/>
      <c r="EG86" s="98"/>
      <c r="EH86" s="98"/>
      <c r="EI86" s="98"/>
      <c r="EJ86" s="98"/>
      <c r="EK86" s="98"/>
      <c r="EL86" s="98"/>
      <c r="EM86" s="98"/>
      <c r="EN86" s="98"/>
      <c r="EO86" s="98"/>
      <c r="EP86" s="98"/>
      <c r="EQ86" s="98"/>
    </row>
    <row r="87" spans="1:147" x14ac:dyDescent="0.25">
      <c r="A87" s="96"/>
      <c r="B87" s="96"/>
      <c r="C87" s="97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  <c r="AA87" s="97"/>
      <c r="AB87" s="97"/>
      <c r="AC87" s="97"/>
      <c r="AD87" s="97"/>
      <c r="AE87" s="97"/>
      <c r="AF87" s="97"/>
      <c r="AG87" s="97"/>
      <c r="AH87" s="97"/>
      <c r="AI87" s="97"/>
      <c r="AJ87" s="97"/>
      <c r="AK87" s="97"/>
      <c r="AL87" s="97"/>
      <c r="AM87" s="97"/>
      <c r="AN87" s="97"/>
      <c r="AO87" s="97"/>
      <c r="AP87" s="97"/>
      <c r="AQ87" s="97"/>
      <c r="AR87" s="97"/>
      <c r="AS87" s="97"/>
      <c r="AT87" s="97"/>
      <c r="AU87" s="97"/>
      <c r="AV87" s="97"/>
      <c r="AW87" s="97"/>
      <c r="AX87" s="97"/>
      <c r="AY87" s="97"/>
      <c r="AZ87" s="97"/>
      <c r="BA87" s="97"/>
      <c r="BB87" s="97"/>
      <c r="BC87" s="97"/>
      <c r="BD87" s="97"/>
      <c r="BE87" s="97"/>
      <c r="BF87" s="97"/>
      <c r="BG87" s="97"/>
      <c r="BH87" s="97"/>
      <c r="BI87" s="97"/>
      <c r="BJ87" s="97"/>
      <c r="BK87" s="97"/>
      <c r="BL87" s="97"/>
      <c r="BM87" s="97"/>
      <c r="BN87" s="98"/>
      <c r="BO87" s="98"/>
      <c r="BP87" s="98"/>
      <c r="BQ87" s="98"/>
      <c r="BR87" s="98"/>
      <c r="BS87" s="98"/>
      <c r="BT87" s="98"/>
      <c r="BU87" s="98"/>
      <c r="BV87" s="98"/>
      <c r="BW87" s="98"/>
      <c r="BX87" s="98"/>
      <c r="BY87" s="98"/>
      <c r="BZ87" s="98"/>
      <c r="CA87" s="98"/>
      <c r="CB87" s="98"/>
      <c r="CC87" s="98"/>
      <c r="CD87" s="98"/>
      <c r="CE87" s="98"/>
      <c r="CF87" s="98"/>
      <c r="CG87" s="98"/>
      <c r="CH87" s="98"/>
      <c r="CI87" s="98"/>
      <c r="CJ87" s="98"/>
      <c r="CK87" s="98"/>
      <c r="CL87" s="98"/>
      <c r="CM87" s="98"/>
      <c r="CN87" s="98"/>
      <c r="CO87" s="98"/>
      <c r="CP87" s="98"/>
      <c r="CQ87" s="98"/>
      <c r="CR87" s="98"/>
      <c r="CS87" s="98"/>
      <c r="CT87" s="98"/>
      <c r="CU87" s="98"/>
      <c r="CV87" s="98"/>
      <c r="CW87" s="98"/>
      <c r="CX87" s="98"/>
      <c r="CY87" s="98"/>
      <c r="CZ87" s="98"/>
      <c r="DA87" s="98"/>
      <c r="DB87" s="98"/>
      <c r="DC87" s="98"/>
      <c r="DD87" s="98"/>
      <c r="DE87" s="98"/>
      <c r="DF87" s="98"/>
      <c r="DG87" s="98"/>
      <c r="DH87" s="98"/>
      <c r="DI87" s="98"/>
      <c r="DJ87" s="98"/>
      <c r="DK87" s="98"/>
      <c r="DL87" s="98"/>
      <c r="DM87" s="98"/>
      <c r="DN87" s="98"/>
      <c r="DO87" s="98"/>
      <c r="DP87" s="98"/>
      <c r="DQ87" s="98"/>
      <c r="DR87" s="98"/>
      <c r="DS87" s="98"/>
      <c r="DT87" s="98"/>
      <c r="DU87" s="98"/>
      <c r="DV87" s="98"/>
      <c r="DW87" s="98"/>
      <c r="DX87" s="98"/>
      <c r="DY87" s="98"/>
      <c r="DZ87" s="98"/>
      <c r="EA87" s="98"/>
      <c r="EB87" s="98"/>
      <c r="EC87" s="98"/>
      <c r="ED87" s="98"/>
      <c r="EE87" s="98"/>
      <c r="EF87" s="98"/>
      <c r="EG87" s="98"/>
      <c r="EH87" s="98"/>
      <c r="EI87" s="98"/>
      <c r="EJ87" s="98"/>
      <c r="EK87" s="98"/>
      <c r="EL87" s="98"/>
      <c r="EM87" s="98"/>
      <c r="EN87" s="98"/>
      <c r="EO87" s="98"/>
      <c r="EP87" s="98"/>
      <c r="EQ87" s="98"/>
    </row>
    <row r="88" spans="1:147" x14ac:dyDescent="0.25">
      <c r="A88" s="96"/>
      <c r="B88" s="96"/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7"/>
      <c r="AB88" s="97"/>
      <c r="AC88" s="97"/>
      <c r="AD88" s="97"/>
      <c r="AE88" s="97"/>
      <c r="AF88" s="97"/>
      <c r="AG88" s="97"/>
      <c r="AH88" s="97"/>
      <c r="AI88" s="97"/>
      <c r="AJ88" s="97"/>
      <c r="AK88" s="97"/>
      <c r="AL88" s="97"/>
      <c r="AM88" s="97"/>
      <c r="AN88" s="97"/>
      <c r="AO88" s="97"/>
      <c r="AP88" s="97"/>
      <c r="AQ88" s="97"/>
      <c r="AR88" s="97"/>
      <c r="AS88" s="97"/>
      <c r="AT88" s="97"/>
      <c r="AU88" s="97"/>
      <c r="AV88" s="97"/>
      <c r="AW88" s="97"/>
      <c r="AX88" s="97"/>
      <c r="AY88" s="97"/>
      <c r="AZ88" s="97"/>
      <c r="BA88" s="97"/>
      <c r="BB88" s="97"/>
      <c r="BC88" s="97"/>
      <c r="BD88" s="97"/>
      <c r="BE88" s="97"/>
      <c r="BF88" s="97"/>
      <c r="BG88" s="97"/>
      <c r="BH88" s="97"/>
      <c r="BI88" s="97"/>
      <c r="BJ88" s="97"/>
      <c r="BK88" s="97"/>
      <c r="BL88" s="97"/>
      <c r="BM88" s="97"/>
      <c r="BN88" s="98"/>
      <c r="BO88" s="98"/>
      <c r="BP88" s="98"/>
      <c r="BQ88" s="98"/>
      <c r="BR88" s="98"/>
      <c r="BS88" s="98"/>
      <c r="BT88" s="98"/>
      <c r="BU88" s="98"/>
      <c r="BV88" s="98"/>
      <c r="BW88" s="98"/>
      <c r="BX88" s="98"/>
      <c r="BY88" s="98"/>
      <c r="BZ88" s="98"/>
      <c r="CA88" s="98"/>
      <c r="CB88" s="98"/>
      <c r="CC88" s="98"/>
      <c r="CD88" s="98"/>
      <c r="CE88" s="98"/>
      <c r="CF88" s="98"/>
      <c r="CG88" s="98"/>
      <c r="CH88" s="98"/>
      <c r="CI88" s="98"/>
      <c r="CJ88" s="98"/>
      <c r="CK88" s="98"/>
      <c r="CL88" s="98"/>
      <c r="CM88" s="98"/>
      <c r="CN88" s="98"/>
      <c r="CO88" s="98"/>
      <c r="CP88" s="98"/>
      <c r="CQ88" s="98"/>
      <c r="CR88" s="98"/>
      <c r="CS88" s="98"/>
      <c r="CT88" s="98"/>
      <c r="CU88" s="98"/>
      <c r="CV88" s="98"/>
      <c r="CW88" s="98"/>
      <c r="CX88" s="98"/>
      <c r="CY88" s="98"/>
      <c r="CZ88" s="98"/>
      <c r="DA88" s="98"/>
      <c r="DB88" s="98"/>
      <c r="DC88" s="98"/>
      <c r="DD88" s="98"/>
      <c r="DE88" s="98"/>
      <c r="DF88" s="98"/>
      <c r="DG88" s="98"/>
      <c r="DH88" s="98"/>
      <c r="DI88" s="98"/>
      <c r="DJ88" s="98"/>
      <c r="DK88" s="98"/>
      <c r="DL88" s="98"/>
      <c r="DM88" s="98"/>
      <c r="DN88" s="98"/>
      <c r="DO88" s="98"/>
      <c r="DP88" s="98"/>
      <c r="DQ88" s="98"/>
      <c r="DR88" s="98"/>
      <c r="DS88" s="98"/>
      <c r="DT88" s="98"/>
      <c r="DU88" s="98"/>
      <c r="DV88" s="98"/>
      <c r="DW88" s="98"/>
      <c r="DX88" s="98"/>
      <c r="DY88" s="98"/>
      <c r="DZ88" s="98"/>
      <c r="EA88" s="98"/>
      <c r="EB88" s="98"/>
      <c r="EC88" s="98"/>
      <c r="ED88" s="98"/>
      <c r="EE88" s="98"/>
      <c r="EF88" s="98"/>
      <c r="EG88" s="98"/>
      <c r="EH88" s="98"/>
      <c r="EI88" s="98"/>
      <c r="EJ88" s="98"/>
      <c r="EK88" s="98"/>
      <c r="EL88" s="98"/>
      <c r="EM88" s="98"/>
      <c r="EN88" s="98"/>
      <c r="EO88" s="98"/>
      <c r="EP88" s="98"/>
      <c r="EQ88" s="98"/>
    </row>
    <row r="89" spans="1:147" x14ac:dyDescent="0.25">
      <c r="A89" s="96"/>
      <c r="B89" s="96"/>
      <c r="C89" s="97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7"/>
      <c r="AB89" s="97"/>
      <c r="AC89" s="97"/>
      <c r="AD89" s="97"/>
      <c r="AE89" s="97"/>
      <c r="AF89" s="97"/>
      <c r="AG89" s="97"/>
      <c r="AH89" s="97"/>
      <c r="AI89" s="97"/>
      <c r="AJ89" s="97"/>
      <c r="AK89" s="97"/>
      <c r="AL89" s="97"/>
      <c r="AM89" s="97"/>
      <c r="AN89" s="97"/>
      <c r="AO89" s="97"/>
      <c r="AP89" s="97"/>
      <c r="AQ89" s="97"/>
      <c r="AR89" s="97"/>
      <c r="AS89" s="97"/>
      <c r="AT89" s="97"/>
      <c r="AU89" s="97"/>
      <c r="AV89" s="97"/>
      <c r="AW89" s="97"/>
      <c r="AX89" s="97"/>
      <c r="AY89" s="97"/>
      <c r="AZ89" s="97"/>
      <c r="BA89" s="97"/>
      <c r="BB89" s="97"/>
      <c r="BC89" s="97"/>
      <c r="BD89" s="97"/>
      <c r="BE89" s="97"/>
      <c r="BF89" s="97"/>
      <c r="BG89" s="97"/>
      <c r="BH89" s="97"/>
      <c r="BI89" s="97"/>
      <c r="BJ89" s="97"/>
      <c r="BK89" s="97"/>
      <c r="BL89" s="97"/>
      <c r="BM89" s="97"/>
      <c r="BN89" s="98"/>
      <c r="BO89" s="98"/>
      <c r="BP89" s="98"/>
      <c r="BQ89" s="98"/>
      <c r="BR89" s="98"/>
      <c r="BS89" s="98"/>
      <c r="BT89" s="98"/>
      <c r="BU89" s="98"/>
      <c r="BV89" s="98"/>
      <c r="BW89" s="98"/>
      <c r="BX89" s="98"/>
      <c r="BY89" s="98"/>
      <c r="BZ89" s="98"/>
      <c r="CA89" s="98"/>
      <c r="CB89" s="98"/>
      <c r="CC89" s="98"/>
      <c r="CD89" s="98"/>
      <c r="CE89" s="98"/>
      <c r="CF89" s="98"/>
      <c r="CG89" s="98"/>
      <c r="CH89" s="98"/>
      <c r="CI89" s="98"/>
      <c r="CJ89" s="98"/>
      <c r="CK89" s="98"/>
      <c r="CL89" s="98"/>
      <c r="CM89" s="98"/>
      <c r="CN89" s="98"/>
      <c r="CO89" s="98"/>
      <c r="CP89" s="98"/>
      <c r="CQ89" s="98"/>
      <c r="CR89" s="98"/>
      <c r="CS89" s="98"/>
      <c r="CT89" s="98"/>
      <c r="CU89" s="98"/>
      <c r="CV89" s="98"/>
      <c r="CW89" s="98"/>
      <c r="CX89" s="98"/>
      <c r="CY89" s="98"/>
      <c r="CZ89" s="98"/>
      <c r="DA89" s="98"/>
      <c r="DB89" s="98"/>
      <c r="DC89" s="98"/>
      <c r="DD89" s="98"/>
      <c r="DE89" s="98"/>
      <c r="DF89" s="98"/>
      <c r="DG89" s="98"/>
      <c r="DH89" s="98"/>
      <c r="DI89" s="98"/>
      <c r="DJ89" s="98"/>
      <c r="DK89" s="98"/>
      <c r="DL89" s="98"/>
      <c r="DM89" s="98"/>
      <c r="DN89" s="98"/>
      <c r="DO89" s="98"/>
      <c r="DP89" s="98"/>
      <c r="DQ89" s="98"/>
      <c r="DR89" s="98"/>
      <c r="DS89" s="98"/>
      <c r="DT89" s="98"/>
      <c r="DU89" s="98"/>
      <c r="DV89" s="98"/>
      <c r="DW89" s="98"/>
      <c r="DX89" s="98"/>
      <c r="DY89" s="98"/>
      <c r="DZ89" s="98"/>
      <c r="EA89" s="98"/>
      <c r="EB89" s="98"/>
      <c r="EC89" s="98"/>
      <c r="ED89" s="98"/>
      <c r="EE89" s="98"/>
      <c r="EF89" s="98"/>
      <c r="EG89" s="98"/>
      <c r="EH89" s="98"/>
      <c r="EI89" s="98"/>
      <c r="EJ89" s="98"/>
      <c r="EK89" s="98"/>
      <c r="EL89" s="98"/>
      <c r="EM89" s="98"/>
      <c r="EN89" s="98"/>
      <c r="EO89" s="98"/>
      <c r="EP89" s="98"/>
      <c r="EQ89" s="98"/>
    </row>
    <row r="90" spans="1:147" x14ac:dyDescent="0.25">
      <c r="A90" s="96"/>
      <c r="B90" s="96"/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7"/>
      <c r="AF90" s="97"/>
      <c r="AG90" s="97"/>
      <c r="AH90" s="97"/>
      <c r="AI90" s="97"/>
      <c r="AJ90" s="97"/>
      <c r="AK90" s="97"/>
      <c r="AL90" s="97"/>
      <c r="AM90" s="97"/>
      <c r="AN90" s="97"/>
      <c r="AO90" s="97"/>
      <c r="AP90" s="97"/>
      <c r="AQ90" s="97"/>
      <c r="AR90" s="97"/>
      <c r="AS90" s="97"/>
      <c r="AT90" s="97"/>
      <c r="AU90" s="97"/>
      <c r="AV90" s="97"/>
      <c r="AW90" s="97"/>
      <c r="AX90" s="97"/>
      <c r="AY90" s="97"/>
      <c r="AZ90" s="97"/>
      <c r="BA90" s="97"/>
      <c r="BB90" s="97"/>
      <c r="BC90" s="97"/>
      <c r="BD90" s="97"/>
      <c r="BE90" s="97"/>
      <c r="BF90" s="97"/>
      <c r="BG90" s="97"/>
      <c r="BH90" s="97"/>
      <c r="BI90" s="97"/>
      <c r="BJ90" s="97"/>
      <c r="BK90" s="97"/>
      <c r="BL90" s="97"/>
      <c r="BM90" s="97"/>
      <c r="BN90" s="98"/>
      <c r="BO90" s="98"/>
      <c r="BP90" s="98"/>
      <c r="BQ90" s="98"/>
      <c r="BR90" s="98"/>
      <c r="BS90" s="98"/>
      <c r="BT90" s="98"/>
      <c r="BU90" s="98"/>
      <c r="BV90" s="98"/>
      <c r="BW90" s="98"/>
      <c r="BX90" s="98"/>
      <c r="BY90" s="98"/>
      <c r="BZ90" s="98"/>
      <c r="CA90" s="98"/>
      <c r="CB90" s="98"/>
      <c r="CC90" s="98"/>
      <c r="CD90" s="98"/>
      <c r="CE90" s="98"/>
      <c r="CF90" s="98"/>
      <c r="CG90" s="98"/>
      <c r="CH90" s="98"/>
      <c r="CI90" s="98"/>
      <c r="CJ90" s="98"/>
      <c r="CK90" s="98"/>
      <c r="CL90" s="98"/>
      <c r="CM90" s="98"/>
      <c r="CN90" s="98"/>
      <c r="CO90" s="98"/>
      <c r="CP90" s="98"/>
      <c r="CQ90" s="98"/>
      <c r="CR90" s="98"/>
      <c r="CS90" s="98"/>
      <c r="CT90" s="98"/>
      <c r="CU90" s="98"/>
      <c r="CV90" s="98"/>
      <c r="CW90" s="98"/>
      <c r="CX90" s="98"/>
      <c r="CY90" s="98"/>
      <c r="CZ90" s="98"/>
      <c r="DA90" s="98"/>
      <c r="DB90" s="98"/>
      <c r="DC90" s="98"/>
      <c r="DD90" s="98"/>
      <c r="DE90" s="98"/>
      <c r="DF90" s="98"/>
      <c r="DG90" s="98"/>
      <c r="DH90" s="98"/>
      <c r="DI90" s="98"/>
      <c r="DJ90" s="98"/>
      <c r="DK90" s="98"/>
      <c r="DL90" s="98"/>
      <c r="DM90" s="98"/>
      <c r="DN90" s="98"/>
      <c r="DO90" s="98"/>
      <c r="DP90" s="98"/>
      <c r="DQ90" s="98"/>
      <c r="DR90" s="98"/>
      <c r="DS90" s="98"/>
      <c r="DT90" s="98"/>
      <c r="DU90" s="98"/>
      <c r="DV90" s="98"/>
      <c r="DW90" s="98"/>
      <c r="DX90" s="98"/>
      <c r="DY90" s="98"/>
      <c r="DZ90" s="98"/>
      <c r="EA90" s="98"/>
      <c r="EB90" s="98"/>
      <c r="EC90" s="98"/>
      <c r="ED90" s="98"/>
      <c r="EE90" s="98"/>
      <c r="EF90" s="98"/>
      <c r="EG90" s="98"/>
      <c r="EH90" s="98"/>
      <c r="EI90" s="98"/>
      <c r="EJ90" s="98"/>
      <c r="EK90" s="98"/>
      <c r="EL90" s="98"/>
      <c r="EM90" s="98"/>
      <c r="EN90" s="98"/>
      <c r="EO90" s="98"/>
      <c r="EP90" s="98"/>
      <c r="EQ90" s="98"/>
    </row>
    <row r="91" spans="1:147" x14ac:dyDescent="0.25">
      <c r="A91" s="96"/>
      <c r="B91" s="96"/>
      <c r="C91" s="97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  <c r="AH91" s="97"/>
      <c r="AI91" s="97"/>
      <c r="AJ91" s="97"/>
      <c r="AK91" s="97"/>
      <c r="AL91" s="97"/>
      <c r="AM91" s="97"/>
      <c r="AN91" s="97"/>
      <c r="AO91" s="97"/>
      <c r="AP91" s="97"/>
      <c r="AQ91" s="97"/>
      <c r="AR91" s="97"/>
      <c r="AS91" s="97"/>
      <c r="AT91" s="97"/>
      <c r="AU91" s="97"/>
      <c r="AV91" s="97"/>
      <c r="AW91" s="97"/>
      <c r="AX91" s="97"/>
      <c r="AY91" s="97"/>
      <c r="AZ91" s="97"/>
      <c r="BA91" s="97"/>
      <c r="BB91" s="97"/>
      <c r="BC91" s="97"/>
      <c r="BD91" s="97"/>
      <c r="BE91" s="97"/>
      <c r="BF91" s="97"/>
      <c r="BG91" s="97"/>
      <c r="BH91" s="97"/>
      <c r="BI91" s="97"/>
      <c r="BJ91" s="97"/>
      <c r="BK91" s="97"/>
      <c r="BL91" s="97"/>
      <c r="BM91" s="97"/>
      <c r="BN91" s="98"/>
      <c r="BO91" s="98"/>
      <c r="BP91" s="98"/>
      <c r="BQ91" s="98"/>
      <c r="BR91" s="98"/>
      <c r="BS91" s="98"/>
      <c r="BT91" s="98"/>
      <c r="BU91" s="98"/>
      <c r="BV91" s="98"/>
      <c r="BW91" s="98"/>
      <c r="BX91" s="98"/>
      <c r="BY91" s="98"/>
      <c r="BZ91" s="98"/>
      <c r="CA91" s="98"/>
      <c r="CB91" s="98"/>
      <c r="CC91" s="98"/>
      <c r="CD91" s="98"/>
      <c r="CE91" s="98"/>
      <c r="CF91" s="98"/>
      <c r="CG91" s="98"/>
      <c r="CH91" s="98"/>
      <c r="CI91" s="98"/>
      <c r="CJ91" s="98"/>
      <c r="CK91" s="98"/>
      <c r="CL91" s="98"/>
      <c r="CM91" s="98"/>
      <c r="CN91" s="98"/>
      <c r="CO91" s="98"/>
      <c r="CP91" s="98"/>
      <c r="CQ91" s="98"/>
      <c r="CR91" s="98"/>
      <c r="CS91" s="98"/>
      <c r="CT91" s="98"/>
      <c r="CU91" s="98"/>
      <c r="CV91" s="98"/>
      <c r="CW91" s="98"/>
      <c r="CX91" s="98"/>
      <c r="CY91" s="98"/>
      <c r="CZ91" s="98"/>
      <c r="DA91" s="98"/>
      <c r="DB91" s="98"/>
      <c r="DC91" s="98"/>
      <c r="DD91" s="98"/>
      <c r="DE91" s="98"/>
      <c r="DF91" s="98"/>
      <c r="DG91" s="98"/>
      <c r="DH91" s="98"/>
      <c r="DI91" s="98"/>
      <c r="DJ91" s="98"/>
      <c r="DK91" s="98"/>
      <c r="DL91" s="98"/>
      <c r="DM91" s="98"/>
      <c r="DN91" s="98"/>
      <c r="DO91" s="98"/>
      <c r="DP91" s="98"/>
      <c r="DQ91" s="98"/>
      <c r="DR91" s="98"/>
      <c r="DS91" s="98"/>
      <c r="DT91" s="98"/>
      <c r="DU91" s="98"/>
      <c r="DV91" s="98"/>
      <c r="DW91" s="98"/>
      <c r="DX91" s="98"/>
      <c r="DY91" s="98"/>
      <c r="DZ91" s="98"/>
      <c r="EA91" s="98"/>
      <c r="EB91" s="98"/>
      <c r="EC91" s="98"/>
      <c r="ED91" s="98"/>
      <c r="EE91" s="98"/>
      <c r="EF91" s="98"/>
      <c r="EG91" s="98"/>
      <c r="EH91" s="98"/>
      <c r="EI91" s="98"/>
      <c r="EJ91" s="98"/>
      <c r="EK91" s="98"/>
      <c r="EL91" s="98"/>
      <c r="EM91" s="98"/>
      <c r="EN91" s="98"/>
      <c r="EO91" s="98"/>
      <c r="EP91" s="98"/>
      <c r="EQ91" s="98"/>
    </row>
    <row r="92" spans="1:147" x14ac:dyDescent="0.25">
      <c r="A92" s="96"/>
      <c r="B92" s="96"/>
      <c r="C92" s="97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7"/>
      <c r="AB92" s="97"/>
      <c r="AC92" s="97"/>
      <c r="AD92" s="97"/>
      <c r="AE92" s="97"/>
      <c r="AF92" s="97"/>
      <c r="AG92" s="97"/>
      <c r="AH92" s="97"/>
      <c r="AI92" s="97"/>
      <c r="AJ92" s="97"/>
      <c r="AK92" s="97"/>
      <c r="AL92" s="97"/>
      <c r="AM92" s="97"/>
      <c r="AN92" s="97"/>
      <c r="AO92" s="97"/>
      <c r="AP92" s="97"/>
      <c r="AQ92" s="97"/>
      <c r="AR92" s="97"/>
      <c r="AS92" s="97"/>
      <c r="AT92" s="97"/>
      <c r="AU92" s="97"/>
      <c r="AV92" s="97"/>
      <c r="AW92" s="97"/>
      <c r="AX92" s="97"/>
      <c r="AY92" s="97"/>
      <c r="AZ92" s="97"/>
      <c r="BA92" s="97"/>
      <c r="BB92" s="97"/>
      <c r="BC92" s="97"/>
      <c r="BD92" s="97"/>
      <c r="BE92" s="97"/>
      <c r="BF92" s="97"/>
      <c r="BG92" s="97"/>
      <c r="BH92" s="97"/>
      <c r="BI92" s="97"/>
      <c r="BJ92" s="97"/>
      <c r="BK92" s="97"/>
      <c r="BL92" s="97"/>
      <c r="BM92" s="97"/>
      <c r="BN92" s="98"/>
      <c r="BO92" s="98"/>
      <c r="BP92" s="98"/>
      <c r="BQ92" s="98"/>
      <c r="BR92" s="98"/>
      <c r="BS92" s="98"/>
      <c r="BT92" s="98"/>
      <c r="BU92" s="98"/>
      <c r="BV92" s="98"/>
      <c r="BW92" s="98"/>
      <c r="BX92" s="98"/>
      <c r="BY92" s="98"/>
      <c r="BZ92" s="98"/>
      <c r="CA92" s="98"/>
      <c r="CB92" s="98"/>
      <c r="CC92" s="98"/>
      <c r="CD92" s="98"/>
      <c r="CE92" s="98"/>
      <c r="CF92" s="98"/>
      <c r="CG92" s="98"/>
      <c r="CH92" s="98"/>
      <c r="CI92" s="98"/>
      <c r="CJ92" s="98"/>
      <c r="CK92" s="98"/>
      <c r="CL92" s="98"/>
      <c r="CM92" s="98"/>
      <c r="CN92" s="98"/>
      <c r="CO92" s="98"/>
      <c r="CP92" s="98"/>
      <c r="CQ92" s="98"/>
      <c r="CR92" s="98"/>
      <c r="CS92" s="98"/>
      <c r="CT92" s="98"/>
      <c r="CU92" s="98"/>
      <c r="CV92" s="98"/>
      <c r="CW92" s="98"/>
      <c r="CX92" s="98"/>
      <c r="CY92" s="98"/>
      <c r="CZ92" s="98"/>
      <c r="DA92" s="98"/>
      <c r="DB92" s="98"/>
      <c r="DC92" s="98"/>
      <c r="DD92" s="98"/>
      <c r="DE92" s="98"/>
      <c r="DF92" s="98"/>
      <c r="DG92" s="98"/>
      <c r="DH92" s="98"/>
      <c r="DI92" s="98"/>
      <c r="DJ92" s="98"/>
      <c r="DK92" s="98"/>
      <c r="DL92" s="98"/>
      <c r="DM92" s="98"/>
      <c r="DN92" s="98"/>
      <c r="DO92" s="98"/>
      <c r="DP92" s="98"/>
      <c r="DQ92" s="98"/>
      <c r="DR92" s="98"/>
      <c r="DS92" s="98"/>
      <c r="DT92" s="98"/>
      <c r="DU92" s="98"/>
      <c r="DV92" s="98"/>
      <c r="DW92" s="98"/>
      <c r="DX92" s="98"/>
      <c r="DY92" s="98"/>
      <c r="DZ92" s="98"/>
      <c r="EA92" s="98"/>
      <c r="EB92" s="98"/>
      <c r="EC92" s="98"/>
      <c r="ED92" s="98"/>
      <c r="EE92" s="98"/>
      <c r="EF92" s="98"/>
      <c r="EG92" s="98"/>
      <c r="EH92" s="98"/>
      <c r="EI92" s="98"/>
      <c r="EJ92" s="98"/>
      <c r="EK92" s="98"/>
      <c r="EL92" s="98"/>
      <c r="EM92" s="98"/>
      <c r="EN92" s="98"/>
      <c r="EO92" s="98"/>
      <c r="EP92" s="98"/>
      <c r="EQ92" s="98"/>
    </row>
    <row r="93" spans="1:147" x14ac:dyDescent="0.25">
      <c r="A93" s="96"/>
      <c r="B93" s="96"/>
      <c r="C93" s="97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7"/>
      <c r="AB93" s="97"/>
      <c r="AC93" s="97"/>
      <c r="AD93" s="97"/>
      <c r="AE93" s="97"/>
      <c r="AF93" s="97"/>
      <c r="AG93" s="97"/>
      <c r="AH93" s="97"/>
      <c r="AI93" s="97"/>
      <c r="AJ93" s="97"/>
      <c r="AK93" s="97"/>
      <c r="AL93" s="97"/>
      <c r="AM93" s="97"/>
      <c r="AN93" s="97"/>
      <c r="AO93" s="97"/>
      <c r="AP93" s="97"/>
      <c r="AQ93" s="97"/>
      <c r="AR93" s="97"/>
      <c r="AS93" s="97"/>
      <c r="AT93" s="97"/>
      <c r="AU93" s="97"/>
      <c r="AV93" s="97"/>
      <c r="AW93" s="97"/>
      <c r="AX93" s="97"/>
      <c r="AY93" s="97"/>
      <c r="AZ93" s="97"/>
      <c r="BA93" s="97"/>
      <c r="BB93" s="97"/>
      <c r="BC93" s="97"/>
      <c r="BD93" s="97"/>
      <c r="BE93" s="97"/>
      <c r="BF93" s="97"/>
      <c r="BG93" s="97"/>
      <c r="BH93" s="97"/>
      <c r="BI93" s="97"/>
      <c r="BJ93" s="97"/>
      <c r="BK93" s="97"/>
      <c r="BL93" s="97"/>
      <c r="BM93" s="97"/>
      <c r="BN93" s="98"/>
      <c r="BO93" s="98"/>
      <c r="BP93" s="98"/>
      <c r="BQ93" s="98"/>
      <c r="BR93" s="98"/>
      <c r="BS93" s="98"/>
      <c r="BT93" s="98"/>
      <c r="BU93" s="98"/>
      <c r="BV93" s="98"/>
      <c r="BW93" s="98"/>
      <c r="BX93" s="98"/>
      <c r="BY93" s="98"/>
      <c r="BZ93" s="98"/>
      <c r="CA93" s="98"/>
      <c r="CB93" s="98"/>
      <c r="CC93" s="98"/>
      <c r="CD93" s="98"/>
      <c r="CE93" s="98"/>
      <c r="CF93" s="98"/>
      <c r="CG93" s="98"/>
      <c r="CH93" s="98"/>
      <c r="CI93" s="98"/>
      <c r="CJ93" s="98"/>
      <c r="CK93" s="98"/>
      <c r="CL93" s="98"/>
      <c r="CM93" s="98"/>
      <c r="CN93" s="98"/>
      <c r="CO93" s="98"/>
      <c r="CP93" s="98"/>
      <c r="CQ93" s="98"/>
      <c r="CR93" s="98"/>
      <c r="CS93" s="98"/>
      <c r="CT93" s="98"/>
      <c r="CU93" s="98"/>
      <c r="CV93" s="98"/>
      <c r="CW93" s="98"/>
      <c r="CX93" s="98"/>
      <c r="CY93" s="98"/>
      <c r="CZ93" s="98"/>
      <c r="DA93" s="98"/>
      <c r="DB93" s="98"/>
      <c r="DC93" s="98"/>
      <c r="DD93" s="98"/>
      <c r="DE93" s="98"/>
      <c r="DF93" s="98"/>
      <c r="DG93" s="98"/>
      <c r="DH93" s="98"/>
      <c r="DI93" s="98"/>
      <c r="DJ93" s="98"/>
      <c r="DK93" s="98"/>
      <c r="DL93" s="98"/>
      <c r="DM93" s="98"/>
      <c r="DN93" s="98"/>
      <c r="DO93" s="98"/>
      <c r="DP93" s="98"/>
      <c r="DQ93" s="98"/>
      <c r="DR93" s="98"/>
      <c r="DS93" s="98"/>
      <c r="DT93" s="98"/>
      <c r="DU93" s="98"/>
      <c r="DV93" s="98"/>
      <c r="DW93" s="98"/>
      <c r="DX93" s="98"/>
      <c r="DY93" s="98"/>
      <c r="DZ93" s="98"/>
      <c r="EA93" s="98"/>
      <c r="EB93" s="98"/>
      <c r="EC93" s="98"/>
      <c r="ED93" s="98"/>
      <c r="EE93" s="98"/>
      <c r="EF93" s="98"/>
      <c r="EG93" s="98"/>
      <c r="EH93" s="98"/>
      <c r="EI93" s="98"/>
      <c r="EJ93" s="98"/>
      <c r="EK93" s="98"/>
      <c r="EL93" s="98"/>
      <c r="EM93" s="98"/>
      <c r="EN93" s="98"/>
      <c r="EO93" s="98"/>
      <c r="EP93" s="98"/>
      <c r="EQ93" s="98"/>
    </row>
    <row r="94" spans="1:147" x14ac:dyDescent="0.25">
      <c r="A94" s="96"/>
      <c r="B94" s="96"/>
      <c r="C94" s="97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  <c r="AA94" s="97"/>
      <c r="AB94" s="97"/>
      <c r="AC94" s="97"/>
      <c r="AD94" s="97"/>
      <c r="AE94" s="97"/>
      <c r="AF94" s="97"/>
      <c r="AG94" s="97"/>
      <c r="AH94" s="97"/>
      <c r="AI94" s="97"/>
      <c r="AJ94" s="97"/>
      <c r="AK94" s="97"/>
      <c r="AL94" s="97"/>
      <c r="AM94" s="97"/>
      <c r="AN94" s="97"/>
      <c r="AO94" s="97"/>
      <c r="AP94" s="97"/>
      <c r="AQ94" s="97"/>
      <c r="AR94" s="97"/>
      <c r="AS94" s="97"/>
      <c r="AT94" s="97"/>
      <c r="AU94" s="97"/>
      <c r="AV94" s="97"/>
      <c r="AW94" s="97"/>
      <c r="AX94" s="97"/>
      <c r="AY94" s="97"/>
      <c r="AZ94" s="97"/>
      <c r="BA94" s="97"/>
      <c r="BB94" s="97"/>
      <c r="BC94" s="97"/>
      <c r="BD94" s="97"/>
      <c r="BE94" s="97"/>
      <c r="BF94" s="97"/>
      <c r="BG94" s="97"/>
      <c r="BH94" s="97"/>
      <c r="BI94" s="97"/>
      <c r="BJ94" s="97"/>
      <c r="BK94" s="97"/>
      <c r="BL94" s="97"/>
      <c r="BM94" s="97"/>
      <c r="BN94" s="98"/>
      <c r="BO94" s="98"/>
      <c r="BP94" s="98"/>
      <c r="BQ94" s="98"/>
      <c r="BR94" s="98"/>
      <c r="BS94" s="98"/>
      <c r="BT94" s="98"/>
      <c r="BU94" s="98"/>
      <c r="BV94" s="98"/>
      <c r="BW94" s="98"/>
      <c r="BX94" s="98"/>
      <c r="BY94" s="98"/>
      <c r="BZ94" s="98"/>
      <c r="CA94" s="98"/>
      <c r="CB94" s="98"/>
      <c r="CC94" s="98"/>
      <c r="CD94" s="98"/>
      <c r="CE94" s="98"/>
      <c r="CF94" s="98"/>
      <c r="CG94" s="98"/>
      <c r="CH94" s="98"/>
      <c r="CI94" s="98"/>
      <c r="CJ94" s="98"/>
      <c r="CK94" s="98"/>
      <c r="CL94" s="98"/>
      <c r="CM94" s="98"/>
      <c r="CN94" s="98"/>
      <c r="CO94" s="98"/>
      <c r="CP94" s="98"/>
      <c r="CQ94" s="98"/>
      <c r="CR94" s="98"/>
      <c r="CS94" s="98"/>
      <c r="CT94" s="98"/>
      <c r="CU94" s="98"/>
      <c r="CV94" s="98"/>
      <c r="CW94" s="98"/>
      <c r="CX94" s="98"/>
      <c r="CY94" s="98"/>
      <c r="CZ94" s="98"/>
      <c r="DA94" s="98"/>
      <c r="DB94" s="98"/>
      <c r="DC94" s="98"/>
      <c r="DD94" s="98"/>
      <c r="DE94" s="98"/>
      <c r="DF94" s="98"/>
      <c r="DG94" s="98"/>
      <c r="DH94" s="98"/>
      <c r="DI94" s="98"/>
      <c r="DJ94" s="98"/>
      <c r="DK94" s="98"/>
      <c r="DL94" s="98"/>
      <c r="DM94" s="98"/>
      <c r="DN94" s="98"/>
      <c r="DO94" s="98"/>
      <c r="DP94" s="98"/>
      <c r="DQ94" s="98"/>
      <c r="DR94" s="98"/>
      <c r="DS94" s="98"/>
      <c r="DT94" s="98"/>
      <c r="DU94" s="98"/>
      <c r="DV94" s="98"/>
      <c r="DW94" s="98"/>
      <c r="DX94" s="98"/>
      <c r="DY94" s="98"/>
      <c r="DZ94" s="98"/>
      <c r="EA94" s="98"/>
      <c r="EB94" s="98"/>
      <c r="EC94" s="98"/>
      <c r="ED94" s="98"/>
      <c r="EE94" s="98"/>
      <c r="EF94" s="98"/>
      <c r="EG94" s="98"/>
      <c r="EH94" s="98"/>
      <c r="EI94" s="98"/>
      <c r="EJ94" s="98"/>
      <c r="EK94" s="98"/>
      <c r="EL94" s="98"/>
      <c r="EM94" s="98"/>
      <c r="EN94" s="98"/>
      <c r="EO94" s="98"/>
      <c r="EP94" s="98"/>
      <c r="EQ94" s="98"/>
    </row>
    <row r="95" spans="1:147" x14ac:dyDescent="0.25">
      <c r="A95" s="96"/>
      <c r="B95" s="96"/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7"/>
      <c r="AG95" s="97"/>
      <c r="AH95" s="97"/>
      <c r="AI95" s="97"/>
      <c r="AJ95" s="97"/>
      <c r="AK95" s="97"/>
      <c r="AL95" s="97"/>
      <c r="AM95" s="97"/>
      <c r="AN95" s="97"/>
      <c r="AO95" s="97"/>
      <c r="AP95" s="97"/>
      <c r="AQ95" s="97"/>
      <c r="AR95" s="97"/>
      <c r="AS95" s="97"/>
      <c r="AT95" s="97"/>
      <c r="AU95" s="97"/>
      <c r="AV95" s="97"/>
      <c r="AW95" s="97"/>
      <c r="AX95" s="97"/>
      <c r="AY95" s="97"/>
      <c r="AZ95" s="97"/>
      <c r="BA95" s="97"/>
      <c r="BB95" s="97"/>
      <c r="BC95" s="97"/>
      <c r="BD95" s="97"/>
      <c r="BE95" s="97"/>
      <c r="BF95" s="97"/>
      <c r="BG95" s="97"/>
      <c r="BH95" s="97"/>
      <c r="BI95" s="97"/>
      <c r="BJ95" s="97"/>
      <c r="BK95" s="97"/>
      <c r="BL95" s="97"/>
      <c r="BM95" s="97"/>
      <c r="BN95" s="98"/>
      <c r="BO95" s="98"/>
      <c r="BP95" s="98"/>
      <c r="BQ95" s="98"/>
      <c r="BR95" s="98"/>
      <c r="BS95" s="98"/>
      <c r="BT95" s="98"/>
      <c r="BU95" s="98"/>
      <c r="BV95" s="98"/>
      <c r="BW95" s="98"/>
      <c r="BX95" s="98"/>
      <c r="BY95" s="98"/>
      <c r="BZ95" s="98"/>
      <c r="CA95" s="98"/>
      <c r="CB95" s="98"/>
      <c r="CC95" s="98"/>
      <c r="CD95" s="98"/>
      <c r="CE95" s="98"/>
      <c r="CF95" s="98"/>
      <c r="CG95" s="98"/>
      <c r="CH95" s="98"/>
      <c r="CI95" s="98"/>
      <c r="CJ95" s="98"/>
      <c r="CK95" s="98"/>
      <c r="CL95" s="98"/>
      <c r="CM95" s="98"/>
      <c r="CN95" s="98"/>
      <c r="CO95" s="98"/>
      <c r="CP95" s="98"/>
      <c r="CQ95" s="98"/>
      <c r="CR95" s="98"/>
      <c r="CS95" s="98"/>
      <c r="CT95" s="98"/>
      <c r="CU95" s="98"/>
      <c r="CV95" s="98"/>
      <c r="CW95" s="98"/>
      <c r="CX95" s="98"/>
      <c r="CY95" s="98"/>
      <c r="CZ95" s="98"/>
      <c r="DA95" s="98"/>
      <c r="DB95" s="98"/>
      <c r="DC95" s="98"/>
      <c r="DD95" s="98"/>
      <c r="DE95" s="98"/>
      <c r="DF95" s="98"/>
      <c r="DG95" s="98"/>
      <c r="DH95" s="98"/>
      <c r="DI95" s="98"/>
      <c r="DJ95" s="98"/>
      <c r="DK95" s="98"/>
      <c r="DL95" s="98"/>
      <c r="DM95" s="98"/>
      <c r="DN95" s="98"/>
      <c r="DO95" s="98"/>
      <c r="DP95" s="98"/>
      <c r="DQ95" s="98"/>
      <c r="DR95" s="98"/>
      <c r="DS95" s="98"/>
      <c r="DT95" s="98"/>
      <c r="DU95" s="98"/>
      <c r="DV95" s="98"/>
      <c r="DW95" s="98"/>
      <c r="DX95" s="98"/>
      <c r="DY95" s="98"/>
      <c r="DZ95" s="98"/>
      <c r="EA95" s="98"/>
      <c r="EB95" s="98"/>
      <c r="EC95" s="98"/>
      <c r="ED95" s="98"/>
      <c r="EE95" s="98"/>
      <c r="EF95" s="98"/>
      <c r="EG95" s="98"/>
      <c r="EH95" s="98"/>
      <c r="EI95" s="98"/>
      <c r="EJ95" s="98"/>
      <c r="EK95" s="98"/>
      <c r="EL95" s="98"/>
      <c r="EM95" s="98"/>
      <c r="EN95" s="98"/>
      <c r="EO95" s="98"/>
      <c r="EP95" s="98"/>
      <c r="EQ95" s="98"/>
    </row>
    <row r="96" spans="1:147" x14ac:dyDescent="0.25">
      <c r="A96" s="96"/>
      <c r="B96" s="96"/>
      <c r="C96" s="97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  <c r="AB96" s="97"/>
      <c r="AC96" s="97"/>
      <c r="AD96" s="97"/>
      <c r="AE96" s="97"/>
      <c r="AF96" s="97"/>
      <c r="AG96" s="97"/>
      <c r="AH96" s="97"/>
      <c r="AI96" s="97"/>
      <c r="AJ96" s="97"/>
      <c r="AK96" s="97"/>
      <c r="AL96" s="97"/>
      <c r="AM96" s="97"/>
      <c r="AN96" s="97"/>
      <c r="AO96" s="97"/>
      <c r="AP96" s="97"/>
      <c r="AQ96" s="97"/>
      <c r="AR96" s="97"/>
      <c r="AS96" s="97"/>
      <c r="AT96" s="97"/>
      <c r="AU96" s="97"/>
      <c r="AV96" s="97"/>
      <c r="AW96" s="97"/>
      <c r="AX96" s="97"/>
      <c r="AY96" s="97"/>
      <c r="AZ96" s="97"/>
      <c r="BA96" s="97"/>
      <c r="BB96" s="97"/>
      <c r="BC96" s="97"/>
      <c r="BD96" s="97"/>
      <c r="BE96" s="97"/>
      <c r="BF96" s="97"/>
      <c r="BG96" s="97"/>
      <c r="BH96" s="97"/>
      <c r="BI96" s="97"/>
      <c r="BJ96" s="97"/>
      <c r="BK96" s="97"/>
      <c r="BL96" s="97"/>
      <c r="BM96" s="97"/>
      <c r="BN96" s="98"/>
      <c r="BO96" s="98"/>
      <c r="BP96" s="98"/>
      <c r="BQ96" s="98"/>
      <c r="BR96" s="98"/>
      <c r="BS96" s="98"/>
      <c r="BT96" s="98"/>
      <c r="BU96" s="98"/>
      <c r="BV96" s="98"/>
      <c r="BW96" s="98"/>
      <c r="BX96" s="98"/>
      <c r="BY96" s="98"/>
      <c r="BZ96" s="98"/>
      <c r="CA96" s="98"/>
      <c r="CB96" s="98"/>
      <c r="CC96" s="98"/>
      <c r="CD96" s="98"/>
      <c r="CE96" s="98"/>
      <c r="CF96" s="98"/>
      <c r="CG96" s="98"/>
      <c r="CH96" s="98"/>
      <c r="CI96" s="98"/>
      <c r="CJ96" s="98"/>
      <c r="CK96" s="98"/>
      <c r="CL96" s="98"/>
      <c r="CM96" s="98"/>
      <c r="CN96" s="98"/>
      <c r="CO96" s="98"/>
      <c r="CP96" s="98"/>
      <c r="CQ96" s="98"/>
      <c r="CR96" s="98"/>
      <c r="CS96" s="98"/>
      <c r="CT96" s="98"/>
      <c r="CU96" s="98"/>
      <c r="CV96" s="98"/>
      <c r="CW96" s="98"/>
      <c r="CX96" s="98"/>
      <c r="CY96" s="98"/>
      <c r="CZ96" s="98"/>
      <c r="DA96" s="98"/>
      <c r="DB96" s="98"/>
      <c r="DC96" s="98"/>
      <c r="DD96" s="98"/>
      <c r="DE96" s="98"/>
      <c r="DF96" s="98"/>
      <c r="DG96" s="98"/>
      <c r="DH96" s="98"/>
      <c r="DI96" s="98"/>
      <c r="DJ96" s="98"/>
      <c r="DK96" s="98"/>
      <c r="DL96" s="98"/>
      <c r="DM96" s="98"/>
      <c r="DN96" s="98"/>
      <c r="DO96" s="98"/>
      <c r="DP96" s="98"/>
      <c r="DQ96" s="98"/>
      <c r="DR96" s="98"/>
      <c r="DS96" s="98"/>
      <c r="DT96" s="98"/>
      <c r="DU96" s="98"/>
      <c r="DV96" s="98"/>
      <c r="DW96" s="98"/>
      <c r="DX96" s="98"/>
      <c r="DY96" s="98"/>
      <c r="DZ96" s="98"/>
      <c r="EA96" s="98"/>
      <c r="EB96" s="98"/>
      <c r="EC96" s="98"/>
      <c r="ED96" s="98"/>
      <c r="EE96" s="98"/>
      <c r="EF96" s="98"/>
      <c r="EG96" s="98"/>
      <c r="EH96" s="98"/>
      <c r="EI96" s="98"/>
      <c r="EJ96" s="98"/>
      <c r="EK96" s="98"/>
      <c r="EL96" s="98"/>
      <c r="EM96" s="98"/>
      <c r="EN96" s="98"/>
      <c r="EO96" s="98"/>
      <c r="EP96" s="98"/>
      <c r="EQ96" s="98"/>
    </row>
    <row r="97" spans="1:147" x14ac:dyDescent="0.25">
      <c r="A97" s="96"/>
      <c r="B97" s="96"/>
      <c r="C97" s="97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  <c r="AA97" s="97"/>
      <c r="AB97" s="97"/>
      <c r="AC97" s="97"/>
      <c r="AD97" s="97"/>
      <c r="AE97" s="97"/>
      <c r="AF97" s="97"/>
      <c r="AG97" s="97"/>
      <c r="AH97" s="97"/>
      <c r="AI97" s="97"/>
      <c r="AJ97" s="97"/>
      <c r="AK97" s="97"/>
      <c r="AL97" s="97"/>
      <c r="AM97" s="97"/>
      <c r="AN97" s="97"/>
      <c r="AO97" s="97"/>
      <c r="AP97" s="97"/>
      <c r="AQ97" s="97"/>
      <c r="AR97" s="97"/>
      <c r="AS97" s="97"/>
      <c r="AT97" s="97"/>
      <c r="AU97" s="97"/>
      <c r="AV97" s="97"/>
      <c r="AW97" s="97"/>
      <c r="AX97" s="97"/>
      <c r="AY97" s="97"/>
      <c r="AZ97" s="97"/>
      <c r="BA97" s="97"/>
      <c r="BB97" s="97"/>
      <c r="BC97" s="97"/>
      <c r="BD97" s="97"/>
      <c r="BE97" s="97"/>
      <c r="BF97" s="97"/>
      <c r="BG97" s="97"/>
      <c r="BH97" s="97"/>
      <c r="BI97" s="97"/>
      <c r="BJ97" s="97"/>
      <c r="BK97" s="97"/>
      <c r="BL97" s="97"/>
      <c r="BM97" s="97"/>
      <c r="BN97" s="98"/>
      <c r="BO97" s="98"/>
      <c r="BP97" s="98"/>
      <c r="BQ97" s="98"/>
      <c r="BR97" s="98"/>
      <c r="BS97" s="98"/>
      <c r="BT97" s="98"/>
      <c r="BU97" s="98"/>
      <c r="BV97" s="98"/>
      <c r="BW97" s="98"/>
      <c r="BX97" s="98"/>
      <c r="BY97" s="98"/>
      <c r="BZ97" s="98"/>
      <c r="CA97" s="98"/>
      <c r="CB97" s="98"/>
      <c r="CC97" s="98"/>
      <c r="CD97" s="98"/>
      <c r="CE97" s="98"/>
      <c r="CF97" s="98"/>
      <c r="CG97" s="98"/>
      <c r="CH97" s="98"/>
      <c r="CI97" s="98"/>
      <c r="CJ97" s="98"/>
      <c r="CK97" s="98"/>
      <c r="CL97" s="98"/>
      <c r="CM97" s="98"/>
      <c r="CN97" s="98"/>
      <c r="CO97" s="98"/>
      <c r="CP97" s="98"/>
      <c r="CQ97" s="98"/>
      <c r="CR97" s="98"/>
      <c r="CS97" s="98"/>
      <c r="CT97" s="98"/>
      <c r="CU97" s="98"/>
      <c r="CV97" s="98"/>
      <c r="CW97" s="98"/>
      <c r="CX97" s="98"/>
      <c r="CY97" s="98"/>
      <c r="CZ97" s="98"/>
      <c r="DA97" s="98"/>
      <c r="DB97" s="98"/>
      <c r="DC97" s="98"/>
      <c r="DD97" s="98"/>
      <c r="DE97" s="98"/>
      <c r="DF97" s="98"/>
      <c r="DG97" s="98"/>
      <c r="DH97" s="98"/>
      <c r="DI97" s="98"/>
      <c r="DJ97" s="98"/>
      <c r="DK97" s="98"/>
      <c r="DL97" s="98"/>
      <c r="DM97" s="98"/>
      <c r="DN97" s="98"/>
      <c r="DO97" s="98"/>
      <c r="DP97" s="98"/>
      <c r="DQ97" s="98"/>
      <c r="DR97" s="98"/>
      <c r="DS97" s="98"/>
      <c r="DT97" s="98"/>
      <c r="DU97" s="98"/>
      <c r="DV97" s="98"/>
      <c r="DW97" s="98"/>
      <c r="DX97" s="98"/>
      <c r="DY97" s="98"/>
      <c r="DZ97" s="98"/>
      <c r="EA97" s="98"/>
      <c r="EB97" s="98"/>
      <c r="EC97" s="98"/>
      <c r="ED97" s="98"/>
      <c r="EE97" s="98"/>
      <c r="EF97" s="98"/>
      <c r="EG97" s="98"/>
      <c r="EH97" s="98"/>
      <c r="EI97" s="98"/>
      <c r="EJ97" s="98"/>
      <c r="EK97" s="98"/>
      <c r="EL97" s="98"/>
      <c r="EM97" s="98"/>
      <c r="EN97" s="98"/>
      <c r="EO97" s="98"/>
      <c r="EP97" s="98"/>
      <c r="EQ97" s="98"/>
    </row>
    <row r="98" spans="1:147" x14ac:dyDescent="0.25">
      <c r="A98" s="96"/>
      <c r="B98" s="96"/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  <c r="AA98" s="97"/>
      <c r="AB98" s="97"/>
      <c r="AC98" s="97"/>
      <c r="AD98" s="97"/>
      <c r="AE98" s="97"/>
      <c r="AF98" s="97"/>
      <c r="AG98" s="97"/>
      <c r="AH98" s="97"/>
      <c r="AI98" s="97"/>
      <c r="AJ98" s="97"/>
      <c r="AK98" s="97"/>
      <c r="AL98" s="97"/>
      <c r="AM98" s="97"/>
      <c r="AN98" s="97"/>
      <c r="AO98" s="97"/>
      <c r="AP98" s="97"/>
      <c r="AQ98" s="97"/>
      <c r="AR98" s="97"/>
      <c r="AS98" s="97"/>
      <c r="AT98" s="97"/>
      <c r="AU98" s="97"/>
      <c r="AV98" s="97"/>
      <c r="AW98" s="97"/>
      <c r="AX98" s="97"/>
      <c r="AY98" s="97"/>
      <c r="AZ98" s="97"/>
      <c r="BA98" s="97"/>
      <c r="BB98" s="97"/>
      <c r="BC98" s="97"/>
      <c r="BD98" s="97"/>
      <c r="BE98" s="97"/>
      <c r="BF98" s="97"/>
      <c r="BG98" s="97"/>
      <c r="BH98" s="97"/>
      <c r="BI98" s="97"/>
      <c r="BJ98" s="97"/>
      <c r="BK98" s="97"/>
      <c r="BL98" s="97"/>
      <c r="BM98" s="97"/>
      <c r="BN98" s="98"/>
      <c r="BO98" s="98"/>
      <c r="BP98" s="98"/>
      <c r="BQ98" s="98"/>
      <c r="BR98" s="98"/>
      <c r="BS98" s="98"/>
      <c r="BT98" s="98"/>
      <c r="BU98" s="98"/>
      <c r="BV98" s="98"/>
      <c r="BW98" s="98"/>
      <c r="BX98" s="98"/>
      <c r="BY98" s="98"/>
      <c r="BZ98" s="98"/>
      <c r="CA98" s="98"/>
      <c r="CB98" s="98"/>
      <c r="CC98" s="98"/>
      <c r="CD98" s="98"/>
      <c r="CE98" s="98"/>
      <c r="CF98" s="98"/>
      <c r="CG98" s="98"/>
      <c r="CH98" s="98"/>
      <c r="CI98" s="98"/>
      <c r="CJ98" s="98"/>
      <c r="CK98" s="98"/>
      <c r="CL98" s="98"/>
      <c r="CM98" s="98"/>
      <c r="CN98" s="98"/>
      <c r="CO98" s="98"/>
      <c r="CP98" s="98"/>
      <c r="CQ98" s="98"/>
      <c r="CR98" s="98"/>
      <c r="CS98" s="98"/>
      <c r="CT98" s="98"/>
      <c r="CU98" s="98"/>
      <c r="CV98" s="98"/>
      <c r="CW98" s="98"/>
      <c r="CX98" s="98"/>
      <c r="CY98" s="98"/>
      <c r="CZ98" s="98"/>
      <c r="DA98" s="98"/>
      <c r="DB98" s="98"/>
      <c r="DC98" s="98"/>
      <c r="DD98" s="98"/>
      <c r="DE98" s="98"/>
      <c r="DF98" s="98"/>
      <c r="DG98" s="98"/>
      <c r="DH98" s="98"/>
      <c r="DI98" s="98"/>
      <c r="DJ98" s="98"/>
      <c r="DK98" s="98"/>
      <c r="DL98" s="98"/>
      <c r="DM98" s="98"/>
      <c r="DN98" s="98"/>
      <c r="DO98" s="98"/>
      <c r="DP98" s="98"/>
      <c r="DQ98" s="98"/>
      <c r="DR98" s="98"/>
      <c r="DS98" s="98"/>
      <c r="DT98" s="98"/>
      <c r="DU98" s="98"/>
      <c r="DV98" s="98"/>
      <c r="DW98" s="98"/>
      <c r="DX98" s="98"/>
      <c r="DY98" s="98"/>
      <c r="DZ98" s="98"/>
      <c r="EA98" s="98"/>
      <c r="EB98" s="98"/>
      <c r="EC98" s="98"/>
      <c r="ED98" s="98"/>
      <c r="EE98" s="98"/>
      <c r="EF98" s="98"/>
      <c r="EG98" s="98"/>
      <c r="EH98" s="98"/>
      <c r="EI98" s="98"/>
      <c r="EJ98" s="98"/>
      <c r="EK98" s="98"/>
      <c r="EL98" s="98"/>
      <c r="EM98" s="98"/>
      <c r="EN98" s="98"/>
      <c r="EO98" s="98"/>
      <c r="EP98" s="98"/>
      <c r="EQ98" s="98"/>
    </row>
    <row r="99" spans="1:147" x14ac:dyDescent="0.25">
      <c r="A99" s="96"/>
      <c r="B99" s="96"/>
      <c r="C99" s="97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7"/>
      <c r="AB99" s="97"/>
      <c r="AC99" s="97"/>
      <c r="AD99" s="97"/>
      <c r="AE99" s="97"/>
      <c r="AF99" s="97"/>
      <c r="AG99" s="97"/>
      <c r="AH99" s="97"/>
      <c r="AI99" s="97"/>
      <c r="AJ99" s="97"/>
      <c r="AK99" s="97"/>
      <c r="AL99" s="97"/>
      <c r="AM99" s="97"/>
      <c r="AN99" s="97"/>
      <c r="AO99" s="97"/>
      <c r="AP99" s="97"/>
      <c r="AQ99" s="97"/>
      <c r="AR99" s="97"/>
      <c r="AS99" s="97"/>
      <c r="AT99" s="97"/>
      <c r="AU99" s="97"/>
      <c r="AV99" s="97"/>
      <c r="AW99" s="97"/>
      <c r="AX99" s="97"/>
      <c r="AY99" s="97"/>
      <c r="AZ99" s="97"/>
      <c r="BA99" s="97"/>
      <c r="BB99" s="97"/>
      <c r="BC99" s="97"/>
      <c r="BD99" s="97"/>
      <c r="BE99" s="97"/>
      <c r="BF99" s="97"/>
      <c r="BG99" s="97"/>
      <c r="BH99" s="97"/>
      <c r="BI99" s="97"/>
      <c r="BJ99" s="97"/>
      <c r="BK99" s="97"/>
      <c r="BL99" s="97"/>
      <c r="BM99" s="97"/>
      <c r="BN99" s="98"/>
      <c r="BO99" s="98"/>
      <c r="BP99" s="98"/>
      <c r="BQ99" s="98"/>
      <c r="BR99" s="98"/>
      <c r="BS99" s="98"/>
      <c r="BT99" s="98"/>
      <c r="BU99" s="98"/>
      <c r="BV99" s="98"/>
      <c r="BW99" s="98"/>
      <c r="BX99" s="98"/>
      <c r="BY99" s="98"/>
      <c r="BZ99" s="98"/>
      <c r="CA99" s="98"/>
      <c r="CB99" s="98"/>
      <c r="CC99" s="98"/>
      <c r="CD99" s="98"/>
      <c r="CE99" s="98"/>
      <c r="CF99" s="98"/>
      <c r="CG99" s="98"/>
      <c r="CH99" s="98"/>
      <c r="CI99" s="98"/>
      <c r="CJ99" s="98"/>
      <c r="CK99" s="98"/>
      <c r="CL99" s="98"/>
      <c r="CM99" s="98"/>
      <c r="CN99" s="98"/>
      <c r="CO99" s="98"/>
      <c r="CP99" s="98"/>
      <c r="CQ99" s="98"/>
      <c r="CR99" s="98"/>
      <c r="CS99" s="98"/>
      <c r="CT99" s="98"/>
      <c r="CU99" s="98"/>
      <c r="CV99" s="98"/>
      <c r="CW99" s="98"/>
      <c r="CX99" s="98"/>
      <c r="CY99" s="98"/>
      <c r="CZ99" s="98"/>
      <c r="DA99" s="98"/>
      <c r="DB99" s="98"/>
      <c r="DC99" s="98"/>
      <c r="DD99" s="98"/>
      <c r="DE99" s="98"/>
      <c r="DF99" s="98"/>
      <c r="DG99" s="98"/>
      <c r="DH99" s="98"/>
      <c r="DI99" s="98"/>
      <c r="DJ99" s="98"/>
      <c r="DK99" s="98"/>
      <c r="DL99" s="98"/>
      <c r="DM99" s="98"/>
      <c r="DN99" s="98"/>
      <c r="DO99" s="98"/>
      <c r="DP99" s="98"/>
      <c r="DQ99" s="98"/>
      <c r="DR99" s="98"/>
      <c r="DS99" s="98"/>
      <c r="DT99" s="98"/>
      <c r="DU99" s="98"/>
      <c r="DV99" s="98"/>
      <c r="DW99" s="98"/>
      <c r="DX99" s="98"/>
      <c r="DY99" s="98"/>
      <c r="DZ99" s="98"/>
      <c r="EA99" s="98"/>
      <c r="EB99" s="98"/>
      <c r="EC99" s="98"/>
      <c r="ED99" s="98"/>
      <c r="EE99" s="98"/>
      <c r="EF99" s="98"/>
      <c r="EG99" s="98"/>
      <c r="EH99" s="98"/>
      <c r="EI99" s="98"/>
      <c r="EJ99" s="98"/>
      <c r="EK99" s="98"/>
      <c r="EL99" s="98"/>
      <c r="EM99" s="98"/>
      <c r="EN99" s="98"/>
      <c r="EO99" s="98"/>
      <c r="EP99" s="98"/>
      <c r="EQ99" s="98"/>
    </row>
    <row r="100" spans="1:147" x14ac:dyDescent="0.25">
      <c r="A100" s="96"/>
      <c r="B100" s="96"/>
      <c r="C100" s="97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7"/>
      <c r="AB100" s="97"/>
      <c r="AC100" s="97"/>
      <c r="AD100" s="97"/>
      <c r="AE100" s="97"/>
      <c r="AF100" s="97"/>
      <c r="AG100" s="97"/>
      <c r="AH100" s="97"/>
      <c r="AI100" s="97"/>
      <c r="AJ100" s="97"/>
      <c r="AK100" s="97"/>
      <c r="AL100" s="97"/>
      <c r="AM100" s="97"/>
      <c r="AN100" s="97"/>
      <c r="AO100" s="97"/>
      <c r="AP100" s="97"/>
      <c r="AQ100" s="97"/>
      <c r="AR100" s="97"/>
      <c r="AS100" s="97"/>
      <c r="AT100" s="97"/>
      <c r="AU100" s="97"/>
      <c r="AV100" s="97"/>
      <c r="AW100" s="97"/>
      <c r="AX100" s="97"/>
      <c r="AY100" s="97"/>
      <c r="AZ100" s="97"/>
      <c r="BA100" s="97"/>
      <c r="BB100" s="97"/>
      <c r="BC100" s="97"/>
      <c r="BD100" s="97"/>
      <c r="BE100" s="97"/>
      <c r="BF100" s="97"/>
      <c r="BG100" s="97"/>
      <c r="BH100" s="97"/>
      <c r="BI100" s="97"/>
      <c r="BJ100" s="97"/>
      <c r="BK100" s="97"/>
      <c r="BL100" s="97"/>
      <c r="BM100" s="97"/>
      <c r="BN100" s="98"/>
      <c r="BO100" s="98"/>
      <c r="BP100" s="98"/>
      <c r="BQ100" s="98"/>
      <c r="BR100" s="98"/>
      <c r="BS100" s="98"/>
      <c r="BT100" s="98"/>
      <c r="BU100" s="98"/>
      <c r="BV100" s="98"/>
      <c r="BW100" s="98"/>
      <c r="BX100" s="98"/>
      <c r="BY100" s="98"/>
      <c r="BZ100" s="98"/>
      <c r="CA100" s="98"/>
      <c r="CB100" s="98"/>
      <c r="CC100" s="98"/>
      <c r="CD100" s="98"/>
      <c r="CE100" s="98"/>
      <c r="CF100" s="98"/>
      <c r="CG100" s="98"/>
      <c r="CH100" s="98"/>
      <c r="CI100" s="98"/>
      <c r="CJ100" s="98"/>
      <c r="CK100" s="98"/>
      <c r="CL100" s="98"/>
      <c r="CM100" s="98"/>
      <c r="CN100" s="98"/>
      <c r="CO100" s="98"/>
      <c r="CP100" s="98"/>
      <c r="CQ100" s="98"/>
      <c r="CR100" s="98"/>
      <c r="CS100" s="98"/>
      <c r="CT100" s="98"/>
      <c r="CU100" s="98"/>
      <c r="CV100" s="98"/>
      <c r="CW100" s="98"/>
      <c r="CX100" s="98"/>
      <c r="CY100" s="98"/>
      <c r="CZ100" s="98"/>
      <c r="DA100" s="98"/>
      <c r="DB100" s="98"/>
      <c r="DC100" s="98"/>
      <c r="DD100" s="98"/>
      <c r="DE100" s="98"/>
      <c r="DF100" s="98"/>
      <c r="DG100" s="98"/>
      <c r="DH100" s="98"/>
      <c r="DI100" s="98"/>
      <c r="DJ100" s="98"/>
      <c r="DK100" s="98"/>
      <c r="DL100" s="98"/>
      <c r="DM100" s="98"/>
      <c r="DN100" s="98"/>
      <c r="DO100" s="98"/>
      <c r="DP100" s="98"/>
      <c r="DQ100" s="98"/>
      <c r="DR100" s="98"/>
      <c r="DS100" s="98"/>
      <c r="DT100" s="98"/>
      <c r="DU100" s="98"/>
      <c r="DV100" s="98"/>
      <c r="DW100" s="98"/>
      <c r="DX100" s="98"/>
      <c r="DY100" s="98"/>
      <c r="DZ100" s="98"/>
      <c r="EA100" s="98"/>
      <c r="EB100" s="98"/>
      <c r="EC100" s="98"/>
      <c r="ED100" s="98"/>
      <c r="EE100" s="98"/>
      <c r="EF100" s="98"/>
      <c r="EG100" s="98"/>
      <c r="EH100" s="98"/>
      <c r="EI100" s="98"/>
      <c r="EJ100" s="98"/>
      <c r="EK100" s="98"/>
      <c r="EL100" s="98"/>
      <c r="EM100" s="98"/>
      <c r="EN100" s="98"/>
      <c r="EO100" s="98"/>
      <c r="EP100" s="98"/>
      <c r="EQ100" s="98"/>
    </row>
    <row r="101" spans="1:147" x14ac:dyDescent="0.25">
      <c r="A101" s="96"/>
      <c r="B101" s="96"/>
      <c r="C101" s="97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  <c r="AA101" s="97"/>
      <c r="AB101" s="97"/>
      <c r="AC101" s="97"/>
      <c r="AD101" s="97"/>
      <c r="AE101" s="97"/>
      <c r="AF101" s="97"/>
      <c r="AG101" s="97"/>
      <c r="AH101" s="97"/>
      <c r="AI101" s="97"/>
      <c r="AJ101" s="97"/>
      <c r="AK101" s="97"/>
      <c r="AL101" s="97"/>
      <c r="AM101" s="97"/>
      <c r="AN101" s="97"/>
      <c r="AO101" s="97"/>
      <c r="AP101" s="97"/>
      <c r="AQ101" s="97"/>
      <c r="AR101" s="97"/>
      <c r="AS101" s="97"/>
      <c r="AT101" s="97"/>
      <c r="AU101" s="97"/>
      <c r="AV101" s="97"/>
      <c r="AW101" s="97"/>
      <c r="AX101" s="97"/>
      <c r="AY101" s="97"/>
      <c r="AZ101" s="97"/>
      <c r="BA101" s="97"/>
      <c r="BB101" s="97"/>
      <c r="BC101" s="97"/>
      <c r="BD101" s="97"/>
      <c r="BE101" s="97"/>
      <c r="BF101" s="97"/>
      <c r="BG101" s="97"/>
      <c r="BH101" s="97"/>
      <c r="BI101" s="97"/>
      <c r="BJ101" s="97"/>
      <c r="BK101" s="97"/>
      <c r="BL101" s="97"/>
      <c r="BM101" s="97"/>
      <c r="BN101" s="98"/>
      <c r="BO101" s="98"/>
      <c r="BP101" s="98"/>
      <c r="BQ101" s="98"/>
      <c r="BR101" s="98"/>
      <c r="BS101" s="98"/>
      <c r="BT101" s="98"/>
      <c r="BU101" s="98"/>
      <c r="BV101" s="98"/>
      <c r="BW101" s="98"/>
      <c r="BX101" s="98"/>
      <c r="BY101" s="98"/>
      <c r="BZ101" s="98"/>
      <c r="CA101" s="98"/>
      <c r="CB101" s="98"/>
      <c r="CC101" s="98"/>
      <c r="CD101" s="98"/>
      <c r="CE101" s="98"/>
      <c r="CF101" s="98"/>
      <c r="CG101" s="98"/>
      <c r="CH101" s="98"/>
      <c r="CI101" s="98"/>
      <c r="CJ101" s="98"/>
      <c r="CK101" s="98"/>
      <c r="CL101" s="98"/>
      <c r="CM101" s="98"/>
      <c r="CN101" s="98"/>
      <c r="CO101" s="98"/>
      <c r="CP101" s="98"/>
      <c r="CQ101" s="98"/>
      <c r="CR101" s="98"/>
      <c r="CS101" s="98"/>
      <c r="CT101" s="98"/>
      <c r="CU101" s="98"/>
      <c r="CV101" s="98"/>
      <c r="CW101" s="98"/>
      <c r="CX101" s="98"/>
      <c r="CY101" s="98"/>
      <c r="CZ101" s="98"/>
      <c r="DA101" s="98"/>
      <c r="DB101" s="98"/>
      <c r="DC101" s="98"/>
      <c r="DD101" s="98"/>
      <c r="DE101" s="98"/>
      <c r="DF101" s="98"/>
      <c r="DG101" s="98"/>
      <c r="DH101" s="98"/>
      <c r="DI101" s="98"/>
      <c r="DJ101" s="98"/>
      <c r="DK101" s="98"/>
      <c r="DL101" s="98"/>
      <c r="DM101" s="98"/>
      <c r="DN101" s="98"/>
      <c r="DO101" s="98"/>
      <c r="DP101" s="98"/>
      <c r="DQ101" s="98"/>
      <c r="DR101" s="98"/>
      <c r="DS101" s="98"/>
      <c r="DT101" s="98"/>
      <c r="DU101" s="98"/>
      <c r="DV101" s="98"/>
      <c r="DW101" s="98"/>
      <c r="DX101" s="98"/>
      <c r="DY101" s="98"/>
      <c r="DZ101" s="98"/>
      <c r="EA101" s="98"/>
      <c r="EB101" s="98"/>
      <c r="EC101" s="98"/>
      <c r="ED101" s="98"/>
      <c r="EE101" s="98"/>
      <c r="EF101" s="98"/>
      <c r="EG101" s="98"/>
      <c r="EH101" s="98"/>
      <c r="EI101" s="98"/>
      <c r="EJ101" s="98"/>
      <c r="EK101" s="98"/>
      <c r="EL101" s="98"/>
      <c r="EM101" s="98"/>
      <c r="EN101" s="98"/>
      <c r="EO101" s="98"/>
      <c r="EP101" s="98"/>
      <c r="EQ101" s="98"/>
    </row>
    <row r="102" spans="1:147" x14ac:dyDescent="0.25">
      <c r="A102" s="96"/>
      <c r="B102" s="96"/>
      <c r="C102" s="97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  <c r="AA102" s="97"/>
      <c r="AB102" s="97"/>
      <c r="AC102" s="97"/>
      <c r="AD102" s="97"/>
      <c r="AE102" s="97"/>
      <c r="AF102" s="97"/>
      <c r="AG102" s="97"/>
      <c r="AH102" s="97"/>
      <c r="AI102" s="97"/>
      <c r="AJ102" s="97"/>
      <c r="AK102" s="97"/>
      <c r="AL102" s="97"/>
      <c r="AM102" s="97"/>
      <c r="AN102" s="97"/>
      <c r="AO102" s="97"/>
      <c r="AP102" s="97"/>
      <c r="AQ102" s="97"/>
      <c r="AR102" s="97"/>
      <c r="AS102" s="97"/>
      <c r="AT102" s="97"/>
      <c r="AU102" s="97"/>
      <c r="AV102" s="97"/>
      <c r="AW102" s="97"/>
      <c r="AX102" s="97"/>
      <c r="AY102" s="97"/>
      <c r="AZ102" s="97"/>
      <c r="BA102" s="97"/>
      <c r="BB102" s="97"/>
      <c r="BC102" s="97"/>
      <c r="BD102" s="97"/>
      <c r="BE102" s="97"/>
      <c r="BF102" s="97"/>
      <c r="BG102" s="97"/>
      <c r="BH102" s="97"/>
      <c r="BI102" s="97"/>
      <c r="BJ102" s="97"/>
      <c r="BK102" s="97"/>
      <c r="BL102" s="97"/>
      <c r="BM102" s="97"/>
      <c r="BN102" s="98"/>
      <c r="BO102" s="98"/>
      <c r="BP102" s="98"/>
      <c r="BQ102" s="98"/>
      <c r="BR102" s="98"/>
      <c r="BS102" s="98"/>
      <c r="BT102" s="98"/>
      <c r="BU102" s="98"/>
      <c r="BV102" s="98"/>
      <c r="BW102" s="98"/>
      <c r="BX102" s="98"/>
      <c r="BY102" s="98"/>
      <c r="BZ102" s="98"/>
      <c r="CA102" s="98"/>
      <c r="CB102" s="98"/>
      <c r="CC102" s="98"/>
      <c r="CD102" s="98"/>
      <c r="CE102" s="98"/>
      <c r="CF102" s="98"/>
      <c r="CG102" s="98"/>
      <c r="CH102" s="98"/>
      <c r="CI102" s="98"/>
      <c r="CJ102" s="98"/>
      <c r="CK102" s="98"/>
      <c r="CL102" s="98"/>
      <c r="CM102" s="98"/>
      <c r="CN102" s="98"/>
      <c r="CO102" s="98"/>
      <c r="CP102" s="98"/>
      <c r="CQ102" s="98"/>
      <c r="CR102" s="98"/>
      <c r="CS102" s="98"/>
      <c r="CT102" s="98"/>
      <c r="CU102" s="98"/>
      <c r="CV102" s="98"/>
      <c r="CW102" s="98"/>
      <c r="CX102" s="98"/>
      <c r="CY102" s="98"/>
      <c r="CZ102" s="98"/>
      <c r="DA102" s="98"/>
      <c r="DB102" s="98"/>
      <c r="DC102" s="98"/>
      <c r="DD102" s="98"/>
      <c r="DE102" s="98"/>
      <c r="DF102" s="98"/>
      <c r="DG102" s="98"/>
      <c r="DH102" s="98"/>
      <c r="DI102" s="98"/>
      <c r="DJ102" s="98"/>
      <c r="DK102" s="98"/>
      <c r="DL102" s="98"/>
      <c r="DM102" s="98"/>
      <c r="DN102" s="98"/>
      <c r="DO102" s="98"/>
      <c r="DP102" s="98"/>
      <c r="DQ102" s="98"/>
      <c r="DR102" s="98"/>
      <c r="DS102" s="98"/>
      <c r="DT102" s="98"/>
      <c r="DU102" s="98"/>
      <c r="DV102" s="98"/>
      <c r="DW102" s="98"/>
      <c r="DX102" s="98"/>
      <c r="DY102" s="98"/>
      <c r="DZ102" s="98"/>
      <c r="EA102" s="98"/>
      <c r="EB102" s="98"/>
      <c r="EC102" s="98"/>
      <c r="ED102" s="98"/>
      <c r="EE102" s="98"/>
      <c r="EF102" s="98"/>
      <c r="EG102" s="98"/>
      <c r="EH102" s="98"/>
      <c r="EI102" s="98"/>
      <c r="EJ102" s="98"/>
      <c r="EK102" s="98"/>
      <c r="EL102" s="98"/>
      <c r="EM102" s="98"/>
      <c r="EN102" s="98"/>
      <c r="EO102" s="98"/>
      <c r="EP102" s="98"/>
      <c r="EQ102" s="98"/>
    </row>
    <row r="103" spans="1:147" x14ac:dyDescent="0.25">
      <c r="A103" s="96"/>
      <c r="B103" s="96"/>
      <c r="C103" s="97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  <c r="AA103" s="97"/>
      <c r="AB103" s="97"/>
      <c r="AC103" s="97"/>
      <c r="AD103" s="97"/>
      <c r="AE103" s="97"/>
      <c r="AF103" s="97"/>
      <c r="AG103" s="97"/>
      <c r="AH103" s="97"/>
      <c r="AI103" s="97"/>
      <c r="AJ103" s="97"/>
      <c r="AK103" s="97"/>
      <c r="AL103" s="97"/>
      <c r="AM103" s="97"/>
      <c r="AN103" s="97"/>
      <c r="AO103" s="97"/>
      <c r="AP103" s="97"/>
      <c r="AQ103" s="97"/>
      <c r="AR103" s="97"/>
      <c r="AS103" s="97"/>
      <c r="AT103" s="97"/>
      <c r="AU103" s="97"/>
      <c r="AV103" s="97"/>
      <c r="AW103" s="97"/>
      <c r="AX103" s="97"/>
      <c r="AY103" s="97"/>
      <c r="AZ103" s="97"/>
      <c r="BA103" s="97"/>
      <c r="BB103" s="97"/>
      <c r="BC103" s="97"/>
      <c r="BD103" s="97"/>
      <c r="BE103" s="97"/>
      <c r="BF103" s="97"/>
      <c r="BG103" s="97"/>
      <c r="BH103" s="97"/>
      <c r="BI103" s="97"/>
      <c r="BJ103" s="97"/>
      <c r="BK103" s="97"/>
      <c r="BL103" s="97"/>
      <c r="BM103" s="97"/>
      <c r="BN103" s="98"/>
      <c r="BO103" s="98"/>
      <c r="BP103" s="98"/>
      <c r="BQ103" s="98"/>
      <c r="BR103" s="98"/>
      <c r="BS103" s="98"/>
      <c r="BT103" s="98"/>
      <c r="BU103" s="98"/>
      <c r="BV103" s="98"/>
      <c r="BW103" s="98"/>
      <c r="BX103" s="98"/>
      <c r="BY103" s="98"/>
      <c r="BZ103" s="98"/>
      <c r="CA103" s="98"/>
      <c r="CB103" s="98"/>
      <c r="CC103" s="98"/>
      <c r="CD103" s="98"/>
      <c r="CE103" s="98"/>
      <c r="CF103" s="98"/>
      <c r="CG103" s="98"/>
      <c r="CH103" s="98"/>
      <c r="CI103" s="98"/>
      <c r="CJ103" s="98"/>
      <c r="CK103" s="98"/>
      <c r="CL103" s="98"/>
      <c r="CM103" s="98"/>
      <c r="CN103" s="98"/>
      <c r="CO103" s="98"/>
      <c r="CP103" s="98"/>
      <c r="CQ103" s="98"/>
      <c r="CR103" s="98"/>
      <c r="CS103" s="98"/>
      <c r="CT103" s="98"/>
      <c r="CU103" s="98"/>
      <c r="CV103" s="98"/>
      <c r="CW103" s="98"/>
      <c r="CX103" s="98"/>
      <c r="CY103" s="98"/>
      <c r="CZ103" s="98"/>
      <c r="DA103" s="98"/>
      <c r="DB103" s="98"/>
      <c r="DC103" s="98"/>
      <c r="DD103" s="98"/>
      <c r="DE103" s="98"/>
      <c r="DF103" s="98"/>
      <c r="DG103" s="98"/>
      <c r="DH103" s="98"/>
      <c r="DI103" s="98"/>
      <c r="DJ103" s="98"/>
      <c r="DK103" s="98"/>
      <c r="DL103" s="98"/>
      <c r="DM103" s="98"/>
      <c r="DN103" s="98"/>
      <c r="DO103" s="98"/>
      <c r="DP103" s="98"/>
      <c r="DQ103" s="98"/>
      <c r="DR103" s="98"/>
      <c r="DS103" s="98"/>
      <c r="DT103" s="98"/>
      <c r="DU103" s="98"/>
      <c r="DV103" s="98"/>
      <c r="DW103" s="98"/>
      <c r="DX103" s="98"/>
      <c r="DY103" s="98"/>
      <c r="DZ103" s="98"/>
      <c r="EA103" s="98"/>
      <c r="EB103" s="98"/>
      <c r="EC103" s="98"/>
      <c r="ED103" s="98"/>
      <c r="EE103" s="98"/>
      <c r="EF103" s="98"/>
      <c r="EG103" s="98"/>
      <c r="EH103" s="98"/>
      <c r="EI103" s="98"/>
      <c r="EJ103" s="98"/>
      <c r="EK103" s="98"/>
      <c r="EL103" s="98"/>
      <c r="EM103" s="98"/>
      <c r="EN103" s="98"/>
      <c r="EO103" s="98"/>
      <c r="EP103" s="98"/>
      <c r="EQ103" s="98"/>
    </row>
    <row r="104" spans="1:147" x14ac:dyDescent="0.25">
      <c r="A104" s="96"/>
      <c r="B104" s="96"/>
      <c r="C104" s="97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  <c r="AA104" s="97"/>
      <c r="AB104" s="97"/>
      <c r="AC104" s="97"/>
      <c r="AD104" s="97"/>
      <c r="AE104" s="97"/>
      <c r="AF104" s="97"/>
      <c r="AG104" s="97"/>
      <c r="AH104" s="97"/>
      <c r="AI104" s="97"/>
      <c r="AJ104" s="97"/>
      <c r="AK104" s="97"/>
      <c r="AL104" s="97"/>
      <c r="AM104" s="97"/>
      <c r="AN104" s="97"/>
      <c r="AO104" s="97"/>
      <c r="AP104" s="97"/>
      <c r="AQ104" s="97"/>
      <c r="AR104" s="97"/>
      <c r="AS104" s="97"/>
      <c r="AT104" s="97"/>
      <c r="AU104" s="97"/>
      <c r="AV104" s="97"/>
      <c r="AW104" s="97"/>
      <c r="AX104" s="97"/>
      <c r="AY104" s="97"/>
      <c r="AZ104" s="97"/>
      <c r="BA104" s="97"/>
      <c r="BB104" s="97"/>
      <c r="BC104" s="97"/>
      <c r="BD104" s="97"/>
      <c r="BE104" s="97"/>
      <c r="BF104" s="97"/>
      <c r="BG104" s="97"/>
      <c r="BH104" s="97"/>
      <c r="BI104" s="97"/>
      <c r="BJ104" s="97"/>
      <c r="BK104" s="97"/>
      <c r="BL104" s="97"/>
      <c r="BM104" s="97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</row>
    <row r="105" spans="1:147" x14ac:dyDescent="0.25">
      <c r="A105" s="96"/>
      <c r="B105" s="96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O105" s="97"/>
      <c r="AP105" s="97"/>
      <c r="AQ105" s="97"/>
      <c r="AR105" s="97"/>
      <c r="AS105" s="97"/>
      <c r="AT105" s="97"/>
      <c r="AU105" s="97"/>
      <c r="AV105" s="97"/>
      <c r="AW105" s="97"/>
      <c r="AX105" s="97"/>
      <c r="AY105" s="97"/>
      <c r="AZ105" s="97"/>
      <c r="BA105" s="97"/>
      <c r="BB105" s="97"/>
      <c r="BC105" s="97"/>
      <c r="BD105" s="97"/>
      <c r="BE105" s="97"/>
      <c r="BF105" s="97"/>
      <c r="BG105" s="97"/>
      <c r="BH105" s="97"/>
      <c r="BI105" s="97"/>
      <c r="BJ105" s="97"/>
      <c r="BK105" s="97"/>
      <c r="BL105" s="97"/>
      <c r="BM105" s="97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</row>
    <row r="106" spans="1:147" x14ac:dyDescent="0.25">
      <c r="A106" s="96"/>
      <c r="B106" s="96"/>
      <c r="C106" s="97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7"/>
      <c r="AB106" s="97"/>
      <c r="AC106" s="97"/>
      <c r="AD106" s="97"/>
      <c r="AE106" s="97"/>
      <c r="AF106" s="97"/>
      <c r="AG106" s="97"/>
      <c r="AH106" s="97"/>
      <c r="AI106" s="97"/>
      <c r="AJ106" s="97"/>
      <c r="AK106" s="97"/>
      <c r="AL106" s="97"/>
      <c r="AM106" s="97"/>
      <c r="AN106" s="97"/>
      <c r="AO106" s="97"/>
      <c r="AP106" s="97"/>
      <c r="AQ106" s="97"/>
      <c r="AR106" s="97"/>
      <c r="AS106" s="97"/>
      <c r="AT106" s="97"/>
      <c r="AU106" s="97"/>
      <c r="AV106" s="97"/>
      <c r="AW106" s="97"/>
      <c r="AX106" s="97"/>
      <c r="AY106" s="97"/>
      <c r="AZ106" s="97"/>
      <c r="BA106" s="97"/>
      <c r="BB106" s="97"/>
      <c r="BC106" s="97"/>
      <c r="BD106" s="97"/>
      <c r="BE106" s="97"/>
      <c r="BF106" s="97"/>
      <c r="BG106" s="97"/>
      <c r="BH106" s="97"/>
      <c r="BI106" s="97"/>
      <c r="BJ106" s="97"/>
      <c r="BK106" s="97"/>
      <c r="BL106" s="97"/>
      <c r="BM106" s="97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</row>
    <row r="107" spans="1:147" x14ac:dyDescent="0.25">
      <c r="A107" s="96"/>
      <c r="B107" s="96"/>
      <c r="C107" s="97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7"/>
      <c r="AB107" s="97"/>
      <c r="AC107" s="97"/>
      <c r="AD107" s="97"/>
      <c r="AE107" s="97"/>
      <c r="AF107" s="97"/>
      <c r="AG107" s="97"/>
      <c r="AH107" s="97"/>
      <c r="AI107" s="97"/>
      <c r="AJ107" s="97"/>
      <c r="AK107" s="97"/>
      <c r="AL107" s="97"/>
      <c r="AM107" s="97"/>
      <c r="AN107" s="97"/>
      <c r="AO107" s="97"/>
      <c r="AP107" s="97"/>
      <c r="AQ107" s="97"/>
      <c r="AR107" s="97"/>
      <c r="AS107" s="97"/>
      <c r="AT107" s="97"/>
      <c r="AU107" s="97"/>
      <c r="AV107" s="97"/>
      <c r="AW107" s="97"/>
      <c r="AX107" s="97"/>
      <c r="AY107" s="97"/>
      <c r="AZ107" s="97"/>
      <c r="BA107" s="97"/>
      <c r="BB107" s="97"/>
      <c r="BC107" s="97"/>
      <c r="BD107" s="97"/>
      <c r="BE107" s="97"/>
      <c r="BF107" s="97"/>
      <c r="BG107" s="97"/>
      <c r="BH107" s="97"/>
      <c r="BI107" s="97"/>
      <c r="BJ107" s="97"/>
      <c r="BK107" s="97"/>
      <c r="BL107" s="97"/>
      <c r="BM107" s="97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</row>
    <row r="108" spans="1:147" x14ac:dyDescent="0.25">
      <c r="A108" s="96"/>
      <c r="B108" s="96"/>
      <c r="C108" s="97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  <c r="AA108" s="97"/>
      <c r="AB108" s="97"/>
      <c r="AC108" s="97"/>
      <c r="AD108" s="97"/>
      <c r="AE108" s="97"/>
      <c r="AF108" s="97"/>
      <c r="AG108" s="97"/>
      <c r="AH108" s="97"/>
      <c r="AI108" s="97"/>
      <c r="AJ108" s="97"/>
      <c r="AK108" s="97"/>
      <c r="AL108" s="97"/>
      <c r="AM108" s="97"/>
      <c r="AN108" s="97"/>
      <c r="AO108" s="97"/>
      <c r="AP108" s="97"/>
      <c r="AQ108" s="97"/>
      <c r="AR108" s="97"/>
      <c r="AS108" s="97"/>
      <c r="AT108" s="97"/>
      <c r="AU108" s="97"/>
      <c r="AV108" s="97"/>
      <c r="AW108" s="97"/>
      <c r="AX108" s="97"/>
      <c r="AY108" s="97"/>
      <c r="AZ108" s="97"/>
      <c r="BA108" s="97"/>
      <c r="BB108" s="97"/>
      <c r="BC108" s="97"/>
      <c r="BD108" s="97"/>
      <c r="BE108" s="97"/>
      <c r="BF108" s="97"/>
      <c r="BG108" s="97"/>
      <c r="BH108" s="97"/>
      <c r="BI108" s="97"/>
      <c r="BJ108" s="97"/>
      <c r="BK108" s="97"/>
      <c r="BL108" s="97"/>
      <c r="BM108" s="97"/>
      <c r="BN108" s="98"/>
      <c r="BO108" s="98"/>
      <c r="BP108" s="98"/>
      <c r="BQ108" s="98"/>
      <c r="BR108" s="98"/>
      <c r="BS108" s="98"/>
      <c r="BT108" s="98"/>
      <c r="BU108" s="98"/>
      <c r="BV108" s="98"/>
      <c r="BW108" s="98"/>
      <c r="BX108" s="98"/>
      <c r="BY108" s="98"/>
      <c r="BZ108" s="98"/>
      <c r="CA108" s="98"/>
      <c r="CB108" s="98"/>
      <c r="CC108" s="98"/>
      <c r="CD108" s="98"/>
      <c r="CE108" s="98"/>
      <c r="CF108" s="98"/>
      <c r="CG108" s="98"/>
      <c r="CH108" s="98"/>
      <c r="CI108" s="98"/>
      <c r="CJ108" s="98"/>
      <c r="CK108" s="98"/>
      <c r="CL108" s="98"/>
      <c r="CM108" s="98"/>
      <c r="CN108" s="98"/>
      <c r="CO108" s="98"/>
      <c r="CP108" s="98"/>
      <c r="CQ108" s="98"/>
      <c r="CR108" s="98"/>
      <c r="CS108" s="98"/>
      <c r="CT108" s="98"/>
      <c r="CU108" s="98"/>
      <c r="CV108" s="98"/>
      <c r="CW108" s="98"/>
      <c r="CX108" s="98"/>
      <c r="CY108" s="98"/>
      <c r="CZ108" s="98"/>
      <c r="DA108" s="98"/>
      <c r="DB108" s="98"/>
      <c r="DC108" s="98"/>
      <c r="DD108" s="98"/>
      <c r="DE108" s="98"/>
      <c r="DF108" s="98"/>
      <c r="DG108" s="98"/>
      <c r="DH108" s="98"/>
      <c r="DI108" s="98"/>
      <c r="DJ108" s="98"/>
      <c r="DK108" s="98"/>
      <c r="DL108" s="98"/>
      <c r="DM108" s="98"/>
      <c r="DN108" s="98"/>
      <c r="DO108" s="98"/>
      <c r="DP108" s="98"/>
      <c r="DQ108" s="98"/>
      <c r="DR108" s="98"/>
      <c r="DS108" s="98"/>
      <c r="DT108" s="98"/>
      <c r="DU108" s="98"/>
      <c r="DV108" s="98"/>
      <c r="DW108" s="98"/>
      <c r="DX108" s="98"/>
      <c r="DY108" s="98"/>
      <c r="DZ108" s="98"/>
      <c r="EA108" s="98"/>
      <c r="EB108" s="98"/>
      <c r="EC108" s="98"/>
      <c r="ED108" s="98"/>
      <c r="EE108" s="98"/>
      <c r="EF108" s="98"/>
      <c r="EG108" s="98"/>
      <c r="EH108" s="98"/>
      <c r="EI108" s="98"/>
      <c r="EJ108" s="98"/>
      <c r="EK108" s="98"/>
      <c r="EL108" s="98"/>
      <c r="EM108" s="98"/>
      <c r="EN108" s="98"/>
      <c r="EO108" s="98"/>
      <c r="EP108" s="98"/>
      <c r="EQ108" s="98"/>
    </row>
    <row r="109" spans="1:147" x14ac:dyDescent="0.25">
      <c r="A109" s="96"/>
      <c r="B109" s="96"/>
      <c r="C109" s="97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  <c r="AA109" s="97"/>
      <c r="AB109" s="97"/>
      <c r="AC109" s="97"/>
      <c r="AD109" s="97"/>
      <c r="AE109" s="97"/>
      <c r="AF109" s="97"/>
      <c r="AG109" s="97"/>
      <c r="AH109" s="97"/>
      <c r="AI109" s="97"/>
      <c r="AJ109" s="97"/>
      <c r="AK109" s="97"/>
      <c r="AL109" s="97"/>
      <c r="AM109" s="97"/>
      <c r="AN109" s="97"/>
      <c r="AO109" s="97"/>
      <c r="AP109" s="97"/>
      <c r="AQ109" s="97"/>
      <c r="AR109" s="97"/>
      <c r="AS109" s="97"/>
      <c r="AT109" s="97"/>
      <c r="AU109" s="97"/>
      <c r="AV109" s="97"/>
      <c r="AW109" s="97"/>
      <c r="AX109" s="97"/>
      <c r="AY109" s="97"/>
      <c r="AZ109" s="97"/>
      <c r="BA109" s="97"/>
      <c r="BB109" s="97"/>
      <c r="BC109" s="97"/>
      <c r="BD109" s="97"/>
      <c r="BE109" s="97"/>
      <c r="BF109" s="97"/>
      <c r="BG109" s="97"/>
      <c r="BH109" s="97"/>
      <c r="BI109" s="97"/>
      <c r="BJ109" s="97"/>
      <c r="BK109" s="97"/>
      <c r="BL109" s="97"/>
      <c r="BM109" s="97"/>
      <c r="BN109" s="98"/>
      <c r="BO109" s="98"/>
      <c r="BP109" s="98"/>
      <c r="BQ109" s="98"/>
      <c r="BR109" s="98"/>
      <c r="BS109" s="98"/>
      <c r="BT109" s="98"/>
      <c r="BU109" s="98"/>
      <c r="BV109" s="98"/>
      <c r="BW109" s="98"/>
      <c r="BX109" s="98"/>
      <c r="BY109" s="98"/>
      <c r="BZ109" s="98"/>
      <c r="CA109" s="98"/>
      <c r="CB109" s="98"/>
      <c r="CC109" s="98"/>
      <c r="CD109" s="98"/>
      <c r="CE109" s="98"/>
      <c r="CF109" s="98"/>
      <c r="CG109" s="98"/>
      <c r="CH109" s="98"/>
      <c r="CI109" s="98"/>
      <c r="CJ109" s="98"/>
      <c r="CK109" s="98"/>
      <c r="CL109" s="98"/>
      <c r="CM109" s="98"/>
      <c r="CN109" s="98"/>
      <c r="CO109" s="98"/>
      <c r="CP109" s="98"/>
      <c r="CQ109" s="98"/>
      <c r="CR109" s="98"/>
      <c r="CS109" s="98"/>
      <c r="CT109" s="98"/>
      <c r="CU109" s="98"/>
      <c r="CV109" s="98"/>
      <c r="CW109" s="98"/>
      <c r="CX109" s="98"/>
      <c r="CY109" s="98"/>
      <c r="CZ109" s="98"/>
      <c r="DA109" s="98"/>
      <c r="DB109" s="98"/>
      <c r="DC109" s="98"/>
      <c r="DD109" s="98"/>
      <c r="DE109" s="98"/>
      <c r="DF109" s="98"/>
      <c r="DG109" s="98"/>
      <c r="DH109" s="98"/>
      <c r="DI109" s="98"/>
      <c r="DJ109" s="98"/>
      <c r="DK109" s="98"/>
      <c r="DL109" s="98"/>
      <c r="DM109" s="98"/>
      <c r="DN109" s="98"/>
      <c r="DO109" s="98"/>
      <c r="DP109" s="98"/>
      <c r="DQ109" s="98"/>
      <c r="DR109" s="98"/>
      <c r="DS109" s="98"/>
      <c r="DT109" s="98"/>
      <c r="DU109" s="98"/>
      <c r="DV109" s="98"/>
      <c r="DW109" s="98"/>
      <c r="DX109" s="98"/>
      <c r="DY109" s="98"/>
      <c r="DZ109" s="98"/>
      <c r="EA109" s="98"/>
      <c r="EB109" s="98"/>
      <c r="EC109" s="98"/>
      <c r="ED109" s="98"/>
      <c r="EE109" s="98"/>
      <c r="EF109" s="98"/>
      <c r="EG109" s="98"/>
      <c r="EH109" s="98"/>
      <c r="EI109" s="98"/>
      <c r="EJ109" s="98"/>
      <c r="EK109" s="98"/>
      <c r="EL109" s="98"/>
      <c r="EM109" s="98"/>
      <c r="EN109" s="98"/>
      <c r="EO109" s="98"/>
      <c r="EP109" s="98"/>
      <c r="EQ109" s="98"/>
    </row>
    <row r="110" spans="1:147" x14ac:dyDescent="0.25">
      <c r="A110" s="96"/>
      <c r="B110" s="96"/>
      <c r="C110" s="97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  <c r="AA110" s="97"/>
      <c r="AB110" s="97"/>
      <c r="AC110" s="97"/>
      <c r="AD110" s="97"/>
      <c r="AE110" s="97"/>
      <c r="AF110" s="97"/>
      <c r="AG110" s="97"/>
      <c r="AH110" s="97"/>
      <c r="AI110" s="97"/>
      <c r="AJ110" s="97"/>
      <c r="AK110" s="97"/>
      <c r="AL110" s="97"/>
      <c r="AM110" s="97"/>
      <c r="AN110" s="97"/>
      <c r="AO110" s="97"/>
      <c r="AP110" s="97"/>
      <c r="AQ110" s="97"/>
      <c r="AR110" s="97"/>
      <c r="AS110" s="97"/>
      <c r="AT110" s="97"/>
      <c r="AU110" s="97"/>
      <c r="AV110" s="97"/>
      <c r="AW110" s="97"/>
      <c r="AX110" s="97"/>
      <c r="AY110" s="97"/>
      <c r="AZ110" s="97"/>
      <c r="BA110" s="97"/>
      <c r="BB110" s="97"/>
      <c r="BC110" s="97"/>
      <c r="BD110" s="97"/>
      <c r="BE110" s="97"/>
      <c r="BF110" s="97"/>
      <c r="BG110" s="97"/>
      <c r="BH110" s="97"/>
      <c r="BI110" s="97"/>
      <c r="BJ110" s="97"/>
      <c r="BK110" s="97"/>
      <c r="BL110" s="97"/>
      <c r="BM110" s="97"/>
      <c r="BN110" s="98"/>
      <c r="BO110" s="98"/>
      <c r="BP110" s="98"/>
      <c r="BQ110" s="98"/>
      <c r="BR110" s="98"/>
      <c r="BS110" s="98"/>
      <c r="BT110" s="98"/>
      <c r="BU110" s="98"/>
      <c r="BV110" s="98"/>
      <c r="BW110" s="98"/>
      <c r="BX110" s="98"/>
      <c r="BY110" s="98"/>
      <c r="BZ110" s="98"/>
      <c r="CA110" s="98"/>
      <c r="CB110" s="98"/>
      <c r="CC110" s="98"/>
      <c r="CD110" s="98"/>
      <c r="CE110" s="98"/>
      <c r="CF110" s="98"/>
      <c r="CG110" s="98"/>
      <c r="CH110" s="98"/>
      <c r="CI110" s="98"/>
      <c r="CJ110" s="98"/>
      <c r="CK110" s="98"/>
      <c r="CL110" s="98"/>
      <c r="CM110" s="98"/>
      <c r="CN110" s="98"/>
      <c r="CO110" s="98"/>
      <c r="CP110" s="98"/>
      <c r="CQ110" s="98"/>
      <c r="CR110" s="98"/>
      <c r="CS110" s="98"/>
      <c r="CT110" s="98"/>
      <c r="CU110" s="98"/>
      <c r="CV110" s="98"/>
      <c r="CW110" s="98"/>
      <c r="CX110" s="98"/>
      <c r="CY110" s="98"/>
      <c r="CZ110" s="98"/>
      <c r="DA110" s="98"/>
      <c r="DB110" s="98"/>
      <c r="DC110" s="98"/>
      <c r="DD110" s="98"/>
      <c r="DE110" s="98"/>
      <c r="DF110" s="98"/>
      <c r="DG110" s="98"/>
      <c r="DH110" s="98"/>
      <c r="DI110" s="98"/>
      <c r="DJ110" s="98"/>
      <c r="DK110" s="98"/>
      <c r="DL110" s="98"/>
      <c r="DM110" s="98"/>
      <c r="DN110" s="98"/>
      <c r="DO110" s="98"/>
      <c r="DP110" s="98"/>
      <c r="DQ110" s="98"/>
      <c r="DR110" s="98"/>
      <c r="DS110" s="98"/>
      <c r="DT110" s="98"/>
      <c r="DU110" s="98"/>
      <c r="DV110" s="98"/>
      <c r="DW110" s="98"/>
      <c r="DX110" s="98"/>
      <c r="DY110" s="98"/>
      <c r="DZ110" s="98"/>
      <c r="EA110" s="98"/>
      <c r="EB110" s="98"/>
      <c r="EC110" s="98"/>
      <c r="ED110" s="98"/>
      <c r="EE110" s="98"/>
      <c r="EF110" s="98"/>
      <c r="EG110" s="98"/>
      <c r="EH110" s="98"/>
      <c r="EI110" s="98"/>
      <c r="EJ110" s="98"/>
      <c r="EK110" s="98"/>
      <c r="EL110" s="98"/>
      <c r="EM110" s="98"/>
      <c r="EN110" s="98"/>
      <c r="EO110" s="98"/>
      <c r="EP110" s="98"/>
      <c r="EQ110" s="98"/>
    </row>
    <row r="111" spans="1:147" x14ac:dyDescent="0.25">
      <c r="A111" s="96"/>
      <c r="B111" s="96"/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  <c r="AA111" s="97"/>
      <c r="AB111" s="97"/>
      <c r="AC111" s="97"/>
      <c r="AD111" s="97"/>
      <c r="AE111" s="97"/>
      <c r="AF111" s="97"/>
      <c r="AG111" s="97"/>
      <c r="AH111" s="97"/>
      <c r="AI111" s="97"/>
      <c r="AJ111" s="97"/>
      <c r="AK111" s="97"/>
      <c r="AL111" s="97"/>
      <c r="AM111" s="97"/>
      <c r="AN111" s="97"/>
      <c r="AO111" s="97"/>
      <c r="AP111" s="97"/>
      <c r="AQ111" s="97"/>
      <c r="AR111" s="97"/>
      <c r="AS111" s="97"/>
      <c r="AT111" s="97"/>
      <c r="AU111" s="97"/>
      <c r="AV111" s="97"/>
      <c r="AW111" s="97"/>
      <c r="AX111" s="97"/>
      <c r="AY111" s="97"/>
      <c r="AZ111" s="97"/>
      <c r="BA111" s="97"/>
      <c r="BB111" s="97"/>
      <c r="BC111" s="97"/>
      <c r="BD111" s="97"/>
      <c r="BE111" s="97"/>
      <c r="BF111" s="97"/>
      <c r="BG111" s="97"/>
      <c r="BH111" s="97"/>
      <c r="BI111" s="97"/>
      <c r="BJ111" s="97"/>
      <c r="BK111" s="97"/>
      <c r="BL111" s="97"/>
      <c r="BM111" s="97"/>
      <c r="BN111" s="98"/>
      <c r="BO111" s="98"/>
      <c r="BP111" s="98"/>
      <c r="BQ111" s="98"/>
      <c r="BR111" s="98"/>
      <c r="BS111" s="98"/>
      <c r="BT111" s="98"/>
      <c r="BU111" s="98"/>
      <c r="BV111" s="98"/>
      <c r="BW111" s="98"/>
      <c r="BX111" s="98"/>
      <c r="BY111" s="98"/>
      <c r="BZ111" s="98"/>
      <c r="CA111" s="98"/>
      <c r="CB111" s="98"/>
      <c r="CC111" s="98"/>
      <c r="CD111" s="98"/>
      <c r="CE111" s="98"/>
      <c r="CF111" s="98"/>
      <c r="CG111" s="98"/>
      <c r="CH111" s="98"/>
      <c r="CI111" s="98"/>
      <c r="CJ111" s="98"/>
      <c r="CK111" s="98"/>
      <c r="CL111" s="98"/>
      <c r="CM111" s="98"/>
      <c r="CN111" s="98"/>
      <c r="CO111" s="98"/>
      <c r="CP111" s="98"/>
      <c r="CQ111" s="98"/>
      <c r="CR111" s="98"/>
      <c r="CS111" s="98"/>
      <c r="CT111" s="98"/>
      <c r="CU111" s="98"/>
      <c r="CV111" s="98"/>
      <c r="CW111" s="98"/>
      <c r="CX111" s="98"/>
      <c r="CY111" s="98"/>
      <c r="CZ111" s="98"/>
      <c r="DA111" s="98"/>
      <c r="DB111" s="98"/>
      <c r="DC111" s="98"/>
      <c r="DD111" s="98"/>
      <c r="DE111" s="98"/>
      <c r="DF111" s="98"/>
      <c r="DG111" s="98"/>
      <c r="DH111" s="98"/>
      <c r="DI111" s="98"/>
      <c r="DJ111" s="98"/>
      <c r="DK111" s="98"/>
      <c r="DL111" s="98"/>
      <c r="DM111" s="98"/>
      <c r="DN111" s="98"/>
      <c r="DO111" s="98"/>
      <c r="DP111" s="98"/>
      <c r="DQ111" s="98"/>
      <c r="DR111" s="98"/>
      <c r="DS111" s="98"/>
      <c r="DT111" s="98"/>
      <c r="DU111" s="98"/>
      <c r="DV111" s="98"/>
      <c r="DW111" s="98"/>
      <c r="DX111" s="98"/>
      <c r="DY111" s="98"/>
      <c r="DZ111" s="98"/>
      <c r="EA111" s="98"/>
      <c r="EB111" s="98"/>
      <c r="EC111" s="98"/>
      <c r="ED111" s="98"/>
      <c r="EE111" s="98"/>
      <c r="EF111" s="98"/>
      <c r="EG111" s="98"/>
      <c r="EH111" s="98"/>
      <c r="EI111" s="98"/>
      <c r="EJ111" s="98"/>
      <c r="EK111" s="98"/>
      <c r="EL111" s="98"/>
      <c r="EM111" s="98"/>
      <c r="EN111" s="98"/>
      <c r="EO111" s="98"/>
      <c r="EP111" s="98"/>
      <c r="EQ111" s="98"/>
    </row>
    <row r="112" spans="1:147" x14ac:dyDescent="0.25">
      <c r="A112" s="96"/>
      <c r="B112" s="96"/>
      <c r="C112" s="97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  <c r="AA112" s="97"/>
      <c r="AB112" s="97"/>
      <c r="AC112" s="97"/>
      <c r="AD112" s="97"/>
      <c r="AE112" s="97"/>
      <c r="AF112" s="97"/>
      <c r="AG112" s="97"/>
      <c r="AH112" s="97"/>
      <c r="AI112" s="97"/>
      <c r="AJ112" s="97"/>
      <c r="AK112" s="97"/>
      <c r="AL112" s="97"/>
      <c r="AM112" s="97"/>
      <c r="AN112" s="97"/>
      <c r="AO112" s="97"/>
      <c r="AP112" s="97"/>
      <c r="AQ112" s="97"/>
      <c r="AR112" s="97"/>
      <c r="AS112" s="97"/>
      <c r="AT112" s="97"/>
      <c r="AU112" s="97"/>
      <c r="AV112" s="97"/>
      <c r="AW112" s="97"/>
      <c r="AX112" s="97"/>
      <c r="AY112" s="97"/>
      <c r="AZ112" s="97"/>
      <c r="BA112" s="97"/>
      <c r="BB112" s="97"/>
      <c r="BC112" s="97"/>
      <c r="BD112" s="97"/>
      <c r="BE112" s="97"/>
      <c r="BF112" s="97"/>
      <c r="BG112" s="97"/>
      <c r="BH112" s="97"/>
      <c r="BI112" s="97"/>
      <c r="BJ112" s="97"/>
      <c r="BK112" s="97"/>
      <c r="BL112" s="97"/>
      <c r="BM112" s="97"/>
      <c r="BN112" s="98"/>
      <c r="BO112" s="98"/>
      <c r="BP112" s="98"/>
      <c r="BQ112" s="98"/>
      <c r="BR112" s="98"/>
      <c r="BS112" s="98"/>
      <c r="BT112" s="98"/>
      <c r="BU112" s="98"/>
      <c r="BV112" s="98"/>
      <c r="BW112" s="98"/>
      <c r="BX112" s="98"/>
      <c r="BY112" s="98"/>
      <c r="BZ112" s="98"/>
      <c r="CA112" s="98"/>
      <c r="CB112" s="98"/>
      <c r="CC112" s="98"/>
      <c r="CD112" s="98"/>
      <c r="CE112" s="98"/>
      <c r="CF112" s="98"/>
      <c r="CG112" s="98"/>
      <c r="CH112" s="98"/>
      <c r="CI112" s="98"/>
      <c r="CJ112" s="98"/>
      <c r="CK112" s="98"/>
      <c r="CL112" s="98"/>
      <c r="CM112" s="98"/>
      <c r="CN112" s="98"/>
      <c r="CO112" s="98"/>
      <c r="CP112" s="98"/>
      <c r="CQ112" s="98"/>
      <c r="CR112" s="98"/>
      <c r="CS112" s="98"/>
      <c r="CT112" s="98"/>
      <c r="CU112" s="98"/>
      <c r="CV112" s="98"/>
      <c r="CW112" s="98"/>
      <c r="CX112" s="98"/>
      <c r="CY112" s="98"/>
      <c r="CZ112" s="98"/>
      <c r="DA112" s="98"/>
      <c r="DB112" s="98"/>
      <c r="DC112" s="98"/>
      <c r="DD112" s="98"/>
      <c r="DE112" s="98"/>
      <c r="DF112" s="98"/>
      <c r="DG112" s="98"/>
      <c r="DH112" s="98"/>
      <c r="DI112" s="98"/>
      <c r="DJ112" s="98"/>
      <c r="DK112" s="98"/>
      <c r="DL112" s="98"/>
      <c r="DM112" s="98"/>
      <c r="DN112" s="98"/>
      <c r="DO112" s="98"/>
      <c r="DP112" s="98"/>
      <c r="DQ112" s="98"/>
      <c r="DR112" s="98"/>
      <c r="DS112" s="98"/>
      <c r="DT112" s="98"/>
      <c r="DU112" s="98"/>
      <c r="DV112" s="98"/>
      <c r="DW112" s="98"/>
      <c r="DX112" s="98"/>
      <c r="DY112" s="98"/>
      <c r="DZ112" s="98"/>
      <c r="EA112" s="98"/>
      <c r="EB112" s="98"/>
      <c r="EC112" s="98"/>
      <c r="ED112" s="98"/>
      <c r="EE112" s="98"/>
      <c r="EF112" s="98"/>
      <c r="EG112" s="98"/>
      <c r="EH112" s="98"/>
      <c r="EI112" s="98"/>
      <c r="EJ112" s="98"/>
      <c r="EK112" s="98"/>
      <c r="EL112" s="98"/>
      <c r="EM112" s="98"/>
      <c r="EN112" s="98"/>
      <c r="EO112" s="98"/>
      <c r="EP112" s="98"/>
      <c r="EQ112" s="98"/>
    </row>
    <row r="113" spans="1:147" x14ac:dyDescent="0.25">
      <c r="A113" s="96"/>
      <c r="B113" s="96"/>
      <c r="C113" s="97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  <c r="AA113" s="97"/>
      <c r="AB113" s="97"/>
      <c r="AC113" s="97"/>
      <c r="AD113" s="97"/>
      <c r="AE113" s="97"/>
      <c r="AF113" s="97"/>
      <c r="AG113" s="97"/>
      <c r="AH113" s="97"/>
      <c r="AI113" s="97"/>
      <c r="AJ113" s="97"/>
      <c r="AK113" s="97"/>
      <c r="AL113" s="97"/>
      <c r="AM113" s="97"/>
      <c r="AN113" s="97"/>
      <c r="AO113" s="97"/>
      <c r="AP113" s="97"/>
      <c r="AQ113" s="97"/>
      <c r="AR113" s="97"/>
      <c r="AS113" s="97"/>
      <c r="AT113" s="97"/>
      <c r="AU113" s="97"/>
      <c r="AV113" s="97"/>
      <c r="AW113" s="97"/>
      <c r="AX113" s="97"/>
      <c r="AY113" s="97"/>
      <c r="AZ113" s="97"/>
      <c r="BA113" s="97"/>
      <c r="BB113" s="97"/>
      <c r="BC113" s="97"/>
      <c r="BD113" s="97"/>
      <c r="BE113" s="97"/>
      <c r="BF113" s="97"/>
      <c r="BG113" s="97"/>
      <c r="BH113" s="97"/>
      <c r="BI113" s="97"/>
      <c r="BJ113" s="97"/>
      <c r="BK113" s="97"/>
      <c r="BL113" s="97"/>
      <c r="BM113" s="97"/>
      <c r="BN113" s="98"/>
      <c r="BO113" s="98"/>
      <c r="BP113" s="98"/>
      <c r="BQ113" s="98"/>
      <c r="BR113" s="98"/>
      <c r="BS113" s="98"/>
      <c r="BT113" s="98"/>
      <c r="BU113" s="98"/>
      <c r="BV113" s="98"/>
      <c r="BW113" s="98"/>
      <c r="BX113" s="98"/>
      <c r="BY113" s="98"/>
      <c r="BZ113" s="98"/>
      <c r="CA113" s="98"/>
      <c r="CB113" s="98"/>
      <c r="CC113" s="98"/>
      <c r="CD113" s="98"/>
      <c r="CE113" s="98"/>
      <c r="CF113" s="98"/>
      <c r="CG113" s="98"/>
      <c r="CH113" s="98"/>
      <c r="CI113" s="98"/>
      <c r="CJ113" s="98"/>
      <c r="CK113" s="98"/>
      <c r="CL113" s="98"/>
      <c r="CM113" s="98"/>
      <c r="CN113" s="98"/>
      <c r="CO113" s="98"/>
      <c r="CP113" s="98"/>
      <c r="CQ113" s="98"/>
      <c r="CR113" s="98"/>
      <c r="CS113" s="98"/>
      <c r="CT113" s="98"/>
      <c r="CU113" s="98"/>
      <c r="CV113" s="98"/>
      <c r="CW113" s="98"/>
      <c r="CX113" s="98"/>
      <c r="CY113" s="98"/>
      <c r="CZ113" s="98"/>
      <c r="DA113" s="98"/>
      <c r="DB113" s="98"/>
      <c r="DC113" s="98"/>
      <c r="DD113" s="98"/>
      <c r="DE113" s="98"/>
      <c r="DF113" s="98"/>
      <c r="DG113" s="98"/>
      <c r="DH113" s="98"/>
      <c r="DI113" s="98"/>
      <c r="DJ113" s="98"/>
      <c r="DK113" s="98"/>
      <c r="DL113" s="98"/>
      <c r="DM113" s="98"/>
      <c r="DN113" s="98"/>
      <c r="DO113" s="98"/>
      <c r="DP113" s="98"/>
      <c r="DQ113" s="98"/>
      <c r="DR113" s="98"/>
      <c r="DS113" s="98"/>
      <c r="DT113" s="98"/>
      <c r="DU113" s="98"/>
      <c r="DV113" s="98"/>
      <c r="DW113" s="98"/>
      <c r="DX113" s="98"/>
      <c r="DY113" s="98"/>
      <c r="DZ113" s="98"/>
      <c r="EA113" s="98"/>
      <c r="EB113" s="98"/>
      <c r="EC113" s="98"/>
      <c r="ED113" s="98"/>
      <c r="EE113" s="98"/>
      <c r="EF113" s="98"/>
      <c r="EG113" s="98"/>
      <c r="EH113" s="98"/>
      <c r="EI113" s="98"/>
      <c r="EJ113" s="98"/>
      <c r="EK113" s="98"/>
      <c r="EL113" s="98"/>
      <c r="EM113" s="98"/>
      <c r="EN113" s="98"/>
      <c r="EO113" s="98"/>
      <c r="EP113" s="98"/>
      <c r="EQ113" s="98"/>
    </row>
    <row r="114" spans="1:147" x14ac:dyDescent="0.25">
      <c r="A114" s="96"/>
      <c r="B114" s="96"/>
      <c r="C114" s="97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7"/>
      <c r="AB114" s="97"/>
      <c r="AC114" s="97"/>
      <c r="AD114" s="97"/>
      <c r="AE114" s="97"/>
      <c r="AF114" s="97"/>
      <c r="AG114" s="97"/>
      <c r="AH114" s="97"/>
      <c r="AI114" s="97"/>
      <c r="AJ114" s="97"/>
      <c r="AK114" s="97"/>
      <c r="AL114" s="97"/>
      <c r="AM114" s="97"/>
      <c r="AN114" s="97"/>
      <c r="AO114" s="97"/>
      <c r="AP114" s="97"/>
      <c r="AQ114" s="97"/>
      <c r="AR114" s="97"/>
      <c r="AS114" s="97"/>
      <c r="AT114" s="97"/>
      <c r="AU114" s="97"/>
      <c r="AV114" s="97"/>
      <c r="AW114" s="97"/>
      <c r="AX114" s="97"/>
      <c r="AY114" s="97"/>
      <c r="AZ114" s="97"/>
      <c r="BA114" s="97"/>
      <c r="BB114" s="97"/>
      <c r="BC114" s="97"/>
      <c r="BD114" s="97"/>
      <c r="BE114" s="97"/>
      <c r="BF114" s="97"/>
      <c r="BG114" s="97"/>
      <c r="BH114" s="97"/>
      <c r="BI114" s="97"/>
      <c r="BJ114" s="97"/>
      <c r="BK114" s="97"/>
      <c r="BL114" s="97"/>
      <c r="BM114" s="97"/>
      <c r="BN114" s="98"/>
      <c r="BO114" s="98"/>
      <c r="BP114" s="98"/>
      <c r="BQ114" s="98"/>
      <c r="BR114" s="98"/>
      <c r="BS114" s="98"/>
      <c r="BT114" s="98"/>
      <c r="BU114" s="98"/>
      <c r="BV114" s="98"/>
      <c r="BW114" s="98"/>
      <c r="BX114" s="98"/>
      <c r="BY114" s="98"/>
      <c r="BZ114" s="98"/>
      <c r="CA114" s="98"/>
      <c r="CB114" s="98"/>
      <c r="CC114" s="98"/>
      <c r="CD114" s="98"/>
      <c r="CE114" s="98"/>
      <c r="CF114" s="98"/>
      <c r="CG114" s="98"/>
      <c r="CH114" s="98"/>
      <c r="CI114" s="98"/>
      <c r="CJ114" s="98"/>
      <c r="CK114" s="98"/>
      <c r="CL114" s="98"/>
      <c r="CM114" s="98"/>
      <c r="CN114" s="98"/>
      <c r="CO114" s="98"/>
      <c r="CP114" s="98"/>
      <c r="CQ114" s="98"/>
      <c r="CR114" s="98"/>
      <c r="CS114" s="98"/>
      <c r="CT114" s="98"/>
      <c r="CU114" s="98"/>
      <c r="CV114" s="98"/>
      <c r="CW114" s="98"/>
      <c r="CX114" s="98"/>
      <c r="CY114" s="98"/>
      <c r="CZ114" s="98"/>
      <c r="DA114" s="98"/>
      <c r="DB114" s="98"/>
      <c r="DC114" s="98"/>
      <c r="DD114" s="98"/>
      <c r="DE114" s="98"/>
      <c r="DF114" s="98"/>
      <c r="DG114" s="98"/>
      <c r="DH114" s="98"/>
      <c r="DI114" s="98"/>
      <c r="DJ114" s="98"/>
      <c r="DK114" s="98"/>
      <c r="DL114" s="98"/>
      <c r="DM114" s="98"/>
      <c r="DN114" s="98"/>
      <c r="DO114" s="98"/>
      <c r="DP114" s="98"/>
      <c r="DQ114" s="98"/>
      <c r="DR114" s="98"/>
      <c r="DS114" s="98"/>
      <c r="DT114" s="98"/>
      <c r="DU114" s="98"/>
      <c r="DV114" s="98"/>
      <c r="DW114" s="98"/>
      <c r="DX114" s="98"/>
      <c r="DY114" s="98"/>
      <c r="DZ114" s="98"/>
      <c r="EA114" s="98"/>
      <c r="EB114" s="98"/>
      <c r="EC114" s="98"/>
      <c r="ED114" s="98"/>
      <c r="EE114" s="98"/>
      <c r="EF114" s="98"/>
      <c r="EG114" s="98"/>
      <c r="EH114" s="98"/>
      <c r="EI114" s="98"/>
      <c r="EJ114" s="98"/>
      <c r="EK114" s="98"/>
      <c r="EL114" s="98"/>
      <c r="EM114" s="98"/>
      <c r="EN114" s="98"/>
      <c r="EO114" s="98"/>
      <c r="EP114" s="98"/>
      <c r="EQ114" s="98"/>
    </row>
    <row r="115" spans="1:147" x14ac:dyDescent="0.25">
      <c r="A115" s="96"/>
      <c r="B115" s="96"/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7"/>
      <c r="AB115" s="97"/>
      <c r="AC115" s="97"/>
      <c r="AD115" s="97"/>
      <c r="AE115" s="97"/>
      <c r="AF115" s="97"/>
      <c r="AG115" s="97"/>
      <c r="AH115" s="97"/>
      <c r="AI115" s="97"/>
      <c r="AJ115" s="97"/>
      <c r="AK115" s="97"/>
      <c r="AL115" s="97"/>
      <c r="AM115" s="97"/>
      <c r="AN115" s="97"/>
      <c r="AO115" s="97"/>
      <c r="AP115" s="97"/>
      <c r="AQ115" s="97"/>
      <c r="AR115" s="97"/>
      <c r="AS115" s="97"/>
      <c r="AT115" s="97"/>
      <c r="AU115" s="97"/>
      <c r="AV115" s="97"/>
      <c r="AW115" s="97"/>
      <c r="AX115" s="97"/>
      <c r="AY115" s="97"/>
      <c r="AZ115" s="97"/>
      <c r="BA115" s="97"/>
      <c r="BB115" s="97"/>
      <c r="BC115" s="97"/>
      <c r="BD115" s="97"/>
      <c r="BE115" s="97"/>
      <c r="BF115" s="97"/>
      <c r="BG115" s="97"/>
      <c r="BH115" s="97"/>
      <c r="BI115" s="97"/>
      <c r="BJ115" s="97"/>
      <c r="BK115" s="97"/>
      <c r="BL115" s="97"/>
      <c r="BM115" s="97"/>
      <c r="BN115" s="98"/>
      <c r="BO115" s="98"/>
      <c r="BP115" s="98"/>
      <c r="BQ115" s="98"/>
      <c r="BR115" s="98"/>
      <c r="BS115" s="98"/>
      <c r="BT115" s="98"/>
      <c r="BU115" s="98"/>
      <c r="BV115" s="98"/>
      <c r="BW115" s="98"/>
      <c r="BX115" s="98"/>
      <c r="BY115" s="98"/>
      <c r="BZ115" s="98"/>
      <c r="CA115" s="98"/>
      <c r="CB115" s="98"/>
      <c r="CC115" s="98"/>
      <c r="CD115" s="98"/>
      <c r="CE115" s="98"/>
      <c r="CF115" s="98"/>
      <c r="CG115" s="98"/>
      <c r="CH115" s="98"/>
      <c r="CI115" s="98"/>
      <c r="CJ115" s="98"/>
      <c r="CK115" s="98"/>
      <c r="CL115" s="98"/>
      <c r="CM115" s="98"/>
      <c r="CN115" s="98"/>
      <c r="CO115" s="98"/>
      <c r="CP115" s="98"/>
      <c r="CQ115" s="98"/>
      <c r="CR115" s="98"/>
      <c r="CS115" s="98"/>
      <c r="CT115" s="98"/>
      <c r="CU115" s="98"/>
      <c r="CV115" s="98"/>
      <c r="CW115" s="98"/>
      <c r="CX115" s="98"/>
      <c r="CY115" s="98"/>
      <c r="CZ115" s="98"/>
      <c r="DA115" s="98"/>
      <c r="DB115" s="98"/>
      <c r="DC115" s="98"/>
      <c r="DD115" s="98"/>
      <c r="DE115" s="98"/>
      <c r="DF115" s="98"/>
      <c r="DG115" s="98"/>
      <c r="DH115" s="98"/>
      <c r="DI115" s="98"/>
      <c r="DJ115" s="98"/>
      <c r="DK115" s="98"/>
      <c r="DL115" s="98"/>
      <c r="DM115" s="98"/>
      <c r="DN115" s="98"/>
      <c r="DO115" s="98"/>
      <c r="DP115" s="98"/>
      <c r="DQ115" s="98"/>
      <c r="DR115" s="98"/>
      <c r="DS115" s="98"/>
      <c r="DT115" s="98"/>
      <c r="DU115" s="98"/>
      <c r="DV115" s="98"/>
      <c r="DW115" s="98"/>
      <c r="DX115" s="98"/>
      <c r="DY115" s="98"/>
      <c r="DZ115" s="98"/>
      <c r="EA115" s="98"/>
      <c r="EB115" s="98"/>
      <c r="EC115" s="98"/>
      <c r="ED115" s="98"/>
      <c r="EE115" s="98"/>
      <c r="EF115" s="98"/>
      <c r="EG115" s="98"/>
      <c r="EH115" s="98"/>
      <c r="EI115" s="98"/>
      <c r="EJ115" s="98"/>
      <c r="EK115" s="98"/>
      <c r="EL115" s="98"/>
      <c r="EM115" s="98"/>
      <c r="EN115" s="98"/>
      <c r="EO115" s="98"/>
      <c r="EP115" s="98"/>
      <c r="EQ115" s="98"/>
    </row>
    <row r="116" spans="1:147" x14ac:dyDescent="0.25">
      <c r="A116" s="96"/>
      <c r="B116" s="96"/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  <c r="AA116" s="97"/>
      <c r="AB116" s="97"/>
      <c r="AC116" s="97"/>
      <c r="AD116" s="97"/>
      <c r="AE116" s="97"/>
      <c r="AF116" s="97"/>
      <c r="AG116" s="97"/>
      <c r="AH116" s="97"/>
      <c r="AI116" s="97"/>
      <c r="AJ116" s="97"/>
      <c r="AK116" s="97"/>
      <c r="AL116" s="97"/>
      <c r="AM116" s="97"/>
      <c r="AN116" s="97"/>
      <c r="AO116" s="97"/>
      <c r="AP116" s="97"/>
      <c r="AQ116" s="97"/>
      <c r="AR116" s="97"/>
      <c r="AS116" s="97"/>
      <c r="AT116" s="97"/>
      <c r="AU116" s="97"/>
      <c r="AV116" s="97"/>
      <c r="AW116" s="97"/>
      <c r="AX116" s="97"/>
      <c r="AY116" s="97"/>
      <c r="AZ116" s="97"/>
      <c r="BA116" s="97"/>
      <c r="BB116" s="97"/>
      <c r="BC116" s="97"/>
      <c r="BD116" s="97"/>
      <c r="BE116" s="97"/>
      <c r="BF116" s="97"/>
      <c r="BG116" s="97"/>
      <c r="BH116" s="97"/>
      <c r="BI116" s="97"/>
      <c r="BJ116" s="97"/>
      <c r="BK116" s="97"/>
      <c r="BL116" s="97"/>
      <c r="BM116" s="97"/>
      <c r="BN116" s="98"/>
      <c r="BO116" s="98"/>
      <c r="BP116" s="98"/>
      <c r="BQ116" s="98"/>
      <c r="BR116" s="98"/>
      <c r="BS116" s="98"/>
      <c r="BT116" s="98"/>
      <c r="BU116" s="98"/>
      <c r="BV116" s="98"/>
      <c r="BW116" s="98"/>
      <c r="BX116" s="98"/>
      <c r="BY116" s="98"/>
      <c r="BZ116" s="98"/>
      <c r="CA116" s="98"/>
      <c r="CB116" s="98"/>
      <c r="CC116" s="98"/>
      <c r="CD116" s="98"/>
      <c r="CE116" s="98"/>
      <c r="CF116" s="98"/>
      <c r="CG116" s="98"/>
      <c r="CH116" s="98"/>
      <c r="CI116" s="98"/>
      <c r="CJ116" s="98"/>
      <c r="CK116" s="98"/>
      <c r="CL116" s="98"/>
      <c r="CM116" s="98"/>
      <c r="CN116" s="98"/>
      <c r="CO116" s="98"/>
      <c r="CP116" s="98"/>
      <c r="CQ116" s="98"/>
      <c r="CR116" s="98"/>
      <c r="CS116" s="98"/>
      <c r="CT116" s="98"/>
      <c r="CU116" s="98"/>
      <c r="CV116" s="98"/>
      <c r="CW116" s="98"/>
      <c r="CX116" s="98"/>
      <c r="CY116" s="98"/>
      <c r="CZ116" s="98"/>
      <c r="DA116" s="98"/>
      <c r="DB116" s="98"/>
      <c r="DC116" s="98"/>
      <c r="DD116" s="98"/>
      <c r="DE116" s="98"/>
      <c r="DF116" s="98"/>
      <c r="DG116" s="98"/>
      <c r="DH116" s="98"/>
      <c r="DI116" s="98"/>
      <c r="DJ116" s="98"/>
      <c r="DK116" s="98"/>
      <c r="DL116" s="98"/>
      <c r="DM116" s="98"/>
      <c r="DN116" s="98"/>
      <c r="DO116" s="98"/>
      <c r="DP116" s="98"/>
      <c r="DQ116" s="98"/>
      <c r="DR116" s="98"/>
      <c r="DS116" s="98"/>
      <c r="DT116" s="98"/>
      <c r="DU116" s="98"/>
      <c r="DV116" s="98"/>
      <c r="DW116" s="98"/>
      <c r="DX116" s="98"/>
      <c r="DY116" s="98"/>
      <c r="DZ116" s="98"/>
      <c r="EA116" s="98"/>
      <c r="EB116" s="98"/>
      <c r="EC116" s="98"/>
      <c r="ED116" s="98"/>
      <c r="EE116" s="98"/>
      <c r="EF116" s="98"/>
      <c r="EG116" s="98"/>
      <c r="EH116" s="98"/>
      <c r="EI116" s="98"/>
      <c r="EJ116" s="98"/>
      <c r="EK116" s="98"/>
      <c r="EL116" s="98"/>
      <c r="EM116" s="98"/>
      <c r="EN116" s="98"/>
      <c r="EO116" s="98"/>
      <c r="EP116" s="98"/>
      <c r="EQ116" s="98"/>
    </row>
  </sheetData>
  <sheetProtection selectLockedCells="1"/>
  <protectedRanges>
    <protectedRange sqref="A4:B34" name="Bereich2_7_2"/>
  </protectedRanges>
  <mergeCells count="15">
    <mergeCell ref="CF1:DL1"/>
    <mergeCell ref="DM1:DW1"/>
    <mergeCell ref="DX1:EF1"/>
    <mergeCell ref="AX1:BH1"/>
    <mergeCell ref="BI1:BQ1"/>
    <mergeCell ref="C1:P1"/>
    <mergeCell ref="Q1:AW1"/>
    <mergeCell ref="A1:A2"/>
    <mergeCell ref="B1:B2"/>
    <mergeCell ref="BR1:CE1"/>
    <mergeCell ref="Q39:Q41"/>
    <mergeCell ref="Q43:Q45"/>
    <mergeCell ref="T39:T41"/>
    <mergeCell ref="T43:T45"/>
    <mergeCell ref="A3:B3"/>
  </mergeCells>
  <phoneticPr fontId="3" type="noConversion"/>
  <conditionalFormatting sqref="A4:D34 F9:P34 Z10:AY26 X5:Y34 V10:V34 T5:U34 BA4:BQ26 CG32:CG34 CI13:EF13 BR34:BS34 BS32:CF32 BS33 CH34 DO4:DO26 Z29:AY34 C27:AX28 BA29:BQ34 BB28:DM28 C29:CE29 CG29:EF29 AY27:EF27 CH14 CM5:CN14 CN15:EF16 BR18:BS31 C15:CL15 C16:BQ17 BS16:CL16 BR4:BS15 C4:EF6 C7:CG9 CI7:EF9 CF4:CF11 C10:EF11 CG12:EF12 C18:EF18 CK19:EF20 CI5:CJ18 C19:CI20 CJ19 CO10:DN25 CP26:EF26 CN26 CH9 CH7 C12:CE13 C21:EF23 C24:R25 S4:S23 T24:CG25 CI24:EF25 S32:BQ32 R4:R30 C31:Q32 S31:EF31 CH17:EF17 BR17:CE17 CF14:CF16 CF18:CF29 CG4:CG30">
    <cfRule type="expression" dxfId="92" priority="52" stopIfTrue="1">
      <formula>OR($B4="dimanche",$B4="samedi")</formula>
    </cfRule>
  </conditionalFormatting>
  <conditionalFormatting sqref="AE9">
    <cfRule type="expression" dxfId="91" priority="330" stopIfTrue="1">
      <formula>OR($B9="dimanche",$B9="samedi")</formula>
    </cfRule>
  </conditionalFormatting>
  <conditionalFormatting sqref="M8">
    <cfRule type="expression" dxfId="90" priority="51" stopIfTrue="1">
      <formula>OR($B8="dimanche",$B8="samedi")</formula>
    </cfRule>
  </conditionalFormatting>
  <conditionalFormatting sqref="DE6:DE9 DF4:DN9 CC8:CE8 CU9:DD9 BU8:CA8 BU4:CE7 CI4:CK4 CM4:DE4 BU9:CE34 CK7:CK8 CK5 CO5:DD8 CO9:CS9 DP4:EF34 CK10:CK34 CO29:DN34 CM17:CN25 CN16 CI21:CJ34 CI20 CM27:CN34 CM26 CO28:DO28">
    <cfRule type="expression" dxfId="89" priority="48" stopIfTrue="1">
      <formula>OR($B4="dimanche",$B4="samedi")</formula>
    </cfRule>
  </conditionalFormatting>
  <conditionalFormatting sqref="CT9">
    <cfRule type="expression" dxfId="88" priority="49" stopIfTrue="1">
      <formula>OR($B9="dimanche",$B9="samedi")</formula>
    </cfRule>
  </conditionalFormatting>
  <conditionalFormatting sqref="CB8">
    <cfRule type="expression" dxfId="87" priority="47" stopIfTrue="1">
      <formula>OR($B8="dimanche",$B8="samedi")</formula>
    </cfRule>
  </conditionalFormatting>
  <conditionalFormatting sqref="E4:E34">
    <cfRule type="expression" dxfId="86" priority="46" stopIfTrue="1">
      <formula>OR($B4="dimanche",$B4="samedi")</formula>
    </cfRule>
  </conditionalFormatting>
  <conditionalFormatting sqref="R33:R34">
    <cfRule type="expression" dxfId="85" priority="45" stopIfTrue="1">
      <formula>OR($B33="dimanche",$B33="samedi")</formula>
    </cfRule>
  </conditionalFormatting>
  <conditionalFormatting sqref="C26:CG26 CI26:CM26 CG32:EF32 C33:BQ33 BS33:EF33 C34:EF34 DP28:EF28 C30:CE30 CG30:EF30 C14:EF14">
    <cfRule type="expression" dxfId="84" priority="44" stopIfTrue="1">
      <formula>OR($B14="dimanche",$B14="samedi")</formula>
    </cfRule>
  </conditionalFormatting>
  <conditionalFormatting sqref="S26:S34">
    <cfRule type="expression" dxfId="83" priority="42" stopIfTrue="1">
      <formula>OR($B26="dimanche",$B26="samedi")</formula>
    </cfRule>
  </conditionalFormatting>
  <conditionalFormatting sqref="W4:W34">
    <cfRule type="expression" dxfId="82" priority="41" stopIfTrue="1">
      <formula>OR($B4="dimanche",$B4="samedi")</formula>
    </cfRule>
  </conditionalFormatting>
  <conditionalFormatting sqref="AZ4:AZ26 AZ29:AZ34">
    <cfRule type="expression" dxfId="81" priority="39" stopIfTrue="1">
      <formula>OR($B4="dimanche",$B4="samedi")</formula>
    </cfRule>
  </conditionalFormatting>
  <conditionalFormatting sqref="BT4:BT34">
    <cfRule type="expression" dxfId="80" priority="38" stopIfTrue="1">
      <formula>OR($B4="dimanche",$B4="samedi")</formula>
    </cfRule>
  </conditionalFormatting>
  <conditionalFormatting sqref="DO29:DO34">
    <cfRule type="expression" dxfId="79" priority="37" stopIfTrue="1">
      <formula>OR($B29="dimanche",$B29="samedi")</formula>
    </cfRule>
  </conditionalFormatting>
  <conditionalFormatting sqref="CF33:CF34">
    <cfRule type="expression" dxfId="78" priority="33" stopIfTrue="1">
      <formula>OR($B33="dimanche",$B33="samedi")</formula>
    </cfRule>
  </conditionalFormatting>
  <conditionalFormatting sqref="CH27:CH33">
    <cfRule type="expression" dxfId="77" priority="29" stopIfTrue="1">
      <formula>OR($B27="dimanche",$B27="samedi")</formula>
    </cfRule>
  </conditionalFormatting>
  <conditionalFormatting sqref="CL4:CL34">
    <cfRule type="expression" dxfId="76" priority="28" stopIfTrue="1">
      <formula>OR($B4="dimanche",$B4="samedi")</formula>
    </cfRule>
  </conditionalFormatting>
  <conditionalFormatting sqref="CF20">
    <cfRule type="expression" dxfId="75" priority="26" stopIfTrue="1">
      <formula>OR($B20="dimanche",$B20="samedi")</formula>
    </cfRule>
  </conditionalFormatting>
  <conditionalFormatting sqref="CH8 CF13 CJ20 S25 CH25 R32">
    <cfRule type="expression" dxfId="74" priority="978" stopIfTrue="1">
      <formula>OR($B7="dimanche",$B7="samedi")</formula>
    </cfRule>
  </conditionalFormatting>
  <conditionalFormatting sqref="CH13">
    <cfRule type="expression" dxfId="73" priority="23" stopIfTrue="1">
      <formula>OR($B13="dimanche",$B13="samedi")</formula>
    </cfRule>
  </conditionalFormatting>
  <conditionalFormatting sqref="CH13">
    <cfRule type="expression" dxfId="72" priority="22" stopIfTrue="1">
      <formula>OR($B13="dimanche",$B13="samedi")</formula>
    </cfRule>
  </conditionalFormatting>
  <conditionalFormatting sqref="BT33">
    <cfRule type="expression" dxfId="71" priority="21" stopIfTrue="1">
      <formula>OR($B33="dimanche",$B33="samedi")</formula>
    </cfRule>
  </conditionalFormatting>
  <conditionalFormatting sqref="BR32:BR33">
    <cfRule type="expression" dxfId="70" priority="19" stopIfTrue="1">
      <formula>OR($B32="dimanche",$B32="samedi")</formula>
    </cfRule>
  </conditionalFormatting>
  <conditionalFormatting sqref="BR33">
    <cfRule type="expression" dxfId="69" priority="18" stopIfTrue="1">
      <formula>OR($B33="dimanche",$B33="samedi")</formula>
    </cfRule>
  </conditionalFormatting>
  <conditionalFormatting sqref="CH26">
    <cfRule type="expression" dxfId="68" priority="17" stopIfTrue="1">
      <formula>OR($B26="dimanche",$B26="samedi")</formula>
    </cfRule>
  </conditionalFormatting>
  <conditionalFormatting sqref="CH26">
    <cfRule type="expression" dxfId="67" priority="16" stopIfTrue="1">
      <formula>OR($B26="dimanche",$B26="samedi")</formula>
    </cfRule>
  </conditionalFormatting>
  <conditionalFormatting sqref="Y31">
    <cfRule type="expression" dxfId="66" priority="15" stopIfTrue="1">
      <formula>OR($B31="dimanche",$B31="samedi")</formula>
    </cfRule>
  </conditionalFormatting>
  <conditionalFormatting sqref="BR7">
    <cfRule type="expression" dxfId="65" priority="14" stopIfTrue="1">
      <formula>OR($B7="dimanche",$B7="samedi")</formula>
    </cfRule>
  </conditionalFormatting>
  <conditionalFormatting sqref="CF12">
    <cfRule type="expression" dxfId="64" priority="13" stopIfTrue="1">
      <formula>OR($B12="dimanche",$B12="samedi")</formula>
    </cfRule>
  </conditionalFormatting>
  <conditionalFormatting sqref="AY28:BA28">
    <cfRule type="expression" dxfId="63" priority="10" stopIfTrue="1">
      <formula>OR($B28="dimanche",$B28="samedi")</formula>
    </cfRule>
  </conditionalFormatting>
  <conditionalFormatting sqref="AZ28">
    <cfRule type="expression" dxfId="62" priority="9" stopIfTrue="1">
      <formula>OR($B28="dimanche",$B28="samedi")</formula>
    </cfRule>
  </conditionalFormatting>
  <conditionalFormatting sqref="CM16">
    <cfRule type="expression" dxfId="61" priority="8" stopIfTrue="1">
      <formula>OR($B16="dimanche",$B16="samedi")</formula>
    </cfRule>
  </conditionalFormatting>
  <conditionalFormatting sqref="CM16">
    <cfRule type="expression" dxfId="60" priority="7" stopIfTrue="1">
      <formula>OR($B16="dimanche",$B16="samedi")</formula>
    </cfRule>
  </conditionalFormatting>
  <conditionalFormatting sqref="CM15">
    <cfRule type="expression" dxfId="59" priority="5" stopIfTrue="1">
      <formula>OR($B14="dimanche",$B14="samedi")</formula>
    </cfRule>
  </conditionalFormatting>
  <conditionalFormatting sqref="CF30">
    <cfRule type="expression" dxfId="58" priority="3" stopIfTrue="1">
      <formula>OR($B30="dimanche",$B30="samedi")</formula>
    </cfRule>
  </conditionalFormatting>
  <conditionalFormatting sqref="CF30">
    <cfRule type="expression" dxfId="57" priority="2" stopIfTrue="1">
      <formula>OR($B30="dimanche",$B30="samedi")</formula>
    </cfRule>
  </conditionalFormatting>
  <conditionalFormatting sqref="S13">
    <cfRule type="expression" dxfId="56" priority="1" stopIfTrue="1">
      <formula>OR($B13="dimanche",$B13="samedi")</formula>
    </cfRule>
  </conditionalFormatting>
  <printOptions horizontalCentered="1" verticalCentered="1"/>
  <pageMargins left="0.19685039370078741" right="0.19685039370078741" top="0" bottom="0" header="0" footer="0"/>
  <pageSetup paperSize="9" scale="12" orientation="landscape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30939211" r:id="rId4" name="CommandButton1">
          <controlPr defaultSize="0" autoFill="0" autoLine="0" r:id="rId5">
            <anchor moveWithCells="1">
              <from>
                <xdr:col>2</xdr:col>
                <xdr:colOff>22860</xdr:colOff>
                <xdr:row>0</xdr:row>
                <xdr:rowOff>22860</xdr:rowOff>
              </from>
              <to>
                <xdr:col>132</xdr:col>
                <xdr:colOff>167640</xdr:colOff>
                <xdr:row>0</xdr:row>
                <xdr:rowOff>190500</xdr:rowOff>
              </to>
            </anchor>
          </controlPr>
        </control>
      </mc:Choice>
      <mc:Fallback>
        <control shapeId="30939211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FT113"/>
  <sheetViews>
    <sheetView topLeftCell="A7" zoomScale="115" zoomScaleNormal="115" workbookViewId="0">
      <pane xSplit="1" topLeftCell="BU1" activePane="topRight" state="frozen"/>
      <selection activeCell="AE34" sqref="AE34"/>
      <selection pane="topRight" activeCell="AE34" sqref="AE34"/>
    </sheetView>
  </sheetViews>
  <sheetFormatPr baseColWidth="10" defaultRowHeight="13.2" x14ac:dyDescent="0.25"/>
  <cols>
    <col min="10" max="10" width="9.33203125" customWidth="1"/>
    <col min="11" max="11" width="10.33203125" customWidth="1"/>
    <col min="12" max="12" width="10.6640625" customWidth="1"/>
    <col min="13" max="13" width="10" customWidth="1"/>
    <col min="14" max="14" width="9.33203125" customWidth="1"/>
    <col min="15" max="15" width="9.88671875" customWidth="1"/>
    <col min="16" max="20" width="3.6640625" customWidth="1"/>
    <col min="21" max="26" width="12" customWidth="1"/>
    <col min="27" max="27" width="11.109375" customWidth="1"/>
    <col min="28" max="28" width="12.6640625" customWidth="1"/>
    <col min="29" max="29" width="11.33203125" customWidth="1"/>
    <col min="30" max="30" width="10" customWidth="1"/>
    <col min="31" max="31" width="9.6640625" customWidth="1"/>
    <col min="32" max="32" width="10.88671875" customWidth="1"/>
    <col min="33" max="43" width="3.6640625" customWidth="1"/>
    <col min="59" max="59" width="11.88671875" customWidth="1"/>
    <col min="60" max="77" width="3.6640625" customWidth="1"/>
    <col min="78" max="80" width="12" customWidth="1"/>
    <col min="81" max="83" width="3.6640625" customWidth="1"/>
    <col min="88" max="91" width="3.6640625" customWidth="1"/>
    <col min="92" max="92" width="8.88671875" customWidth="1"/>
    <col min="108" max="108" width="3.109375" customWidth="1"/>
    <col min="109" max="118" width="2.6640625" customWidth="1"/>
    <col min="119" max="121" width="10.6640625" customWidth="1"/>
    <col min="122" max="124" width="2.6640625" customWidth="1"/>
    <col min="132" max="132" width="10.44140625" customWidth="1"/>
    <col min="133" max="133" width="9.6640625" customWidth="1"/>
    <col min="134" max="139" width="3.33203125" customWidth="1"/>
    <col min="140" max="140" width="12" customWidth="1"/>
    <col min="144" max="146" width="11.5546875" style="49"/>
    <col min="147" max="147" width="15.88671875" style="49" customWidth="1"/>
    <col min="148" max="148" width="11.5546875" style="74"/>
  </cols>
  <sheetData>
    <row r="1" spans="1:176" s="74" customFormat="1" ht="13.8" thickBot="1" x14ac:dyDescent="0.3">
      <c r="A1" s="220" t="s">
        <v>0</v>
      </c>
      <c r="B1" s="222" t="s">
        <v>34</v>
      </c>
      <c r="C1" s="85" t="s">
        <v>72</v>
      </c>
      <c r="D1" s="226" t="s">
        <v>90</v>
      </c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8"/>
      <c r="U1" s="226" t="s">
        <v>91</v>
      </c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  <c r="AJ1" s="227"/>
      <c r="AK1" s="227"/>
      <c r="AL1" s="227"/>
      <c r="AM1" s="227"/>
      <c r="AN1" s="227"/>
      <c r="AO1" s="227"/>
      <c r="AP1" s="227"/>
      <c r="AQ1" s="228"/>
      <c r="AR1" s="226" t="s">
        <v>77</v>
      </c>
      <c r="AS1" s="227"/>
      <c r="AT1" s="227"/>
      <c r="AU1" s="227"/>
      <c r="AV1" s="227"/>
      <c r="AW1" s="227"/>
      <c r="AX1" s="227"/>
      <c r="AY1" s="227"/>
      <c r="AZ1" s="227"/>
      <c r="BA1" s="227"/>
      <c r="BB1" s="227"/>
      <c r="BC1" s="227"/>
      <c r="BD1" s="227"/>
      <c r="BE1" s="227"/>
      <c r="BF1" s="227"/>
      <c r="BG1" s="227"/>
      <c r="BH1" s="227"/>
      <c r="BI1" s="227"/>
      <c r="BJ1" s="227"/>
      <c r="BK1" s="227"/>
      <c r="BL1" s="227"/>
      <c r="BM1" s="227"/>
      <c r="BN1" s="227"/>
      <c r="BO1" s="227"/>
      <c r="BP1" s="227"/>
      <c r="BQ1" s="227"/>
      <c r="BR1" s="227"/>
      <c r="BS1" s="227"/>
      <c r="BT1" s="227"/>
      <c r="BU1" s="227"/>
      <c r="BV1" s="227"/>
      <c r="BW1" s="227"/>
      <c r="BX1" s="227"/>
      <c r="BY1" s="228"/>
      <c r="BZ1" s="216" t="s">
        <v>80</v>
      </c>
      <c r="CA1" s="217"/>
      <c r="CB1" s="217"/>
      <c r="CC1" s="217"/>
      <c r="CD1" s="217"/>
      <c r="CE1" s="218"/>
      <c r="CF1" s="216" t="s">
        <v>78</v>
      </c>
      <c r="CG1" s="217"/>
      <c r="CH1" s="217"/>
      <c r="CI1" s="217"/>
      <c r="CJ1" s="217"/>
      <c r="CK1" s="217"/>
      <c r="CL1" s="217"/>
      <c r="CM1" s="217"/>
      <c r="CN1" s="218"/>
      <c r="CO1" s="216" t="s">
        <v>88</v>
      </c>
      <c r="CP1" s="217"/>
      <c r="CQ1" s="217"/>
      <c r="CR1" s="217"/>
      <c r="CS1" s="217"/>
      <c r="CT1" s="217"/>
      <c r="CU1" s="217"/>
      <c r="CV1" s="217"/>
      <c r="CW1" s="217"/>
      <c r="CX1" s="217"/>
      <c r="CY1" s="217"/>
      <c r="CZ1" s="217"/>
      <c r="DA1" s="217"/>
      <c r="DB1" s="217"/>
      <c r="DC1" s="217"/>
      <c r="DD1" s="72"/>
      <c r="DE1" s="72"/>
      <c r="DF1" s="72"/>
      <c r="DG1" s="72"/>
      <c r="DH1" s="72"/>
      <c r="DI1" s="72"/>
      <c r="DJ1" s="72"/>
      <c r="DK1" s="72"/>
      <c r="DL1" s="72"/>
      <c r="DM1" s="72"/>
      <c r="DN1" s="73"/>
      <c r="DO1" s="216" t="s">
        <v>79</v>
      </c>
      <c r="DP1" s="217"/>
      <c r="DQ1" s="217"/>
      <c r="DR1" s="217"/>
      <c r="DS1" s="217"/>
      <c r="DT1" s="218"/>
      <c r="DU1" s="229" t="s">
        <v>58</v>
      </c>
      <c r="DV1" s="217"/>
      <c r="DW1" s="217"/>
      <c r="DX1" s="217"/>
      <c r="DY1" s="217"/>
      <c r="DZ1" s="217"/>
      <c r="EA1" s="217"/>
      <c r="EB1" s="217"/>
      <c r="EC1" s="217"/>
      <c r="ED1" s="217"/>
      <c r="EE1" s="217"/>
      <c r="EF1" s="217"/>
      <c r="EG1" s="217"/>
      <c r="EH1" s="217"/>
      <c r="EI1" s="218"/>
      <c r="EJ1" s="216" t="s">
        <v>57</v>
      </c>
      <c r="EK1" s="217"/>
      <c r="EL1" s="217"/>
      <c r="EM1" s="217"/>
      <c r="EN1" s="217"/>
      <c r="EO1" s="217"/>
      <c r="EP1" s="217"/>
      <c r="EQ1" s="219"/>
      <c r="ER1" s="216" t="s">
        <v>87</v>
      </c>
      <c r="ES1" s="217"/>
      <c r="ET1" s="217"/>
      <c r="EU1" s="217"/>
      <c r="EV1" s="218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3"/>
      <c r="FH1" s="83"/>
      <c r="FI1" s="83"/>
      <c r="FJ1" s="83"/>
      <c r="FK1" s="83"/>
      <c r="FL1" s="83"/>
      <c r="FM1" s="83"/>
      <c r="FN1" s="83"/>
      <c r="FO1" s="83"/>
      <c r="FP1" s="83"/>
      <c r="FQ1" s="83"/>
      <c r="FR1" s="83"/>
      <c r="FS1" s="83"/>
      <c r="FT1" s="83"/>
    </row>
    <row r="2" spans="1:176" s="74" customFormat="1" ht="66" x14ac:dyDescent="0.25">
      <c r="A2" s="221"/>
      <c r="B2" s="223"/>
      <c r="C2" s="86" t="s">
        <v>23</v>
      </c>
      <c r="D2" s="84" t="s">
        <v>73</v>
      </c>
      <c r="E2" s="51" t="s">
        <v>74</v>
      </c>
      <c r="F2" s="51" t="s">
        <v>64</v>
      </c>
      <c r="G2" s="51" t="s">
        <v>65</v>
      </c>
      <c r="H2" s="51" t="s">
        <v>75</v>
      </c>
      <c r="I2" s="51" t="s">
        <v>76</v>
      </c>
      <c r="J2" s="51" t="s">
        <v>89</v>
      </c>
      <c r="K2" s="51" t="s">
        <v>39</v>
      </c>
      <c r="L2" s="51" t="s">
        <v>37</v>
      </c>
      <c r="M2" s="51" t="s">
        <v>29</v>
      </c>
      <c r="N2" s="51" t="s">
        <v>27</v>
      </c>
      <c r="O2" s="51" t="s">
        <v>33</v>
      </c>
      <c r="P2" s="51"/>
      <c r="Q2" s="51"/>
      <c r="R2" s="51"/>
      <c r="S2" s="51"/>
      <c r="T2" s="54"/>
      <c r="U2" s="44" t="s">
        <v>44</v>
      </c>
      <c r="V2" s="42" t="s">
        <v>28</v>
      </c>
      <c r="W2" s="42" t="s">
        <v>64</v>
      </c>
      <c r="X2" s="42" t="s">
        <v>65</v>
      </c>
      <c r="Y2" s="42" t="s">
        <v>75</v>
      </c>
      <c r="Z2" s="42" t="s">
        <v>76</v>
      </c>
      <c r="AA2" s="42" t="s">
        <v>92</v>
      </c>
      <c r="AB2" s="42" t="s">
        <v>89</v>
      </c>
      <c r="AC2" s="42" t="s">
        <v>37</v>
      </c>
      <c r="AD2" s="42" t="s">
        <v>29</v>
      </c>
      <c r="AE2" s="42" t="s">
        <v>27</v>
      </c>
      <c r="AF2" s="42" t="s">
        <v>33</v>
      </c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5"/>
      <c r="AR2" s="81" t="s">
        <v>36</v>
      </c>
      <c r="AS2" s="52" t="s">
        <v>35</v>
      </c>
      <c r="AT2" s="52" t="s">
        <v>19</v>
      </c>
      <c r="AU2" s="52" t="s">
        <v>89</v>
      </c>
      <c r="AV2" s="52" t="s">
        <v>47</v>
      </c>
      <c r="AW2" s="52" t="s">
        <v>21</v>
      </c>
      <c r="AX2" s="52" t="s">
        <v>37</v>
      </c>
      <c r="AY2" s="52" t="s">
        <v>27</v>
      </c>
      <c r="AZ2" s="52" t="s">
        <v>26</v>
      </c>
      <c r="BA2" s="52" t="s">
        <v>40</v>
      </c>
      <c r="BB2" s="52" t="s">
        <v>39</v>
      </c>
      <c r="BC2" s="52" t="s">
        <v>41</v>
      </c>
      <c r="BD2" s="52" t="s">
        <v>100</v>
      </c>
      <c r="BE2" s="52" t="s">
        <v>38</v>
      </c>
      <c r="BF2" s="52" t="s">
        <v>33</v>
      </c>
      <c r="BG2" s="51" t="s">
        <v>59</v>
      </c>
      <c r="BH2" s="51"/>
      <c r="BI2" s="51"/>
      <c r="BJ2" s="51"/>
      <c r="BK2" s="51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1"/>
      <c r="BW2" s="51"/>
      <c r="BX2" s="51"/>
      <c r="BY2" s="54"/>
      <c r="BZ2" s="53" t="s">
        <v>66</v>
      </c>
      <c r="CA2" s="51" t="s">
        <v>43</v>
      </c>
      <c r="CB2" s="51"/>
      <c r="CC2" s="51"/>
      <c r="CD2" s="51"/>
      <c r="CE2" s="54"/>
      <c r="CF2" s="44" t="s">
        <v>60</v>
      </c>
      <c r="CG2" s="42" t="s">
        <v>61</v>
      </c>
      <c r="CH2" s="42" t="s">
        <v>62</v>
      </c>
      <c r="CI2" s="42" t="s">
        <v>63</v>
      </c>
      <c r="CJ2" s="42"/>
      <c r="CK2" s="42"/>
      <c r="CL2" s="42"/>
      <c r="CM2" s="42"/>
      <c r="CN2" s="155" t="s">
        <v>98</v>
      </c>
      <c r="CO2" s="79" t="s">
        <v>36</v>
      </c>
      <c r="CP2" s="43" t="s">
        <v>35</v>
      </c>
      <c r="CQ2" s="43" t="s">
        <v>19</v>
      </c>
      <c r="CR2" s="43" t="s">
        <v>89</v>
      </c>
      <c r="CS2" s="43" t="s">
        <v>47</v>
      </c>
      <c r="CT2" s="43" t="s">
        <v>21</v>
      </c>
      <c r="CU2" s="43" t="s">
        <v>37</v>
      </c>
      <c r="CV2" s="43" t="s">
        <v>27</v>
      </c>
      <c r="CW2" s="43" t="s">
        <v>26</v>
      </c>
      <c r="CX2" s="43" t="s">
        <v>40</v>
      </c>
      <c r="CY2" s="43" t="s">
        <v>39</v>
      </c>
      <c r="CZ2" s="43" t="s">
        <v>41</v>
      </c>
      <c r="DA2" s="43" t="s">
        <v>29</v>
      </c>
      <c r="DB2" s="43" t="s">
        <v>38</v>
      </c>
      <c r="DC2" s="43" t="s">
        <v>33</v>
      </c>
      <c r="DD2" s="43"/>
      <c r="DE2" s="43"/>
      <c r="DF2" s="43"/>
      <c r="DG2" s="43"/>
      <c r="DH2" s="43"/>
      <c r="DI2" s="43"/>
      <c r="DJ2" s="43"/>
      <c r="DK2" s="43"/>
      <c r="DL2" s="43"/>
      <c r="DM2" s="42"/>
      <c r="DN2" s="78"/>
      <c r="DO2" s="44" t="s">
        <v>66</v>
      </c>
      <c r="DP2" s="42" t="s">
        <v>43</v>
      </c>
      <c r="DQ2" s="42" t="s">
        <v>67</v>
      </c>
      <c r="DR2" s="42"/>
      <c r="DS2" s="42"/>
      <c r="DT2" s="45"/>
      <c r="DU2" s="44" t="s">
        <v>68</v>
      </c>
      <c r="DV2" s="42" t="s">
        <v>69</v>
      </c>
      <c r="DW2" s="42" t="s">
        <v>70</v>
      </c>
      <c r="DX2" s="42" t="s">
        <v>71</v>
      </c>
      <c r="DY2" s="42">
        <v>7364</v>
      </c>
      <c r="DZ2" s="42" t="s">
        <v>30</v>
      </c>
      <c r="EA2" s="42" t="s">
        <v>31</v>
      </c>
      <c r="EB2" s="42" t="s">
        <v>99</v>
      </c>
      <c r="EC2" s="42" t="s">
        <v>101</v>
      </c>
      <c r="ED2" s="42"/>
      <c r="EE2" s="42"/>
      <c r="EF2" s="42"/>
      <c r="EG2" s="42"/>
      <c r="EH2" s="42"/>
      <c r="EI2" s="78"/>
      <c r="EJ2" s="77" t="s">
        <v>9</v>
      </c>
      <c r="EK2" s="41" t="s">
        <v>10</v>
      </c>
      <c r="EL2" s="41" t="s">
        <v>11</v>
      </c>
      <c r="EM2" s="62" t="s">
        <v>12</v>
      </c>
      <c r="EN2" s="41" t="s">
        <v>15</v>
      </c>
      <c r="EO2" s="41" t="s">
        <v>16</v>
      </c>
      <c r="EP2" s="41" t="s">
        <v>17</v>
      </c>
      <c r="EQ2" s="89" t="s">
        <v>25</v>
      </c>
      <c r="ER2" s="92" t="s">
        <v>18</v>
      </c>
      <c r="ES2" s="62" t="s">
        <v>13</v>
      </c>
      <c r="ET2" s="62" t="s">
        <v>14</v>
      </c>
      <c r="EU2" s="62" t="s">
        <v>22</v>
      </c>
      <c r="EV2" s="50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  <c r="FL2" s="83"/>
      <c r="FM2" s="83"/>
      <c r="FN2" s="83"/>
      <c r="FO2" s="83"/>
      <c r="FP2" s="83"/>
      <c r="FQ2" s="83"/>
      <c r="FR2" s="83"/>
      <c r="FS2" s="83"/>
      <c r="FT2" s="83"/>
    </row>
    <row r="3" spans="1:176" s="74" customFormat="1" x14ac:dyDescent="0.25">
      <c r="A3" s="224"/>
      <c r="B3" s="225"/>
      <c r="C3" s="66"/>
      <c r="D3" s="65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4"/>
      <c r="U3" s="22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4"/>
      <c r="AR3" s="22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4"/>
      <c r="BZ3" s="22"/>
      <c r="CA3" s="23"/>
      <c r="CB3" s="23"/>
      <c r="CC3" s="23"/>
      <c r="CD3" s="23"/>
      <c r="CE3" s="24"/>
      <c r="CF3" s="22"/>
      <c r="CG3" s="23"/>
      <c r="CH3" s="23"/>
      <c r="CI3" s="23"/>
      <c r="CJ3" s="23"/>
      <c r="CK3" s="23"/>
      <c r="CL3" s="23"/>
      <c r="CM3" s="23"/>
      <c r="CN3" s="24"/>
      <c r="CO3" s="22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4"/>
      <c r="DO3" s="22"/>
      <c r="DP3" s="23"/>
      <c r="DQ3" s="23"/>
      <c r="DR3" s="23"/>
      <c r="DS3" s="23"/>
      <c r="DT3" s="24"/>
      <c r="DU3" s="22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4"/>
      <c r="EJ3" s="22"/>
      <c r="EK3" s="23"/>
      <c r="EL3" s="23"/>
      <c r="EM3" s="23"/>
      <c r="EN3" s="87"/>
      <c r="EO3" s="87"/>
      <c r="EP3" s="87"/>
      <c r="EQ3" s="90"/>
      <c r="ER3" s="93" t="str">
        <f>IF(ISERROR(#REF!/#REF!)," ",#REF!/#REF!)</f>
        <v xml:space="preserve"> </v>
      </c>
      <c r="ES3" s="91" t="str">
        <f>IF(ISERROR(#REF!/#REF!)," ",#REF!/#REF!)</f>
        <v xml:space="preserve"> </v>
      </c>
      <c r="ET3" s="87"/>
      <c r="EU3" s="87"/>
      <c r="EV3" s="88"/>
      <c r="EW3" s="83"/>
      <c r="EX3" s="83"/>
      <c r="EY3" s="83"/>
      <c r="EZ3" s="83"/>
      <c r="FA3" s="83"/>
      <c r="FB3" s="83"/>
      <c r="FC3" s="83"/>
      <c r="FD3" s="83"/>
      <c r="FE3" s="83"/>
      <c r="FF3" s="83"/>
      <c r="FG3" s="83"/>
      <c r="FH3" s="83"/>
      <c r="FI3" s="83"/>
      <c r="FJ3" s="83"/>
      <c r="FK3" s="83"/>
      <c r="FL3" s="83"/>
      <c r="FM3" s="83"/>
      <c r="FN3" s="83"/>
      <c r="FO3" s="83"/>
      <c r="FP3" s="83"/>
      <c r="FQ3" s="83"/>
      <c r="FR3" s="83"/>
      <c r="FS3" s="83"/>
      <c r="FT3" s="83"/>
    </row>
    <row r="4" spans="1:176" s="74" customFormat="1" x14ac:dyDescent="0.25">
      <c r="A4" s="18" t="e">
        <f>Lentilles!#REF!</f>
        <v>#REF!</v>
      </c>
      <c r="B4" s="20" t="e">
        <f>Lentilles!#REF!</f>
        <v>#REF!</v>
      </c>
      <c r="C4" s="139">
        <v>3</v>
      </c>
      <c r="D4" s="108">
        <f>7+6+5</f>
        <v>18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7"/>
      <c r="U4" s="127">
        <f>7610+6290+5630</f>
        <v>19530</v>
      </c>
      <c r="V4" s="127"/>
      <c r="W4" s="127"/>
      <c r="X4" s="127"/>
      <c r="Y4" s="127"/>
      <c r="Z4" s="127"/>
      <c r="AA4" s="127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7"/>
      <c r="AR4" s="105"/>
      <c r="AS4" s="105"/>
      <c r="AT4" s="105"/>
      <c r="AU4" s="105"/>
      <c r="AV4" s="105"/>
      <c r="AW4" s="105"/>
      <c r="AX4" s="105">
        <f>6+7</f>
        <v>13</v>
      </c>
      <c r="AY4" s="106">
        <v>7</v>
      </c>
      <c r="AZ4" s="106"/>
      <c r="BA4" s="106"/>
      <c r="BB4" s="106"/>
      <c r="BC4" s="106"/>
      <c r="BD4" s="106"/>
      <c r="BE4" s="106"/>
      <c r="BF4" s="106"/>
      <c r="BG4" s="106"/>
      <c r="BH4" s="106"/>
      <c r="BI4" s="106"/>
      <c r="BJ4" s="106"/>
      <c r="BK4" s="106"/>
      <c r="BL4" s="106"/>
      <c r="BM4" s="106"/>
      <c r="BN4" s="106"/>
      <c r="BO4" s="106"/>
      <c r="BP4" s="106"/>
      <c r="BQ4" s="106"/>
      <c r="BR4" s="106"/>
      <c r="BS4" s="106"/>
      <c r="BT4" s="106"/>
      <c r="BU4" s="106"/>
      <c r="BV4" s="106"/>
      <c r="BW4" s="106"/>
      <c r="BX4" s="106"/>
      <c r="BY4" s="107"/>
      <c r="BZ4" s="140"/>
      <c r="CA4" s="106"/>
      <c r="CB4" s="127"/>
      <c r="CC4" s="127"/>
      <c r="CD4" s="127"/>
      <c r="CE4" s="129"/>
      <c r="CF4" s="80">
        <f>CG4+CH4+CI4</f>
        <v>24003</v>
      </c>
      <c r="CG4" s="127">
        <f>8400+7202+8401</f>
        <v>24003</v>
      </c>
      <c r="CH4" s="127"/>
      <c r="CI4" s="127"/>
      <c r="CJ4" s="127"/>
      <c r="CK4" s="127"/>
      <c r="CL4" s="127"/>
      <c r="CM4" s="127"/>
      <c r="CN4" s="156">
        <f>SUM(CO4:DN4)</f>
        <v>24003</v>
      </c>
      <c r="CO4" s="127"/>
      <c r="CP4" s="127"/>
      <c r="CQ4" s="127"/>
      <c r="CR4" s="127"/>
      <c r="CS4" s="127"/>
      <c r="CT4" s="127"/>
      <c r="CU4" s="127">
        <f>7202+8401</f>
        <v>15603</v>
      </c>
      <c r="CV4" s="127">
        <v>8400</v>
      </c>
      <c r="CW4" s="127"/>
      <c r="CX4" s="127"/>
      <c r="CY4" s="127"/>
      <c r="CZ4" s="127"/>
      <c r="DA4" s="127"/>
      <c r="DB4" s="127"/>
      <c r="DC4" s="127"/>
      <c r="DD4" s="127"/>
      <c r="DE4" s="127"/>
      <c r="DF4" s="127"/>
      <c r="DG4" s="127"/>
      <c r="DH4" s="127"/>
      <c r="DI4" s="127"/>
      <c r="DJ4" s="127"/>
      <c r="DK4" s="127"/>
      <c r="DL4" s="127"/>
      <c r="DM4" s="127"/>
      <c r="DN4" s="129"/>
      <c r="DO4" s="127"/>
      <c r="DP4" s="127"/>
      <c r="DQ4" s="127">
        <v>110</v>
      </c>
      <c r="DR4" s="127"/>
      <c r="DS4" s="127"/>
      <c r="DT4" s="129"/>
      <c r="DU4" s="130"/>
      <c r="DV4" s="127"/>
      <c r="DW4" s="127">
        <v>130</v>
      </c>
      <c r="DX4" s="127"/>
      <c r="DY4" s="127"/>
      <c r="DZ4" s="127">
        <v>143</v>
      </c>
      <c r="EA4" s="127"/>
      <c r="EB4" s="127"/>
      <c r="EC4" s="127"/>
      <c r="ED4" s="127"/>
      <c r="EE4" s="127"/>
      <c r="EF4" s="127"/>
      <c r="EG4" s="127"/>
      <c r="EH4" s="127"/>
      <c r="EI4" s="129"/>
      <c r="EJ4" s="19">
        <v>24</v>
      </c>
      <c r="EK4" s="12">
        <v>24</v>
      </c>
      <c r="EL4" s="150">
        <f>IF(ISERROR(EN4+EO4+EP4)," ",EN4+EO4+EP4)</f>
        <v>24</v>
      </c>
      <c r="EM4" s="151">
        <f>IF(ISERROR(EK4/EJ4)," ",EK4/EJ4)</f>
        <v>1</v>
      </c>
      <c r="EN4" s="152">
        <f>IF((EK4)=0,"",(EK4))</f>
        <v>24</v>
      </c>
      <c r="EO4" s="127"/>
      <c r="EP4" s="127"/>
      <c r="EQ4" s="128"/>
      <c r="ER4" s="70">
        <f>IF(ISERROR(CF4/EL4)," ",CF4/EL4)</f>
        <v>1000.125</v>
      </c>
      <c r="ES4" s="21">
        <f>IF(ISERROR(CF4/EN4)," ",CF4/EN4)</f>
        <v>1000.125</v>
      </c>
      <c r="ET4" s="10" t="str">
        <f>IF(ISERROR(#REF!/#REF!)," ",#REF!/#REF!)</f>
        <v xml:space="preserve"> </v>
      </c>
      <c r="EU4" s="10"/>
      <c r="EV4" s="69" t="str">
        <f>IF(ISERROR(#REF!/#REF!)," ",#REF!/#REF!)</f>
        <v xml:space="preserve"> </v>
      </c>
      <c r="EW4" s="83"/>
      <c r="EX4" s="83"/>
      <c r="EY4" s="83"/>
      <c r="EZ4" s="83"/>
      <c r="FA4" s="83"/>
      <c r="FB4" s="83"/>
      <c r="FC4" s="83"/>
      <c r="FD4" s="83"/>
      <c r="FE4" s="83"/>
      <c r="FF4" s="83"/>
      <c r="FG4" s="83"/>
      <c r="FH4" s="83"/>
      <c r="FI4" s="83"/>
      <c r="FJ4" s="83"/>
      <c r="FK4" s="83"/>
      <c r="FL4" s="83"/>
      <c r="FM4" s="83"/>
      <c r="FN4" s="83"/>
      <c r="FO4" s="83"/>
      <c r="FP4" s="83"/>
      <c r="FQ4" s="83"/>
      <c r="FR4" s="83"/>
      <c r="FS4" s="83"/>
      <c r="FT4" s="83"/>
    </row>
    <row r="5" spans="1:176" s="74" customFormat="1" x14ac:dyDescent="0.25">
      <c r="A5" s="18" t="e">
        <f>Lentilles!#REF!</f>
        <v>#REF!</v>
      </c>
      <c r="B5" s="20" t="e">
        <f>Lentilles!#REF!</f>
        <v>#REF!</v>
      </c>
      <c r="C5" s="139">
        <v>3</v>
      </c>
      <c r="D5" s="108"/>
      <c r="E5" s="105"/>
      <c r="F5" s="105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7"/>
      <c r="U5" s="127">
        <f>11780+8580+5840</f>
        <v>26200</v>
      </c>
      <c r="V5" s="127"/>
      <c r="W5" s="127"/>
      <c r="X5" s="127"/>
      <c r="Y5" s="127"/>
      <c r="Z5" s="127"/>
      <c r="AA5" s="127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7"/>
      <c r="AR5" s="105">
        <f>1</f>
        <v>1</v>
      </c>
      <c r="AS5" s="105"/>
      <c r="AT5" s="105"/>
      <c r="AU5" s="105"/>
      <c r="AV5" s="105"/>
      <c r="AW5" s="105"/>
      <c r="AX5" s="105">
        <f>7+6</f>
        <v>13</v>
      </c>
      <c r="AY5" s="106"/>
      <c r="AZ5" s="106">
        <v>8</v>
      </c>
      <c r="BA5" s="106"/>
      <c r="BB5" s="105"/>
      <c r="BC5" s="106"/>
      <c r="BD5" s="106"/>
      <c r="BE5" s="117"/>
      <c r="BF5" s="105"/>
      <c r="BG5" s="106"/>
      <c r="BH5" s="106"/>
      <c r="BI5" s="105"/>
      <c r="BJ5" s="105"/>
      <c r="BK5" s="106"/>
      <c r="BL5" s="106"/>
      <c r="BM5" s="106"/>
      <c r="BN5" s="106"/>
      <c r="BO5" s="106"/>
      <c r="BP5" s="106"/>
      <c r="BQ5" s="106"/>
      <c r="BR5" s="106"/>
      <c r="BS5" s="106"/>
      <c r="BT5" s="106"/>
      <c r="BU5" s="106"/>
      <c r="BV5" s="106"/>
      <c r="BW5" s="106"/>
      <c r="BX5" s="106"/>
      <c r="BY5" s="107"/>
      <c r="BZ5" s="141">
        <v>1</v>
      </c>
      <c r="CA5" s="106"/>
      <c r="CB5" s="127"/>
      <c r="CC5" s="127"/>
      <c r="CD5" s="127"/>
      <c r="CE5" s="129"/>
      <c r="CF5" s="80">
        <f t="shared" ref="CF5:CF35" si="0">CG5+CH5+CI5</f>
        <v>24807</v>
      </c>
      <c r="CG5" s="127">
        <f>8400+8402+8005</f>
        <v>24807</v>
      </c>
      <c r="CH5" s="127"/>
      <c r="CI5" s="127"/>
      <c r="CJ5" s="127"/>
      <c r="CK5" s="127"/>
      <c r="CL5" s="127"/>
      <c r="CM5" s="127"/>
      <c r="CN5" s="156">
        <f t="shared" ref="CN5:CN35" si="1">SUM(CO5:DN5)</f>
        <v>24807</v>
      </c>
      <c r="CO5" s="127">
        <v>1201</v>
      </c>
      <c r="CP5" s="127"/>
      <c r="CQ5" s="127"/>
      <c r="CR5" s="127"/>
      <c r="CS5" s="127"/>
      <c r="CT5" s="127"/>
      <c r="CU5" s="127">
        <f>8400+7201</f>
        <v>15601</v>
      </c>
      <c r="CV5" s="127"/>
      <c r="CW5" s="127">
        <v>8005</v>
      </c>
      <c r="CX5" s="127"/>
      <c r="CY5" s="127"/>
      <c r="CZ5" s="127"/>
      <c r="DA5" s="127"/>
      <c r="DB5" s="127"/>
      <c r="DC5" s="127"/>
      <c r="DD5" s="127"/>
      <c r="DE5" s="127"/>
      <c r="DF5" s="127"/>
      <c r="DG5" s="127"/>
      <c r="DH5" s="127"/>
      <c r="DI5" s="127"/>
      <c r="DJ5" s="127"/>
      <c r="DK5" s="127"/>
      <c r="DL5" s="127"/>
      <c r="DM5" s="127"/>
      <c r="DN5" s="129"/>
      <c r="DO5" s="127">
        <v>700</v>
      </c>
      <c r="DP5" s="127"/>
      <c r="DQ5" s="127">
        <v>130</v>
      </c>
      <c r="DR5" s="127"/>
      <c r="DS5" s="127"/>
      <c r="DT5" s="129"/>
      <c r="DU5" s="130"/>
      <c r="DV5" s="127"/>
      <c r="DW5" s="127">
        <v>65</v>
      </c>
      <c r="DX5" s="127"/>
      <c r="DY5" s="127"/>
      <c r="DZ5" s="127"/>
      <c r="EA5" s="127">
        <v>104</v>
      </c>
      <c r="EB5" s="127"/>
      <c r="EC5" s="127"/>
      <c r="ED5" s="127"/>
      <c r="EE5" s="127"/>
      <c r="EF5" s="127"/>
      <c r="EG5" s="127"/>
      <c r="EH5" s="127"/>
      <c r="EI5" s="129"/>
      <c r="EJ5" s="19">
        <v>24</v>
      </c>
      <c r="EK5" s="12">
        <v>24</v>
      </c>
      <c r="EL5" s="150">
        <f t="shared" ref="EL5:EL35" si="2">IF(ISERROR(EN5+EO5+EP5)," ",EN5+EO5+EP5)</f>
        <v>24</v>
      </c>
      <c r="EM5" s="151">
        <f t="shared" ref="EM5:EM35" si="3">IF(ISERROR(EK5/EJ5)," ",EK5/EJ5)</f>
        <v>1</v>
      </c>
      <c r="EN5" s="152">
        <f t="shared" ref="EN5:EN35" si="4">IF((EK5)=0,"",(EK5))</f>
        <v>24</v>
      </c>
      <c r="EO5" s="127"/>
      <c r="EP5" s="127"/>
      <c r="EQ5" s="128"/>
      <c r="ER5" s="70">
        <f t="shared" ref="ER5:ER35" si="5">IF(ISERROR(CF5/EL5)," ",CF5/EL5)</f>
        <v>1033.625</v>
      </c>
      <c r="ES5" s="21">
        <f t="shared" ref="ES5:ES35" si="6">IF(ISERROR(CF5/EN5)," ",CF5/EN5)</f>
        <v>1033.625</v>
      </c>
      <c r="ET5" s="10" t="str">
        <f>IF(ISERROR(#REF!/#REF!)," ",#REF!/#REF!)</f>
        <v xml:space="preserve"> </v>
      </c>
      <c r="EU5" s="10"/>
      <c r="EV5" s="69" t="str">
        <f>IF(ISERROR(#REF!/#REF!)," ",#REF!/#REF!)</f>
        <v xml:space="preserve"> </v>
      </c>
      <c r="EW5" s="83"/>
      <c r="EX5" s="83"/>
      <c r="EY5" s="83"/>
      <c r="EZ5" s="83"/>
      <c r="FA5" s="83"/>
      <c r="FB5" s="83"/>
      <c r="FC5" s="83"/>
      <c r="FD5" s="83"/>
      <c r="FE5" s="83"/>
      <c r="FF5" s="83"/>
      <c r="FG5" s="83"/>
      <c r="FH5" s="83"/>
      <c r="FI5" s="83"/>
      <c r="FJ5" s="83"/>
      <c r="FK5" s="83"/>
      <c r="FL5" s="83"/>
      <c r="FM5" s="83"/>
      <c r="FN5" s="83"/>
      <c r="FO5" s="83"/>
      <c r="FP5" s="83"/>
      <c r="FQ5" s="83"/>
      <c r="FR5" s="83"/>
      <c r="FS5" s="83"/>
      <c r="FT5" s="83"/>
    </row>
    <row r="6" spans="1:176" s="74" customFormat="1" x14ac:dyDescent="0.25">
      <c r="A6" s="18" t="e">
        <f>Lentilles!#REF!</f>
        <v>#REF!</v>
      </c>
      <c r="B6" s="20" t="e">
        <f>Lentilles!#REF!</f>
        <v>#REF!</v>
      </c>
      <c r="C6" s="139">
        <v>3</v>
      </c>
      <c r="D6" s="108"/>
      <c r="E6" s="105"/>
      <c r="F6" s="105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7"/>
      <c r="U6" s="127">
        <f>6210+2570+6790</f>
        <v>15570</v>
      </c>
      <c r="V6" s="127"/>
      <c r="W6" s="127"/>
      <c r="X6" s="127"/>
      <c r="Y6" s="127"/>
      <c r="Z6" s="127"/>
      <c r="AA6" s="127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7"/>
      <c r="AR6" s="105">
        <f>2+1+1</f>
        <v>4</v>
      </c>
      <c r="AS6" s="105">
        <v>1</v>
      </c>
      <c r="AT6" s="105"/>
      <c r="AU6" s="105">
        <v>5</v>
      </c>
      <c r="AV6" s="105"/>
      <c r="AW6" s="105"/>
      <c r="AX6" s="105"/>
      <c r="AY6" s="106"/>
      <c r="AZ6" s="106">
        <v>3</v>
      </c>
      <c r="BA6" s="106"/>
      <c r="BB6" s="105"/>
      <c r="BC6" s="106"/>
      <c r="BD6" s="106"/>
      <c r="BE6" s="106"/>
      <c r="BF6" s="105"/>
      <c r="BG6" s="105"/>
      <c r="BH6" s="106"/>
      <c r="BI6" s="105"/>
      <c r="BJ6" s="105"/>
      <c r="BK6" s="106"/>
      <c r="BL6" s="106"/>
      <c r="BM6" s="106"/>
      <c r="BN6" s="106"/>
      <c r="BO6" s="106"/>
      <c r="BP6" s="106"/>
      <c r="BQ6" s="106"/>
      <c r="BR6" s="106"/>
      <c r="BS6" s="106"/>
      <c r="BT6" s="106"/>
      <c r="BU6" s="106"/>
      <c r="BV6" s="106"/>
      <c r="BW6" s="106"/>
      <c r="BX6" s="106"/>
      <c r="BY6" s="112"/>
      <c r="BZ6" s="141"/>
      <c r="CA6" s="106"/>
      <c r="CB6" s="127"/>
      <c r="CC6" s="127"/>
      <c r="CD6" s="127"/>
      <c r="CE6" s="129"/>
      <c r="CF6" s="80">
        <f t="shared" si="0"/>
        <v>15002</v>
      </c>
      <c r="CG6" s="127">
        <f>5400+1201+8401</f>
        <v>15002</v>
      </c>
      <c r="CH6" s="127"/>
      <c r="CI6" s="127"/>
      <c r="CJ6" s="127"/>
      <c r="CK6" s="127"/>
      <c r="CL6" s="127"/>
      <c r="CM6" s="127"/>
      <c r="CN6" s="156">
        <f t="shared" si="1"/>
        <v>15002</v>
      </c>
      <c r="CO6" s="127">
        <f>2400+1201+1200</f>
        <v>4801</v>
      </c>
      <c r="CP6" s="127">
        <v>1200</v>
      </c>
      <c r="CQ6" s="127"/>
      <c r="CR6" s="127">
        <v>6001</v>
      </c>
      <c r="CS6" s="127"/>
      <c r="CT6" s="127"/>
      <c r="CU6" s="127"/>
      <c r="CV6" s="127"/>
      <c r="CW6" s="127">
        <v>3000</v>
      </c>
      <c r="CX6" s="127"/>
      <c r="CY6" s="127"/>
      <c r="CZ6" s="127"/>
      <c r="DA6" s="127"/>
      <c r="DB6" s="127"/>
      <c r="DC6" s="127"/>
      <c r="DD6" s="127"/>
      <c r="DE6" s="127"/>
      <c r="DF6" s="127"/>
      <c r="DG6" s="127"/>
      <c r="DH6" s="127"/>
      <c r="DI6" s="127"/>
      <c r="DJ6" s="127"/>
      <c r="DK6" s="127"/>
      <c r="DL6" s="127"/>
      <c r="DM6" s="127"/>
      <c r="DN6" s="129"/>
      <c r="DO6" s="127"/>
      <c r="DP6" s="127"/>
      <c r="DQ6" s="127">
        <v>90</v>
      </c>
      <c r="DR6" s="127"/>
      <c r="DS6" s="127"/>
      <c r="DT6" s="129"/>
      <c r="DU6" s="130"/>
      <c r="DV6" s="127">
        <v>52</v>
      </c>
      <c r="DW6" s="127"/>
      <c r="DX6" s="127"/>
      <c r="DY6" s="127"/>
      <c r="DZ6" s="127"/>
      <c r="EA6" s="127"/>
      <c r="EB6" s="127"/>
      <c r="EC6" s="127"/>
      <c r="ED6" s="127"/>
      <c r="EE6" s="127"/>
      <c r="EF6" s="127"/>
      <c r="EG6" s="127"/>
      <c r="EH6" s="127"/>
      <c r="EI6" s="129"/>
      <c r="EJ6" s="19">
        <v>24</v>
      </c>
      <c r="EK6" s="12">
        <v>19</v>
      </c>
      <c r="EL6" s="150">
        <f t="shared" si="2"/>
        <v>19</v>
      </c>
      <c r="EM6" s="151">
        <f t="shared" si="3"/>
        <v>0.79166666666666663</v>
      </c>
      <c r="EN6" s="152">
        <f t="shared" si="4"/>
        <v>19</v>
      </c>
      <c r="EO6" s="127"/>
      <c r="EP6" s="127"/>
      <c r="EQ6" s="128"/>
      <c r="ER6" s="70">
        <f t="shared" si="5"/>
        <v>789.57894736842104</v>
      </c>
      <c r="ES6" s="21">
        <f t="shared" si="6"/>
        <v>789.57894736842104</v>
      </c>
      <c r="ET6" s="10" t="str">
        <f>IF(ISERROR(#REF!/#REF!)," ",#REF!/#REF!)</f>
        <v xml:space="preserve"> </v>
      </c>
      <c r="EU6" s="10"/>
      <c r="EV6" s="69" t="str">
        <f>IF(ISERROR(#REF!/#REF!)," ",#REF!/#REF!)</f>
        <v xml:space="preserve"> </v>
      </c>
      <c r="EW6" s="83"/>
      <c r="EX6" s="83"/>
      <c r="EY6" s="83"/>
      <c r="EZ6" s="83"/>
      <c r="FA6" s="83"/>
      <c r="FB6" s="83"/>
      <c r="FC6" s="83"/>
      <c r="FD6" s="83"/>
      <c r="FE6" s="83"/>
      <c r="FF6" s="83"/>
      <c r="FG6" s="83"/>
      <c r="FH6" s="83"/>
      <c r="FI6" s="83"/>
      <c r="FJ6" s="83"/>
      <c r="FK6" s="83"/>
      <c r="FL6" s="83"/>
      <c r="FM6" s="83"/>
      <c r="FN6" s="83"/>
      <c r="FO6" s="83"/>
      <c r="FP6" s="83"/>
      <c r="FQ6" s="83"/>
      <c r="FR6" s="83"/>
      <c r="FS6" s="83"/>
      <c r="FT6" s="83"/>
    </row>
    <row r="7" spans="1:176" s="74" customFormat="1" x14ac:dyDescent="0.25">
      <c r="A7" s="18" t="e">
        <f>Lentilles!#REF!</f>
        <v>#REF!</v>
      </c>
      <c r="B7" s="20" t="e">
        <f>Lentilles!#REF!</f>
        <v>#REF!</v>
      </c>
      <c r="C7" s="139">
        <v>3</v>
      </c>
      <c r="D7" s="108">
        <f>6+6+6</f>
        <v>18</v>
      </c>
      <c r="E7" s="131"/>
      <c r="F7" s="105"/>
      <c r="G7" s="105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2"/>
      <c r="U7" s="127">
        <f>6410+6760+6590</f>
        <v>19760</v>
      </c>
      <c r="V7" s="127"/>
      <c r="W7" s="131"/>
      <c r="X7" s="131"/>
      <c r="Y7" s="131"/>
      <c r="Z7" s="131"/>
      <c r="AA7" s="131"/>
      <c r="AB7" s="131"/>
      <c r="AC7" s="131"/>
      <c r="AD7" s="131"/>
      <c r="AE7" s="131"/>
      <c r="AF7" s="131"/>
      <c r="AG7" s="131"/>
      <c r="AH7" s="131"/>
      <c r="AI7" s="131"/>
      <c r="AJ7" s="131"/>
      <c r="AK7" s="131"/>
      <c r="AL7" s="131"/>
      <c r="AM7" s="131"/>
      <c r="AN7" s="131"/>
      <c r="AO7" s="131"/>
      <c r="AP7" s="131"/>
      <c r="AQ7" s="132"/>
      <c r="AR7" s="105">
        <v>1</v>
      </c>
      <c r="AS7" s="105">
        <f>3+2</f>
        <v>5</v>
      </c>
      <c r="AT7" s="105"/>
      <c r="AU7" s="105">
        <f>7+3+4</f>
        <v>14</v>
      </c>
      <c r="AV7" s="105"/>
      <c r="AW7" s="105"/>
      <c r="AX7" s="105"/>
      <c r="AY7" s="106"/>
      <c r="AZ7" s="106"/>
      <c r="BA7" s="105"/>
      <c r="BB7" s="105"/>
      <c r="BC7" s="106"/>
      <c r="BD7" s="106"/>
      <c r="BE7" s="105"/>
      <c r="BF7" s="105"/>
      <c r="BG7" s="131"/>
      <c r="BH7" s="131"/>
      <c r="BI7" s="131"/>
      <c r="BJ7" s="105"/>
      <c r="BK7" s="105"/>
      <c r="BL7" s="131"/>
      <c r="BM7" s="131"/>
      <c r="BN7" s="131"/>
      <c r="BO7" s="131"/>
      <c r="BP7" s="131"/>
      <c r="BQ7" s="131"/>
      <c r="BR7" s="131"/>
      <c r="BS7" s="131"/>
      <c r="BT7" s="131"/>
      <c r="BU7" s="131"/>
      <c r="BV7" s="131"/>
      <c r="BW7" s="131"/>
      <c r="BX7" s="131"/>
      <c r="BY7" s="132"/>
      <c r="BZ7" s="141">
        <v>1</v>
      </c>
      <c r="CA7" s="106"/>
      <c r="CB7" s="131"/>
      <c r="CC7" s="131"/>
      <c r="CD7" s="131"/>
      <c r="CE7" s="132"/>
      <c r="CF7" s="80">
        <f t="shared" si="0"/>
        <v>22902</v>
      </c>
      <c r="CG7" s="127">
        <f>8402+7200+7300</f>
        <v>22902</v>
      </c>
      <c r="CH7" s="131"/>
      <c r="CI7" s="131"/>
      <c r="CJ7" s="131"/>
      <c r="CK7" s="131"/>
      <c r="CL7" s="131"/>
      <c r="CM7" s="131"/>
      <c r="CN7" s="156">
        <f t="shared" si="1"/>
        <v>22902</v>
      </c>
      <c r="CO7" s="127">
        <v>1200</v>
      </c>
      <c r="CP7" s="127">
        <f>3600+1300</f>
        <v>4900</v>
      </c>
      <c r="CQ7" s="149"/>
      <c r="CR7" s="149">
        <f>8402+3600+4800</f>
        <v>16802</v>
      </c>
      <c r="CS7" s="134"/>
      <c r="CT7" s="105"/>
      <c r="CU7" s="127"/>
      <c r="CV7" s="127"/>
      <c r="CW7" s="127"/>
      <c r="CX7" s="131"/>
      <c r="CY7" s="131"/>
      <c r="CZ7" s="131"/>
      <c r="DA7" s="131"/>
      <c r="DB7" s="131"/>
      <c r="DC7" s="131"/>
      <c r="DD7" s="127"/>
      <c r="DE7" s="131"/>
      <c r="DF7" s="131"/>
      <c r="DG7" s="131"/>
      <c r="DH7" s="131"/>
      <c r="DI7" s="131"/>
      <c r="DJ7" s="131"/>
      <c r="DK7" s="131"/>
      <c r="DL7" s="131"/>
      <c r="DM7" s="131"/>
      <c r="DN7" s="132"/>
      <c r="DO7" s="127">
        <v>730</v>
      </c>
      <c r="DP7" s="127"/>
      <c r="DQ7" s="127">
        <v>40</v>
      </c>
      <c r="DR7" s="131"/>
      <c r="DS7" s="131"/>
      <c r="DT7" s="132"/>
      <c r="DU7" s="130"/>
      <c r="DV7" s="127">
        <v>130</v>
      </c>
      <c r="DW7" s="127"/>
      <c r="DX7" s="131"/>
      <c r="DY7" s="131"/>
      <c r="DZ7" s="127"/>
      <c r="EA7" s="127"/>
      <c r="EB7" s="131"/>
      <c r="EC7" s="105">
        <v>1000</v>
      </c>
      <c r="ED7" s="131"/>
      <c r="EE7" s="131"/>
      <c r="EF7" s="131"/>
      <c r="EG7" s="131"/>
      <c r="EH7" s="131"/>
      <c r="EI7" s="132"/>
      <c r="EJ7" s="19">
        <v>24</v>
      </c>
      <c r="EK7" s="12">
        <v>24</v>
      </c>
      <c r="EL7" s="150">
        <f t="shared" si="2"/>
        <v>24</v>
      </c>
      <c r="EM7" s="151">
        <f t="shared" si="3"/>
        <v>1</v>
      </c>
      <c r="EN7" s="152">
        <f t="shared" si="4"/>
        <v>24</v>
      </c>
      <c r="EO7" s="127"/>
      <c r="EP7" s="127"/>
      <c r="EQ7" s="128"/>
      <c r="ER7" s="70">
        <f t="shared" si="5"/>
        <v>954.25</v>
      </c>
      <c r="ES7" s="21">
        <f t="shared" si="6"/>
        <v>954.25</v>
      </c>
      <c r="ET7" s="10" t="str">
        <f>IF(ISERROR(#REF!/#REF!)," ",#REF!/#REF!)</f>
        <v xml:space="preserve"> </v>
      </c>
      <c r="EU7" s="10"/>
      <c r="EV7" s="69" t="str">
        <f>IF(ISERROR(#REF!/#REF!)," ",#REF!/#REF!)</f>
        <v xml:space="preserve"> </v>
      </c>
      <c r="EW7" s="83"/>
      <c r="EX7" s="83"/>
      <c r="EY7" s="83"/>
      <c r="EZ7" s="83"/>
      <c r="FA7" s="83"/>
      <c r="FB7" s="83"/>
      <c r="FC7" s="83"/>
      <c r="FD7" s="83"/>
      <c r="FE7" s="83"/>
      <c r="FF7" s="83"/>
      <c r="FG7" s="83"/>
      <c r="FH7" s="83"/>
      <c r="FI7" s="83"/>
      <c r="FJ7" s="83"/>
      <c r="FK7" s="83"/>
      <c r="FL7" s="83"/>
      <c r="FM7" s="83"/>
      <c r="FN7" s="83"/>
      <c r="FO7" s="83"/>
      <c r="FP7" s="83"/>
      <c r="FQ7" s="83"/>
      <c r="FR7" s="83"/>
      <c r="FS7" s="83"/>
      <c r="FT7" s="83"/>
    </row>
    <row r="8" spans="1:176" s="74" customFormat="1" x14ac:dyDescent="0.25">
      <c r="A8" s="18" t="e">
        <f>Lentilles!#REF!</f>
        <v>#REF!</v>
      </c>
      <c r="B8" s="20" t="e">
        <f>Lentilles!#REF!</f>
        <v>#REF!</v>
      </c>
      <c r="C8" s="139">
        <v>3</v>
      </c>
      <c r="D8" s="108">
        <f>5+3+5</f>
        <v>13</v>
      </c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7"/>
      <c r="U8" s="127">
        <f>5580+3300+5650</f>
        <v>14530</v>
      </c>
      <c r="V8" s="127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106"/>
      <c r="AO8" s="106"/>
      <c r="AP8" s="106"/>
      <c r="AQ8" s="107"/>
      <c r="AR8" s="105">
        <f>1+1</f>
        <v>2</v>
      </c>
      <c r="AS8" s="105">
        <f>3+5+7</f>
        <v>15</v>
      </c>
      <c r="AT8" s="105"/>
      <c r="AU8" s="105">
        <v>1</v>
      </c>
      <c r="AV8" s="105"/>
      <c r="AW8" s="105"/>
      <c r="AX8" s="105"/>
      <c r="AY8" s="106"/>
      <c r="AZ8" s="106"/>
      <c r="BA8" s="106"/>
      <c r="BB8" s="106"/>
      <c r="BC8" s="106"/>
      <c r="BD8" s="106"/>
      <c r="BE8" s="106"/>
      <c r="BF8" s="106"/>
      <c r="BG8" s="106"/>
      <c r="BH8" s="106"/>
      <c r="BI8" s="106"/>
      <c r="BJ8" s="106"/>
      <c r="BK8" s="106"/>
      <c r="BL8" s="106"/>
      <c r="BM8" s="106"/>
      <c r="BN8" s="106"/>
      <c r="BO8" s="106"/>
      <c r="BP8" s="106"/>
      <c r="BQ8" s="106"/>
      <c r="BR8" s="106"/>
      <c r="BS8" s="106"/>
      <c r="BT8" s="106"/>
      <c r="BU8" s="106"/>
      <c r="BV8" s="106"/>
      <c r="BW8" s="106"/>
      <c r="BX8" s="106"/>
      <c r="BY8" s="107"/>
      <c r="BZ8" s="140"/>
      <c r="CA8" s="106"/>
      <c r="CB8" s="106"/>
      <c r="CC8" s="106"/>
      <c r="CD8" s="106"/>
      <c r="CE8" s="107"/>
      <c r="CF8" s="80">
        <f t="shared" si="0"/>
        <v>21600</v>
      </c>
      <c r="CG8" s="127">
        <f>6000+7200+8400</f>
        <v>21600</v>
      </c>
      <c r="CH8" s="106"/>
      <c r="CI8" s="106"/>
      <c r="CJ8" s="106"/>
      <c r="CK8" s="106"/>
      <c r="CL8" s="106"/>
      <c r="CM8" s="106"/>
      <c r="CN8" s="156">
        <f t="shared" si="1"/>
        <v>21600</v>
      </c>
      <c r="CO8" s="127">
        <f>1200+1200</f>
        <v>2400</v>
      </c>
      <c r="CP8" s="127">
        <f>3600+6000+8400</f>
        <v>18000</v>
      </c>
      <c r="CQ8" s="149"/>
      <c r="CR8" s="149">
        <v>1200</v>
      </c>
      <c r="CS8" s="114"/>
      <c r="CT8" s="106"/>
      <c r="CU8" s="127"/>
      <c r="CV8" s="127"/>
      <c r="CW8" s="127"/>
      <c r="CX8" s="106"/>
      <c r="CY8" s="106"/>
      <c r="CZ8" s="106"/>
      <c r="DA8" s="106"/>
      <c r="DB8" s="106"/>
      <c r="DC8" s="106"/>
      <c r="DD8" s="127"/>
      <c r="DE8" s="106"/>
      <c r="DF8" s="106"/>
      <c r="DG8" s="106"/>
      <c r="DH8" s="106"/>
      <c r="DI8" s="106"/>
      <c r="DJ8" s="106"/>
      <c r="DK8" s="106"/>
      <c r="DL8" s="106"/>
      <c r="DM8" s="106"/>
      <c r="DN8" s="107"/>
      <c r="DO8" s="127"/>
      <c r="DP8" s="127"/>
      <c r="DQ8" s="127">
        <f>50+120</f>
        <v>170</v>
      </c>
      <c r="DR8" s="106"/>
      <c r="DS8" s="106"/>
      <c r="DT8" s="107"/>
      <c r="DU8" s="130"/>
      <c r="DV8" s="127">
        <v>52</v>
      </c>
      <c r="DW8" s="127"/>
      <c r="DX8" s="106"/>
      <c r="DY8" s="106"/>
      <c r="DZ8" s="127"/>
      <c r="EA8" s="127"/>
      <c r="EB8" s="106"/>
      <c r="EC8" s="106"/>
      <c r="ED8" s="106"/>
      <c r="EE8" s="106"/>
      <c r="EF8" s="106"/>
      <c r="EG8" s="106"/>
      <c r="EH8" s="106"/>
      <c r="EI8" s="107"/>
      <c r="EJ8" s="19">
        <v>24</v>
      </c>
      <c r="EK8" s="12">
        <v>24</v>
      </c>
      <c r="EL8" s="150">
        <f t="shared" si="2"/>
        <v>24</v>
      </c>
      <c r="EM8" s="151">
        <f t="shared" si="3"/>
        <v>1</v>
      </c>
      <c r="EN8" s="152">
        <f t="shared" si="4"/>
        <v>24</v>
      </c>
      <c r="EO8" s="127"/>
      <c r="EP8" s="127"/>
      <c r="EQ8" s="128"/>
      <c r="ER8" s="70">
        <f t="shared" si="5"/>
        <v>900</v>
      </c>
      <c r="ES8" s="21">
        <f t="shared" si="6"/>
        <v>900</v>
      </c>
      <c r="ET8" s="10" t="str">
        <f>IF(ISERROR(#REF!/#REF!)," ",#REF!/#REF!)</f>
        <v xml:space="preserve"> </v>
      </c>
      <c r="EU8" s="10"/>
      <c r="EV8" s="69" t="str">
        <f>IF(ISERROR(#REF!/#REF!)," ",#REF!/#REF!)</f>
        <v xml:space="preserve"> </v>
      </c>
      <c r="EW8" s="83"/>
      <c r="EX8" s="83"/>
      <c r="EY8" s="83"/>
      <c r="EZ8" s="83"/>
      <c r="FA8" s="83"/>
      <c r="FB8" s="83"/>
      <c r="FC8" s="83"/>
      <c r="FD8" s="83"/>
      <c r="FE8" s="83"/>
      <c r="FF8" s="83"/>
      <c r="FG8" s="83"/>
      <c r="FH8" s="83"/>
      <c r="FI8" s="83"/>
      <c r="FJ8" s="83"/>
      <c r="FK8" s="83"/>
      <c r="FL8" s="83"/>
      <c r="FM8" s="83"/>
      <c r="FN8" s="83"/>
      <c r="FO8" s="83"/>
      <c r="FP8" s="83"/>
      <c r="FQ8" s="83"/>
      <c r="FR8" s="83"/>
      <c r="FS8" s="83"/>
      <c r="FT8" s="83"/>
    </row>
    <row r="9" spans="1:176" s="74" customFormat="1" x14ac:dyDescent="0.25">
      <c r="A9" s="18" t="e">
        <f>Lentilles!#REF!</f>
        <v>#REF!</v>
      </c>
      <c r="B9" s="20" t="e">
        <f>Lentilles!#REF!</f>
        <v>#REF!</v>
      </c>
      <c r="C9" s="139">
        <v>3</v>
      </c>
      <c r="D9" s="108">
        <v>4</v>
      </c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5"/>
      <c r="U9" s="127">
        <f>4470+13210+7910</f>
        <v>25590</v>
      </c>
      <c r="V9" s="127"/>
      <c r="W9" s="127"/>
      <c r="X9" s="127"/>
      <c r="Y9" s="127"/>
      <c r="Z9" s="127"/>
      <c r="AA9" s="127"/>
      <c r="AB9" s="114"/>
      <c r="AC9" s="114"/>
      <c r="AD9" s="114"/>
      <c r="AE9" s="114"/>
      <c r="AF9" s="114"/>
      <c r="AG9" s="114"/>
      <c r="AH9" s="114"/>
      <c r="AI9" s="114"/>
      <c r="AJ9" s="114"/>
      <c r="AK9" s="114"/>
      <c r="AL9" s="114"/>
      <c r="AM9" s="114"/>
      <c r="AN9" s="114"/>
      <c r="AO9" s="114"/>
      <c r="AP9" s="114"/>
      <c r="AQ9" s="115"/>
      <c r="AR9" s="105">
        <f>4+2+7</f>
        <v>13</v>
      </c>
      <c r="AS9" s="105"/>
      <c r="AT9" s="105"/>
      <c r="AU9" s="105"/>
      <c r="AV9" s="113"/>
      <c r="AW9" s="105"/>
      <c r="AX9" s="105"/>
      <c r="AY9" s="106"/>
      <c r="AZ9" s="106"/>
      <c r="BA9" s="114"/>
      <c r="BB9" s="114"/>
      <c r="BC9" s="114"/>
      <c r="BD9" s="114"/>
      <c r="BE9" s="114"/>
      <c r="BF9" s="114"/>
      <c r="BG9" s="114"/>
      <c r="BH9" s="114"/>
      <c r="BI9" s="114"/>
      <c r="BJ9" s="114"/>
      <c r="BK9" s="114"/>
      <c r="BL9" s="114"/>
      <c r="BM9" s="114"/>
      <c r="BN9" s="114"/>
      <c r="BO9" s="114"/>
      <c r="BP9" s="114"/>
      <c r="BQ9" s="114"/>
      <c r="BR9" s="114"/>
      <c r="BS9" s="114"/>
      <c r="BT9" s="114"/>
      <c r="BU9" s="114"/>
      <c r="BV9" s="114"/>
      <c r="BW9" s="114"/>
      <c r="BX9" s="114"/>
      <c r="BY9" s="115"/>
      <c r="BZ9" s="142"/>
      <c r="CA9" s="106"/>
      <c r="CB9" s="127"/>
      <c r="CC9" s="127"/>
      <c r="CD9" s="127"/>
      <c r="CE9" s="129"/>
      <c r="CF9" s="80">
        <f t="shared" si="0"/>
        <v>15406</v>
      </c>
      <c r="CG9" s="127">
        <f>4800+2401+8205</f>
        <v>15406</v>
      </c>
      <c r="CH9" s="127"/>
      <c r="CI9" s="127"/>
      <c r="CJ9" s="127"/>
      <c r="CK9" s="127"/>
      <c r="CL9" s="127"/>
      <c r="CM9" s="127"/>
      <c r="CN9" s="156">
        <f t="shared" si="1"/>
        <v>15406</v>
      </c>
      <c r="CO9" s="127">
        <f>4800+2401+8205</f>
        <v>15406</v>
      </c>
      <c r="CP9" s="127"/>
      <c r="CQ9" s="127"/>
      <c r="CR9" s="127"/>
      <c r="CS9" s="127"/>
      <c r="CT9" s="127"/>
      <c r="CU9" s="127"/>
      <c r="CV9" s="127"/>
      <c r="CW9" s="127"/>
      <c r="CX9" s="127"/>
      <c r="CY9" s="127"/>
      <c r="CZ9" s="127"/>
      <c r="DA9" s="127"/>
      <c r="DB9" s="127"/>
      <c r="DC9" s="127"/>
      <c r="DD9" s="133"/>
      <c r="DE9" s="127"/>
      <c r="DF9" s="127"/>
      <c r="DG9" s="127"/>
      <c r="DH9" s="127"/>
      <c r="DI9" s="127"/>
      <c r="DJ9" s="127"/>
      <c r="DK9" s="127"/>
      <c r="DL9" s="127"/>
      <c r="DM9" s="127"/>
      <c r="DN9" s="129"/>
      <c r="DO9" s="127"/>
      <c r="DP9" s="127"/>
      <c r="DQ9" s="127"/>
      <c r="DR9" s="127"/>
      <c r="DS9" s="127"/>
      <c r="DT9" s="129"/>
      <c r="DU9" s="130"/>
      <c r="DV9" s="127">
        <v>26</v>
      </c>
      <c r="DW9" s="127"/>
      <c r="DX9" s="127"/>
      <c r="DY9" s="127"/>
      <c r="DZ9" s="127"/>
      <c r="EA9" s="127"/>
      <c r="EB9" s="127"/>
      <c r="EC9" s="127"/>
      <c r="ED9" s="127"/>
      <c r="EE9" s="127"/>
      <c r="EF9" s="127"/>
      <c r="EG9" s="127"/>
      <c r="EH9" s="127"/>
      <c r="EI9" s="129"/>
      <c r="EJ9" s="19">
        <v>24</v>
      </c>
      <c r="EK9" s="12">
        <v>17</v>
      </c>
      <c r="EL9" s="150">
        <f t="shared" si="2"/>
        <v>17</v>
      </c>
      <c r="EM9" s="151">
        <f t="shared" si="3"/>
        <v>0.70833333333333337</v>
      </c>
      <c r="EN9" s="152">
        <f t="shared" si="4"/>
        <v>17</v>
      </c>
      <c r="EO9" s="127"/>
      <c r="EP9" s="127"/>
      <c r="EQ9" s="128"/>
      <c r="ER9" s="70">
        <f t="shared" si="5"/>
        <v>906.23529411764707</v>
      </c>
      <c r="ES9" s="21">
        <f t="shared" si="6"/>
        <v>906.23529411764707</v>
      </c>
      <c r="ET9" s="10" t="str">
        <f>IF(ISERROR(#REF!/#REF!)," ",#REF!/#REF!)</f>
        <v xml:space="preserve"> </v>
      </c>
      <c r="EU9" s="10"/>
      <c r="EV9" s="69" t="str">
        <f>IF(ISERROR(#REF!/#REF!)," ",#REF!/#REF!)</f>
        <v xml:space="preserve"> </v>
      </c>
      <c r="EW9" s="83"/>
      <c r="EX9" s="83"/>
      <c r="EY9" s="83"/>
      <c r="EZ9" s="83"/>
      <c r="FA9" s="83"/>
      <c r="FB9" s="83"/>
      <c r="FC9" s="83"/>
      <c r="FD9" s="83"/>
      <c r="FE9" s="83"/>
      <c r="FF9" s="83"/>
      <c r="FG9" s="83"/>
      <c r="FH9" s="83"/>
      <c r="FI9" s="83"/>
      <c r="FJ9" s="83"/>
      <c r="FK9" s="83"/>
      <c r="FL9" s="83"/>
      <c r="FM9" s="83"/>
      <c r="FN9" s="83"/>
      <c r="FO9" s="83"/>
      <c r="FP9" s="83"/>
      <c r="FQ9" s="83"/>
      <c r="FR9" s="83"/>
      <c r="FS9" s="83"/>
      <c r="FT9" s="83"/>
    </row>
    <row r="10" spans="1:176" s="74" customFormat="1" x14ac:dyDescent="0.25">
      <c r="A10" s="18" t="e">
        <f>Lentilles!#REF!</f>
        <v>#REF!</v>
      </c>
      <c r="B10" s="20" t="e">
        <f>Lentilles!#REF!</f>
        <v>#REF!</v>
      </c>
      <c r="C10" s="139">
        <v>3</v>
      </c>
      <c r="D10" s="108"/>
      <c r="E10" s="134"/>
      <c r="F10" s="134"/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/>
      <c r="R10" s="134"/>
      <c r="S10" s="113"/>
      <c r="T10" s="135"/>
      <c r="U10" s="127">
        <f>8900+7910+9050</f>
        <v>25860</v>
      </c>
      <c r="V10" s="127"/>
      <c r="W10" s="127"/>
      <c r="X10" s="127"/>
      <c r="Y10" s="127"/>
      <c r="Z10" s="127"/>
      <c r="AA10" s="127"/>
      <c r="AB10" s="134"/>
      <c r="AC10" s="134"/>
      <c r="AD10" s="134"/>
      <c r="AE10" s="134"/>
      <c r="AF10" s="134"/>
      <c r="AG10" s="134"/>
      <c r="AH10" s="134"/>
      <c r="AI10" s="134"/>
      <c r="AJ10" s="134"/>
      <c r="AK10" s="134"/>
      <c r="AL10" s="134"/>
      <c r="AM10" s="134"/>
      <c r="AN10" s="134"/>
      <c r="AO10" s="134"/>
      <c r="AP10" s="134"/>
      <c r="AQ10" s="135"/>
      <c r="AR10" s="105"/>
      <c r="AS10" s="105"/>
      <c r="AT10" s="105">
        <f>8+10+10</f>
        <v>28</v>
      </c>
      <c r="AU10" s="105"/>
      <c r="AV10" s="113"/>
      <c r="AW10" s="105"/>
      <c r="AX10" s="105"/>
      <c r="AY10" s="106"/>
      <c r="AZ10" s="106"/>
      <c r="BA10" s="114"/>
      <c r="BB10" s="134"/>
      <c r="BC10" s="113"/>
      <c r="BD10" s="113"/>
      <c r="BE10" s="134"/>
      <c r="BF10" s="134"/>
      <c r="BG10" s="113"/>
      <c r="BH10" s="134"/>
      <c r="BI10" s="134"/>
      <c r="BJ10" s="134"/>
      <c r="BK10" s="134"/>
      <c r="BL10" s="134"/>
      <c r="BM10" s="134"/>
      <c r="BN10" s="134"/>
      <c r="BO10" s="134"/>
      <c r="BP10" s="134"/>
      <c r="BQ10" s="134"/>
      <c r="BR10" s="134"/>
      <c r="BS10" s="134"/>
      <c r="BT10" s="134"/>
      <c r="BU10" s="134"/>
      <c r="BV10" s="134"/>
      <c r="BW10" s="113"/>
      <c r="BX10" s="134"/>
      <c r="BY10" s="116"/>
      <c r="BZ10" s="143">
        <v>1</v>
      </c>
      <c r="CA10" s="106"/>
      <c r="CB10" s="127"/>
      <c r="CC10" s="127"/>
      <c r="CD10" s="127"/>
      <c r="CE10" s="129"/>
      <c r="CF10" s="80">
        <f t="shared" si="0"/>
        <v>27326</v>
      </c>
      <c r="CG10" s="127">
        <f>8006+9310+10010</f>
        <v>27326</v>
      </c>
      <c r="CH10" s="127"/>
      <c r="CI10" s="127"/>
      <c r="CJ10" s="127"/>
      <c r="CK10" s="127"/>
      <c r="CL10" s="127"/>
      <c r="CM10" s="127"/>
      <c r="CN10" s="156">
        <f t="shared" si="1"/>
        <v>27326</v>
      </c>
      <c r="CO10" s="127"/>
      <c r="CP10" s="127"/>
      <c r="CQ10" s="127">
        <f>8006+9310+10010</f>
        <v>27326</v>
      </c>
      <c r="CR10" s="127"/>
      <c r="CS10" s="127"/>
      <c r="CT10" s="127"/>
      <c r="CU10" s="127"/>
      <c r="CV10" s="127"/>
      <c r="CW10" s="127"/>
      <c r="CX10" s="127"/>
      <c r="CY10" s="127"/>
      <c r="CZ10" s="127"/>
      <c r="DA10" s="127"/>
      <c r="DB10" s="127"/>
      <c r="DC10" s="127"/>
      <c r="DD10" s="127"/>
      <c r="DE10" s="127"/>
      <c r="DF10" s="127"/>
      <c r="DG10" s="127"/>
      <c r="DH10" s="127"/>
      <c r="DI10" s="127"/>
      <c r="DJ10" s="127"/>
      <c r="DK10" s="127"/>
      <c r="DL10" s="127"/>
      <c r="DM10" s="127"/>
      <c r="DN10" s="129"/>
      <c r="DO10" s="127">
        <v>613</v>
      </c>
      <c r="DP10" s="127"/>
      <c r="DQ10" s="127">
        <v>60</v>
      </c>
      <c r="DR10" s="127"/>
      <c r="DS10" s="127"/>
      <c r="DT10" s="129"/>
      <c r="DU10" s="130"/>
      <c r="DV10" s="127">
        <v>52</v>
      </c>
      <c r="DW10" s="127"/>
      <c r="DX10" s="127"/>
      <c r="DY10" s="127"/>
      <c r="DZ10" s="127"/>
      <c r="EA10" s="127"/>
      <c r="EB10" s="127"/>
      <c r="EC10" s="127"/>
      <c r="ED10" s="127"/>
      <c r="EE10" s="127"/>
      <c r="EF10" s="127"/>
      <c r="EG10" s="127"/>
      <c r="EH10" s="127"/>
      <c r="EI10" s="129"/>
      <c r="EJ10" s="19">
        <v>24</v>
      </c>
      <c r="EK10" s="12">
        <v>24</v>
      </c>
      <c r="EL10" s="150">
        <f t="shared" si="2"/>
        <v>24</v>
      </c>
      <c r="EM10" s="151">
        <f t="shared" si="3"/>
        <v>1</v>
      </c>
      <c r="EN10" s="152">
        <f t="shared" si="4"/>
        <v>24</v>
      </c>
      <c r="EO10" s="127"/>
      <c r="EP10" s="127"/>
      <c r="EQ10" s="128"/>
      <c r="ER10" s="70">
        <f t="shared" si="5"/>
        <v>1138.5833333333333</v>
      </c>
      <c r="ES10" s="21">
        <f t="shared" si="6"/>
        <v>1138.5833333333333</v>
      </c>
      <c r="ET10" s="10" t="str">
        <f>IF(ISERROR(#REF!/#REF!)," ",#REF!/#REF!)</f>
        <v xml:space="preserve"> </v>
      </c>
      <c r="EU10" s="10"/>
      <c r="EV10" s="69" t="str">
        <f>IF(ISERROR(#REF!/#REF!)," ",#REF!/#REF!)</f>
        <v xml:space="preserve"> </v>
      </c>
      <c r="EW10" s="83"/>
      <c r="EX10" s="83"/>
      <c r="EY10" s="83"/>
      <c r="EZ10" s="83"/>
      <c r="FA10" s="83"/>
      <c r="FB10" s="83"/>
      <c r="FC10" s="83"/>
      <c r="FD10" s="83"/>
      <c r="FE10" s="83"/>
      <c r="FF10" s="83"/>
      <c r="FG10" s="83"/>
      <c r="FH10" s="83"/>
      <c r="FI10" s="83"/>
      <c r="FJ10" s="83"/>
      <c r="FK10" s="83"/>
      <c r="FL10" s="83"/>
      <c r="FM10" s="83"/>
      <c r="FN10" s="83"/>
      <c r="FO10" s="83"/>
      <c r="FP10" s="83"/>
      <c r="FQ10" s="83"/>
      <c r="FR10" s="83"/>
      <c r="FS10" s="83"/>
      <c r="FT10" s="83"/>
    </row>
    <row r="11" spans="1:176" s="74" customFormat="1" x14ac:dyDescent="0.25">
      <c r="A11" s="18" t="e">
        <f>Lentilles!#REF!</f>
        <v>#REF!</v>
      </c>
      <c r="B11" s="20" t="e">
        <f>Lentilles!#REF!</f>
        <v>#REF!</v>
      </c>
      <c r="C11" s="139">
        <v>3</v>
      </c>
      <c r="D11" s="108">
        <f>7+7+1</f>
        <v>15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5"/>
      <c r="U11" s="127">
        <f>7770+7710+1110+1300+9950</f>
        <v>27840</v>
      </c>
      <c r="V11" s="127"/>
      <c r="W11" s="127"/>
      <c r="X11" s="127"/>
      <c r="Y11" s="127"/>
      <c r="Z11" s="127"/>
      <c r="AA11" s="127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5"/>
      <c r="AR11" s="105"/>
      <c r="AS11" s="105"/>
      <c r="AT11" s="105">
        <f>11+10+9</f>
        <v>30</v>
      </c>
      <c r="AU11" s="105">
        <v>1</v>
      </c>
      <c r="AV11" s="113"/>
      <c r="AW11" s="105"/>
      <c r="AX11" s="105"/>
      <c r="AY11" s="106"/>
      <c r="AZ11" s="106"/>
      <c r="BA11" s="113"/>
      <c r="BB11" s="134"/>
      <c r="BC11" s="134"/>
      <c r="BD11" s="134"/>
      <c r="BE11" s="134"/>
      <c r="BF11" s="113"/>
      <c r="BG11" s="134"/>
      <c r="BH11" s="134"/>
      <c r="BI11" s="134"/>
      <c r="BJ11" s="134"/>
      <c r="BK11" s="134"/>
      <c r="BL11" s="134"/>
      <c r="BM11" s="134"/>
      <c r="BN11" s="134"/>
      <c r="BO11" s="134"/>
      <c r="BP11" s="134"/>
      <c r="BQ11" s="134"/>
      <c r="BR11" s="134"/>
      <c r="BS11" s="134"/>
      <c r="BT11" s="134"/>
      <c r="BU11" s="134"/>
      <c r="BV11" s="134"/>
      <c r="BW11" s="134"/>
      <c r="BX11" s="134"/>
      <c r="BY11" s="135"/>
      <c r="BZ11" s="143"/>
      <c r="CA11" s="106"/>
      <c r="CB11" s="127"/>
      <c r="CC11" s="127"/>
      <c r="CD11" s="127"/>
      <c r="CE11" s="129"/>
      <c r="CF11" s="80">
        <f t="shared" si="0"/>
        <v>28426</v>
      </c>
      <c r="CG11" s="127">
        <f>9609+10009+8808</f>
        <v>28426</v>
      </c>
      <c r="CH11" s="127"/>
      <c r="CI11" s="127"/>
      <c r="CJ11" s="127"/>
      <c r="CK11" s="127"/>
      <c r="CL11" s="127"/>
      <c r="CM11" s="127"/>
      <c r="CN11" s="156">
        <f t="shared" si="1"/>
        <v>28426</v>
      </c>
      <c r="CO11" s="127"/>
      <c r="CP11" s="127"/>
      <c r="CQ11" s="127">
        <f>9609+10009+8407</f>
        <v>28025</v>
      </c>
      <c r="CR11" s="127">
        <v>401</v>
      </c>
      <c r="CS11" s="127"/>
      <c r="CT11" s="127"/>
      <c r="CU11" s="127"/>
      <c r="CV11" s="127"/>
      <c r="CW11" s="127"/>
      <c r="CX11" s="127"/>
      <c r="CY11" s="127"/>
      <c r="CZ11" s="127"/>
      <c r="DA11" s="127"/>
      <c r="DB11" s="127"/>
      <c r="DC11" s="127"/>
      <c r="DD11" s="127"/>
      <c r="DE11" s="127"/>
      <c r="DF11" s="127"/>
      <c r="DG11" s="127"/>
      <c r="DH11" s="127"/>
      <c r="DI11" s="127"/>
      <c r="DJ11" s="127"/>
      <c r="DK11" s="127"/>
      <c r="DL11" s="127"/>
      <c r="DM11" s="127"/>
      <c r="DN11" s="129"/>
      <c r="DO11" s="127"/>
      <c r="DP11" s="127"/>
      <c r="DQ11" s="127">
        <f>30+60+150</f>
        <v>240</v>
      </c>
      <c r="DR11" s="127"/>
      <c r="DS11" s="127"/>
      <c r="DT11" s="129"/>
      <c r="DU11" s="130">
        <v>1250</v>
      </c>
      <c r="DV11" s="127">
        <v>65</v>
      </c>
      <c r="DW11" s="127"/>
      <c r="DX11" s="127"/>
      <c r="DY11" s="127"/>
      <c r="DZ11" s="127"/>
      <c r="EA11" s="127"/>
      <c r="EB11" s="127"/>
      <c r="EC11" s="127"/>
      <c r="ED11" s="127"/>
      <c r="EE11" s="127"/>
      <c r="EF11" s="127"/>
      <c r="EG11" s="127"/>
      <c r="EH11" s="127"/>
      <c r="EI11" s="129"/>
      <c r="EJ11" s="19">
        <v>24</v>
      </c>
      <c r="EK11" s="12">
        <v>24</v>
      </c>
      <c r="EL11" s="150">
        <f t="shared" si="2"/>
        <v>24</v>
      </c>
      <c r="EM11" s="151">
        <f t="shared" si="3"/>
        <v>1</v>
      </c>
      <c r="EN11" s="152">
        <f t="shared" si="4"/>
        <v>24</v>
      </c>
      <c r="EO11" s="127"/>
      <c r="EP11" s="127"/>
      <c r="EQ11" s="128"/>
      <c r="ER11" s="70">
        <f t="shared" si="5"/>
        <v>1184.4166666666667</v>
      </c>
      <c r="ES11" s="21">
        <f t="shared" si="6"/>
        <v>1184.4166666666667</v>
      </c>
      <c r="ET11" s="10" t="str">
        <f>IF(ISERROR(#REF!/#REF!)," ",#REF!/#REF!)</f>
        <v xml:space="preserve"> </v>
      </c>
      <c r="EU11" s="10"/>
      <c r="EV11" s="69" t="str">
        <f>IF(ISERROR(#REF!/#REF!)," ",#REF!/#REF!)</f>
        <v xml:space="preserve"> </v>
      </c>
      <c r="EW11" s="83"/>
      <c r="EX11" s="83"/>
      <c r="EY11" s="83"/>
      <c r="EZ11" s="83"/>
      <c r="FA11" s="83"/>
      <c r="FB11" s="83"/>
      <c r="FC11" s="83"/>
      <c r="FD11" s="83"/>
      <c r="FE11" s="83"/>
      <c r="FF11" s="83"/>
      <c r="FG11" s="83"/>
      <c r="FH11" s="83"/>
      <c r="FI11" s="83"/>
      <c r="FJ11" s="83"/>
      <c r="FK11" s="83"/>
      <c r="FL11" s="83"/>
      <c r="FM11" s="83"/>
      <c r="FN11" s="83"/>
      <c r="FO11" s="83"/>
      <c r="FP11" s="83"/>
      <c r="FQ11" s="83"/>
      <c r="FR11" s="83"/>
      <c r="FS11" s="83"/>
      <c r="FT11" s="83"/>
    </row>
    <row r="12" spans="1:176" s="74" customFormat="1" x14ac:dyDescent="0.25">
      <c r="A12" s="18" t="e">
        <f>Lentilles!#REF!</f>
        <v>#REF!</v>
      </c>
      <c r="B12" s="20" t="e">
        <f>Lentilles!#REF!</f>
        <v>#REF!</v>
      </c>
      <c r="C12" s="139">
        <v>3</v>
      </c>
      <c r="D12" s="108"/>
      <c r="E12" s="134"/>
      <c r="F12" s="134"/>
      <c r="G12" s="134"/>
      <c r="H12" s="134"/>
      <c r="I12" s="134"/>
      <c r="J12" s="134"/>
      <c r="K12" s="134"/>
      <c r="L12" s="134"/>
      <c r="M12" s="134"/>
      <c r="N12" s="113"/>
      <c r="O12" s="134"/>
      <c r="P12" s="134"/>
      <c r="Q12" s="134"/>
      <c r="R12" s="134"/>
      <c r="S12" s="134"/>
      <c r="T12" s="135"/>
      <c r="U12" s="127">
        <f>9730+9280+8810</f>
        <v>27820</v>
      </c>
      <c r="V12" s="127"/>
      <c r="W12" s="127"/>
      <c r="X12" s="127"/>
      <c r="Y12" s="127"/>
      <c r="Z12" s="127"/>
      <c r="AA12" s="127"/>
      <c r="AB12" s="134"/>
      <c r="AC12" s="113"/>
      <c r="AD12" s="134"/>
      <c r="AE12" s="113"/>
      <c r="AF12" s="134"/>
      <c r="AG12" s="134"/>
      <c r="AH12" s="134"/>
      <c r="AI12" s="134"/>
      <c r="AJ12" s="134"/>
      <c r="AK12" s="134"/>
      <c r="AL12" s="134"/>
      <c r="AM12" s="134"/>
      <c r="AN12" s="134"/>
      <c r="AO12" s="134"/>
      <c r="AP12" s="134"/>
      <c r="AQ12" s="135"/>
      <c r="AR12" s="105">
        <f>1+6</f>
        <v>7</v>
      </c>
      <c r="AS12" s="105">
        <f>7+1</f>
        <v>8</v>
      </c>
      <c r="AT12" s="105">
        <v>9</v>
      </c>
      <c r="AU12" s="105"/>
      <c r="AV12" s="113"/>
      <c r="AW12" s="105"/>
      <c r="AX12" s="105"/>
      <c r="AY12" s="106"/>
      <c r="AZ12" s="106"/>
      <c r="BA12" s="113"/>
      <c r="BB12" s="134"/>
      <c r="BC12" s="134"/>
      <c r="BD12" s="134"/>
      <c r="BE12" s="134"/>
      <c r="BF12" s="113"/>
      <c r="BG12" s="134"/>
      <c r="BH12" s="134"/>
      <c r="BI12" s="134"/>
      <c r="BJ12" s="134"/>
      <c r="BK12" s="134"/>
      <c r="BL12" s="134"/>
      <c r="BM12" s="134"/>
      <c r="BN12" s="134"/>
      <c r="BO12" s="134"/>
      <c r="BP12" s="134"/>
      <c r="BQ12" s="134"/>
      <c r="BR12" s="134"/>
      <c r="BS12" s="134"/>
      <c r="BT12" s="134"/>
      <c r="BU12" s="134"/>
      <c r="BV12" s="134"/>
      <c r="BW12" s="134"/>
      <c r="BX12" s="134"/>
      <c r="BY12" s="135"/>
      <c r="BZ12" s="143">
        <v>1</v>
      </c>
      <c r="CA12" s="106"/>
      <c r="CB12" s="127"/>
      <c r="CC12" s="127"/>
      <c r="CD12" s="127"/>
      <c r="CE12" s="129"/>
      <c r="CF12" s="80">
        <f t="shared" si="0"/>
        <v>26321</v>
      </c>
      <c r="CG12" s="127">
        <f>8309+9605+8407</f>
        <v>26321</v>
      </c>
      <c r="CH12" s="127"/>
      <c r="CI12" s="127"/>
      <c r="CJ12" s="127"/>
      <c r="CK12" s="127"/>
      <c r="CL12" s="127"/>
      <c r="CM12" s="127"/>
      <c r="CN12" s="156">
        <f t="shared" si="1"/>
        <v>26321</v>
      </c>
      <c r="CO12" s="127">
        <f>1200+7207</f>
        <v>8407</v>
      </c>
      <c r="CP12" s="127">
        <f>8405+1200</f>
        <v>9605</v>
      </c>
      <c r="CQ12" s="127">
        <v>8309</v>
      </c>
      <c r="CR12" s="127"/>
      <c r="CS12" s="127"/>
      <c r="CT12" s="127"/>
      <c r="CU12" s="127"/>
      <c r="CV12" s="127"/>
      <c r="CW12" s="127"/>
      <c r="CX12" s="127"/>
      <c r="CY12" s="127"/>
      <c r="CZ12" s="127"/>
      <c r="DA12" s="127"/>
      <c r="DB12" s="127"/>
      <c r="DC12" s="127"/>
      <c r="DD12" s="127"/>
      <c r="DE12" s="127"/>
      <c r="DF12" s="127"/>
      <c r="DG12" s="127"/>
      <c r="DH12" s="127"/>
      <c r="DI12" s="127"/>
      <c r="DJ12" s="127"/>
      <c r="DK12" s="127"/>
      <c r="DL12" s="127"/>
      <c r="DM12" s="127"/>
      <c r="DN12" s="129"/>
      <c r="DO12" s="127">
        <v>660</v>
      </c>
      <c r="DP12" s="127"/>
      <c r="DQ12" s="127">
        <v>120</v>
      </c>
      <c r="DR12" s="127"/>
      <c r="DS12" s="127"/>
      <c r="DT12" s="129"/>
      <c r="DU12" s="130"/>
      <c r="DV12" s="127">
        <v>39</v>
      </c>
      <c r="DW12" s="127"/>
      <c r="DX12" s="127"/>
      <c r="DY12" s="127"/>
      <c r="DZ12" s="127"/>
      <c r="EA12" s="127"/>
      <c r="EB12" s="127"/>
      <c r="EC12" s="127"/>
      <c r="ED12" s="127"/>
      <c r="EE12" s="127"/>
      <c r="EF12" s="127"/>
      <c r="EG12" s="127"/>
      <c r="EH12" s="127"/>
      <c r="EI12" s="129"/>
      <c r="EJ12" s="19">
        <v>24</v>
      </c>
      <c r="EK12" s="12">
        <v>24</v>
      </c>
      <c r="EL12" s="150">
        <f t="shared" si="2"/>
        <v>24</v>
      </c>
      <c r="EM12" s="151">
        <f t="shared" si="3"/>
        <v>1</v>
      </c>
      <c r="EN12" s="152">
        <f t="shared" si="4"/>
        <v>24</v>
      </c>
      <c r="EO12" s="127"/>
      <c r="EP12" s="127"/>
      <c r="EQ12" s="128"/>
      <c r="ER12" s="70">
        <f t="shared" si="5"/>
        <v>1096.7083333333333</v>
      </c>
      <c r="ES12" s="21">
        <f t="shared" si="6"/>
        <v>1096.7083333333333</v>
      </c>
      <c r="ET12" s="10" t="str">
        <f>IF(ISERROR(#REF!/#REF!)," ",#REF!/#REF!)</f>
        <v xml:space="preserve"> </v>
      </c>
      <c r="EU12" s="10"/>
      <c r="EV12" s="69" t="str">
        <f>IF(ISERROR(#REF!/#REF!)," ",#REF!/#REF!)</f>
        <v xml:space="preserve"> </v>
      </c>
      <c r="EW12" s="83"/>
      <c r="EX12" s="83"/>
      <c r="EY12" s="83"/>
      <c r="EZ12" s="83"/>
      <c r="FA12" s="83"/>
      <c r="FB12" s="83"/>
      <c r="FC12" s="83"/>
      <c r="FD12" s="83"/>
      <c r="FE12" s="83"/>
      <c r="FF12" s="83"/>
      <c r="FG12" s="83"/>
      <c r="FH12" s="83"/>
      <c r="FI12" s="83"/>
      <c r="FJ12" s="83"/>
      <c r="FK12" s="83"/>
      <c r="FL12" s="83"/>
      <c r="FM12" s="83"/>
      <c r="FN12" s="83"/>
      <c r="FO12" s="83"/>
      <c r="FP12" s="83"/>
      <c r="FQ12" s="83"/>
      <c r="FR12" s="83"/>
      <c r="FS12" s="83"/>
      <c r="FT12" s="83"/>
    </row>
    <row r="13" spans="1:176" s="74" customFormat="1" x14ac:dyDescent="0.25">
      <c r="A13" s="18" t="e">
        <f>Lentilles!#REF!</f>
        <v>#REF!</v>
      </c>
      <c r="B13" s="20" t="e">
        <f>Lentilles!#REF!</f>
        <v>#REF!</v>
      </c>
      <c r="C13" s="139">
        <v>3</v>
      </c>
      <c r="D13" s="108">
        <f>2</f>
        <v>2</v>
      </c>
      <c r="E13" s="113"/>
      <c r="F13" s="113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5"/>
      <c r="U13" s="127">
        <f>2030+8110+8390+8110</f>
        <v>26640</v>
      </c>
      <c r="V13" s="127"/>
      <c r="W13" s="127"/>
      <c r="X13" s="127"/>
      <c r="Y13" s="127"/>
      <c r="Z13" s="127"/>
      <c r="AA13" s="127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5"/>
      <c r="AR13" s="105">
        <v>1</v>
      </c>
      <c r="AS13" s="105"/>
      <c r="AT13" s="105">
        <f>6+10+11</f>
        <v>27</v>
      </c>
      <c r="AU13" s="105"/>
      <c r="AV13" s="113"/>
      <c r="AW13" s="105"/>
      <c r="AX13" s="105"/>
      <c r="AY13" s="106"/>
      <c r="AZ13" s="106"/>
      <c r="BA13" s="114"/>
      <c r="BB13" s="134"/>
      <c r="BC13" s="114"/>
      <c r="BD13" s="114"/>
      <c r="BE13" s="114"/>
      <c r="BF13" s="113"/>
      <c r="BG13" s="113"/>
      <c r="BH13" s="114"/>
      <c r="BI13" s="113"/>
      <c r="BJ13" s="113"/>
      <c r="BK13" s="114"/>
      <c r="BL13" s="114"/>
      <c r="BM13" s="114"/>
      <c r="BN13" s="114"/>
      <c r="BO13" s="114"/>
      <c r="BP13" s="114"/>
      <c r="BQ13" s="114"/>
      <c r="BR13" s="114"/>
      <c r="BS13" s="114"/>
      <c r="BT13" s="114"/>
      <c r="BU13" s="114"/>
      <c r="BV13" s="114"/>
      <c r="BW13" s="114"/>
      <c r="BX13" s="114"/>
      <c r="BY13" s="116"/>
      <c r="BZ13" s="143"/>
      <c r="CA13" s="106"/>
      <c r="CB13" s="127"/>
      <c r="CC13" s="127"/>
      <c r="CD13" s="127"/>
      <c r="CE13" s="129"/>
      <c r="CF13" s="80">
        <f t="shared" si="0"/>
        <v>27500</v>
      </c>
      <c r="CG13" s="127">
        <f>7181+10010+10309</f>
        <v>27500</v>
      </c>
      <c r="CH13" s="127"/>
      <c r="CI13" s="127"/>
      <c r="CJ13" s="127"/>
      <c r="CK13" s="127"/>
      <c r="CL13" s="127"/>
      <c r="CM13" s="127"/>
      <c r="CN13" s="156">
        <f t="shared" si="1"/>
        <v>27500</v>
      </c>
      <c r="CO13" s="127">
        <v>1200</v>
      </c>
      <c r="CP13" s="127"/>
      <c r="CQ13" s="127">
        <f>5981+10010+10309</f>
        <v>26300</v>
      </c>
      <c r="CR13" s="127"/>
      <c r="CS13" s="127"/>
      <c r="CT13" s="127"/>
      <c r="CU13" s="127"/>
      <c r="CV13" s="127"/>
      <c r="CW13" s="127"/>
      <c r="CX13" s="127"/>
      <c r="CY13" s="127"/>
      <c r="CZ13" s="127"/>
      <c r="DA13" s="127"/>
      <c r="DB13" s="127"/>
      <c r="DC13" s="127"/>
      <c r="DD13" s="127"/>
      <c r="DE13" s="127"/>
      <c r="DF13" s="127"/>
      <c r="DG13" s="127"/>
      <c r="DH13" s="127"/>
      <c r="DI13" s="127"/>
      <c r="DJ13" s="127"/>
      <c r="DK13" s="127"/>
      <c r="DL13" s="127"/>
      <c r="DM13" s="127"/>
      <c r="DN13" s="129"/>
      <c r="DO13" s="127"/>
      <c r="DP13" s="127"/>
      <c r="DQ13" s="127">
        <f>220+130</f>
        <v>350</v>
      </c>
      <c r="DR13" s="127"/>
      <c r="DS13" s="127"/>
      <c r="DT13" s="129"/>
      <c r="DU13" s="130"/>
      <c r="DV13" s="127">
        <v>39</v>
      </c>
      <c r="DW13" s="127"/>
      <c r="DX13" s="127"/>
      <c r="DY13" s="127"/>
      <c r="DZ13" s="127"/>
      <c r="EA13" s="127"/>
      <c r="EB13" s="127"/>
      <c r="EC13" s="127"/>
      <c r="ED13" s="127"/>
      <c r="EE13" s="127"/>
      <c r="EF13" s="127"/>
      <c r="EG13" s="127"/>
      <c r="EH13" s="127"/>
      <c r="EI13" s="129"/>
      <c r="EJ13" s="19">
        <v>24</v>
      </c>
      <c r="EK13" s="12">
        <v>24</v>
      </c>
      <c r="EL13" s="150">
        <f t="shared" si="2"/>
        <v>24</v>
      </c>
      <c r="EM13" s="151">
        <f t="shared" si="3"/>
        <v>1</v>
      </c>
      <c r="EN13" s="152">
        <f t="shared" si="4"/>
        <v>24</v>
      </c>
      <c r="EO13" s="127"/>
      <c r="EP13" s="127"/>
      <c r="EQ13" s="128"/>
      <c r="ER13" s="70">
        <f t="shared" si="5"/>
        <v>1145.8333333333333</v>
      </c>
      <c r="ES13" s="21">
        <f t="shared" si="6"/>
        <v>1145.8333333333333</v>
      </c>
      <c r="ET13" s="10" t="str">
        <f>IF(ISERROR(#REF!/#REF!)," ",#REF!/#REF!)</f>
        <v xml:space="preserve"> </v>
      </c>
      <c r="EU13" s="10"/>
      <c r="EV13" s="69" t="str">
        <f>IF(ISERROR(#REF!/#REF!)," ",#REF!/#REF!)</f>
        <v xml:space="preserve"> </v>
      </c>
      <c r="EW13" s="83"/>
      <c r="EX13" s="83"/>
      <c r="EY13" s="83"/>
      <c r="EZ13" s="83"/>
      <c r="FA13" s="83"/>
      <c r="FB13" s="83"/>
      <c r="FC13" s="83"/>
      <c r="FD13" s="83"/>
      <c r="FE13" s="83"/>
      <c r="FF13" s="83"/>
      <c r="FG13" s="83"/>
      <c r="FH13" s="83"/>
      <c r="FI13" s="83"/>
      <c r="FJ13" s="83"/>
      <c r="FK13" s="83"/>
      <c r="FL13" s="83"/>
      <c r="FM13" s="83"/>
      <c r="FN13" s="83"/>
      <c r="FO13" s="83"/>
      <c r="FP13" s="83"/>
      <c r="FQ13" s="83"/>
      <c r="FR13" s="83"/>
      <c r="FS13" s="83"/>
      <c r="FT13" s="83"/>
    </row>
    <row r="14" spans="1:176" s="74" customFormat="1" x14ac:dyDescent="0.25">
      <c r="A14" s="18" t="e">
        <f>Lentilles!#REF!</f>
        <v>#REF!</v>
      </c>
      <c r="B14" s="20" t="e">
        <f>Lentilles!#REF!</f>
        <v>#REF!</v>
      </c>
      <c r="C14" s="139">
        <v>3</v>
      </c>
      <c r="D14" s="108">
        <f>5+7+10</f>
        <v>22</v>
      </c>
      <c r="E14" s="113"/>
      <c r="F14" s="113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5"/>
      <c r="U14" s="127">
        <f>5330+7610+10830</f>
        <v>23770</v>
      </c>
      <c r="V14" s="127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5"/>
      <c r="AR14" s="105"/>
      <c r="AS14" s="105"/>
      <c r="AT14" s="105">
        <f>10+10+10</f>
        <v>30</v>
      </c>
      <c r="AU14" s="105"/>
      <c r="AV14" s="113"/>
      <c r="AW14" s="105"/>
      <c r="AX14" s="105"/>
      <c r="AY14" s="106"/>
      <c r="AZ14" s="106"/>
      <c r="BA14" s="114"/>
      <c r="BB14" s="134"/>
      <c r="BC14" s="114"/>
      <c r="BD14" s="114"/>
      <c r="BE14" s="114"/>
      <c r="BF14" s="113"/>
      <c r="BG14" s="113"/>
      <c r="BH14" s="114"/>
      <c r="BI14" s="113"/>
      <c r="BJ14" s="113"/>
      <c r="BK14" s="114"/>
      <c r="BL14" s="114"/>
      <c r="BM14" s="114"/>
      <c r="BN14" s="114"/>
      <c r="BO14" s="114"/>
      <c r="BP14" s="114"/>
      <c r="BQ14" s="114"/>
      <c r="BR14" s="114"/>
      <c r="BS14" s="114"/>
      <c r="BT14" s="114"/>
      <c r="BU14" s="114"/>
      <c r="BV14" s="114"/>
      <c r="BW14" s="114"/>
      <c r="BX14" s="114"/>
      <c r="BY14" s="116"/>
      <c r="BZ14" s="143">
        <v>1</v>
      </c>
      <c r="CA14" s="106"/>
      <c r="CB14" s="114"/>
      <c r="CC14" s="114"/>
      <c r="CD14" s="114"/>
      <c r="CE14" s="115"/>
      <c r="CF14" s="80">
        <f t="shared" si="0"/>
        <v>29335</v>
      </c>
      <c r="CG14" s="127">
        <f>10019+9310+10006</f>
        <v>29335</v>
      </c>
      <c r="CH14" s="114"/>
      <c r="CI14" s="114"/>
      <c r="CJ14" s="114"/>
      <c r="CK14" s="114"/>
      <c r="CL14" s="114"/>
      <c r="CM14" s="114"/>
      <c r="CN14" s="156">
        <f t="shared" si="1"/>
        <v>29335</v>
      </c>
      <c r="CO14" s="127"/>
      <c r="CP14" s="127"/>
      <c r="CQ14" s="127">
        <f>10019+9310+10006</f>
        <v>29335</v>
      </c>
      <c r="CR14" s="127"/>
      <c r="CS14" s="114"/>
      <c r="CT14" s="114"/>
      <c r="CU14" s="127"/>
      <c r="CV14" s="127"/>
      <c r="CW14" s="127"/>
      <c r="CX14" s="114"/>
      <c r="CY14" s="114"/>
      <c r="CZ14" s="114"/>
      <c r="DA14" s="114"/>
      <c r="DB14" s="114"/>
      <c r="DC14" s="114"/>
      <c r="DD14" s="114"/>
      <c r="DE14" s="114"/>
      <c r="DF14" s="114"/>
      <c r="DG14" s="114"/>
      <c r="DH14" s="114"/>
      <c r="DI14" s="114"/>
      <c r="DJ14" s="114"/>
      <c r="DK14" s="114"/>
      <c r="DL14" s="114"/>
      <c r="DM14" s="114"/>
      <c r="DN14" s="115"/>
      <c r="DO14" s="127">
        <v>575</v>
      </c>
      <c r="DP14" s="127"/>
      <c r="DQ14" s="127">
        <f>20+50+370</f>
        <v>440</v>
      </c>
      <c r="DR14" s="114"/>
      <c r="DS14" s="114"/>
      <c r="DT14" s="115"/>
      <c r="DU14" s="130"/>
      <c r="DV14" s="127">
        <v>78</v>
      </c>
      <c r="DW14" s="127"/>
      <c r="DX14" s="114"/>
      <c r="DY14" s="114"/>
      <c r="DZ14" s="127"/>
      <c r="EA14" s="127"/>
      <c r="EB14" s="114"/>
      <c r="EC14" s="114"/>
      <c r="ED14" s="114"/>
      <c r="EE14" s="114"/>
      <c r="EF14" s="106"/>
      <c r="EG14" s="106"/>
      <c r="EH14" s="106"/>
      <c r="EI14" s="107"/>
      <c r="EJ14" s="19">
        <v>24</v>
      </c>
      <c r="EK14" s="12">
        <v>24</v>
      </c>
      <c r="EL14" s="150">
        <f t="shared" si="2"/>
        <v>24</v>
      </c>
      <c r="EM14" s="151">
        <f t="shared" si="3"/>
        <v>1</v>
      </c>
      <c r="EN14" s="152">
        <f t="shared" si="4"/>
        <v>24</v>
      </c>
      <c r="EO14" s="127"/>
      <c r="EP14" s="127"/>
      <c r="EQ14" s="128"/>
      <c r="ER14" s="70">
        <f t="shared" si="5"/>
        <v>1222.2916666666667</v>
      </c>
      <c r="ES14" s="21">
        <f t="shared" si="6"/>
        <v>1222.2916666666667</v>
      </c>
      <c r="ET14" s="10" t="str">
        <f>IF(ISERROR(#REF!/#REF!)," ",#REF!/#REF!)</f>
        <v xml:space="preserve"> </v>
      </c>
      <c r="EU14" s="10"/>
      <c r="EV14" s="69" t="str">
        <f>IF(ISERROR(#REF!/#REF!)," ",#REF!/#REF!)</f>
        <v xml:space="preserve"> </v>
      </c>
      <c r="EW14" s="83"/>
      <c r="EX14" s="83"/>
      <c r="EY14" s="83"/>
      <c r="EZ14" s="83"/>
      <c r="FA14" s="83"/>
      <c r="FB14" s="83"/>
      <c r="FC14" s="83"/>
      <c r="FD14" s="83"/>
      <c r="FE14" s="83"/>
      <c r="FF14" s="83"/>
      <c r="FG14" s="83"/>
      <c r="FH14" s="83"/>
      <c r="FI14" s="83"/>
      <c r="FJ14" s="83"/>
      <c r="FK14" s="83"/>
      <c r="FL14" s="83"/>
      <c r="FM14" s="83"/>
      <c r="FN14" s="83"/>
      <c r="FO14" s="83"/>
      <c r="FP14" s="83"/>
      <c r="FQ14" s="83"/>
      <c r="FR14" s="83"/>
      <c r="FS14" s="83"/>
      <c r="FT14" s="83"/>
    </row>
    <row r="15" spans="1:176" s="74" customFormat="1" x14ac:dyDescent="0.25">
      <c r="A15" s="18" t="e">
        <f>Lentilles!#REF!</f>
        <v>#REF!</v>
      </c>
      <c r="B15" s="20" t="e">
        <f>Lentilles!#REF!</f>
        <v>#REF!</v>
      </c>
      <c r="C15" s="139">
        <v>3</v>
      </c>
      <c r="D15" s="108">
        <f>9+5+5</f>
        <v>19</v>
      </c>
      <c r="E15" s="113"/>
      <c r="F15" s="113"/>
      <c r="G15" s="134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6"/>
      <c r="U15" s="127">
        <f>9930+5550+5740</f>
        <v>21220</v>
      </c>
      <c r="V15" s="127"/>
      <c r="W15" s="113"/>
      <c r="X15" s="134"/>
      <c r="Y15" s="134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J15" s="113"/>
      <c r="AK15" s="113"/>
      <c r="AL15" s="113"/>
      <c r="AM15" s="113"/>
      <c r="AN15" s="113"/>
      <c r="AO15" s="113"/>
      <c r="AP15" s="113"/>
      <c r="AQ15" s="116"/>
      <c r="AR15" s="105"/>
      <c r="AS15" s="105"/>
      <c r="AT15" s="105">
        <f>9+10+9</f>
        <v>28</v>
      </c>
      <c r="AU15" s="105"/>
      <c r="AV15" s="113"/>
      <c r="AW15" s="105"/>
      <c r="AX15" s="105"/>
      <c r="AY15" s="106"/>
      <c r="AZ15" s="106"/>
      <c r="BA15" s="113"/>
      <c r="BB15" s="113"/>
      <c r="BC15" s="113"/>
      <c r="BD15" s="113"/>
      <c r="BE15" s="113"/>
      <c r="BF15" s="113"/>
      <c r="BG15" s="113"/>
      <c r="BH15" s="113"/>
      <c r="BI15" s="113"/>
      <c r="BJ15" s="113"/>
      <c r="BK15" s="134"/>
      <c r="BL15" s="113"/>
      <c r="BM15" s="113"/>
      <c r="BN15" s="113"/>
      <c r="BO15" s="113"/>
      <c r="BP15" s="113"/>
      <c r="BQ15" s="113"/>
      <c r="BR15" s="113"/>
      <c r="BS15" s="113"/>
      <c r="BT15" s="113"/>
      <c r="BU15" s="113"/>
      <c r="BV15" s="113"/>
      <c r="BW15" s="113"/>
      <c r="BX15" s="113"/>
      <c r="BY15" s="116"/>
      <c r="BZ15" s="143"/>
      <c r="CA15" s="106"/>
      <c r="CB15" s="134"/>
      <c r="CC15" s="134"/>
      <c r="CD15" s="134"/>
      <c r="CE15" s="116"/>
      <c r="CF15" s="80">
        <f t="shared" si="0"/>
        <v>27328</v>
      </c>
      <c r="CG15" s="127">
        <f>9010+9309+9009</f>
        <v>27328</v>
      </c>
      <c r="CH15" s="113"/>
      <c r="CI15" s="134"/>
      <c r="CJ15" s="134"/>
      <c r="CK15" s="134"/>
      <c r="CL15" s="134"/>
      <c r="CM15" s="134"/>
      <c r="CN15" s="156">
        <f t="shared" si="1"/>
        <v>27328</v>
      </c>
      <c r="CO15" s="127"/>
      <c r="CP15" s="127"/>
      <c r="CQ15" s="127">
        <f>9010+9309+9009</f>
        <v>27328</v>
      </c>
      <c r="CR15" s="127"/>
      <c r="CS15" s="134"/>
      <c r="CT15" s="113"/>
      <c r="CU15" s="127"/>
      <c r="CV15" s="127"/>
      <c r="CW15" s="127"/>
      <c r="CX15" s="113"/>
      <c r="CY15" s="134"/>
      <c r="CZ15" s="113"/>
      <c r="DA15" s="113"/>
      <c r="DB15" s="113"/>
      <c r="DC15" s="113"/>
      <c r="DD15" s="113"/>
      <c r="DE15" s="134"/>
      <c r="DF15" s="134"/>
      <c r="DG15" s="134"/>
      <c r="DH15" s="134"/>
      <c r="DI15" s="134"/>
      <c r="DJ15" s="113"/>
      <c r="DK15" s="134"/>
      <c r="DL15" s="113"/>
      <c r="DM15" s="134"/>
      <c r="DN15" s="116"/>
      <c r="DO15" s="127"/>
      <c r="DP15" s="127"/>
      <c r="DQ15" s="127">
        <f>50+50</f>
        <v>100</v>
      </c>
      <c r="DR15" s="134"/>
      <c r="DS15" s="134"/>
      <c r="DT15" s="116"/>
      <c r="DU15" s="130"/>
      <c r="DV15" s="127">
        <v>39</v>
      </c>
      <c r="DW15" s="127"/>
      <c r="DX15" s="113"/>
      <c r="DY15" s="113"/>
      <c r="DZ15" s="127"/>
      <c r="EA15" s="127"/>
      <c r="EB15" s="113"/>
      <c r="EC15" s="134"/>
      <c r="ED15" s="134"/>
      <c r="EE15" s="134"/>
      <c r="EF15" s="131"/>
      <c r="EG15" s="105"/>
      <c r="EH15" s="131"/>
      <c r="EI15" s="112"/>
      <c r="EJ15" s="19">
        <v>24</v>
      </c>
      <c r="EK15" s="12">
        <v>24</v>
      </c>
      <c r="EL15" s="150">
        <f t="shared" si="2"/>
        <v>24</v>
      </c>
      <c r="EM15" s="151">
        <f t="shared" si="3"/>
        <v>1</v>
      </c>
      <c r="EN15" s="152">
        <f t="shared" si="4"/>
        <v>24</v>
      </c>
      <c r="EO15" s="127"/>
      <c r="EP15" s="127"/>
      <c r="EQ15" s="128"/>
      <c r="ER15" s="70">
        <f t="shared" si="5"/>
        <v>1138.6666666666667</v>
      </c>
      <c r="ES15" s="21">
        <f t="shared" si="6"/>
        <v>1138.6666666666667</v>
      </c>
      <c r="ET15" s="10" t="str">
        <f>IF(ISERROR(#REF!/#REF!)," ",#REF!/#REF!)</f>
        <v xml:space="preserve"> </v>
      </c>
      <c r="EU15" s="10"/>
      <c r="EV15" s="69" t="str">
        <f>IF(ISERROR(#REF!/#REF!)," ",#REF!/#REF!)</f>
        <v xml:space="preserve"> </v>
      </c>
      <c r="EW15" s="83"/>
      <c r="EX15" s="83"/>
      <c r="EY15" s="83"/>
      <c r="EZ15" s="83"/>
      <c r="FA15" s="83"/>
      <c r="FB15" s="83"/>
      <c r="FC15" s="83"/>
      <c r="FD15" s="83"/>
      <c r="FE15" s="83"/>
      <c r="FF15" s="83"/>
      <c r="FG15" s="83"/>
      <c r="FH15" s="83"/>
      <c r="FI15" s="83"/>
      <c r="FJ15" s="83"/>
      <c r="FK15" s="83"/>
      <c r="FL15" s="83"/>
      <c r="FM15" s="83"/>
      <c r="FN15" s="83"/>
      <c r="FO15" s="83"/>
      <c r="FP15" s="83"/>
      <c r="FQ15" s="83"/>
      <c r="FR15" s="83"/>
      <c r="FS15" s="83"/>
      <c r="FT15" s="83"/>
    </row>
    <row r="16" spans="1:176" s="74" customFormat="1" x14ac:dyDescent="0.25">
      <c r="A16" s="18" t="e">
        <f>Lentilles!#REF!</f>
        <v>#REF!</v>
      </c>
      <c r="B16" s="20" t="e">
        <f>Lentilles!#REF!</f>
        <v>#REF!</v>
      </c>
      <c r="C16" s="139">
        <v>3</v>
      </c>
      <c r="D16" s="108">
        <f>7+2</f>
        <v>9</v>
      </c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5"/>
      <c r="U16" s="127">
        <f>7820+2250+3900+11740+6000</f>
        <v>31710</v>
      </c>
      <c r="V16" s="127"/>
      <c r="W16" s="127"/>
      <c r="X16" s="127"/>
      <c r="Y16" s="127"/>
      <c r="Z16" s="127"/>
      <c r="AA16" s="127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5"/>
      <c r="AR16" s="105">
        <v>1</v>
      </c>
      <c r="AS16" s="105"/>
      <c r="AT16" s="105">
        <f>11+10+5</f>
        <v>26</v>
      </c>
      <c r="AU16" s="105"/>
      <c r="AV16" s="113"/>
      <c r="AW16" s="105"/>
      <c r="AX16" s="105"/>
      <c r="AY16" s="106"/>
      <c r="AZ16" s="106"/>
      <c r="BA16" s="114"/>
      <c r="BB16" s="114"/>
      <c r="BC16" s="114"/>
      <c r="BD16" s="114"/>
      <c r="BE16" s="114"/>
      <c r="BF16" s="114"/>
      <c r="BG16" s="114"/>
      <c r="BH16" s="114"/>
      <c r="BI16" s="114"/>
      <c r="BJ16" s="114"/>
      <c r="BK16" s="114"/>
      <c r="BL16" s="114"/>
      <c r="BM16" s="114"/>
      <c r="BN16" s="114"/>
      <c r="BO16" s="114"/>
      <c r="BP16" s="114"/>
      <c r="BQ16" s="114"/>
      <c r="BR16" s="114"/>
      <c r="BS16" s="114"/>
      <c r="BT16" s="114"/>
      <c r="BU16" s="114"/>
      <c r="BV16" s="114"/>
      <c r="BW16" s="114"/>
      <c r="BX16" s="114"/>
      <c r="BY16" s="115"/>
      <c r="BZ16" s="142"/>
      <c r="CA16" s="106"/>
      <c r="CB16" s="127"/>
      <c r="CC16" s="127"/>
      <c r="CD16" s="127"/>
      <c r="CE16" s="129"/>
      <c r="CF16" s="80">
        <f t="shared" si="0"/>
        <v>25824</v>
      </c>
      <c r="CG16" s="127">
        <f>10309+10009+5506</f>
        <v>25824</v>
      </c>
      <c r="CH16" s="127"/>
      <c r="CI16" s="127"/>
      <c r="CJ16" s="127"/>
      <c r="CK16" s="127"/>
      <c r="CL16" s="127"/>
      <c r="CM16" s="127"/>
      <c r="CN16" s="156">
        <f t="shared" si="1"/>
        <v>25824</v>
      </c>
      <c r="CO16" s="127">
        <v>1201</v>
      </c>
      <c r="CP16" s="127"/>
      <c r="CQ16" s="127">
        <f>10309+10009+4305</f>
        <v>24623</v>
      </c>
      <c r="CR16" s="127"/>
      <c r="CS16" s="127"/>
      <c r="CT16" s="127"/>
      <c r="CU16" s="127"/>
      <c r="CV16" s="127"/>
      <c r="CW16" s="127"/>
      <c r="CX16" s="127"/>
      <c r="CY16" s="127"/>
      <c r="CZ16" s="127"/>
      <c r="DA16" s="127"/>
      <c r="DB16" s="127"/>
      <c r="DC16" s="127"/>
      <c r="DD16" s="127"/>
      <c r="DE16" s="127"/>
      <c r="DF16" s="127"/>
      <c r="DG16" s="127"/>
      <c r="DH16" s="127"/>
      <c r="DI16" s="127"/>
      <c r="DJ16" s="127"/>
      <c r="DK16" s="127"/>
      <c r="DL16" s="127"/>
      <c r="DM16" s="127"/>
      <c r="DN16" s="129"/>
      <c r="DO16" s="127"/>
      <c r="DP16" s="127"/>
      <c r="DQ16" s="127">
        <f>100+350</f>
        <v>450</v>
      </c>
      <c r="DR16" s="127"/>
      <c r="DS16" s="127"/>
      <c r="DT16" s="129"/>
      <c r="DU16" s="130"/>
      <c r="DV16" s="127">
        <v>52</v>
      </c>
      <c r="DW16" s="127"/>
      <c r="DX16" s="127"/>
      <c r="DY16" s="127"/>
      <c r="DZ16" s="127"/>
      <c r="EA16" s="127"/>
      <c r="EB16" s="127"/>
      <c r="EC16" s="127"/>
      <c r="ED16" s="127"/>
      <c r="EE16" s="127"/>
      <c r="EF16" s="127"/>
      <c r="EG16" s="127"/>
      <c r="EH16" s="127"/>
      <c r="EI16" s="129"/>
      <c r="EJ16" s="19">
        <v>24</v>
      </c>
      <c r="EK16" s="12">
        <v>24</v>
      </c>
      <c r="EL16" s="150">
        <f t="shared" si="2"/>
        <v>24</v>
      </c>
      <c r="EM16" s="151">
        <f t="shared" si="3"/>
        <v>1</v>
      </c>
      <c r="EN16" s="152">
        <f t="shared" si="4"/>
        <v>24</v>
      </c>
      <c r="EO16" s="127"/>
      <c r="EP16" s="127"/>
      <c r="EQ16" s="128"/>
      <c r="ER16" s="70">
        <f t="shared" si="5"/>
        <v>1076</v>
      </c>
      <c r="ES16" s="21">
        <f t="shared" si="6"/>
        <v>1076</v>
      </c>
      <c r="ET16" s="10" t="str">
        <f>IF(ISERROR(#REF!/#REF!)," ",#REF!/#REF!)</f>
        <v xml:space="preserve"> </v>
      </c>
      <c r="EU16" s="10"/>
      <c r="EV16" s="69" t="str">
        <f>IF(ISERROR(#REF!/#REF!)," ",#REF!/#REF!)</f>
        <v xml:space="preserve"> </v>
      </c>
      <c r="EW16" s="83"/>
      <c r="EX16" s="83"/>
      <c r="EY16" s="83"/>
      <c r="EZ16" s="83"/>
      <c r="FA16" s="83"/>
      <c r="FB16" s="83"/>
      <c r="FC16" s="83"/>
      <c r="FD16" s="83"/>
      <c r="FE16" s="83"/>
      <c r="FF16" s="83"/>
      <c r="FG16" s="83"/>
      <c r="FH16" s="83"/>
      <c r="FI16" s="83"/>
      <c r="FJ16" s="83"/>
      <c r="FK16" s="83"/>
      <c r="FL16" s="83"/>
      <c r="FM16" s="83"/>
      <c r="FN16" s="83"/>
      <c r="FO16" s="83"/>
      <c r="FP16" s="83"/>
      <c r="FQ16" s="83"/>
      <c r="FR16" s="83"/>
      <c r="FS16" s="83"/>
      <c r="FT16" s="83"/>
    </row>
    <row r="17" spans="1:176" s="74" customFormat="1" x14ac:dyDescent="0.25">
      <c r="A17" s="18" t="e">
        <f>Lentilles!#REF!</f>
        <v>#REF!</v>
      </c>
      <c r="B17" s="20" t="e">
        <f>Lentilles!#REF!</f>
        <v>#REF!</v>
      </c>
      <c r="C17" s="139">
        <v>3</v>
      </c>
      <c r="D17" s="108"/>
      <c r="E17" s="113"/>
      <c r="F17" s="114"/>
      <c r="G17" s="113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5"/>
      <c r="U17" s="108">
        <f>7700+8170+7710</f>
        <v>23580</v>
      </c>
      <c r="V17" s="127"/>
      <c r="W17" s="127"/>
      <c r="X17" s="127"/>
      <c r="Y17" s="127"/>
      <c r="Z17" s="127"/>
      <c r="AA17" s="127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5"/>
      <c r="AR17" s="105">
        <f>7+7+6</f>
        <v>20</v>
      </c>
      <c r="AS17" s="105"/>
      <c r="AT17" s="105"/>
      <c r="AU17" s="105"/>
      <c r="AV17" s="114"/>
      <c r="AW17" s="105"/>
      <c r="AX17" s="105"/>
      <c r="AY17" s="106"/>
      <c r="AZ17" s="106"/>
      <c r="BA17" s="114"/>
      <c r="BB17" s="114"/>
      <c r="BC17" s="114"/>
      <c r="BD17" s="114"/>
      <c r="BE17" s="114"/>
      <c r="BF17" s="114"/>
      <c r="BG17" s="114"/>
      <c r="BH17" s="114"/>
      <c r="BI17" s="114"/>
      <c r="BJ17" s="114"/>
      <c r="BK17" s="114"/>
      <c r="BL17" s="114"/>
      <c r="BM17" s="114"/>
      <c r="BN17" s="114"/>
      <c r="BO17" s="114"/>
      <c r="BP17" s="114"/>
      <c r="BQ17" s="114"/>
      <c r="BR17" s="114"/>
      <c r="BS17" s="114"/>
      <c r="BT17" s="114"/>
      <c r="BU17" s="114"/>
      <c r="BV17" s="114"/>
      <c r="BW17" s="114"/>
      <c r="BX17" s="114"/>
      <c r="BY17" s="115"/>
      <c r="BZ17" s="142">
        <v>1</v>
      </c>
      <c r="CA17" s="106"/>
      <c r="CB17" s="127"/>
      <c r="CC17" s="127"/>
      <c r="CD17" s="127"/>
      <c r="CE17" s="129"/>
      <c r="CF17" s="80">
        <f t="shared" si="0"/>
        <v>23985</v>
      </c>
      <c r="CG17" s="127">
        <f>8382+8402+7201</f>
        <v>23985</v>
      </c>
      <c r="CH17" s="127"/>
      <c r="CI17" s="127"/>
      <c r="CJ17" s="127"/>
      <c r="CK17" s="127"/>
      <c r="CL17" s="127"/>
      <c r="CM17" s="127"/>
      <c r="CN17" s="156">
        <f t="shared" si="1"/>
        <v>23985</v>
      </c>
      <c r="CO17" s="127">
        <f>8382+8402+7201</f>
        <v>23985</v>
      </c>
      <c r="CP17" s="127"/>
      <c r="CQ17" s="127"/>
      <c r="CR17" s="127"/>
      <c r="CS17" s="127"/>
      <c r="CT17" s="127"/>
      <c r="CU17" s="127"/>
      <c r="CV17" s="127"/>
      <c r="CW17" s="127"/>
      <c r="CX17" s="127"/>
      <c r="CY17" s="127"/>
      <c r="CZ17" s="127"/>
      <c r="DA17" s="127"/>
      <c r="DB17" s="127"/>
      <c r="DC17" s="127"/>
      <c r="DD17" s="127"/>
      <c r="DE17" s="127"/>
      <c r="DF17" s="127"/>
      <c r="DG17" s="127"/>
      <c r="DH17" s="127"/>
      <c r="DI17" s="127"/>
      <c r="DJ17" s="127"/>
      <c r="DK17" s="127"/>
      <c r="DL17" s="127"/>
      <c r="DM17" s="127"/>
      <c r="DN17" s="129"/>
      <c r="DO17" s="127">
        <v>740</v>
      </c>
      <c r="DP17" s="127"/>
      <c r="DQ17" s="127">
        <f>50+60</f>
        <v>110</v>
      </c>
      <c r="DR17" s="127"/>
      <c r="DS17" s="127"/>
      <c r="DT17" s="129"/>
      <c r="DU17" s="130"/>
      <c r="DV17" s="127"/>
      <c r="DW17" s="127"/>
      <c r="DX17" s="127"/>
      <c r="DY17" s="127"/>
      <c r="DZ17" s="127"/>
      <c r="EA17" s="127"/>
      <c r="EB17" s="127"/>
      <c r="EC17" s="127"/>
      <c r="ED17" s="127"/>
      <c r="EE17" s="127"/>
      <c r="EF17" s="127"/>
      <c r="EG17" s="127"/>
      <c r="EH17" s="127"/>
      <c r="EI17" s="129"/>
      <c r="EJ17" s="19">
        <v>24</v>
      </c>
      <c r="EK17" s="12">
        <v>24</v>
      </c>
      <c r="EL17" s="150">
        <f t="shared" si="2"/>
        <v>24</v>
      </c>
      <c r="EM17" s="151">
        <f t="shared" si="3"/>
        <v>1</v>
      </c>
      <c r="EN17" s="152">
        <f t="shared" si="4"/>
        <v>24</v>
      </c>
      <c r="EO17" s="127"/>
      <c r="EP17" s="127"/>
      <c r="EQ17" s="128"/>
      <c r="ER17" s="70">
        <f t="shared" si="5"/>
        <v>999.375</v>
      </c>
      <c r="ES17" s="21">
        <f t="shared" si="6"/>
        <v>999.375</v>
      </c>
      <c r="ET17" s="10" t="str">
        <f>IF(ISERROR(#REF!/#REF!)," ",#REF!/#REF!)</f>
        <v xml:space="preserve"> </v>
      </c>
      <c r="EU17" s="10"/>
      <c r="EV17" s="69" t="str">
        <f>IF(ISERROR(#REF!/#REF!)," ",#REF!/#REF!)</f>
        <v xml:space="preserve"> </v>
      </c>
      <c r="EW17" s="83"/>
      <c r="EX17" s="83"/>
      <c r="EY17" s="83"/>
      <c r="EZ17" s="83"/>
      <c r="FA17" s="83"/>
      <c r="FB17" s="83"/>
      <c r="FC17" s="83"/>
      <c r="FD17" s="83"/>
      <c r="FE17" s="83"/>
      <c r="FF17" s="83"/>
      <c r="FG17" s="83"/>
      <c r="FH17" s="83"/>
      <c r="FI17" s="83"/>
      <c r="FJ17" s="83"/>
      <c r="FK17" s="83"/>
      <c r="FL17" s="83"/>
      <c r="FM17" s="83"/>
      <c r="FN17" s="83"/>
      <c r="FO17" s="83"/>
      <c r="FP17" s="83"/>
      <c r="FQ17" s="83"/>
      <c r="FR17" s="83"/>
      <c r="FS17" s="83"/>
      <c r="FT17" s="83"/>
    </row>
    <row r="18" spans="1:176" s="74" customFormat="1" x14ac:dyDescent="0.25">
      <c r="A18" s="18" t="e">
        <f>Lentilles!#REF!</f>
        <v>#REF!</v>
      </c>
      <c r="B18" s="20" t="e">
        <f>Lentilles!#REF!</f>
        <v>#REF!</v>
      </c>
      <c r="C18" s="139">
        <v>3</v>
      </c>
      <c r="D18" s="108">
        <v>2</v>
      </c>
      <c r="E18" s="113"/>
      <c r="F18" s="134"/>
      <c r="G18" s="113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5"/>
      <c r="U18" s="127">
        <f>7940+6250+7900</f>
        <v>22090</v>
      </c>
      <c r="V18" s="127"/>
      <c r="W18" s="127"/>
      <c r="X18" s="127"/>
      <c r="Y18" s="127"/>
      <c r="Z18" s="127"/>
      <c r="AA18" s="127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  <c r="AR18" s="105">
        <f>6+7+7</f>
        <v>20</v>
      </c>
      <c r="AS18" s="105"/>
      <c r="AT18" s="105"/>
      <c r="AU18" s="105"/>
      <c r="AV18" s="113"/>
      <c r="AW18" s="105"/>
      <c r="AX18" s="105"/>
      <c r="AY18" s="106"/>
      <c r="AZ18" s="106"/>
      <c r="BA18" s="114"/>
      <c r="BB18" s="113"/>
      <c r="BC18" s="113"/>
      <c r="BD18" s="113"/>
      <c r="BE18" s="134"/>
      <c r="BF18" s="134"/>
      <c r="BG18" s="134"/>
      <c r="BH18" s="134"/>
      <c r="BI18" s="134"/>
      <c r="BJ18" s="134"/>
      <c r="BK18" s="134"/>
      <c r="BL18" s="134"/>
      <c r="BM18" s="134"/>
      <c r="BN18" s="134"/>
      <c r="BO18" s="134"/>
      <c r="BP18" s="134"/>
      <c r="BQ18" s="134"/>
      <c r="BR18" s="134"/>
      <c r="BS18" s="134"/>
      <c r="BT18" s="134"/>
      <c r="BU18" s="134"/>
      <c r="BV18" s="134"/>
      <c r="BW18" s="134"/>
      <c r="BX18" s="134"/>
      <c r="BY18" s="135"/>
      <c r="BZ18" s="143"/>
      <c r="CA18" s="106"/>
      <c r="CB18" s="127"/>
      <c r="CC18" s="127"/>
      <c r="CD18" s="127"/>
      <c r="CE18" s="129"/>
      <c r="CF18" s="80">
        <f t="shared" si="0"/>
        <v>24006</v>
      </c>
      <c r="CG18" s="127">
        <f>7201+8402+8403</f>
        <v>24006</v>
      </c>
      <c r="CH18" s="127"/>
      <c r="CI18" s="127"/>
      <c r="CJ18" s="127"/>
      <c r="CK18" s="127"/>
      <c r="CL18" s="127"/>
      <c r="CM18" s="127"/>
      <c r="CN18" s="156">
        <f t="shared" si="1"/>
        <v>24006</v>
      </c>
      <c r="CO18" s="127">
        <f>7201+8402+8403</f>
        <v>24006</v>
      </c>
      <c r="CP18" s="127"/>
      <c r="CQ18" s="127"/>
      <c r="CR18" s="127"/>
      <c r="CS18" s="127"/>
      <c r="CT18" s="127"/>
      <c r="CU18" s="127"/>
      <c r="CV18" s="127"/>
      <c r="CW18" s="127"/>
      <c r="CX18" s="127"/>
      <c r="CY18" s="127"/>
      <c r="CZ18" s="127"/>
      <c r="DA18" s="127"/>
      <c r="DB18" s="127"/>
      <c r="DC18" s="127"/>
      <c r="DD18" s="127"/>
      <c r="DE18" s="127"/>
      <c r="DF18" s="127"/>
      <c r="DG18" s="127"/>
      <c r="DH18" s="127"/>
      <c r="DI18" s="127"/>
      <c r="DJ18" s="127"/>
      <c r="DK18" s="127"/>
      <c r="DL18" s="127"/>
      <c r="DM18" s="127"/>
      <c r="DN18" s="129"/>
      <c r="DO18" s="127"/>
      <c r="DP18" s="127"/>
      <c r="DQ18" s="127">
        <f>300+100+90</f>
        <v>490</v>
      </c>
      <c r="DR18" s="127"/>
      <c r="DS18" s="127"/>
      <c r="DT18" s="129"/>
      <c r="DU18" s="130"/>
      <c r="DV18" s="127"/>
      <c r="DW18" s="127"/>
      <c r="DX18" s="127"/>
      <c r="DY18" s="127"/>
      <c r="DZ18" s="127"/>
      <c r="EA18" s="127"/>
      <c r="EB18" s="127"/>
      <c r="EC18" s="127"/>
      <c r="ED18" s="127"/>
      <c r="EE18" s="127"/>
      <c r="EF18" s="127"/>
      <c r="EG18" s="127"/>
      <c r="EH18" s="127"/>
      <c r="EI18" s="129"/>
      <c r="EJ18" s="19">
        <v>24</v>
      </c>
      <c r="EK18" s="12">
        <v>24</v>
      </c>
      <c r="EL18" s="150">
        <f t="shared" si="2"/>
        <v>24</v>
      </c>
      <c r="EM18" s="151">
        <f t="shared" si="3"/>
        <v>1</v>
      </c>
      <c r="EN18" s="152">
        <f t="shared" si="4"/>
        <v>24</v>
      </c>
      <c r="EO18" s="127"/>
      <c r="EP18" s="127"/>
      <c r="EQ18" s="128"/>
      <c r="ER18" s="70">
        <f t="shared" si="5"/>
        <v>1000.25</v>
      </c>
      <c r="ES18" s="21">
        <f t="shared" si="6"/>
        <v>1000.25</v>
      </c>
      <c r="ET18" s="10" t="str">
        <f>IF(ISERROR(#REF!/#REF!)," ",#REF!/#REF!)</f>
        <v xml:space="preserve"> </v>
      </c>
      <c r="EU18" s="10"/>
      <c r="EV18" s="69" t="str">
        <f>IF(ISERROR(#REF!/#REF!)," ",#REF!/#REF!)</f>
        <v xml:space="preserve"> </v>
      </c>
      <c r="EW18" s="83"/>
      <c r="EX18" s="83"/>
      <c r="EY18" s="83"/>
      <c r="EZ18" s="83"/>
      <c r="FA18" s="83"/>
      <c r="FB18" s="83"/>
      <c r="FC18" s="83"/>
      <c r="FD18" s="83"/>
      <c r="FE18" s="83"/>
      <c r="FF18" s="83"/>
      <c r="FG18" s="83"/>
      <c r="FH18" s="83"/>
      <c r="FI18" s="83"/>
      <c r="FJ18" s="83"/>
      <c r="FK18" s="83"/>
      <c r="FL18" s="83"/>
      <c r="FM18" s="83"/>
      <c r="FN18" s="83"/>
      <c r="FO18" s="83"/>
      <c r="FP18" s="83"/>
      <c r="FQ18" s="83"/>
      <c r="FR18" s="83"/>
      <c r="FS18" s="83"/>
      <c r="FT18" s="83"/>
    </row>
    <row r="19" spans="1:176" s="74" customFormat="1" x14ac:dyDescent="0.25">
      <c r="A19" s="18" t="e">
        <f>Lentilles!#REF!</f>
        <v>#REF!</v>
      </c>
      <c r="B19" s="20" t="e">
        <f>Lentilles!#REF!</f>
        <v>#REF!</v>
      </c>
      <c r="C19" s="139">
        <v>3</v>
      </c>
      <c r="D19" s="108"/>
      <c r="E19" s="134"/>
      <c r="F19" s="134"/>
      <c r="G19" s="113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5"/>
      <c r="U19" s="127">
        <f>6540+7620+7960</f>
        <v>22120</v>
      </c>
      <c r="V19" s="127"/>
      <c r="W19" s="127"/>
      <c r="X19" s="127"/>
      <c r="Y19" s="127"/>
      <c r="Z19" s="127"/>
      <c r="AA19" s="127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  <c r="AR19" s="105">
        <f>6+6+7</f>
        <v>19</v>
      </c>
      <c r="AS19" s="105"/>
      <c r="AT19" s="105"/>
      <c r="AU19" s="105"/>
      <c r="AV19" s="113"/>
      <c r="AW19" s="105"/>
      <c r="AX19" s="105"/>
      <c r="AY19" s="106"/>
      <c r="AZ19" s="106"/>
      <c r="BA19" s="113"/>
      <c r="BB19" s="113"/>
      <c r="BC19" s="113"/>
      <c r="BD19" s="113"/>
      <c r="BE19" s="134"/>
      <c r="BF19" s="134"/>
      <c r="BG19" s="134"/>
      <c r="BH19" s="134"/>
      <c r="BI19" s="134"/>
      <c r="BJ19" s="134"/>
      <c r="BK19" s="134"/>
      <c r="BL19" s="134"/>
      <c r="BM19" s="134"/>
      <c r="BN19" s="134"/>
      <c r="BO19" s="134"/>
      <c r="BP19" s="134"/>
      <c r="BQ19" s="134"/>
      <c r="BR19" s="134"/>
      <c r="BS19" s="134"/>
      <c r="BT19" s="134"/>
      <c r="BU19" s="134"/>
      <c r="BV19" s="134"/>
      <c r="BW19" s="134"/>
      <c r="BX19" s="134"/>
      <c r="BY19" s="135"/>
      <c r="BZ19" s="143"/>
      <c r="CA19" s="106"/>
      <c r="CB19" s="127"/>
      <c r="CC19" s="127"/>
      <c r="CD19" s="127"/>
      <c r="CE19" s="129"/>
      <c r="CF19" s="80">
        <f t="shared" si="0"/>
        <v>22805</v>
      </c>
      <c r="CG19" s="127">
        <f>7201+7200+8404</f>
        <v>22805</v>
      </c>
      <c r="CH19" s="127"/>
      <c r="CI19" s="127"/>
      <c r="CJ19" s="127"/>
      <c r="CK19" s="127"/>
      <c r="CL19" s="127"/>
      <c r="CM19" s="127"/>
      <c r="CN19" s="156">
        <f t="shared" si="1"/>
        <v>22805</v>
      </c>
      <c r="CO19" s="127">
        <f>7201+7200+8404</f>
        <v>22805</v>
      </c>
      <c r="CP19" s="127"/>
      <c r="CQ19" s="127"/>
      <c r="CR19" s="127"/>
      <c r="CS19" s="127"/>
      <c r="CT19" s="127"/>
      <c r="CU19" s="127"/>
      <c r="CV19" s="127"/>
      <c r="CW19" s="127"/>
      <c r="CX19" s="127"/>
      <c r="CY19" s="127"/>
      <c r="CZ19" s="127"/>
      <c r="DA19" s="127"/>
      <c r="DB19" s="127"/>
      <c r="DC19" s="127"/>
      <c r="DD19" s="127"/>
      <c r="DE19" s="127"/>
      <c r="DF19" s="127"/>
      <c r="DG19" s="127"/>
      <c r="DH19" s="127"/>
      <c r="DI19" s="127"/>
      <c r="DJ19" s="127"/>
      <c r="DK19" s="127"/>
      <c r="DL19" s="127"/>
      <c r="DM19" s="127"/>
      <c r="DN19" s="129"/>
      <c r="DO19" s="127"/>
      <c r="DP19" s="127"/>
      <c r="DQ19" s="127">
        <f>50+40</f>
        <v>90</v>
      </c>
      <c r="DR19" s="127"/>
      <c r="DS19" s="127"/>
      <c r="DT19" s="129"/>
      <c r="DU19" s="130"/>
      <c r="DV19" s="127"/>
      <c r="DW19" s="127"/>
      <c r="DX19" s="127"/>
      <c r="DY19" s="127"/>
      <c r="DZ19" s="127"/>
      <c r="EA19" s="127"/>
      <c r="EB19" s="127"/>
      <c r="EC19" s="127"/>
      <c r="ED19" s="127"/>
      <c r="EE19" s="127"/>
      <c r="EF19" s="127"/>
      <c r="EG19" s="127"/>
      <c r="EH19" s="127"/>
      <c r="EI19" s="129"/>
      <c r="EJ19" s="19">
        <v>24</v>
      </c>
      <c r="EK19" s="12">
        <v>24</v>
      </c>
      <c r="EL19" s="150">
        <f t="shared" si="2"/>
        <v>24</v>
      </c>
      <c r="EM19" s="151">
        <f t="shared" si="3"/>
        <v>1</v>
      </c>
      <c r="EN19" s="152">
        <f t="shared" si="4"/>
        <v>24</v>
      </c>
      <c r="EO19" s="127"/>
      <c r="EP19" s="127"/>
      <c r="EQ19" s="128"/>
      <c r="ER19" s="70">
        <f t="shared" si="5"/>
        <v>950.20833333333337</v>
      </c>
      <c r="ES19" s="21">
        <f t="shared" si="6"/>
        <v>950.20833333333337</v>
      </c>
      <c r="ET19" s="10" t="str">
        <f>IF(ISERROR(#REF!/#REF!)," ",#REF!/#REF!)</f>
        <v xml:space="preserve"> </v>
      </c>
      <c r="EU19" s="10"/>
      <c r="EV19" s="69" t="str">
        <f>IF(ISERROR(#REF!/#REF!)," ",#REF!/#REF!)</f>
        <v xml:space="preserve"> </v>
      </c>
      <c r="EW19" s="83"/>
      <c r="EX19" s="83"/>
      <c r="EY19" s="83"/>
      <c r="EZ19" s="83"/>
      <c r="FA19" s="83"/>
      <c r="FB19" s="83"/>
      <c r="FC19" s="83"/>
      <c r="FD19" s="83"/>
      <c r="FE19" s="83"/>
      <c r="FF19" s="83"/>
      <c r="FG19" s="83"/>
      <c r="FH19" s="83"/>
      <c r="FI19" s="83"/>
      <c r="FJ19" s="83"/>
      <c r="FK19" s="83"/>
      <c r="FL19" s="83"/>
      <c r="FM19" s="83"/>
      <c r="FN19" s="83"/>
      <c r="FO19" s="83"/>
      <c r="FP19" s="83"/>
      <c r="FQ19" s="83"/>
      <c r="FR19" s="83"/>
      <c r="FS19" s="83"/>
      <c r="FT19" s="83"/>
    </row>
    <row r="20" spans="1:176" s="74" customFormat="1" x14ac:dyDescent="0.25">
      <c r="A20" s="18" t="e">
        <f>Lentilles!#REF!</f>
        <v>#REF!</v>
      </c>
      <c r="B20" s="20" t="e">
        <f>Lentilles!#REF!</f>
        <v>#REF!</v>
      </c>
      <c r="C20" s="139">
        <v>3</v>
      </c>
      <c r="D20" s="108">
        <f>2+2+10</f>
        <v>14</v>
      </c>
      <c r="E20" s="113"/>
      <c r="F20" s="113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5"/>
      <c r="U20" s="127">
        <f>2200+2370+11800+1350</f>
        <v>17720</v>
      </c>
      <c r="V20" s="127"/>
      <c r="W20" s="127"/>
      <c r="X20" s="127"/>
      <c r="Y20" s="127"/>
      <c r="Z20" s="127"/>
      <c r="AA20" s="127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5"/>
      <c r="AR20" s="105">
        <f>6+5+3</f>
        <v>14</v>
      </c>
      <c r="AS20" s="105"/>
      <c r="AT20" s="105"/>
      <c r="AU20" s="105"/>
      <c r="AV20" s="113">
        <v>2</v>
      </c>
      <c r="AW20" s="105"/>
      <c r="AX20" s="105"/>
      <c r="AY20" s="106"/>
      <c r="AZ20" s="106"/>
      <c r="BA20" s="114"/>
      <c r="BB20" s="113"/>
      <c r="BC20" s="114"/>
      <c r="BD20" s="114"/>
      <c r="BE20" s="114"/>
      <c r="BF20" s="113"/>
      <c r="BG20" s="113"/>
      <c r="BH20" s="114"/>
      <c r="BI20" s="113"/>
      <c r="BJ20" s="113"/>
      <c r="BK20" s="114"/>
      <c r="BL20" s="114"/>
      <c r="BM20" s="114"/>
      <c r="BN20" s="114"/>
      <c r="BO20" s="114"/>
      <c r="BP20" s="114"/>
      <c r="BQ20" s="114"/>
      <c r="BR20" s="114"/>
      <c r="BS20" s="114"/>
      <c r="BT20" s="114"/>
      <c r="BU20" s="114"/>
      <c r="BV20" s="114"/>
      <c r="BW20" s="114"/>
      <c r="BX20" s="114"/>
      <c r="BY20" s="116"/>
      <c r="BZ20" s="143"/>
      <c r="CA20" s="106"/>
      <c r="CB20" s="127"/>
      <c r="CC20" s="127"/>
      <c r="CD20" s="127"/>
      <c r="CE20" s="129"/>
      <c r="CF20" s="80">
        <f t="shared" si="0"/>
        <v>19207</v>
      </c>
      <c r="CG20" s="127">
        <f>7201+6000+6006</f>
        <v>19207</v>
      </c>
      <c r="CH20" s="127"/>
      <c r="CI20" s="127"/>
      <c r="CJ20" s="127"/>
      <c r="CK20" s="127"/>
      <c r="CL20" s="127"/>
      <c r="CM20" s="127"/>
      <c r="CN20" s="156">
        <f t="shared" si="1"/>
        <v>19207</v>
      </c>
      <c r="CO20" s="127">
        <f>7201+6000+3600</f>
        <v>16801</v>
      </c>
      <c r="CP20" s="127"/>
      <c r="CQ20" s="127"/>
      <c r="CR20" s="127"/>
      <c r="CS20" s="127">
        <v>2406</v>
      </c>
      <c r="CT20" s="127"/>
      <c r="CU20" s="127"/>
      <c r="CV20" s="127"/>
      <c r="CW20" s="127"/>
      <c r="CX20" s="127"/>
      <c r="CY20" s="127"/>
      <c r="CZ20" s="127"/>
      <c r="DA20" s="127"/>
      <c r="DB20" s="127"/>
      <c r="DC20" s="127"/>
      <c r="DD20" s="127"/>
      <c r="DE20" s="127"/>
      <c r="DF20" s="127"/>
      <c r="DG20" s="127"/>
      <c r="DH20" s="127"/>
      <c r="DI20" s="127"/>
      <c r="DJ20" s="127"/>
      <c r="DK20" s="127"/>
      <c r="DL20" s="127"/>
      <c r="DM20" s="127"/>
      <c r="DN20" s="129"/>
      <c r="DO20" s="127"/>
      <c r="DP20" s="127"/>
      <c r="DQ20" s="127">
        <f>70+30</f>
        <v>100</v>
      </c>
      <c r="DR20" s="127"/>
      <c r="DS20" s="127"/>
      <c r="DT20" s="129"/>
      <c r="DU20" s="130"/>
      <c r="DV20" s="127">
        <v>13</v>
      </c>
      <c r="DW20" s="127"/>
      <c r="DX20" s="127"/>
      <c r="DY20" s="127"/>
      <c r="DZ20" s="127"/>
      <c r="EA20" s="127"/>
      <c r="EB20" s="127"/>
      <c r="EC20" s="127"/>
      <c r="ED20" s="127"/>
      <c r="EE20" s="127"/>
      <c r="EF20" s="127"/>
      <c r="EG20" s="127"/>
      <c r="EH20" s="127"/>
      <c r="EI20" s="129"/>
      <c r="EJ20" s="19">
        <v>24</v>
      </c>
      <c r="EK20" s="12">
        <v>24</v>
      </c>
      <c r="EL20" s="150">
        <v>24</v>
      </c>
      <c r="EM20" s="151">
        <f t="shared" si="3"/>
        <v>1</v>
      </c>
      <c r="EN20" s="152">
        <f t="shared" si="4"/>
        <v>24</v>
      </c>
      <c r="EO20" s="127"/>
      <c r="EP20" s="127"/>
      <c r="EQ20" s="128"/>
      <c r="ER20" s="70">
        <f t="shared" si="5"/>
        <v>800.29166666666663</v>
      </c>
      <c r="ES20" s="21">
        <f t="shared" si="6"/>
        <v>800.29166666666663</v>
      </c>
      <c r="ET20" s="10" t="str">
        <f>IF(ISERROR(#REF!/#REF!)," ",#REF!/#REF!)</f>
        <v xml:space="preserve"> </v>
      </c>
      <c r="EU20" s="10"/>
      <c r="EV20" s="69" t="str">
        <f>IF(ISERROR(#REF!/#REF!)," ",#REF!/#REF!)</f>
        <v xml:space="preserve"> </v>
      </c>
      <c r="EW20" s="83"/>
      <c r="EX20" s="83"/>
      <c r="EY20" s="83"/>
      <c r="EZ20" s="83"/>
      <c r="FA20" s="83"/>
      <c r="FB20" s="83"/>
      <c r="FC20" s="83"/>
      <c r="FD20" s="83"/>
      <c r="FE20" s="83"/>
      <c r="FF20" s="83"/>
      <c r="FG20" s="83"/>
      <c r="FH20" s="83"/>
      <c r="FI20" s="83"/>
      <c r="FJ20" s="83"/>
      <c r="FK20" s="83"/>
      <c r="FL20" s="83"/>
      <c r="FM20" s="83"/>
      <c r="FN20" s="83"/>
      <c r="FO20" s="83"/>
      <c r="FP20" s="83"/>
      <c r="FQ20" s="83"/>
      <c r="FR20" s="83"/>
      <c r="FS20" s="83"/>
      <c r="FT20" s="83"/>
    </row>
    <row r="21" spans="1:176" s="74" customFormat="1" x14ac:dyDescent="0.25">
      <c r="A21" s="18" t="e">
        <f>Lentilles!#REF!</f>
        <v>#REF!</v>
      </c>
      <c r="B21" s="20" t="e">
        <f>Lentilles!#REF!</f>
        <v>#REF!</v>
      </c>
      <c r="C21" s="139">
        <v>3</v>
      </c>
      <c r="D21" s="108">
        <f>7+8+8</f>
        <v>23</v>
      </c>
      <c r="E21" s="113"/>
      <c r="F21" s="113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5"/>
      <c r="U21" s="127">
        <f>7860+8690+8830</f>
        <v>25380</v>
      </c>
      <c r="V21" s="127"/>
      <c r="W21" s="114"/>
      <c r="X21" s="114"/>
      <c r="Y21" s="127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5"/>
      <c r="AR21" s="105"/>
      <c r="AS21" s="105"/>
      <c r="AT21" s="105"/>
      <c r="AU21" s="105">
        <v>2</v>
      </c>
      <c r="AV21" s="113">
        <f>6+7+5</f>
        <v>18</v>
      </c>
      <c r="AW21" s="105"/>
      <c r="AX21" s="105"/>
      <c r="AY21" s="106"/>
      <c r="AZ21" s="106"/>
      <c r="BA21" s="114"/>
      <c r="BB21" s="113"/>
      <c r="BC21" s="114"/>
      <c r="BD21" s="114"/>
      <c r="BE21" s="114"/>
      <c r="BF21" s="113"/>
      <c r="BG21" s="113"/>
      <c r="BH21" s="114"/>
      <c r="BI21" s="113"/>
      <c r="BJ21" s="113"/>
      <c r="BK21" s="114"/>
      <c r="BL21" s="114"/>
      <c r="BM21" s="114"/>
      <c r="BN21" s="114"/>
      <c r="BO21" s="114"/>
      <c r="BP21" s="114"/>
      <c r="BQ21" s="114"/>
      <c r="BR21" s="114"/>
      <c r="BS21" s="114"/>
      <c r="BT21" s="114"/>
      <c r="BU21" s="114"/>
      <c r="BV21" s="114"/>
      <c r="BW21" s="114"/>
      <c r="BX21" s="114"/>
      <c r="BY21" s="116"/>
      <c r="BZ21" s="143"/>
      <c r="CA21" s="106"/>
      <c r="CB21" s="114"/>
      <c r="CC21" s="114"/>
      <c r="CD21" s="114"/>
      <c r="CE21" s="115"/>
      <c r="CF21" s="80">
        <f t="shared" si="0"/>
        <v>24004</v>
      </c>
      <c r="CG21" s="127">
        <f>8401+8403+7200</f>
        <v>24004</v>
      </c>
      <c r="CH21" s="114"/>
      <c r="CI21" s="114"/>
      <c r="CJ21" s="114"/>
      <c r="CK21" s="114"/>
      <c r="CL21" s="114"/>
      <c r="CM21" s="114"/>
      <c r="CN21" s="156">
        <f t="shared" si="1"/>
        <v>24004</v>
      </c>
      <c r="CO21" s="127"/>
      <c r="CP21" s="127"/>
      <c r="CQ21" s="127"/>
      <c r="CR21" s="127">
        <v>2400</v>
      </c>
      <c r="CS21" s="114">
        <f>7200+8403+6001</f>
        <v>21604</v>
      </c>
      <c r="CT21" s="114"/>
      <c r="CU21" s="127"/>
      <c r="CV21" s="127"/>
      <c r="CW21" s="127"/>
      <c r="CX21" s="114"/>
      <c r="CY21" s="114"/>
      <c r="CZ21" s="114"/>
      <c r="DA21" s="114"/>
      <c r="DB21" s="114"/>
      <c r="DC21" s="114"/>
      <c r="DD21" s="114"/>
      <c r="DE21" s="114"/>
      <c r="DF21" s="114"/>
      <c r="DG21" s="114"/>
      <c r="DH21" s="114"/>
      <c r="DI21" s="114"/>
      <c r="DJ21" s="114"/>
      <c r="DK21" s="114"/>
      <c r="DL21" s="114"/>
      <c r="DM21" s="114"/>
      <c r="DN21" s="115"/>
      <c r="DO21" s="127"/>
      <c r="DP21" s="127"/>
      <c r="DQ21" s="127">
        <f>80+110+280</f>
        <v>470</v>
      </c>
      <c r="DR21" s="114"/>
      <c r="DS21" s="114"/>
      <c r="DT21" s="115"/>
      <c r="DU21" s="130"/>
      <c r="DV21" s="127">
        <v>130</v>
      </c>
      <c r="DW21" s="127"/>
      <c r="DX21" s="114"/>
      <c r="DY21" s="114"/>
      <c r="DZ21" s="127"/>
      <c r="EA21" s="127"/>
      <c r="EB21" s="114"/>
      <c r="EC21" s="114">
        <v>1000</v>
      </c>
      <c r="ED21" s="114"/>
      <c r="EE21" s="114"/>
      <c r="EF21" s="106"/>
      <c r="EG21" s="106"/>
      <c r="EH21" s="106"/>
      <c r="EI21" s="107"/>
      <c r="EJ21" s="19">
        <v>24</v>
      </c>
      <c r="EK21" s="12">
        <v>24</v>
      </c>
      <c r="EL21" s="150">
        <f t="shared" si="2"/>
        <v>24</v>
      </c>
      <c r="EM21" s="151">
        <f t="shared" si="3"/>
        <v>1</v>
      </c>
      <c r="EN21" s="152">
        <f t="shared" si="4"/>
        <v>24</v>
      </c>
      <c r="EO21" s="127"/>
      <c r="EP21" s="127"/>
      <c r="EQ21" s="128"/>
      <c r="ER21" s="70">
        <f t="shared" si="5"/>
        <v>1000.1666666666666</v>
      </c>
      <c r="ES21" s="21">
        <f t="shared" si="6"/>
        <v>1000.1666666666666</v>
      </c>
      <c r="ET21" s="10" t="str">
        <f>IF(ISERROR(#REF!/#REF!)," ",#REF!/#REF!)</f>
        <v xml:space="preserve"> </v>
      </c>
      <c r="EU21" s="10"/>
      <c r="EV21" s="69" t="str">
        <f>IF(ISERROR(#REF!/#REF!)," ",#REF!/#REF!)</f>
        <v xml:space="preserve"> </v>
      </c>
      <c r="EW21" s="83"/>
      <c r="EX21" s="83"/>
      <c r="EY21" s="83"/>
      <c r="EZ21" s="83"/>
      <c r="FA21" s="83"/>
      <c r="FB21" s="83"/>
      <c r="FC21" s="83"/>
      <c r="FD21" s="83"/>
      <c r="FE21" s="83"/>
      <c r="FF21" s="83"/>
      <c r="FG21" s="83"/>
      <c r="FH21" s="83"/>
      <c r="FI21" s="83"/>
      <c r="FJ21" s="83"/>
      <c r="FK21" s="83"/>
      <c r="FL21" s="83"/>
      <c r="FM21" s="83"/>
      <c r="FN21" s="83"/>
      <c r="FO21" s="83"/>
      <c r="FP21" s="83"/>
      <c r="FQ21" s="83"/>
      <c r="FR21" s="83"/>
      <c r="FS21" s="83"/>
      <c r="FT21" s="83"/>
    </row>
    <row r="22" spans="1:176" s="74" customFormat="1" x14ac:dyDescent="0.25">
      <c r="A22" s="18" t="e">
        <f>Lentilles!#REF!</f>
        <v>#REF!</v>
      </c>
      <c r="B22" s="20" t="e">
        <f>Lentilles!#REF!</f>
        <v>#REF!</v>
      </c>
      <c r="C22" s="139">
        <v>3</v>
      </c>
      <c r="D22" s="108">
        <f>5+7+3</f>
        <v>15</v>
      </c>
      <c r="E22" s="134"/>
      <c r="F22" s="113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5"/>
      <c r="U22" s="127">
        <f>5300+7430+3310</f>
        <v>16040</v>
      </c>
      <c r="V22" s="127"/>
      <c r="W22" s="134"/>
      <c r="X22" s="113"/>
      <c r="Y22" s="113"/>
      <c r="Z22" s="113"/>
      <c r="AA22" s="134"/>
      <c r="AB22" s="134"/>
      <c r="AC22" s="134"/>
      <c r="AD22" s="134"/>
      <c r="AE22" s="134"/>
      <c r="AF22" s="134"/>
      <c r="AG22" s="134"/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  <c r="AR22" s="105"/>
      <c r="AS22" s="105"/>
      <c r="AT22" s="105"/>
      <c r="AU22" s="105">
        <f>5+6+6</f>
        <v>17</v>
      </c>
      <c r="AV22" s="113"/>
      <c r="AW22" s="105"/>
      <c r="AX22" s="105"/>
      <c r="AY22" s="106"/>
      <c r="AZ22" s="106"/>
      <c r="BA22" s="113"/>
      <c r="BB22" s="113"/>
      <c r="BC22" s="113"/>
      <c r="BD22" s="113"/>
      <c r="BE22" s="113"/>
      <c r="BF22" s="113"/>
      <c r="BG22" s="113"/>
      <c r="BH22" s="134"/>
      <c r="BI22" s="134"/>
      <c r="BJ22" s="113"/>
      <c r="BK22" s="134"/>
      <c r="BL22" s="134"/>
      <c r="BM22" s="134"/>
      <c r="BN22" s="134"/>
      <c r="BO22" s="134"/>
      <c r="BP22" s="134"/>
      <c r="BQ22" s="134"/>
      <c r="BR22" s="134"/>
      <c r="BS22" s="134"/>
      <c r="BT22" s="134"/>
      <c r="BU22" s="134"/>
      <c r="BV22" s="134"/>
      <c r="BW22" s="134"/>
      <c r="BX22" s="134"/>
      <c r="BY22" s="116"/>
      <c r="BZ22" s="143">
        <v>1</v>
      </c>
      <c r="CA22" s="106"/>
      <c r="CB22" s="113"/>
      <c r="CC22" s="113"/>
      <c r="CD22" s="113"/>
      <c r="CE22" s="135"/>
      <c r="CF22" s="80">
        <f t="shared" si="0"/>
        <v>20399</v>
      </c>
      <c r="CG22" s="127">
        <f>6000+7200+7199</f>
        <v>20399</v>
      </c>
      <c r="CH22" s="134"/>
      <c r="CI22" s="113"/>
      <c r="CJ22" s="113"/>
      <c r="CK22" s="113"/>
      <c r="CL22" s="113"/>
      <c r="CM22" s="113"/>
      <c r="CN22" s="156">
        <f t="shared" si="1"/>
        <v>20399</v>
      </c>
      <c r="CO22" s="127"/>
      <c r="CP22" s="127"/>
      <c r="CQ22" s="127"/>
      <c r="CR22" s="127">
        <f>6000+7200+7199</f>
        <v>20399</v>
      </c>
      <c r="CS22" s="113"/>
      <c r="CT22" s="134"/>
      <c r="CU22" s="127"/>
      <c r="CV22" s="127"/>
      <c r="CW22" s="127"/>
      <c r="CX22" s="134"/>
      <c r="CY22" s="113"/>
      <c r="CZ22" s="134"/>
      <c r="DA22" s="113"/>
      <c r="DB22" s="134"/>
      <c r="DC22" s="113"/>
      <c r="DD22" s="134"/>
      <c r="DE22" s="113"/>
      <c r="DF22" s="113"/>
      <c r="DG22" s="113"/>
      <c r="DH22" s="113"/>
      <c r="DI22" s="113"/>
      <c r="DJ22" s="134"/>
      <c r="DK22" s="113"/>
      <c r="DL22" s="134"/>
      <c r="DM22" s="113"/>
      <c r="DN22" s="135"/>
      <c r="DO22" s="127">
        <v>730</v>
      </c>
      <c r="DP22" s="127"/>
      <c r="DQ22" s="127">
        <f>20+20</f>
        <v>40</v>
      </c>
      <c r="DR22" s="113"/>
      <c r="DS22" s="113"/>
      <c r="DT22" s="135"/>
      <c r="DU22" s="130"/>
      <c r="DV22" s="127">
        <v>130</v>
      </c>
      <c r="DW22" s="127"/>
      <c r="DX22" s="134"/>
      <c r="DY22" s="113"/>
      <c r="DZ22" s="127"/>
      <c r="EA22" s="127"/>
      <c r="EB22" s="113"/>
      <c r="EC22" s="113"/>
      <c r="ED22" s="113"/>
      <c r="EE22" s="113"/>
      <c r="EF22" s="105"/>
      <c r="EG22" s="131"/>
      <c r="EH22" s="105"/>
      <c r="EI22" s="132"/>
      <c r="EJ22" s="19">
        <v>24</v>
      </c>
      <c r="EK22" s="12">
        <v>24</v>
      </c>
      <c r="EL22" s="153">
        <f t="shared" si="2"/>
        <v>24</v>
      </c>
      <c r="EM22" s="151">
        <f t="shared" si="3"/>
        <v>1</v>
      </c>
      <c r="EN22" s="152">
        <f t="shared" si="4"/>
        <v>24</v>
      </c>
      <c r="EO22" s="127"/>
      <c r="EP22" s="127"/>
      <c r="EQ22" s="128"/>
      <c r="ER22" s="70">
        <f t="shared" si="5"/>
        <v>849.95833333333337</v>
      </c>
      <c r="ES22" s="21">
        <f t="shared" si="6"/>
        <v>849.95833333333337</v>
      </c>
      <c r="ET22" s="10" t="str">
        <f>IF(ISERROR(#REF!/#REF!)," ",#REF!/#REF!)</f>
        <v xml:space="preserve"> </v>
      </c>
      <c r="EU22" s="10"/>
      <c r="EV22" s="69" t="str">
        <f>IF(ISERROR(#REF!/#REF!)," ",#REF!/#REF!)</f>
        <v xml:space="preserve"> </v>
      </c>
      <c r="EW22" s="83"/>
      <c r="EX22" s="83"/>
      <c r="EY22" s="83"/>
      <c r="EZ22" s="83"/>
      <c r="FA22" s="83"/>
      <c r="FB22" s="83"/>
      <c r="FC22" s="83"/>
      <c r="FD22" s="83"/>
      <c r="FE22" s="83"/>
      <c r="FF22" s="83"/>
      <c r="FG22" s="83"/>
      <c r="FH22" s="83"/>
      <c r="FI22" s="83"/>
      <c r="FJ22" s="83"/>
      <c r="FK22" s="83"/>
      <c r="FL22" s="83"/>
      <c r="FM22" s="83"/>
      <c r="FN22" s="83"/>
      <c r="FO22" s="83"/>
      <c r="FP22" s="83"/>
      <c r="FQ22" s="83"/>
      <c r="FR22" s="83"/>
      <c r="FS22" s="83"/>
      <c r="FT22" s="83"/>
    </row>
    <row r="23" spans="1:176" s="74" customFormat="1" x14ac:dyDescent="0.25">
      <c r="A23" s="18" t="e">
        <f>Lentilles!#REF!</f>
        <v>#REF!</v>
      </c>
      <c r="B23" s="20" t="e">
        <f>Lentilles!#REF!</f>
        <v>#REF!</v>
      </c>
      <c r="C23" s="139">
        <v>3</v>
      </c>
      <c r="D23" s="108">
        <v>1</v>
      </c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5"/>
      <c r="U23" s="127">
        <f>1120+5180+11760+7970</f>
        <v>26030</v>
      </c>
      <c r="V23" s="127"/>
      <c r="W23" s="127"/>
      <c r="X23" s="127"/>
      <c r="Y23" s="127"/>
      <c r="Z23" s="127"/>
      <c r="AA23" s="127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5"/>
      <c r="AR23" s="105">
        <f>4+6+7</f>
        <v>17</v>
      </c>
      <c r="AS23" s="105"/>
      <c r="AT23" s="105"/>
      <c r="AU23" s="105">
        <v>1</v>
      </c>
      <c r="AV23" s="113"/>
      <c r="AW23" s="105"/>
      <c r="AX23" s="105"/>
      <c r="AY23" s="106"/>
      <c r="AZ23" s="106"/>
      <c r="BA23" s="114"/>
      <c r="BB23" s="114"/>
      <c r="BC23" s="114"/>
      <c r="BD23" s="114"/>
      <c r="BE23" s="114"/>
      <c r="BF23" s="114"/>
      <c r="BG23" s="114"/>
      <c r="BH23" s="114"/>
      <c r="BI23" s="114"/>
      <c r="BJ23" s="114"/>
      <c r="BK23" s="114"/>
      <c r="BL23" s="114"/>
      <c r="BM23" s="114"/>
      <c r="BN23" s="114"/>
      <c r="BO23" s="114"/>
      <c r="BP23" s="114"/>
      <c r="BQ23" s="114"/>
      <c r="BR23" s="114"/>
      <c r="BS23" s="114"/>
      <c r="BT23" s="114"/>
      <c r="BU23" s="114"/>
      <c r="BV23" s="114"/>
      <c r="BW23" s="114"/>
      <c r="BX23" s="114"/>
      <c r="BY23" s="115"/>
      <c r="BZ23" s="142"/>
      <c r="CA23" s="106"/>
      <c r="CB23" s="127"/>
      <c r="CC23" s="127"/>
      <c r="CD23" s="127"/>
      <c r="CE23" s="129"/>
      <c r="CF23" s="80">
        <f t="shared" si="0"/>
        <v>21601</v>
      </c>
      <c r="CG23" s="127">
        <f>6000+7200+8401</f>
        <v>21601</v>
      </c>
      <c r="CH23" s="106"/>
      <c r="CI23" s="127"/>
      <c r="CJ23" s="127"/>
      <c r="CK23" s="127"/>
      <c r="CL23" s="127"/>
      <c r="CM23" s="127"/>
      <c r="CN23" s="156">
        <f t="shared" si="1"/>
        <v>21601</v>
      </c>
      <c r="CO23" s="127">
        <f>4800+7200+8401</f>
        <v>20401</v>
      </c>
      <c r="CP23" s="127"/>
      <c r="CQ23" s="127"/>
      <c r="CR23" s="127">
        <v>1200</v>
      </c>
      <c r="CS23" s="127"/>
      <c r="CT23" s="127"/>
      <c r="CU23" s="127"/>
      <c r="CV23" s="127"/>
      <c r="CW23" s="127"/>
      <c r="CX23" s="127"/>
      <c r="CY23" s="127"/>
      <c r="CZ23" s="127"/>
      <c r="DA23" s="127"/>
      <c r="DB23" s="127"/>
      <c r="DC23" s="127"/>
      <c r="DD23" s="127"/>
      <c r="DE23" s="127"/>
      <c r="DF23" s="127"/>
      <c r="DG23" s="127"/>
      <c r="DH23" s="127"/>
      <c r="DI23" s="127"/>
      <c r="DJ23" s="127"/>
      <c r="DK23" s="127"/>
      <c r="DL23" s="127"/>
      <c r="DM23" s="127"/>
      <c r="DN23" s="129"/>
      <c r="DO23" s="127"/>
      <c r="DP23" s="127"/>
      <c r="DQ23" s="127">
        <f>120+40</f>
        <v>160</v>
      </c>
      <c r="DR23" s="127"/>
      <c r="DS23" s="127"/>
      <c r="DT23" s="129"/>
      <c r="DU23" s="130"/>
      <c r="DV23" s="127"/>
      <c r="DW23" s="127"/>
      <c r="DX23" s="127"/>
      <c r="DY23" s="127"/>
      <c r="DZ23" s="127"/>
      <c r="EA23" s="127"/>
      <c r="EB23" s="127"/>
      <c r="EC23" s="127"/>
      <c r="ED23" s="127"/>
      <c r="EE23" s="127"/>
      <c r="EF23" s="127"/>
      <c r="EG23" s="127"/>
      <c r="EH23" s="127"/>
      <c r="EI23" s="129"/>
      <c r="EJ23" s="158">
        <v>24</v>
      </c>
      <c r="EK23" s="12">
        <v>24</v>
      </c>
      <c r="EL23" s="150">
        <f t="shared" si="2"/>
        <v>24</v>
      </c>
      <c r="EM23" s="151">
        <f t="shared" si="3"/>
        <v>1</v>
      </c>
      <c r="EN23" s="152">
        <f t="shared" si="4"/>
        <v>24</v>
      </c>
      <c r="EO23" s="127"/>
      <c r="EP23" s="127"/>
      <c r="EQ23" s="128"/>
      <c r="ER23" s="70">
        <f t="shared" si="5"/>
        <v>900.04166666666663</v>
      </c>
      <c r="ES23" s="21">
        <f t="shared" si="6"/>
        <v>900.04166666666663</v>
      </c>
      <c r="ET23" s="10" t="str">
        <f>IF(ISERROR(#REF!/#REF!)," ",#REF!/#REF!)</f>
        <v xml:space="preserve"> </v>
      </c>
      <c r="EU23" s="10"/>
      <c r="EV23" s="69" t="str">
        <f>IF(ISERROR(#REF!/#REF!)," ",#REF!/#REF!)</f>
        <v xml:space="preserve"> </v>
      </c>
      <c r="EW23" s="83"/>
      <c r="EX23" s="83"/>
      <c r="EY23" s="83"/>
      <c r="EZ23" s="83"/>
      <c r="FA23" s="83"/>
      <c r="FB23" s="83"/>
      <c r="FC23" s="83"/>
      <c r="FD23" s="83"/>
      <c r="FE23" s="83"/>
      <c r="FF23" s="83"/>
      <c r="FG23" s="83"/>
      <c r="FH23" s="83"/>
      <c r="FI23" s="83"/>
      <c r="FJ23" s="83"/>
      <c r="FK23" s="83"/>
      <c r="FL23" s="83"/>
      <c r="FM23" s="83"/>
      <c r="FN23" s="83"/>
      <c r="FO23" s="83"/>
      <c r="FP23" s="83"/>
      <c r="FQ23" s="83"/>
      <c r="FR23" s="83"/>
      <c r="FS23" s="83"/>
      <c r="FT23" s="83"/>
    </row>
    <row r="24" spans="1:176" s="74" customFormat="1" x14ac:dyDescent="0.25">
      <c r="A24" s="18" t="e">
        <f>Lentilles!#REF!</f>
        <v>#REF!</v>
      </c>
      <c r="B24" s="20" t="e">
        <f>Lentilles!#REF!</f>
        <v>#REF!</v>
      </c>
      <c r="C24" s="139">
        <v>3</v>
      </c>
      <c r="D24" s="108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3"/>
      <c r="T24" s="115"/>
      <c r="U24" s="127">
        <f>8430+8590+7940</f>
        <v>24960</v>
      </c>
      <c r="V24" s="127"/>
      <c r="W24" s="127"/>
      <c r="X24" s="127"/>
      <c r="Y24" s="127"/>
      <c r="Z24" s="127"/>
      <c r="AA24" s="127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5"/>
      <c r="AR24" s="105">
        <f>7+7+7</f>
        <v>21</v>
      </c>
      <c r="AS24" s="105"/>
      <c r="AT24" s="105"/>
      <c r="AU24" s="105"/>
      <c r="AV24" s="113"/>
      <c r="AW24" s="105"/>
      <c r="AX24" s="105"/>
      <c r="AY24" s="106"/>
      <c r="AZ24" s="106"/>
      <c r="BA24" s="114"/>
      <c r="BB24" s="114"/>
      <c r="BC24" s="114"/>
      <c r="BD24" s="114"/>
      <c r="BE24" s="114"/>
      <c r="BF24" s="114"/>
      <c r="BG24" s="114"/>
      <c r="BH24" s="114"/>
      <c r="BI24" s="114"/>
      <c r="BJ24" s="114"/>
      <c r="BK24" s="114"/>
      <c r="BL24" s="114"/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3"/>
      <c r="BX24" s="114"/>
      <c r="BY24" s="115"/>
      <c r="BZ24" s="142">
        <v>1</v>
      </c>
      <c r="CA24" s="106"/>
      <c r="CB24" s="127"/>
      <c r="CC24" s="127"/>
      <c r="CD24" s="127"/>
      <c r="CE24" s="129"/>
      <c r="CF24" s="80">
        <f t="shared" si="0"/>
        <v>25201</v>
      </c>
      <c r="CG24" s="127">
        <f>8402+8401+8398</f>
        <v>25201</v>
      </c>
      <c r="CH24" s="106"/>
      <c r="CI24" s="127"/>
      <c r="CJ24" s="127"/>
      <c r="CK24" s="127"/>
      <c r="CL24" s="127"/>
      <c r="CM24" s="127"/>
      <c r="CN24" s="156">
        <f t="shared" si="1"/>
        <v>25201</v>
      </c>
      <c r="CO24" s="127">
        <f>8402+8401+8398</f>
        <v>25201</v>
      </c>
      <c r="CP24" s="127"/>
      <c r="CQ24" s="127"/>
      <c r="CR24" s="127"/>
      <c r="CS24" s="127"/>
      <c r="CT24" s="127"/>
      <c r="CU24" s="127"/>
      <c r="CV24" s="127"/>
      <c r="CW24" s="127"/>
      <c r="CX24" s="127"/>
      <c r="CY24" s="127"/>
      <c r="CZ24" s="127"/>
      <c r="DA24" s="127"/>
      <c r="DB24" s="127"/>
      <c r="DC24" s="127"/>
      <c r="DD24" s="127"/>
      <c r="DE24" s="127"/>
      <c r="DF24" s="127"/>
      <c r="DG24" s="127"/>
      <c r="DH24" s="127"/>
      <c r="DI24" s="127"/>
      <c r="DJ24" s="127"/>
      <c r="DK24" s="127"/>
      <c r="DL24" s="127"/>
      <c r="DM24" s="127"/>
      <c r="DN24" s="129"/>
      <c r="DO24" s="127">
        <v>730</v>
      </c>
      <c r="DP24" s="127"/>
      <c r="DQ24" s="127">
        <f>100+80+10</f>
        <v>190</v>
      </c>
      <c r="DR24" s="127"/>
      <c r="DS24" s="127"/>
      <c r="DT24" s="129"/>
      <c r="DU24" s="130"/>
      <c r="DV24" s="127"/>
      <c r="DW24" s="127"/>
      <c r="DX24" s="127"/>
      <c r="DY24" s="127"/>
      <c r="DZ24" s="127"/>
      <c r="EA24" s="127"/>
      <c r="EB24" s="127"/>
      <c r="EC24" s="127"/>
      <c r="ED24" s="127"/>
      <c r="EE24" s="127"/>
      <c r="EF24" s="127"/>
      <c r="EG24" s="127"/>
      <c r="EH24" s="127"/>
      <c r="EI24" s="129"/>
      <c r="EJ24" s="158">
        <v>24</v>
      </c>
      <c r="EK24" s="12">
        <v>24</v>
      </c>
      <c r="EL24" s="150">
        <f t="shared" si="2"/>
        <v>24</v>
      </c>
      <c r="EM24" s="151">
        <f t="shared" si="3"/>
        <v>1</v>
      </c>
      <c r="EN24" s="152">
        <f t="shared" si="4"/>
        <v>24</v>
      </c>
      <c r="EO24" s="127"/>
      <c r="EP24" s="127"/>
      <c r="EQ24" s="128"/>
      <c r="ER24" s="70">
        <f t="shared" si="5"/>
        <v>1050.0416666666667</v>
      </c>
      <c r="ES24" s="21">
        <f t="shared" si="6"/>
        <v>1050.0416666666667</v>
      </c>
      <c r="ET24" s="10" t="str">
        <f>IF(ISERROR(#REF!/#REF!)," ",#REF!/#REF!)</f>
        <v xml:space="preserve"> </v>
      </c>
      <c r="EU24" s="10"/>
      <c r="EV24" s="69" t="str">
        <f>IF(ISERROR(#REF!/#REF!)," ",#REF!/#REF!)</f>
        <v xml:space="preserve"> </v>
      </c>
      <c r="EW24" s="83"/>
      <c r="EX24" s="83"/>
      <c r="EY24" s="83"/>
      <c r="EZ24" s="83"/>
      <c r="FA24" s="83"/>
      <c r="FB24" s="83"/>
      <c r="FC24" s="83"/>
      <c r="FD24" s="83"/>
      <c r="FE24" s="83"/>
      <c r="FF24" s="83"/>
      <c r="FG24" s="83"/>
      <c r="FH24" s="83"/>
      <c r="FI24" s="83"/>
      <c r="FJ24" s="83"/>
      <c r="FK24" s="83"/>
      <c r="FL24" s="83"/>
      <c r="FM24" s="83"/>
      <c r="FN24" s="83"/>
      <c r="FO24" s="83"/>
      <c r="FP24" s="83"/>
      <c r="FQ24" s="83"/>
      <c r="FR24" s="83"/>
      <c r="FS24" s="83"/>
      <c r="FT24" s="83"/>
    </row>
    <row r="25" spans="1:176" s="74" customFormat="1" x14ac:dyDescent="0.25">
      <c r="A25" s="18" t="e">
        <f>Lentilles!#REF!</f>
        <v>#REF!</v>
      </c>
      <c r="B25" s="20" t="e">
        <f>Lentilles!#REF!</f>
        <v>#REF!</v>
      </c>
      <c r="C25" s="139">
        <v>3</v>
      </c>
      <c r="D25" s="108"/>
      <c r="E25" s="134"/>
      <c r="F25" s="113"/>
      <c r="G25" s="134"/>
      <c r="H25" s="134"/>
      <c r="I25" s="113"/>
      <c r="J25" s="113"/>
      <c r="K25" s="113"/>
      <c r="L25" s="113"/>
      <c r="M25" s="134"/>
      <c r="N25" s="134"/>
      <c r="O25" s="134"/>
      <c r="P25" s="134"/>
      <c r="Q25" s="134"/>
      <c r="R25" s="113"/>
      <c r="S25" s="134"/>
      <c r="T25" s="135"/>
      <c r="U25" s="127">
        <f>7940+7320+250</f>
        <v>15510</v>
      </c>
      <c r="V25" s="127"/>
      <c r="W25" s="127"/>
      <c r="X25" s="127"/>
      <c r="Y25" s="127"/>
      <c r="Z25" s="127"/>
      <c r="AA25" s="127"/>
      <c r="AB25" s="127"/>
      <c r="AC25" s="134"/>
      <c r="AD25" s="134"/>
      <c r="AE25" s="134"/>
      <c r="AF25" s="134"/>
      <c r="AG25" s="134"/>
      <c r="AH25" s="134"/>
      <c r="AI25" s="134"/>
      <c r="AJ25" s="134"/>
      <c r="AK25" s="134"/>
      <c r="AL25" s="134"/>
      <c r="AM25" s="134"/>
      <c r="AN25" s="134"/>
      <c r="AO25" s="134"/>
      <c r="AP25" s="134"/>
      <c r="AQ25" s="135"/>
      <c r="AR25" s="105">
        <v>3</v>
      </c>
      <c r="AS25" s="105"/>
      <c r="AT25" s="105"/>
      <c r="AU25" s="105">
        <f>5+7+6</f>
        <v>18</v>
      </c>
      <c r="AV25" s="113"/>
      <c r="AW25" s="105"/>
      <c r="AX25" s="105"/>
      <c r="AY25" s="106"/>
      <c r="AZ25" s="106"/>
      <c r="BA25" s="114"/>
      <c r="BB25" s="134"/>
      <c r="BC25" s="113"/>
      <c r="BD25" s="113"/>
      <c r="BE25" s="134"/>
      <c r="BF25" s="134"/>
      <c r="BG25" s="113"/>
      <c r="BH25" s="134"/>
      <c r="BI25" s="134"/>
      <c r="BJ25" s="113"/>
      <c r="BK25" s="134"/>
      <c r="BL25" s="134"/>
      <c r="BM25" s="134"/>
      <c r="BN25" s="134"/>
      <c r="BO25" s="134"/>
      <c r="BP25" s="134"/>
      <c r="BQ25" s="134"/>
      <c r="BR25" s="134"/>
      <c r="BS25" s="134"/>
      <c r="BT25" s="134"/>
      <c r="BU25" s="134"/>
      <c r="BV25" s="113"/>
      <c r="BW25" s="134"/>
      <c r="BX25" s="134"/>
      <c r="BY25" s="116"/>
      <c r="BZ25" s="143"/>
      <c r="CA25" s="106"/>
      <c r="CB25" s="127"/>
      <c r="CC25" s="127"/>
      <c r="CD25" s="127"/>
      <c r="CE25" s="129"/>
      <c r="CF25" s="80">
        <f t="shared" si="0"/>
        <v>25208</v>
      </c>
      <c r="CG25" s="127">
        <f>9603+8404+7201</f>
        <v>25208</v>
      </c>
      <c r="CH25" s="106"/>
      <c r="CI25" s="127"/>
      <c r="CJ25" s="127"/>
      <c r="CK25" s="127"/>
      <c r="CL25" s="127"/>
      <c r="CM25" s="127"/>
      <c r="CN25" s="156">
        <f t="shared" si="1"/>
        <v>25208</v>
      </c>
      <c r="CO25" s="127">
        <v>3602</v>
      </c>
      <c r="CP25" s="127"/>
      <c r="CQ25" s="127"/>
      <c r="CR25" s="127">
        <f>6001+8404+7201</f>
        <v>21606</v>
      </c>
      <c r="CS25" s="106"/>
      <c r="CT25" s="12"/>
      <c r="CU25" s="127"/>
      <c r="CV25" s="127"/>
      <c r="CW25" s="127"/>
      <c r="CX25" s="127"/>
      <c r="CY25" s="127"/>
      <c r="CZ25" s="127"/>
      <c r="DA25" s="127"/>
      <c r="DB25" s="127"/>
      <c r="DC25" s="127"/>
      <c r="DD25" s="127"/>
      <c r="DE25" s="127"/>
      <c r="DF25" s="127"/>
      <c r="DG25" s="127"/>
      <c r="DH25" s="127"/>
      <c r="DI25" s="127"/>
      <c r="DJ25" s="127"/>
      <c r="DK25" s="127"/>
      <c r="DL25" s="127"/>
      <c r="DM25" s="127"/>
      <c r="DN25" s="129"/>
      <c r="DO25" s="127"/>
      <c r="DP25" s="127"/>
      <c r="DQ25" s="127">
        <f>50+70+350</f>
        <v>470</v>
      </c>
      <c r="DR25" s="127"/>
      <c r="DS25" s="127"/>
      <c r="DT25" s="129"/>
      <c r="DU25" s="130"/>
      <c r="DV25" s="127">
        <v>78</v>
      </c>
      <c r="DW25" s="127"/>
      <c r="DX25" s="127"/>
      <c r="DY25" s="127"/>
      <c r="DZ25" s="127"/>
      <c r="EA25" s="127"/>
      <c r="EB25" s="127"/>
      <c r="EC25" s="127">
        <v>1000</v>
      </c>
      <c r="ED25" s="127"/>
      <c r="EE25" s="127"/>
      <c r="EF25" s="127"/>
      <c r="EG25" s="127"/>
      <c r="EH25" s="127"/>
      <c r="EI25" s="129"/>
      <c r="EJ25" s="19">
        <v>24</v>
      </c>
      <c r="EK25" s="12">
        <v>24</v>
      </c>
      <c r="EL25" s="150">
        <f t="shared" si="2"/>
        <v>24</v>
      </c>
      <c r="EM25" s="151">
        <f t="shared" si="3"/>
        <v>1</v>
      </c>
      <c r="EN25" s="152">
        <f t="shared" si="4"/>
        <v>24</v>
      </c>
      <c r="EO25" s="127"/>
      <c r="EP25" s="127"/>
      <c r="EQ25" s="128"/>
      <c r="ER25" s="70">
        <f t="shared" si="5"/>
        <v>1050.3333333333333</v>
      </c>
      <c r="ES25" s="21">
        <f t="shared" si="6"/>
        <v>1050.3333333333333</v>
      </c>
      <c r="ET25" s="10" t="str">
        <f>IF(ISERROR(#REF!/#REF!)," ",#REF!/#REF!)</f>
        <v xml:space="preserve"> </v>
      </c>
      <c r="EU25" s="10"/>
      <c r="EV25" s="69" t="str">
        <f>IF(ISERROR(#REF!/#REF!)," ",#REF!/#REF!)</f>
        <v xml:space="preserve"> </v>
      </c>
      <c r="EW25" s="83"/>
      <c r="EX25" s="83"/>
      <c r="EY25" s="83"/>
      <c r="EZ25" s="83"/>
      <c r="FA25" s="83"/>
      <c r="FB25" s="83"/>
      <c r="FC25" s="83"/>
      <c r="FD25" s="83"/>
      <c r="FE25" s="83"/>
      <c r="FF25" s="83"/>
      <c r="FG25" s="83"/>
      <c r="FH25" s="83"/>
      <c r="FI25" s="83"/>
      <c r="FJ25" s="83"/>
      <c r="FK25" s="83"/>
      <c r="FL25" s="83"/>
      <c r="FM25" s="83"/>
      <c r="FN25" s="83"/>
      <c r="FO25" s="83"/>
      <c r="FP25" s="83"/>
      <c r="FQ25" s="83"/>
      <c r="FR25" s="83"/>
      <c r="FS25" s="83"/>
      <c r="FT25" s="83"/>
    </row>
    <row r="26" spans="1:176" s="74" customFormat="1" x14ac:dyDescent="0.25">
      <c r="A26" s="18" t="e">
        <f>Lentilles!#REF!</f>
        <v>#REF!</v>
      </c>
      <c r="B26" s="20" t="e">
        <f>Lentilles!#REF!</f>
        <v>#REF!</v>
      </c>
      <c r="C26" s="139">
        <v>3</v>
      </c>
      <c r="D26" s="108">
        <v>6</v>
      </c>
      <c r="E26" s="134"/>
      <c r="F26" s="113"/>
      <c r="G26" s="134"/>
      <c r="H26" s="134"/>
      <c r="I26" s="113"/>
      <c r="J26" s="113"/>
      <c r="K26" s="113"/>
      <c r="L26" s="113"/>
      <c r="M26" s="134"/>
      <c r="N26" s="134"/>
      <c r="O26" s="134"/>
      <c r="P26" s="134"/>
      <c r="Q26" s="134"/>
      <c r="R26" s="134"/>
      <c r="S26" s="134"/>
      <c r="T26" s="135"/>
      <c r="U26" s="127">
        <f>6670+1670+7320+6540</f>
        <v>22200</v>
      </c>
      <c r="V26" s="127"/>
      <c r="W26" s="127"/>
      <c r="X26" s="127"/>
      <c r="Y26" s="127"/>
      <c r="Z26" s="127"/>
      <c r="AA26" s="127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  <c r="AR26" s="105">
        <f>2+3+7</f>
        <v>12</v>
      </c>
      <c r="AS26" s="105"/>
      <c r="AT26" s="105"/>
      <c r="AU26" s="105">
        <v>2</v>
      </c>
      <c r="AV26" s="113"/>
      <c r="AW26" s="105"/>
      <c r="AX26" s="105"/>
      <c r="AY26" s="106"/>
      <c r="AZ26" s="106"/>
      <c r="BA26" s="113"/>
      <c r="BB26" s="113"/>
      <c r="BC26" s="113"/>
      <c r="BD26" s="113"/>
      <c r="BE26" s="134"/>
      <c r="BF26" s="134"/>
      <c r="BG26" s="113"/>
      <c r="BH26" s="134"/>
      <c r="BI26" s="134"/>
      <c r="BJ26" s="113"/>
      <c r="BK26" s="134"/>
      <c r="BL26" s="134"/>
      <c r="BM26" s="134"/>
      <c r="BN26" s="134"/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  <c r="BY26" s="116"/>
      <c r="BZ26" s="143">
        <v>1</v>
      </c>
      <c r="CA26" s="106"/>
      <c r="CB26" s="127"/>
      <c r="CC26" s="127"/>
      <c r="CD26" s="127"/>
      <c r="CE26" s="129"/>
      <c r="CF26" s="80">
        <f t="shared" si="0"/>
        <v>16742</v>
      </c>
      <c r="CG26" s="127">
        <f>4800+3600+8342</f>
        <v>16742</v>
      </c>
      <c r="CH26" s="127"/>
      <c r="CI26" s="127"/>
      <c r="CJ26" s="127"/>
      <c r="CK26" s="127"/>
      <c r="CL26" s="127"/>
      <c r="CM26" s="127"/>
      <c r="CN26" s="156">
        <f t="shared" si="1"/>
        <v>16742</v>
      </c>
      <c r="CO26" s="127">
        <f>2400+3600+8342</f>
        <v>14342</v>
      </c>
      <c r="CP26" s="127"/>
      <c r="CQ26" s="127"/>
      <c r="CR26" s="127">
        <v>2400</v>
      </c>
      <c r="CS26" s="127"/>
      <c r="CT26" s="127"/>
      <c r="CU26" s="127"/>
      <c r="CV26" s="127"/>
      <c r="CW26" s="127"/>
      <c r="CX26" s="127"/>
      <c r="CY26" s="127"/>
      <c r="CZ26" s="127"/>
      <c r="DA26" s="127"/>
      <c r="DB26" s="127"/>
      <c r="DC26" s="127"/>
      <c r="DD26" s="127"/>
      <c r="DE26" s="127"/>
      <c r="DF26" s="127"/>
      <c r="DG26" s="127"/>
      <c r="DH26" s="127"/>
      <c r="DI26" s="127"/>
      <c r="DJ26" s="127"/>
      <c r="DK26" s="127"/>
      <c r="DL26" s="127"/>
      <c r="DM26" s="127"/>
      <c r="DN26" s="129"/>
      <c r="DO26" s="127">
        <v>730</v>
      </c>
      <c r="DP26" s="127"/>
      <c r="DQ26" s="127">
        <v>70</v>
      </c>
      <c r="DR26" s="127"/>
      <c r="DS26" s="127"/>
      <c r="DT26" s="129"/>
      <c r="DU26" s="130"/>
      <c r="DV26" s="127"/>
      <c r="DW26" s="127"/>
      <c r="DX26" s="127"/>
      <c r="DY26" s="127"/>
      <c r="DZ26" s="127"/>
      <c r="EA26" s="127"/>
      <c r="EB26" s="127"/>
      <c r="EC26" s="127"/>
      <c r="ED26" s="127"/>
      <c r="EE26" s="127"/>
      <c r="EF26" s="127"/>
      <c r="EG26" s="127"/>
      <c r="EH26" s="127"/>
      <c r="EI26" s="129"/>
      <c r="EJ26" s="19">
        <v>24</v>
      </c>
      <c r="EK26" s="12">
        <v>18</v>
      </c>
      <c r="EL26" s="150">
        <f t="shared" si="2"/>
        <v>18</v>
      </c>
      <c r="EM26" s="151">
        <f t="shared" si="3"/>
        <v>0.75</v>
      </c>
      <c r="EN26" s="152">
        <f t="shared" si="4"/>
        <v>18</v>
      </c>
      <c r="EO26" s="127"/>
      <c r="EP26" s="127"/>
      <c r="EQ26" s="128"/>
      <c r="ER26" s="70">
        <f t="shared" si="5"/>
        <v>930.11111111111109</v>
      </c>
      <c r="ES26" s="21">
        <f t="shared" si="6"/>
        <v>930.11111111111109</v>
      </c>
      <c r="ET26" s="10" t="str">
        <f>IF(ISERROR(#REF!/#REF!)," ",#REF!/#REF!)</f>
        <v xml:space="preserve"> </v>
      </c>
      <c r="EU26" s="10"/>
      <c r="EV26" s="69" t="str">
        <f>IF(ISERROR(#REF!/#REF!)," ",#REF!/#REF!)</f>
        <v xml:space="preserve"> </v>
      </c>
      <c r="EW26" s="83"/>
      <c r="EX26" s="83"/>
      <c r="EY26" s="83"/>
      <c r="EZ26" s="83"/>
      <c r="FA26" s="83"/>
      <c r="FB26" s="83"/>
      <c r="FC26" s="83"/>
      <c r="FD26" s="83"/>
      <c r="FE26" s="83"/>
      <c r="FF26" s="83"/>
      <c r="FG26" s="83"/>
      <c r="FH26" s="83"/>
      <c r="FI26" s="83"/>
      <c r="FJ26" s="83"/>
      <c r="FK26" s="83"/>
      <c r="FL26" s="83"/>
      <c r="FM26" s="83"/>
      <c r="FN26" s="83"/>
      <c r="FO26" s="83"/>
      <c r="FP26" s="83"/>
      <c r="FQ26" s="83"/>
      <c r="FR26" s="83"/>
      <c r="FS26" s="83"/>
      <c r="FT26" s="83"/>
    </row>
    <row r="27" spans="1:176" s="74" customFormat="1" x14ac:dyDescent="0.25">
      <c r="A27" s="18" t="e">
        <f>Lentilles!#REF!</f>
        <v>#REF!</v>
      </c>
      <c r="B27" s="20" t="e">
        <f>Lentilles!#REF!</f>
        <v>#REF!</v>
      </c>
      <c r="C27" s="139">
        <v>3</v>
      </c>
      <c r="D27" s="108">
        <f>6+5+8</f>
        <v>19</v>
      </c>
      <c r="E27" s="113"/>
      <c r="F27" s="113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5"/>
      <c r="U27" s="127">
        <f>6740+5010+9050+2790</f>
        <v>23590</v>
      </c>
      <c r="V27" s="127"/>
      <c r="W27" s="127"/>
      <c r="X27" s="127"/>
      <c r="Y27" s="127"/>
      <c r="Z27" s="127"/>
      <c r="AA27" s="127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5"/>
      <c r="AR27" s="105">
        <v>5</v>
      </c>
      <c r="AS27" s="105"/>
      <c r="AT27" s="105"/>
      <c r="AU27" s="105"/>
      <c r="AV27" s="113"/>
      <c r="AW27" s="105"/>
      <c r="AX27" s="105"/>
      <c r="AY27" s="106">
        <f>2+6+7</f>
        <v>15</v>
      </c>
      <c r="AZ27" s="106"/>
      <c r="BA27" s="114"/>
      <c r="BB27" s="113"/>
      <c r="BC27" s="114"/>
      <c r="BD27" s="114"/>
      <c r="BE27" s="114"/>
      <c r="BF27" s="113"/>
      <c r="BG27" s="113"/>
      <c r="BH27" s="114"/>
      <c r="BI27" s="113"/>
      <c r="BJ27" s="113"/>
      <c r="BK27" s="114"/>
      <c r="BL27" s="114"/>
      <c r="BM27" s="114"/>
      <c r="BN27" s="114"/>
      <c r="BO27" s="114"/>
      <c r="BP27" s="114"/>
      <c r="BQ27" s="114"/>
      <c r="BR27" s="114"/>
      <c r="BS27" s="114"/>
      <c r="BT27" s="114"/>
      <c r="BU27" s="114"/>
      <c r="BV27" s="114"/>
      <c r="BW27" s="114"/>
      <c r="BX27" s="114"/>
      <c r="BY27" s="116"/>
      <c r="BZ27" s="143"/>
      <c r="CA27" s="106"/>
      <c r="CB27" s="127"/>
      <c r="CC27" s="127"/>
      <c r="CD27" s="127"/>
      <c r="CE27" s="129"/>
      <c r="CF27" s="80">
        <f t="shared" si="0"/>
        <v>23996</v>
      </c>
      <c r="CG27" s="127">
        <f>8394+7200+8402</f>
        <v>23996</v>
      </c>
      <c r="CH27" s="127"/>
      <c r="CI27" s="127"/>
      <c r="CJ27" s="127"/>
      <c r="CK27" s="127"/>
      <c r="CL27" s="127"/>
      <c r="CM27" s="127"/>
      <c r="CN27" s="156">
        <f t="shared" si="1"/>
        <v>23996</v>
      </c>
      <c r="CO27" s="127">
        <v>5994</v>
      </c>
      <c r="CP27" s="127"/>
      <c r="CQ27" s="127"/>
      <c r="CR27" s="127"/>
      <c r="CS27" s="127"/>
      <c r="CT27" s="127"/>
      <c r="CU27" s="127"/>
      <c r="CV27" s="127">
        <f>2400+7200+8402</f>
        <v>18002</v>
      </c>
      <c r="CW27" s="127"/>
      <c r="CX27" s="127"/>
      <c r="CY27" s="127"/>
      <c r="CZ27" s="127"/>
      <c r="DA27" s="127"/>
      <c r="DB27" s="127"/>
      <c r="DC27" s="127"/>
      <c r="DD27" s="127"/>
      <c r="DE27" s="127"/>
      <c r="DF27" s="127"/>
      <c r="DG27" s="127"/>
      <c r="DH27" s="127"/>
      <c r="DI27" s="127"/>
      <c r="DJ27" s="127"/>
      <c r="DK27" s="127"/>
      <c r="DL27" s="127"/>
      <c r="DM27" s="127"/>
      <c r="DN27" s="129"/>
      <c r="DO27" s="127"/>
      <c r="DP27" s="127"/>
      <c r="DQ27" s="127">
        <f>20+60</f>
        <v>80</v>
      </c>
      <c r="DR27" s="127"/>
      <c r="DS27" s="127"/>
      <c r="DT27" s="129"/>
      <c r="DU27" s="130"/>
      <c r="DV27" s="127"/>
      <c r="DW27" s="127"/>
      <c r="DX27" s="127"/>
      <c r="DY27" s="127"/>
      <c r="DZ27" s="127">
        <v>332</v>
      </c>
      <c r="EA27" s="127"/>
      <c r="EB27" s="127"/>
      <c r="EC27" s="127"/>
      <c r="ED27" s="127"/>
      <c r="EE27" s="127"/>
      <c r="EF27" s="127"/>
      <c r="EG27" s="127"/>
      <c r="EH27" s="127"/>
      <c r="EI27" s="129"/>
      <c r="EJ27" s="19">
        <v>24</v>
      </c>
      <c r="EK27" s="12">
        <v>24</v>
      </c>
      <c r="EL27" s="150">
        <f t="shared" si="2"/>
        <v>24</v>
      </c>
      <c r="EM27" s="151">
        <f t="shared" si="3"/>
        <v>1</v>
      </c>
      <c r="EN27" s="152">
        <f t="shared" si="4"/>
        <v>24</v>
      </c>
      <c r="EO27" s="127"/>
      <c r="EP27" s="127"/>
      <c r="EQ27" s="128"/>
      <c r="ER27" s="70">
        <f t="shared" si="5"/>
        <v>999.83333333333337</v>
      </c>
      <c r="ES27" s="21">
        <f t="shared" si="6"/>
        <v>999.83333333333337</v>
      </c>
      <c r="ET27" s="10" t="str">
        <f>IF(ISERROR(#REF!/#REF!)," ",#REF!/#REF!)</f>
        <v xml:space="preserve"> </v>
      </c>
      <c r="EU27" s="10"/>
      <c r="EV27" s="69" t="str">
        <f>IF(ISERROR(#REF!/#REF!)," ",#REF!/#REF!)</f>
        <v xml:space="preserve"> </v>
      </c>
      <c r="EW27" s="83"/>
      <c r="EX27" s="83"/>
      <c r="EY27" s="83"/>
      <c r="EZ27" s="83"/>
      <c r="FA27" s="83"/>
      <c r="FB27" s="83"/>
      <c r="FC27" s="83"/>
      <c r="FD27" s="83"/>
      <c r="FE27" s="83"/>
      <c r="FF27" s="83"/>
      <c r="FG27" s="83"/>
      <c r="FH27" s="83"/>
      <c r="FI27" s="83"/>
      <c r="FJ27" s="83"/>
      <c r="FK27" s="83"/>
      <c r="FL27" s="83"/>
      <c r="FM27" s="83"/>
      <c r="FN27" s="83"/>
      <c r="FO27" s="83"/>
      <c r="FP27" s="83"/>
      <c r="FQ27" s="83"/>
      <c r="FR27" s="83"/>
      <c r="FS27" s="83"/>
      <c r="FT27" s="83"/>
    </row>
    <row r="28" spans="1:176" s="74" customFormat="1" x14ac:dyDescent="0.25">
      <c r="A28" s="18" t="e">
        <f>Lentilles!#REF!</f>
        <v>#REF!</v>
      </c>
      <c r="B28" s="20" t="e">
        <f>Lentilles!#REF!</f>
        <v>#REF!</v>
      </c>
      <c r="C28" s="139">
        <v>3</v>
      </c>
      <c r="D28" s="108">
        <f>10+8+8</f>
        <v>26</v>
      </c>
      <c r="E28" s="113"/>
      <c r="F28" s="113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5"/>
      <c r="U28" s="127">
        <f>10920+8610+8750</f>
        <v>28280</v>
      </c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5"/>
      <c r="AR28" s="105">
        <f>1+8+7</f>
        <v>16</v>
      </c>
      <c r="AS28" s="105"/>
      <c r="AT28" s="105"/>
      <c r="AU28" s="105"/>
      <c r="AV28" s="113"/>
      <c r="AW28" s="105"/>
      <c r="AX28" s="105"/>
      <c r="AY28" s="106">
        <v>5</v>
      </c>
      <c r="AZ28" s="106"/>
      <c r="BA28" s="114"/>
      <c r="BB28" s="113"/>
      <c r="BC28" s="114"/>
      <c r="BD28" s="114"/>
      <c r="BE28" s="114"/>
      <c r="BF28" s="113"/>
      <c r="BG28" s="113"/>
      <c r="BH28" s="114"/>
      <c r="BI28" s="113"/>
      <c r="BJ28" s="113"/>
      <c r="BK28" s="114"/>
      <c r="BL28" s="114"/>
      <c r="BM28" s="114"/>
      <c r="BN28" s="114"/>
      <c r="BO28" s="114"/>
      <c r="BP28" s="114"/>
      <c r="BQ28" s="114"/>
      <c r="BR28" s="114"/>
      <c r="BS28" s="114"/>
      <c r="BT28" s="114"/>
      <c r="BU28" s="114"/>
      <c r="BV28" s="114"/>
      <c r="BW28" s="114"/>
      <c r="BX28" s="114"/>
      <c r="BY28" s="116"/>
      <c r="BZ28" s="143"/>
      <c r="CA28" s="106"/>
      <c r="CB28" s="114"/>
      <c r="CC28" s="114"/>
      <c r="CD28" s="114"/>
      <c r="CE28" s="115"/>
      <c r="CF28" s="80">
        <f t="shared" si="0"/>
        <v>25139</v>
      </c>
      <c r="CG28" s="127">
        <f>7199+9597+8343</f>
        <v>25139</v>
      </c>
      <c r="CH28" s="114"/>
      <c r="CI28" s="114"/>
      <c r="CJ28" s="114"/>
      <c r="CK28" s="114"/>
      <c r="CL28" s="114"/>
      <c r="CM28" s="114"/>
      <c r="CN28" s="156">
        <f t="shared" si="1"/>
        <v>25139</v>
      </c>
      <c r="CO28" s="127">
        <f>1200+9597+8343</f>
        <v>19140</v>
      </c>
      <c r="CP28" s="127"/>
      <c r="CQ28" s="127"/>
      <c r="CR28" s="127"/>
      <c r="CS28" s="106"/>
      <c r="CT28" s="114"/>
      <c r="CU28" s="127"/>
      <c r="CV28" s="127">
        <v>5999</v>
      </c>
      <c r="CW28" s="127"/>
      <c r="CX28" s="114"/>
      <c r="CY28" s="114"/>
      <c r="CZ28" s="114"/>
      <c r="DA28" s="114"/>
      <c r="DB28" s="114"/>
      <c r="DC28" s="114"/>
      <c r="DD28" s="114"/>
      <c r="DE28" s="114"/>
      <c r="DF28" s="114"/>
      <c r="DG28" s="114"/>
      <c r="DH28" s="114"/>
      <c r="DI28" s="114"/>
      <c r="DJ28" s="114"/>
      <c r="DK28" s="114"/>
      <c r="DL28" s="114"/>
      <c r="DM28" s="114"/>
      <c r="DN28" s="115"/>
      <c r="DO28" s="127"/>
      <c r="DP28" s="127"/>
      <c r="DQ28" s="127">
        <f>10+80</f>
        <v>90</v>
      </c>
      <c r="DR28" s="114"/>
      <c r="DS28" s="114"/>
      <c r="DT28" s="115"/>
      <c r="DU28" s="130"/>
      <c r="DV28" s="127"/>
      <c r="DW28" s="127"/>
      <c r="DX28" s="114"/>
      <c r="DY28" s="114"/>
      <c r="DZ28" s="127">
        <v>65</v>
      </c>
      <c r="EA28" s="127"/>
      <c r="EB28" s="114"/>
      <c r="EC28" s="114"/>
      <c r="ED28" s="114"/>
      <c r="EE28" s="114"/>
      <c r="EF28" s="106"/>
      <c r="EG28" s="106"/>
      <c r="EH28" s="106"/>
      <c r="EI28" s="107"/>
      <c r="EJ28" s="19">
        <v>24</v>
      </c>
      <c r="EK28" s="12">
        <v>24</v>
      </c>
      <c r="EL28" s="150">
        <f t="shared" si="2"/>
        <v>24</v>
      </c>
      <c r="EM28" s="151">
        <f t="shared" si="3"/>
        <v>1</v>
      </c>
      <c r="EN28" s="152">
        <f t="shared" si="4"/>
        <v>24</v>
      </c>
      <c r="EO28" s="127"/>
      <c r="EP28" s="127"/>
      <c r="EQ28" s="128"/>
      <c r="ER28" s="70">
        <f t="shared" si="5"/>
        <v>1047.4583333333333</v>
      </c>
      <c r="ES28" s="21">
        <f t="shared" si="6"/>
        <v>1047.4583333333333</v>
      </c>
      <c r="ET28" s="10" t="str">
        <f>IF(ISERROR(#REF!/#REF!)," ",#REF!/#REF!)</f>
        <v xml:space="preserve"> </v>
      </c>
      <c r="EU28" s="10"/>
      <c r="EV28" s="69" t="str">
        <f>IF(ISERROR(#REF!/#REF!)," ",#REF!/#REF!)</f>
        <v xml:space="preserve"> </v>
      </c>
      <c r="EW28" s="83"/>
      <c r="EX28" s="83"/>
      <c r="EY28" s="83"/>
      <c r="EZ28" s="83"/>
      <c r="FA28" s="83"/>
      <c r="FB28" s="83"/>
      <c r="FC28" s="83"/>
      <c r="FD28" s="83"/>
      <c r="FE28" s="83"/>
      <c r="FF28" s="83"/>
      <c r="FG28" s="83"/>
      <c r="FH28" s="83"/>
      <c r="FI28" s="83"/>
      <c r="FJ28" s="83"/>
      <c r="FK28" s="83"/>
      <c r="FL28" s="83"/>
      <c r="FM28" s="83"/>
      <c r="FN28" s="83"/>
      <c r="FO28" s="83"/>
      <c r="FP28" s="83"/>
      <c r="FQ28" s="83"/>
      <c r="FR28" s="83"/>
      <c r="FS28" s="83"/>
      <c r="FT28" s="83"/>
    </row>
    <row r="29" spans="1:176" s="74" customFormat="1" x14ac:dyDescent="0.25">
      <c r="A29" s="18" t="e">
        <f>Lentilles!#REF!</f>
        <v>#REF!</v>
      </c>
      <c r="B29" s="20" t="e">
        <f>Lentilles!#REF!</f>
        <v>#REF!</v>
      </c>
      <c r="C29" s="139">
        <v>3</v>
      </c>
      <c r="D29" s="108">
        <f>9+8+3</f>
        <v>20</v>
      </c>
      <c r="E29" s="134"/>
      <c r="F29" s="134"/>
      <c r="G29" s="134"/>
      <c r="H29" s="134"/>
      <c r="I29" s="113"/>
      <c r="J29" s="113"/>
      <c r="K29" s="113"/>
      <c r="L29" s="113"/>
      <c r="M29" s="113"/>
      <c r="N29" s="134"/>
      <c r="O29" s="134"/>
      <c r="P29" s="134"/>
      <c r="Q29" s="134"/>
      <c r="R29" s="134"/>
      <c r="S29" s="134"/>
      <c r="T29" s="135"/>
      <c r="U29" s="127">
        <f>9770+8760+3200</f>
        <v>21730</v>
      </c>
      <c r="V29" s="113"/>
      <c r="W29" s="134"/>
      <c r="X29" s="113"/>
      <c r="Y29" s="113"/>
      <c r="Z29" s="113"/>
      <c r="AA29" s="134"/>
      <c r="AB29" s="134"/>
      <c r="AC29" s="134"/>
      <c r="AD29" s="113"/>
      <c r="AE29" s="134"/>
      <c r="AF29" s="134"/>
      <c r="AG29" s="134"/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  <c r="AR29" s="105">
        <f>6+2</f>
        <v>8</v>
      </c>
      <c r="AS29" s="105">
        <f>6+7</f>
        <v>13</v>
      </c>
      <c r="AT29" s="105"/>
      <c r="AU29" s="105"/>
      <c r="AV29" s="113"/>
      <c r="AW29" s="105"/>
      <c r="AX29" s="105"/>
      <c r="AY29" s="106"/>
      <c r="AZ29" s="106"/>
      <c r="BA29" s="113"/>
      <c r="BB29" s="113"/>
      <c r="BC29" s="113"/>
      <c r="BD29" s="113"/>
      <c r="BE29" s="134"/>
      <c r="BF29" s="134"/>
      <c r="BG29" s="134"/>
      <c r="BH29" s="134"/>
      <c r="BI29" s="134"/>
      <c r="BJ29" s="134"/>
      <c r="BK29" s="134"/>
      <c r="BL29" s="134"/>
      <c r="BM29" s="134"/>
      <c r="BN29" s="134"/>
      <c r="BO29" s="134"/>
      <c r="BP29" s="134"/>
      <c r="BQ29" s="134"/>
      <c r="BR29" s="134"/>
      <c r="BS29" s="134"/>
      <c r="BT29" s="134"/>
      <c r="BU29" s="134"/>
      <c r="BV29" s="134"/>
      <c r="BW29" s="134"/>
      <c r="BX29" s="134"/>
      <c r="BY29" s="135"/>
      <c r="BZ29" s="143">
        <v>1</v>
      </c>
      <c r="CA29" s="106"/>
      <c r="CB29" s="113"/>
      <c r="CC29" s="113"/>
      <c r="CD29" s="113"/>
      <c r="CE29" s="135"/>
      <c r="CF29" s="80">
        <f t="shared" si="0"/>
        <v>25179</v>
      </c>
      <c r="CG29" s="127">
        <f>7175+9603+8401</f>
        <v>25179</v>
      </c>
      <c r="CH29" s="134"/>
      <c r="CI29" s="113"/>
      <c r="CJ29" s="113"/>
      <c r="CK29" s="113"/>
      <c r="CL29" s="113"/>
      <c r="CM29" s="113"/>
      <c r="CN29" s="156">
        <f t="shared" si="1"/>
        <v>25179</v>
      </c>
      <c r="CO29" s="127">
        <f>7175+2401</f>
        <v>9576</v>
      </c>
      <c r="CP29" s="127">
        <f>7202+8401</f>
        <v>15603</v>
      </c>
      <c r="CQ29" s="127"/>
      <c r="CR29" s="127"/>
      <c r="CS29" s="105"/>
      <c r="CT29" s="134"/>
      <c r="CU29" s="127"/>
      <c r="CV29" s="127"/>
      <c r="CW29" s="127"/>
      <c r="CX29" s="134"/>
      <c r="CY29" s="113"/>
      <c r="CZ29" s="134"/>
      <c r="DA29" s="113"/>
      <c r="DB29" s="134"/>
      <c r="DC29" s="113"/>
      <c r="DD29" s="134"/>
      <c r="DE29" s="113"/>
      <c r="DF29" s="113"/>
      <c r="DG29" s="113"/>
      <c r="DH29" s="113"/>
      <c r="DI29" s="113"/>
      <c r="DJ29" s="134"/>
      <c r="DK29" s="113"/>
      <c r="DL29" s="134"/>
      <c r="DM29" s="113"/>
      <c r="DN29" s="135"/>
      <c r="DO29" s="127">
        <v>682</v>
      </c>
      <c r="DP29" s="127"/>
      <c r="DQ29" s="127">
        <v>30</v>
      </c>
      <c r="DR29" s="113"/>
      <c r="DS29" s="113"/>
      <c r="DT29" s="135"/>
      <c r="DU29" s="130"/>
      <c r="DV29" s="127"/>
      <c r="DW29" s="127"/>
      <c r="DX29" s="134"/>
      <c r="DY29" s="113"/>
      <c r="DZ29" s="127"/>
      <c r="EA29" s="127"/>
      <c r="EB29" s="113"/>
      <c r="EC29" s="113"/>
      <c r="ED29" s="113"/>
      <c r="EE29" s="113"/>
      <c r="EF29" s="105"/>
      <c r="EG29" s="131"/>
      <c r="EH29" s="105"/>
      <c r="EI29" s="132"/>
      <c r="EJ29" s="19">
        <v>24</v>
      </c>
      <c r="EK29" s="12">
        <v>24</v>
      </c>
      <c r="EL29" s="150">
        <f t="shared" si="2"/>
        <v>24</v>
      </c>
      <c r="EM29" s="151">
        <f t="shared" si="3"/>
        <v>1</v>
      </c>
      <c r="EN29" s="152">
        <f t="shared" si="4"/>
        <v>24</v>
      </c>
      <c r="EO29" s="127"/>
      <c r="EP29" s="127"/>
      <c r="EQ29" s="128"/>
      <c r="ER29" s="70">
        <f t="shared" si="5"/>
        <v>1049.125</v>
      </c>
      <c r="ES29" s="21">
        <f t="shared" si="6"/>
        <v>1049.125</v>
      </c>
      <c r="ET29" s="10" t="str">
        <f>IF(ISERROR(#REF!/#REF!)," ",#REF!/#REF!)</f>
        <v xml:space="preserve"> </v>
      </c>
      <c r="EU29" s="10"/>
      <c r="EV29" s="69" t="str">
        <f>IF(ISERROR(#REF!/#REF!)," ",#REF!/#REF!)</f>
        <v xml:space="preserve"> </v>
      </c>
      <c r="EW29" s="83"/>
      <c r="EX29" s="83"/>
      <c r="EY29" s="83"/>
      <c r="EZ29" s="83"/>
      <c r="FA29" s="83"/>
      <c r="FB29" s="83"/>
      <c r="FC29" s="83"/>
      <c r="FD29" s="83"/>
      <c r="FE29" s="83"/>
      <c r="FF29" s="83"/>
      <c r="FG29" s="83"/>
      <c r="FH29" s="83"/>
      <c r="FI29" s="83"/>
      <c r="FJ29" s="83"/>
      <c r="FK29" s="83"/>
      <c r="FL29" s="83"/>
      <c r="FM29" s="83"/>
      <c r="FN29" s="83"/>
      <c r="FO29" s="83"/>
      <c r="FP29" s="83"/>
      <c r="FQ29" s="83"/>
      <c r="FR29" s="83"/>
      <c r="FS29" s="83"/>
      <c r="FT29" s="83"/>
    </row>
    <row r="30" spans="1:176" s="74" customFormat="1" x14ac:dyDescent="0.25">
      <c r="A30" s="18" t="e">
        <f>Lentilles!#REF!</f>
        <v>#REF!</v>
      </c>
      <c r="B30" s="20" t="e">
        <f>Lentilles!#REF!</f>
        <v>#REF!</v>
      </c>
      <c r="C30" s="139">
        <v>3</v>
      </c>
      <c r="D30" s="108">
        <v>3</v>
      </c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5"/>
      <c r="U30" s="127">
        <f>3300+6370+11760+8550</f>
        <v>29980</v>
      </c>
      <c r="V30" s="127"/>
      <c r="W30" s="127"/>
      <c r="X30" s="127"/>
      <c r="Y30" s="127"/>
      <c r="Z30" s="127"/>
      <c r="AA30" s="127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5"/>
      <c r="AR30" s="105">
        <v>4</v>
      </c>
      <c r="AS30" s="105">
        <f>6+7+4</f>
        <v>17</v>
      </c>
      <c r="AT30" s="105"/>
      <c r="AU30" s="105"/>
      <c r="AV30" s="113"/>
      <c r="AW30" s="105"/>
      <c r="AX30" s="105"/>
      <c r="AY30" s="106"/>
      <c r="AZ30" s="106"/>
      <c r="BA30" s="114"/>
      <c r="BB30" s="114"/>
      <c r="BC30" s="114"/>
      <c r="BD30" s="114"/>
      <c r="BE30" s="114"/>
      <c r="BF30" s="114"/>
      <c r="BG30" s="114"/>
      <c r="BH30" s="114"/>
      <c r="BI30" s="114"/>
      <c r="BJ30" s="114"/>
      <c r="BK30" s="114"/>
      <c r="BL30" s="114"/>
      <c r="BM30" s="114"/>
      <c r="BN30" s="114"/>
      <c r="BO30" s="114"/>
      <c r="BP30" s="114"/>
      <c r="BQ30" s="114"/>
      <c r="BR30" s="114"/>
      <c r="BS30" s="114"/>
      <c r="BT30" s="114"/>
      <c r="BU30" s="114"/>
      <c r="BV30" s="114"/>
      <c r="BW30" s="114"/>
      <c r="BX30" s="114"/>
      <c r="BY30" s="115"/>
      <c r="BZ30" s="144"/>
      <c r="CA30" s="106"/>
      <c r="CB30" s="127"/>
      <c r="CC30" s="127"/>
      <c r="CD30" s="127"/>
      <c r="CE30" s="129"/>
      <c r="CF30" s="80">
        <f t="shared" si="0"/>
        <v>25180</v>
      </c>
      <c r="CG30" s="127">
        <f>7201+8403+9576</f>
        <v>25180</v>
      </c>
      <c r="CH30" s="127"/>
      <c r="CI30" s="127"/>
      <c r="CJ30" s="127"/>
      <c r="CK30" s="127"/>
      <c r="CL30" s="127"/>
      <c r="CM30" s="127"/>
      <c r="CN30" s="156">
        <f t="shared" si="1"/>
        <v>25180</v>
      </c>
      <c r="CO30" s="127">
        <v>4789</v>
      </c>
      <c r="CP30" s="127">
        <f>7201+8403+4787</f>
        <v>20391</v>
      </c>
      <c r="CQ30" s="127"/>
      <c r="CR30" s="127"/>
      <c r="CS30" s="127"/>
      <c r="CT30" s="127"/>
      <c r="CU30" s="127"/>
      <c r="CV30" s="127"/>
      <c r="CW30" s="127"/>
      <c r="CX30" s="127"/>
      <c r="CY30" s="127"/>
      <c r="CZ30" s="127"/>
      <c r="DA30" s="127"/>
      <c r="DB30" s="127"/>
      <c r="DC30" s="127"/>
      <c r="DD30" s="127"/>
      <c r="DE30" s="127"/>
      <c r="DF30" s="127"/>
      <c r="DG30" s="127"/>
      <c r="DH30" s="127"/>
      <c r="DI30" s="127"/>
      <c r="DJ30" s="127"/>
      <c r="DK30" s="127"/>
      <c r="DL30" s="127"/>
      <c r="DM30" s="127"/>
      <c r="DN30" s="129"/>
      <c r="DO30" s="127"/>
      <c r="DP30" s="127"/>
      <c r="DQ30" s="127">
        <v>30</v>
      </c>
      <c r="DR30" s="127"/>
      <c r="DS30" s="127"/>
      <c r="DT30" s="129"/>
      <c r="DU30" s="130"/>
      <c r="DV30" s="127"/>
      <c r="DW30" s="127"/>
      <c r="DX30" s="127"/>
      <c r="DY30" s="127"/>
      <c r="DZ30" s="127"/>
      <c r="EA30" s="127"/>
      <c r="EB30" s="127"/>
      <c r="EC30" s="127"/>
      <c r="ED30" s="127"/>
      <c r="EE30" s="127"/>
      <c r="EF30" s="127"/>
      <c r="EG30" s="127"/>
      <c r="EH30" s="127"/>
      <c r="EI30" s="129"/>
      <c r="EJ30" s="19">
        <v>24</v>
      </c>
      <c r="EK30" s="12">
        <v>24</v>
      </c>
      <c r="EL30" s="150">
        <f t="shared" si="2"/>
        <v>24</v>
      </c>
      <c r="EM30" s="151">
        <f t="shared" si="3"/>
        <v>1</v>
      </c>
      <c r="EN30" s="152">
        <f t="shared" si="4"/>
        <v>24</v>
      </c>
      <c r="EO30" s="127"/>
      <c r="EP30" s="127"/>
      <c r="EQ30" s="128"/>
      <c r="ER30" s="70">
        <f t="shared" si="5"/>
        <v>1049.1666666666667</v>
      </c>
      <c r="ES30" s="21">
        <f t="shared" si="6"/>
        <v>1049.1666666666667</v>
      </c>
      <c r="ET30" s="10" t="str">
        <f>IF(ISERROR(#REF!/#REF!)," ",#REF!/#REF!)</f>
        <v xml:space="preserve"> </v>
      </c>
      <c r="EU30" s="10"/>
      <c r="EV30" s="69" t="str">
        <f>IF(ISERROR(#REF!/#REF!)," ",#REF!/#REF!)</f>
        <v xml:space="preserve"> </v>
      </c>
      <c r="EW30" s="83"/>
      <c r="EX30" s="83"/>
      <c r="EY30" s="83"/>
      <c r="EZ30" s="83"/>
      <c r="FA30" s="83"/>
      <c r="FB30" s="83"/>
      <c r="FC30" s="83"/>
      <c r="FD30" s="83"/>
      <c r="FE30" s="83"/>
      <c r="FF30" s="83"/>
      <c r="FG30" s="83"/>
      <c r="FH30" s="83"/>
      <c r="FI30" s="83"/>
      <c r="FJ30" s="83"/>
      <c r="FK30" s="83"/>
      <c r="FL30" s="83"/>
      <c r="FM30" s="83"/>
      <c r="FN30" s="83"/>
      <c r="FO30" s="83"/>
      <c r="FP30" s="83"/>
      <c r="FQ30" s="83"/>
      <c r="FR30" s="83"/>
      <c r="FS30" s="83"/>
      <c r="FT30" s="83"/>
    </row>
    <row r="31" spans="1:176" s="74" customFormat="1" x14ac:dyDescent="0.25">
      <c r="A31" s="18" t="e">
        <f>Lentilles!#REF!</f>
        <v>#REF!</v>
      </c>
      <c r="B31" s="20" t="e">
        <f>Lentilles!#REF!</f>
        <v>#REF!</v>
      </c>
      <c r="C31" s="139">
        <v>3</v>
      </c>
      <c r="D31" s="108">
        <v>2</v>
      </c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7"/>
      <c r="U31" s="127">
        <f>2020+9010+8290+3960</f>
        <v>23280</v>
      </c>
      <c r="V31" s="127"/>
      <c r="W31" s="127"/>
      <c r="X31" s="127"/>
      <c r="Y31" s="127"/>
      <c r="Z31" s="127"/>
      <c r="AA31" s="127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7"/>
      <c r="AR31" s="105">
        <f>8+7+1</f>
        <v>16</v>
      </c>
      <c r="AS31" s="105"/>
      <c r="AT31" s="105">
        <v>5</v>
      </c>
      <c r="AU31" s="105"/>
      <c r="AV31" s="105"/>
      <c r="AW31" s="105"/>
      <c r="AX31" s="105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106"/>
      <c r="BK31" s="106"/>
      <c r="BL31" s="106"/>
      <c r="BM31" s="106"/>
      <c r="BN31" s="106"/>
      <c r="BO31" s="106"/>
      <c r="BP31" s="106"/>
      <c r="BQ31" s="106"/>
      <c r="BR31" s="106"/>
      <c r="BS31" s="106"/>
      <c r="BT31" s="106"/>
      <c r="BU31" s="106"/>
      <c r="BV31" s="106"/>
      <c r="BW31" s="106"/>
      <c r="BX31" s="106"/>
      <c r="BY31" s="107"/>
      <c r="BZ31" s="130"/>
      <c r="CA31" s="106"/>
      <c r="CB31" s="127"/>
      <c r="CC31" s="127"/>
      <c r="CD31" s="127"/>
      <c r="CE31" s="129"/>
      <c r="CF31" s="80">
        <f t="shared" si="0"/>
        <v>24147</v>
      </c>
      <c r="CG31" s="127">
        <f>9568+8373+6206</f>
        <v>24147</v>
      </c>
      <c r="CH31" s="127"/>
      <c r="CI31" s="127"/>
      <c r="CJ31" s="127"/>
      <c r="CK31" s="127"/>
      <c r="CL31" s="127"/>
      <c r="CM31" s="127"/>
      <c r="CN31" s="156">
        <f t="shared" si="1"/>
        <v>24147</v>
      </c>
      <c r="CO31" s="127">
        <f>9568+8373+1200</f>
        <v>19141</v>
      </c>
      <c r="CP31" s="127"/>
      <c r="CQ31" s="127">
        <v>5006</v>
      </c>
      <c r="CR31" s="127"/>
      <c r="CS31" s="127"/>
      <c r="CT31" s="127"/>
      <c r="CU31" s="127"/>
      <c r="CV31" s="127"/>
      <c r="CW31" s="127"/>
      <c r="CX31" s="127"/>
      <c r="CY31" s="127"/>
      <c r="CZ31" s="127"/>
      <c r="DA31" s="127"/>
      <c r="DB31" s="127"/>
      <c r="DC31" s="127"/>
      <c r="DD31" s="127"/>
      <c r="DE31" s="127"/>
      <c r="DF31" s="127"/>
      <c r="DG31" s="127"/>
      <c r="DH31" s="127"/>
      <c r="DI31" s="127"/>
      <c r="DJ31" s="127"/>
      <c r="DK31" s="127"/>
      <c r="DL31" s="127"/>
      <c r="DM31" s="127"/>
      <c r="DN31" s="129"/>
      <c r="DO31" s="127"/>
      <c r="DP31" s="127"/>
      <c r="DQ31" s="127">
        <f>100+10+110</f>
        <v>220</v>
      </c>
      <c r="DR31" s="127"/>
      <c r="DS31" s="127"/>
      <c r="DT31" s="129"/>
      <c r="DU31" s="130">
        <v>1250</v>
      </c>
      <c r="DV31" s="127">
        <v>26</v>
      </c>
      <c r="DW31" s="127"/>
      <c r="DX31" s="127"/>
      <c r="DY31" s="127"/>
      <c r="DZ31" s="127"/>
      <c r="EA31" s="127"/>
      <c r="EB31" s="127"/>
      <c r="EC31" s="127"/>
      <c r="ED31" s="127"/>
      <c r="EE31" s="127"/>
      <c r="EF31" s="127"/>
      <c r="EG31" s="127"/>
      <c r="EH31" s="127"/>
      <c r="EI31" s="129"/>
      <c r="EJ31" s="19">
        <v>24</v>
      </c>
      <c r="EK31" s="12">
        <v>24</v>
      </c>
      <c r="EL31" s="150">
        <f t="shared" si="2"/>
        <v>24</v>
      </c>
      <c r="EM31" s="151">
        <f t="shared" si="3"/>
        <v>1</v>
      </c>
      <c r="EN31" s="152">
        <f t="shared" si="4"/>
        <v>24</v>
      </c>
      <c r="EO31" s="127"/>
      <c r="EP31" s="127"/>
      <c r="EQ31" s="128"/>
      <c r="ER31" s="70">
        <f t="shared" si="5"/>
        <v>1006.125</v>
      </c>
      <c r="ES31" s="21">
        <f t="shared" si="6"/>
        <v>1006.125</v>
      </c>
      <c r="ET31" s="10" t="str">
        <f>IF(ISERROR(#REF!/#REF!)," ",#REF!/#REF!)</f>
        <v xml:space="preserve"> </v>
      </c>
      <c r="EU31" s="10"/>
      <c r="EV31" s="69" t="str">
        <f>IF(ISERROR(#REF!/#REF!)," ",#REF!/#REF!)</f>
        <v xml:space="preserve"> </v>
      </c>
      <c r="EW31" s="83"/>
      <c r="EX31" s="83"/>
      <c r="EY31" s="83"/>
      <c r="EZ31" s="83"/>
      <c r="FA31" s="83"/>
      <c r="FB31" s="83"/>
      <c r="FC31" s="83"/>
      <c r="FD31" s="83"/>
      <c r="FE31" s="83"/>
      <c r="FF31" s="83"/>
      <c r="FG31" s="83"/>
      <c r="FH31" s="83"/>
      <c r="FI31" s="83"/>
      <c r="FJ31" s="83"/>
      <c r="FK31" s="83"/>
      <c r="FL31" s="83"/>
      <c r="FM31" s="83"/>
      <c r="FN31" s="83"/>
      <c r="FO31" s="83"/>
      <c r="FP31" s="83"/>
      <c r="FQ31" s="83"/>
      <c r="FR31" s="83"/>
      <c r="FS31" s="83"/>
      <c r="FT31" s="83"/>
    </row>
    <row r="32" spans="1:176" s="74" customFormat="1" x14ac:dyDescent="0.25">
      <c r="A32" s="18" t="e">
        <f>Lentilles!#REF!</f>
        <v>#REF!</v>
      </c>
      <c r="B32" s="20" t="e">
        <f>Lentilles!#REF!</f>
        <v>#REF!</v>
      </c>
      <c r="C32" s="139">
        <v>3</v>
      </c>
      <c r="D32" s="108">
        <f>1+2+2</f>
        <v>5</v>
      </c>
      <c r="E32" s="131"/>
      <c r="F32" s="145"/>
      <c r="G32" s="131"/>
      <c r="H32" s="131"/>
      <c r="I32" s="105"/>
      <c r="J32" s="105"/>
      <c r="K32" s="105"/>
      <c r="L32" s="105"/>
      <c r="M32" s="131"/>
      <c r="N32" s="131"/>
      <c r="O32" s="131"/>
      <c r="P32" s="131"/>
      <c r="Q32" s="131"/>
      <c r="R32" s="131"/>
      <c r="S32" s="131"/>
      <c r="T32" s="132"/>
      <c r="U32" s="127">
        <f>830+1780+1930+6860+6750+6880</f>
        <v>25030</v>
      </c>
      <c r="V32" s="127"/>
      <c r="W32" s="127"/>
      <c r="X32" s="127"/>
      <c r="Y32" s="127"/>
      <c r="Z32" s="127"/>
      <c r="AA32" s="127"/>
      <c r="AB32" s="131"/>
      <c r="AC32" s="105"/>
      <c r="AD32" s="131"/>
      <c r="AE32" s="131"/>
      <c r="AF32" s="131"/>
      <c r="AG32" s="131"/>
      <c r="AH32" s="131"/>
      <c r="AI32" s="131"/>
      <c r="AJ32" s="131"/>
      <c r="AK32" s="131"/>
      <c r="AL32" s="131"/>
      <c r="AM32" s="131"/>
      <c r="AN32" s="131"/>
      <c r="AO32" s="131"/>
      <c r="AP32" s="131"/>
      <c r="AQ32" s="132"/>
      <c r="AR32" s="105"/>
      <c r="AS32" s="105"/>
      <c r="AT32" s="105">
        <f>9+9+10</f>
        <v>28</v>
      </c>
      <c r="AU32" s="105"/>
      <c r="AV32" s="105"/>
      <c r="AW32" s="105"/>
      <c r="AX32" s="105"/>
      <c r="AY32" s="106"/>
      <c r="AZ32" s="106"/>
      <c r="BA32" s="106"/>
      <c r="BB32" s="105"/>
      <c r="BC32" s="131"/>
      <c r="BD32" s="131"/>
      <c r="BE32" s="131"/>
      <c r="BF32" s="131"/>
      <c r="BG32" s="131"/>
      <c r="BH32" s="131"/>
      <c r="BI32" s="131"/>
      <c r="BJ32" s="145"/>
      <c r="BK32" s="131"/>
      <c r="BL32" s="131"/>
      <c r="BM32" s="131"/>
      <c r="BN32" s="131"/>
      <c r="BO32" s="131"/>
      <c r="BP32" s="131"/>
      <c r="BQ32" s="131"/>
      <c r="BR32" s="131"/>
      <c r="BS32" s="131"/>
      <c r="BT32" s="131"/>
      <c r="BU32" s="131"/>
      <c r="BV32" s="131"/>
      <c r="BW32" s="131"/>
      <c r="BX32" s="131"/>
      <c r="BY32" s="132"/>
      <c r="BZ32" s="130">
        <v>1</v>
      </c>
      <c r="CA32" s="106"/>
      <c r="CB32" s="127"/>
      <c r="CC32" s="127"/>
      <c r="CD32" s="127"/>
      <c r="CE32" s="129"/>
      <c r="CF32" s="80">
        <f t="shared" si="0"/>
        <v>26624</v>
      </c>
      <c r="CG32" s="127">
        <f>8304+9011+9309</f>
        <v>26624</v>
      </c>
      <c r="CH32" s="127"/>
      <c r="CI32" s="127"/>
      <c r="CJ32" s="127"/>
      <c r="CK32" s="127"/>
      <c r="CL32" s="127"/>
      <c r="CM32" s="127"/>
      <c r="CN32" s="156">
        <f t="shared" si="1"/>
        <v>26624</v>
      </c>
      <c r="CO32" s="127"/>
      <c r="CP32" s="127"/>
      <c r="CQ32" s="127">
        <f>8304+9011+9309</f>
        <v>26624</v>
      </c>
      <c r="CR32" s="127"/>
      <c r="CS32" s="127"/>
      <c r="CT32" s="127"/>
      <c r="CU32" s="127"/>
      <c r="CV32" s="127"/>
      <c r="CW32" s="127"/>
      <c r="CX32" s="127"/>
      <c r="CY32" s="127"/>
      <c r="CZ32" s="127"/>
      <c r="DA32" s="127"/>
      <c r="DB32" s="127"/>
      <c r="DC32" s="127"/>
      <c r="DD32" s="127"/>
      <c r="DE32" s="127"/>
      <c r="DF32" s="127"/>
      <c r="DG32" s="127"/>
      <c r="DH32" s="127"/>
      <c r="DI32" s="127"/>
      <c r="DJ32" s="127"/>
      <c r="DK32" s="127"/>
      <c r="DL32" s="127"/>
      <c r="DM32" s="127"/>
      <c r="DN32" s="129"/>
      <c r="DO32" s="127">
        <v>542</v>
      </c>
      <c r="DP32" s="127"/>
      <c r="DQ32" s="127">
        <f>60+20+250</f>
        <v>330</v>
      </c>
      <c r="DR32" s="127"/>
      <c r="DS32" s="127"/>
      <c r="DT32" s="129"/>
      <c r="DU32" s="130"/>
      <c r="DV32" s="127">
        <v>39</v>
      </c>
      <c r="DW32" s="127"/>
      <c r="DX32" s="127"/>
      <c r="DY32" s="127"/>
      <c r="DZ32" s="127"/>
      <c r="EA32" s="127"/>
      <c r="EB32" s="127"/>
      <c r="EC32" s="127"/>
      <c r="ED32" s="127"/>
      <c r="EE32" s="127"/>
      <c r="EF32" s="127"/>
      <c r="EG32" s="127"/>
      <c r="EH32" s="127"/>
      <c r="EI32" s="129"/>
      <c r="EJ32" s="19">
        <v>24</v>
      </c>
      <c r="EK32" s="12">
        <v>24</v>
      </c>
      <c r="EL32" s="153">
        <f t="shared" si="2"/>
        <v>24</v>
      </c>
      <c r="EM32" s="151">
        <f t="shared" si="3"/>
        <v>1</v>
      </c>
      <c r="EN32" s="152">
        <f t="shared" si="4"/>
        <v>24</v>
      </c>
      <c r="EO32" s="127"/>
      <c r="EP32" s="127"/>
      <c r="EQ32" s="128"/>
      <c r="ER32" s="70">
        <f t="shared" si="5"/>
        <v>1109.3333333333333</v>
      </c>
      <c r="ES32" s="21">
        <f t="shared" si="6"/>
        <v>1109.3333333333333</v>
      </c>
      <c r="ET32" s="10" t="str">
        <f>IF(ISERROR(#REF!/#REF!)," ",#REF!/#REF!)</f>
        <v xml:space="preserve"> </v>
      </c>
      <c r="EU32" s="10"/>
      <c r="EV32" s="69" t="str">
        <f>IF(ISERROR(#REF!/#REF!)," ",#REF!/#REF!)</f>
        <v xml:space="preserve"> </v>
      </c>
      <c r="EW32" s="83"/>
      <c r="EX32" s="83"/>
      <c r="EY32" s="83"/>
      <c r="EZ32" s="83"/>
      <c r="FA32" s="83"/>
      <c r="FB32" s="83"/>
      <c r="FC32" s="83"/>
      <c r="FD32" s="83"/>
      <c r="FE32" s="83"/>
      <c r="FF32" s="83"/>
      <c r="FG32" s="83"/>
      <c r="FH32" s="83"/>
      <c r="FI32" s="83"/>
      <c r="FJ32" s="83"/>
      <c r="FK32" s="83"/>
      <c r="FL32" s="83"/>
      <c r="FM32" s="83"/>
      <c r="FN32" s="83"/>
      <c r="FO32" s="83"/>
      <c r="FP32" s="83"/>
      <c r="FQ32" s="83"/>
      <c r="FR32" s="83"/>
      <c r="FS32" s="83"/>
      <c r="FT32" s="83"/>
    </row>
    <row r="33" spans="1:176" s="74" customFormat="1" x14ac:dyDescent="0.25">
      <c r="A33" s="18" t="e">
        <f>Lentilles!#REF!</f>
        <v>#REF!</v>
      </c>
      <c r="B33" s="20" t="e">
        <f>Lentilles!#REF!</f>
        <v>#REF!</v>
      </c>
      <c r="C33" s="139">
        <v>3</v>
      </c>
      <c r="D33" s="108">
        <f>2+5</f>
        <v>7</v>
      </c>
      <c r="E33" s="131"/>
      <c r="F33" s="105"/>
      <c r="G33" s="131"/>
      <c r="H33" s="131"/>
      <c r="I33" s="105"/>
      <c r="J33" s="105"/>
      <c r="K33" s="105"/>
      <c r="L33" s="105"/>
      <c r="M33" s="131"/>
      <c r="N33" s="131"/>
      <c r="O33" s="131"/>
      <c r="P33" s="131"/>
      <c r="Q33" s="131"/>
      <c r="R33" s="131"/>
      <c r="S33" s="131"/>
      <c r="T33" s="132"/>
      <c r="U33" s="127">
        <f>2150+5430+5950+7490+2460</f>
        <v>23480</v>
      </c>
      <c r="V33" s="127"/>
      <c r="W33" s="127"/>
      <c r="X33" s="127"/>
      <c r="Y33" s="127"/>
      <c r="Z33" s="127"/>
      <c r="AA33" s="127"/>
      <c r="AB33" s="131"/>
      <c r="AC33" s="131"/>
      <c r="AD33" s="131"/>
      <c r="AE33" s="131"/>
      <c r="AF33" s="131"/>
      <c r="AG33" s="131"/>
      <c r="AH33" s="131"/>
      <c r="AI33" s="131"/>
      <c r="AJ33" s="131"/>
      <c r="AK33" s="131"/>
      <c r="AL33" s="131"/>
      <c r="AM33" s="131"/>
      <c r="AN33" s="131"/>
      <c r="AO33" s="131"/>
      <c r="AP33" s="131"/>
      <c r="AQ33" s="132"/>
      <c r="AR33" s="105"/>
      <c r="AS33" s="105"/>
      <c r="AT33" s="105">
        <f>9+7+8</f>
        <v>24</v>
      </c>
      <c r="AU33" s="105"/>
      <c r="AV33" s="105"/>
      <c r="AW33" s="105"/>
      <c r="AX33" s="105"/>
      <c r="AY33" s="106"/>
      <c r="AZ33" s="106"/>
      <c r="BA33" s="105"/>
      <c r="BB33" s="105"/>
      <c r="BC33" s="131"/>
      <c r="BD33" s="131"/>
      <c r="BE33" s="131"/>
      <c r="BF33" s="131"/>
      <c r="BG33" s="131"/>
      <c r="BH33" s="131"/>
      <c r="BI33" s="131"/>
      <c r="BJ33" s="105"/>
      <c r="BK33" s="131"/>
      <c r="BL33" s="131"/>
      <c r="BM33" s="131"/>
      <c r="BN33" s="131"/>
      <c r="BO33" s="131"/>
      <c r="BP33" s="131"/>
      <c r="BQ33" s="131"/>
      <c r="BR33" s="131"/>
      <c r="BS33" s="131"/>
      <c r="BT33" s="131"/>
      <c r="BU33" s="131"/>
      <c r="BV33" s="131"/>
      <c r="BW33" s="131"/>
      <c r="BX33" s="131"/>
      <c r="BY33" s="132"/>
      <c r="BZ33" s="130"/>
      <c r="CA33" s="106"/>
      <c r="CB33" s="127"/>
      <c r="CC33" s="127"/>
      <c r="CD33" s="127"/>
      <c r="CE33" s="129"/>
      <c r="CF33" s="80">
        <f t="shared" si="0"/>
        <v>23309</v>
      </c>
      <c r="CG33" s="127">
        <f>9008+7000+7301</f>
        <v>23309</v>
      </c>
      <c r="CH33" s="127"/>
      <c r="CI33" s="127"/>
      <c r="CJ33" s="127"/>
      <c r="CK33" s="127"/>
      <c r="CL33" s="127"/>
      <c r="CM33" s="127"/>
      <c r="CN33" s="156">
        <f t="shared" si="1"/>
        <v>23309</v>
      </c>
      <c r="CO33" s="127"/>
      <c r="CP33" s="127"/>
      <c r="CQ33" s="127">
        <f>9008+7000+7301</f>
        <v>23309</v>
      </c>
      <c r="CR33" s="127"/>
      <c r="CS33" s="127"/>
      <c r="CT33" s="127"/>
      <c r="CU33" s="127"/>
      <c r="CV33" s="127"/>
      <c r="CW33" s="127"/>
      <c r="CX33" s="127"/>
      <c r="CY33" s="127"/>
      <c r="CZ33" s="127"/>
      <c r="DA33" s="127"/>
      <c r="DB33" s="127"/>
      <c r="DC33" s="127"/>
      <c r="DD33" s="127"/>
      <c r="DE33" s="127"/>
      <c r="DF33" s="127"/>
      <c r="DG33" s="127"/>
      <c r="DH33" s="127"/>
      <c r="DI33" s="127"/>
      <c r="DJ33" s="127"/>
      <c r="DK33" s="127"/>
      <c r="DL33" s="127"/>
      <c r="DM33" s="127"/>
      <c r="DN33" s="129"/>
      <c r="DO33" s="127"/>
      <c r="DP33" s="127"/>
      <c r="DQ33" s="127">
        <f>60+70</f>
        <v>130</v>
      </c>
      <c r="DR33" s="127"/>
      <c r="DS33" s="127"/>
      <c r="DT33" s="129"/>
      <c r="DU33" s="130"/>
      <c r="DV33" s="127">
        <v>26</v>
      </c>
      <c r="DW33" s="127"/>
      <c r="DX33" s="127"/>
      <c r="DY33" s="127"/>
      <c r="DZ33" s="127"/>
      <c r="EA33" s="127"/>
      <c r="EB33" s="127"/>
      <c r="EC33" s="127"/>
      <c r="ED33" s="127"/>
      <c r="EE33" s="127"/>
      <c r="EF33" s="127"/>
      <c r="EG33" s="127"/>
      <c r="EH33" s="127"/>
      <c r="EI33" s="129"/>
      <c r="EJ33" s="19">
        <v>24</v>
      </c>
      <c r="EK33" s="12">
        <v>24</v>
      </c>
      <c r="EL33" s="150">
        <f t="shared" si="2"/>
        <v>24</v>
      </c>
      <c r="EM33" s="151">
        <f t="shared" si="3"/>
        <v>1</v>
      </c>
      <c r="EN33" s="152">
        <f t="shared" si="4"/>
        <v>24</v>
      </c>
      <c r="EO33" s="127"/>
      <c r="EP33" s="127"/>
      <c r="EQ33" s="128"/>
      <c r="ER33" s="70">
        <f t="shared" si="5"/>
        <v>971.20833333333337</v>
      </c>
      <c r="ES33" s="21">
        <f t="shared" si="6"/>
        <v>971.20833333333337</v>
      </c>
      <c r="ET33" s="10" t="str">
        <f>IF(ISERROR(#REF!/#REF!)," ",#REF!/#REF!)</f>
        <v xml:space="preserve"> </v>
      </c>
      <c r="EU33" s="10"/>
      <c r="EV33" s="69" t="str">
        <f>IF(ISERROR(#REF!/#REF!)," ",#REF!/#REF!)</f>
        <v xml:space="preserve"> </v>
      </c>
      <c r="EW33" s="83"/>
      <c r="EX33" s="83"/>
      <c r="EY33" s="83"/>
      <c r="EZ33" s="83"/>
      <c r="FA33" s="83"/>
      <c r="FB33" s="83"/>
      <c r="FC33" s="83"/>
      <c r="FD33" s="83"/>
      <c r="FE33" s="83"/>
      <c r="FF33" s="83"/>
      <c r="FG33" s="83"/>
      <c r="FH33" s="83"/>
      <c r="FI33" s="83"/>
      <c r="FJ33" s="83"/>
      <c r="FK33" s="83"/>
      <c r="FL33" s="83"/>
      <c r="FM33" s="83"/>
      <c r="FN33" s="83"/>
      <c r="FO33" s="83"/>
      <c r="FP33" s="83"/>
      <c r="FQ33" s="83"/>
      <c r="FR33" s="83"/>
      <c r="FS33" s="83"/>
      <c r="FT33" s="83"/>
    </row>
    <row r="34" spans="1:176" s="74" customFormat="1" x14ac:dyDescent="0.25">
      <c r="A34" s="18" t="e">
        <f>Lentilles!#REF!</f>
        <v>#REF!</v>
      </c>
      <c r="B34" s="20" t="e">
        <f>Lentilles!#REF!</f>
        <v>#REF!</v>
      </c>
      <c r="C34" s="139"/>
      <c r="D34" s="108"/>
      <c r="E34" s="105"/>
      <c r="F34" s="105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7"/>
      <c r="U34" s="127"/>
      <c r="V34" s="127"/>
      <c r="W34" s="127"/>
      <c r="X34" s="127"/>
      <c r="Y34" s="127"/>
      <c r="Z34" s="127"/>
      <c r="AA34" s="127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7"/>
      <c r="AR34" s="105"/>
      <c r="AS34" s="105"/>
      <c r="AT34" s="105"/>
      <c r="AU34" s="105"/>
      <c r="AV34" s="105"/>
      <c r="AW34" s="105"/>
      <c r="AX34" s="105"/>
      <c r="AY34" s="106"/>
      <c r="AZ34" s="106"/>
      <c r="BA34" s="106"/>
      <c r="BB34" s="105"/>
      <c r="BC34" s="106"/>
      <c r="BD34" s="106"/>
      <c r="BE34" s="106"/>
      <c r="BF34" s="105"/>
      <c r="BG34" s="105"/>
      <c r="BH34" s="106"/>
      <c r="BI34" s="105"/>
      <c r="BJ34" s="105"/>
      <c r="BK34" s="106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106"/>
      <c r="BW34" s="106"/>
      <c r="BX34" s="106"/>
      <c r="BY34" s="112"/>
      <c r="BZ34" s="130"/>
      <c r="CA34" s="106"/>
      <c r="CB34" s="127"/>
      <c r="CC34" s="127"/>
      <c r="CD34" s="127"/>
      <c r="CE34" s="129"/>
      <c r="CF34" s="80">
        <f t="shared" si="0"/>
        <v>0</v>
      </c>
      <c r="CG34" s="127"/>
      <c r="CH34" s="127"/>
      <c r="CI34" s="127"/>
      <c r="CJ34" s="127"/>
      <c r="CK34" s="127"/>
      <c r="CL34" s="127"/>
      <c r="CM34" s="127"/>
      <c r="CN34" s="156">
        <f t="shared" si="1"/>
        <v>0</v>
      </c>
      <c r="CO34" s="127"/>
      <c r="CP34" s="127"/>
      <c r="CQ34" s="127"/>
      <c r="CR34" s="127"/>
      <c r="CS34" s="127"/>
      <c r="CT34" s="127"/>
      <c r="CU34" s="127"/>
      <c r="CV34" s="127"/>
      <c r="CW34" s="127"/>
      <c r="CX34" s="127"/>
      <c r="CY34" s="127"/>
      <c r="CZ34" s="127"/>
      <c r="DA34" s="127"/>
      <c r="DB34" s="127"/>
      <c r="DC34" s="127"/>
      <c r="DD34" s="127"/>
      <c r="DE34" s="127"/>
      <c r="DF34" s="127"/>
      <c r="DG34" s="127"/>
      <c r="DH34" s="127"/>
      <c r="DI34" s="127"/>
      <c r="DJ34" s="127"/>
      <c r="DK34" s="127"/>
      <c r="DL34" s="127"/>
      <c r="DM34" s="127"/>
      <c r="DN34" s="129"/>
      <c r="DO34" s="127"/>
      <c r="DP34" s="127"/>
      <c r="DQ34" s="127"/>
      <c r="DR34" s="127"/>
      <c r="DS34" s="127"/>
      <c r="DT34" s="129"/>
      <c r="DU34" s="130"/>
      <c r="DV34" s="127"/>
      <c r="DW34" s="127"/>
      <c r="DX34" s="127"/>
      <c r="DY34" s="127"/>
      <c r="DZ34" s="127"/>
      <c r="EA34" s="127"/>
      <c r="EB34" s="127"/>
      <c r="EC34" s="127"/>
      <c r="ED34" s="127"/>
      <c r="EE34" s="127"/>
      <c r="EF34" s="127"/>
      <c r="EG34" s="127"/>
      <c r="EH34" s="127"/>
      <c r="EI34" s="129"/>
      <c r="EJ34" s="19"/>
      <c r="EK34" s="12"/>
      <c r="EL34" s="21" t="str">
        <f t="shared" si="2"/>
        <v xml:space="preserve"> </v>
      </c>
      <c r="EM34" s="68" t="str">
        <f t="shared" si="3"/>
        <v xml:space="preserve"> </v>
      </c>
      <c r="EN34" s="10" t="str">
        <f t="shared" si="4"/>
        <v/>
      </c>
      <c r="EO34" s="127"/>
      <c r="EP34" s="127"/>
      <c r="EQ34" s="128"/>
      <c r="ER34" s="70" t="str">
        <f t="shared" si="5"/>
        <v xml:space="preserve"> </v>
      </c>
      <c r="ES34" s="21" t="str">
        <f t="shared" si="6"/>
        <v xml:space="preserve"> </v>
      </c>
      <c r="ET34" s="10" t="str">
        <f>IF(ISERROR(#REF!/#REF!)," ",#REF!/#REF!)</f>
        <v xml:space="preserve"> </v>
      </c>
      <c r="EU34" s="10"/>
      <c r="EV34" s="69" t="str">
        <f>IF(ISERROR(#REF!/#REF!)," ",#REF!/#REF!)</f>
        <v xml:space="preserve"> </v>
      </c>
      <c r="EW34" s="83"/>
      <c r="EX34" s="83"/>
      <c r="EY34" s="83"/>
      <c r="EZ34" s="83"/>
      <c r="FA34" s="83"/>
      <c r="FB34" s="83"/>
      <c r="FC34" s="83"/>
      <c r="FD34" s="83"/>
      <c r="FE34" s="83"/>
      <c r="FF34" s="83"/>
      <c r="FG34" s="83"/>
      <c r="FH34" s="83"/>
      <c r="FI34" s="83"/>
      <c r="FJ34" s="83"/>
      <c r="FK34" s="83"/>
      <c r="FL34" s="83"/>
      <c r="FM34" s="83"/>
      <c r="FN34" s="83"/>
      <c r="FO34" s="83"/>
      <c r="FP34" s="83"/>
      <c r="FQ34" s="83"/>
      <c r="FR34" s="83"/>
      <c r="FS34" s="83"/>
      <c r="FT34" s="83"/>
    </row>
    <row r="35" spans="1:176" s="74" customFormat="1" x14ac:dyDescent="0.25">
      <c r="A35" s="18"/>
      <c r="B35" s="20"/>
      <c r="C35" s="139"/>
      <c r="D35" s="108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12"/>
      <c r="U35" s="127"/>
      <c r="V35" s="127"/>
      <c r="W35" s="127"/>
      <c r="X35" s="127"/>
      <c r="Y35" s="127"/>
      <c r="Z35" s="127"/>
      <c r="AA35" s="127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12"/>
      <c r="AR35" s="105"/>
      <c r="AS35" s="105"/>
      <c r="AT35" s="105"/>
      <c r="AU35" s="105"/>
      <c r="AV35" s="103"/>
      <c r="AW35" s="105"/>
      <c r="AX35" s="105"/>
      <c r="AY35" s="106"/>
      <c r="AZ35" s="106"/>
      <c r="BA35" s="103"/>
      <c r="BB35" s="105"/>
      <c r="BC35" s="105"/>
      <c r="BD35" s="105"/>
      <c r="BE35" s="105"/>
      <c r="BF35" s="103"/>
      <c r="BG35" s="105"/>
      <c r="BH35" s="105"/>
      <c r="BI35" s="105"/>
      <c r="BJ35" s="105"/>
      <c r="BK35" s="105"/>
      <c r="BL35" s="105"/>
      <c r="BM35" s="105"/>
      <c r="BN35" s="105"/>
      <c r="BO35" s="105"/>
      <c r="BP35" s="105"/>
      <c r="BQ35" s="105"/>
      <c r="BR35" s="105"/>
      <c r="BS35" s="105"/>
      <c r="BT35" s="105"/>
      <c r="BU35" s="105"/>
      <c r="BV35" s="105"/>
      <c r="BW35" s="105"/>
      <c r="BX35" s="105"/>
      <c r="BY35" s="112"/>
      <c r="BZ35" s="130"/>
      <c r="CA35" s="106"/>
      <c r="CB35" s="127"/>
      <c r="CC35" s="127"/>
      <c r="CD35" s="127"/>
      <c r="CE35" s="129"/>
      <c r="CF35" s="80">
        <f t="shared" si="0"/>
        <v>0</v>
      </c>
      <c r="CG35" s="127"/>
      <c r="CH35" s="127"/>
      <c r="CI35" s="127"/>
      <c r="CJ35" s="127"/>
      <c r="CK35" s="127"/>
      <c r="CL35" s="127"/>
      <c r="CM35" s="127"/>
      <c r="CN35" s="156">
        <f t="shared" si="1"/>
        <v>0</v>
      </c>
      <c r="CO35" s="127"/>
      <c r="CP35" s="127"/>
      <c r="CQ35" s="127"/>
      <c r="CR35" s="127"/>
      <c r="CS35" s="127"/>
      <c r="CT35" s="127"/>
      <c r="CU35" s="127"/>
      <c r="CV35" s="127"/>
      <c r="CW35" s="127"/>
      <c r="CX35" s="127"/>
      <c r="CY35" s="127"/>
      <c r="CZ35" s="127"/>
      <c r="DA35" s="127"/>
      <c r="DB35" s="127"/>
      <c r="DC35" s="127"/>
      <c r="DD35" s="127"/>
      <c r="DE35" s="127"/>
      <c r="DF35" s="127"/>
      <c r="DG35" s="127"/>
      <c r="DH35" s="127"/>
      <c r="DI35" s="127"/>
      <c r="DJ35" s="127"/>
      <c r="DK35" s="127"/>
      <c r="DL35" s="127"/>
      <c r="DM35" s="127"/>
      <c r="DN35" s="129"/>
      <c r="DO35" s="127"/>
      <c r="DP35" s="127"/>
      <c r="DQ35" s="127"/>
      <c r="DR35" s="127"/>
      <c r="DS35" s="127"/>
      <c r="DT35" s="129"/>
      <c r="DU35" s="130"/>
      <c r="DV35" s="127"/>
      <c r="DW35" s="127"/>
      <c r="DX35" s="127"/>
      <c r="DY35" s="127"/>
      <c r="DZ35" s="127"/>
      <c r="EA35" s="127"/>
      <c r="EB35" s="127"/>
      <c r="EC35" s="127"/>
      <c r="ED35" s="127"/>
      <c r="EE35" s="127"/>
      <c r="EF35" s="127"/>
      <c r="EG35" s="127"/>
      <c r="EH35" s="127"/>
      <c r="EI35" s="129"/>
      <c r="EJ35" s="19"/>
      <c r="EK35" s="12"/>
      <c r="EL35" s="21" t="str">
        <f t="shared" si="2"/>
        <v xml:space="preserve"> </v>
      </c>
      <c r="EM35" s="68" t="str">
        <f t="shared" si="3"/>
        <v xml:space="preserve"> </v>
      </c>
      <c r="EN35" s="10" t="str">
        <f t="shared" si="4"/>
        <v/>
      </c>
      <c r="EO35" s="127"/>
      <c r="EP35" s="127"/>
      <c r="EQ35" s="128"/>
      <c r="ER35" s="70" t="str">
        <f t="shared" si="5"/>
        <v xml:space="preserve"> </v>
      </c>
      <c r="ES35" s="21" t="str">
        <f t="shared" si="6"/>
        <v xml:space="preserve"> </v>
      </c>
      <c r="ET35" s="10" t="str">
        <f>IF(ISERROR(#REF!/#REF!)," ",#REF!/#REF!)</f>
        <v xml:space="preserve"> </v>
      </c>
      <c r="EU35" s="10"/>
      <c r="EV35" s="69" t="str">
        <f>IF(ISERROR(#REF!/#REF!)," ",#REF!/#REF!)</f>
        <v xml:space="preserve"> </v>
      </c>
      <c r="EW35" s="83"/>
      <c r="EX35" s="83"/>
      <c r="EY35" s="83"/>
      <c r="EZ35" s="83"/>
      <c r="FA35" s="83"/>
      <c r="FB35" s="83"/>
      <c r="FC35" s="83"/>
      <c r="FD35" s="83"/>
      <c r="FE35" s="83"/>
      <c r="FF35" s="83"/>
      <c r="FG35" s="83"/>
      <c r="FH35" s="83"/>
      <c r="FI35" s="83"/>
      <c r="FJ35" s="83"/>
      <c r="FK35" s="83"/>
      <c r="FL35" s="83"/>
      <c r="FM35" s="83"/>
      <c r="FN35" s="83"/>
      <c r="FO35" s="83"/>
      <c r="FP35" s="83"/>
      <c r="FQ35" s="83"/>
      <c r="FR35" s="83"/>
      <c r="FS35" s="83"/>
      <c r="FT35" s="83"/>
    </row>
    <row r="36" spans="1:176" s="74" customFormat="1" ht="13.8" thickBot="1" x14ac:dyDescent="0.3">
      <c r="A36" s="46" t="s">
        <v>2</v>
      </c>
      <c r="B36" s="82"/>
      <c r="C36" s="146">
        <f t="shared" ref="C36:BX36" si="7">SUM(C4:C35)</f>
        <v>90</v>
      </c>
      <c r="D36" s="147">
        <f t="shared" si="7"/>
        <v>263</v>
      </c>
      <c r="E36" s="125">
        <f t="shared" si="7"/>
        <v>0</v>
      </c>
      <c r="F36" s="125">
        <f t="shared" si="7"/>
        <v>0</v>
      </c>
      <c r="G36" s="125">
        <f>SUM(G4:G35)</f>
        <v>0</v>
      </c>
      <c r="H36" s="125">
        <f t="shared" si="7"/>
        <v>0</v>
      </c>
      <c r="I36" s="125">
        <f t="shared" si="7"/>
        <v>0</v>
      </c>
      <c r="J36" s="125">
        <f t="shared" si="7"/>
        <v>0</v>
      </c>
      <c r="K36" s="125">
        <f t="shared" si="7"/>
        <v>0</v>
      </c>
      <c r="L36" s="125">
        <f t="shared" si="7"/>
        <v>0</v>
      </c>
      <c r="M36" s="125">
        <f t="shared" si="7"/>
        <v>0</v>
      </c>
      <c r="N36" s="125">
        <f t="shared" si="7"/>
        <v>0</v>
      </c>
      <c r="O36" s="125">
        <f t="shared" si="7"/>
        <v>0</v>
      </c>
      <c r="P36" s="125">
        <f t="shared" si="7"/>
        <v>0</v>
      </c>
      <c r="Q36" s="125">
        <f t="shared" si="7"/>
        <v>0</v>
      </c>
      <c r="R36" s="125">
        <f t="shared" si="7"/>
        <v>0</v>
      </c>
      <c r="S36" s="125">
        <f t="shared" si="7"/>
        <v>0</v>
      </c>
      <c r="T36" s="126">
        <f t="shared" si="7"/>
        <v>0</v>
      </c>
      <c r="U36" s="138">
        <f t="shared" ref="U36:AQ36" si="8">SUM(U4:U35)</f>
        <v>697040</v>
      </c>
      <c r="V36" s="136">
        <f t="shared" si="8"/>
        <v>0</v>
      </c>
      <c r="W36" s="136">
        <f t="shared" si="8"/>
        <v>0</v>
      </c>
      <c r="X36" s="136">
        <f t="shared" si="8"/>
        <v>0</v>
      </c>
      <c r="Y36" s="136">
        <f t="shared" si="8"/>
        <v>0</v>
      </c>
      <c r="Z36" s="136">
        <f t="shared" si="8"/>
        <v>0</v>
      </c>
      <c r="AA36" s="136">
        <f t="shared" si="8"/>
        <v>0</v>
      </c>
      <c r="AB36" s="136">
        <f t="shared" si="8"/>
        <v>0</v>
      </c>
      <c r="AC36" s="136">
        <f t="shared" si="8"/>
        <v>0</v>
      </c>
      <c r="AD36" s="136">
        <f t="shared" si="8"/>
        <v>0</v>
      </c>
      <c r="AE36" s="136">
        <f t="shared" si="8"/>
        <v>0</v>
      </c>
      <c r="AF36" s="136">
        <f t="shared" si="8"/>
        <v>0</v>
      </c>
      <c r="AG36" s="136">
        <f t="shared" si="8"/>
        <v>0</v>
      </c>
      <c r="AH36" s="136">
        <f t="shared" si="8"/>
        <v>0</v>
      </c>
      <c r="AI36" s="136">
        <f t="shared" si="8"/>
        <v>0</v>
      </c>
      <c r="AJ36" s="136">
        <f t="shared" si="8"/>
        <v>0</v>
      </c>
      <c r="AK36" s="136">
        <f t="shared" si="8"/>
        <v>0</v>
      </c>
      <c r="AL36" s="136">
        <f t="shared" si="8"/>
        <v>0</v>
      </c>
      <c r="AM36" s="136">
        <f t="shared" si="8"/>
        <v>0</v>
      </c>
      <c r="AN36" s="136">
        <f t="shared" si="8"/>
        <v>0</v>
      </c>
      <c r="AO36" s="136">
        <f t="shared" si="8"/>
        <v>0</v>
      </c>
      <c r="AP36" s="136">
        <f t="shared" si="8"/>
        <v>0</v>
      </c>
      <c r="AQ36" s="137">
        <f t="shared" si="8"/>
        <v>0</v>
      </c>
      <c r="AR36" s="124">
        <f t="shared" si="7"/>
        <v>205</v>
      </c>
      <c r="AS36" s="125">
        <f t="shared" si="7"/>
        <v>59</v>
      </c>
      <c r="AT36" s="125">
        <f t="shared" si="7"/>
        <v>235</v>
      </c>
      <c r="AU36" s="125">
        <f t="shared" si="7"/>
        <v>61</v>
      </c>
      <c r="AV36" s="125">
        <f t="shared" si="7"/>
        <v>20</v>
      </c>
      <c r="AW36" s="125">
        <f t="shared" si="7"/>
        <v>0</v>
      </c>
      <c r="AX36" s="125">
        <f t="shared" si="7"/>
        <v>26</v>
      </c>
      <c r="AY36" s="125">
        <f>SUM(AY4:AY35)</f>
        <v>27</v>
      </c>
      <c r="AZ36" s="125">
        <f t="shared" si="7"/>
        <v>11</v>
      </c>
      <c r="BA36" s="125">
        <f t="shared" si="7"/>
        <v>0</v>
      </c>
      <c r="BB36" s="125">
        <f t="shared" si="7"/>
        <v>0</v>
      </c>
      <c r="BC36" s="125">
        <f t="shared" si="7"/>
        <v>0</v>
      </c>
      <c r="BD36" s="125">
        <f t="shared" si="7"/>
        <v>0</v>
      </c>
      <c r="BE36" s="125">
        <f t="shared" si="7"/>
        <v>0</v>
      </c>
      <c r="BF36" s="125">
        <f t="shared" si="7"/>
        <v>0</v>
      </c>
      <c r="BG36" s="125">
        <f t="shared" si="7"/>
        <v>0</v>
      </c>
      <c r="BH36" s="125">
        <f t="shared" si="7"/>
        <v>0</v>
      </c>
      <c r="BI36" s="125">
        <f t="shared" si="7"/>
        <v>0</v>
      </c>
      <c r="BJ36" s="125">
        <f t="shared" si="7"/>
        <v>0</v>
      </c>
      <c r="BK36" s="125">
        <f t="shared" si="7"/>
        <v>0</v>
      </c>
      <c r="BL36" s="125">
        <f t="shared" si="7"/>
        <v>0</v>
      </c>
      <c r="BM36" s="125">
        <f t="shared" si="7"/>
        <v>0</v>
      </c>
      <c r="BN36" s="125">
        <f t="shared" si="7"/>
        <v>0</v>
      </c>
      <c r="BO36" s="125">
        <f t="shared" si="7"/>
        <v>0</v>
      </c>
      <c r="BP36" s="125">
        <f t="shared" si="7"/>
        <v>0</v>
      </c>
      <c r="BQ36" s="125">
        <f t="shared" si="7"/>
        <v>0</v>
      </c>
      <c r="BR36" s="125">
        <f t="shared" si="7"/>
        <v>0</v>
      </c>
      <c r="BS36" s="125">
        <f t="shared" si="7"/>
        <v>0</v>
      </c>
      <c r="BT36" s="125">
        <f t="shared" si="7"/>
        <v>0</v>
      </c>
      <c r="BU36" s="125">
        <f t="shared" si="7"/>
        <v>0</v>
      </c>
      <c r="BV36" s="125">
        <f t="shared" si="7"/>
        <v>0</v>
      </c>
      <c r="BW36" s="125">
        <f t="shared" si="7"/>
        <v>0</v>
      </c>
      <c r="BX36" s="125">
        <f t="shared" si="7"/>
        <v>0</v>
      </c>
      <c r="BY36" s="126">
        <f>SUM(BY4:BY35)</f>
        <v>0</v>
      </c>
      <c r="BZ36" s="138">
        <f t="shared" ref="BZ36:CE36" si="9">SUM(BZ4:BZ35)</f>
        <v>11</v>
      </c>
      <c r="CA36" s="136">
        <f t="shared" si="9"/>
        <v>0</v>
      </c>
      <c r="CB36" s="136">
        <f t="shared" si="9"/>
        <v>0</v>
      </c>
      <c r="CC36" s="136">
        <f t="shared" si="9"/>
        <v>0</v>
      </c>
      <c r="CD36" s="136">
        <f t="shared" si="9"/>
        <v>0</v>
      </c>
      <c r="CE36" s="137">
        <f t="shared" si="9"/>
        <v>0</v>
      </c>
      <c r="CF36" s="46">
        <f t="shared" ref="CF36:CN36" si="10">SUM(CF4:CF35)</f>
        <v>712512</v>
      </c>
      <c r="CG36" s="136">
        <f t="shared" si="10"/>
        <v>712512</v>
      </c>
      <c r="CH36" s="136">
        <f t="shared" si="10"/>
        <v>0</v>
      </c>
      <c r="CI36" s="136">
        <f t="shared" si="10"/>
        <v>0</v>
      </c>
      <c r="CJ36" s="136">
        <f t="shared" si="10"/>
        <v>0</v>
      </c>
      <c r="CK36" s="136">
        <f t="shared" si="10"/>
        <v>0</v>
      </c>
      <c r="CL36" s="136">
        <f t="shared" si="10"/>
        <v>0</v>
      </c>
      <c r="CM36" s="136">
        <f t="shared" si="10"/>
        <v>0</v>
      </c>
      <c r="CN36" s="137">
        <f t="shared" si="10"/>
        <v>712512</v>
      </c>
      <c r="CO36" s="138">
        <f>SUM(CO4:CO35)</f>
        <v>245599</v>
      </c>
      <c r="CP36" s="136">
        <f t="shared" ref="CP36:DT36" si="11">SUM(CP4:CP35)</f>
        <v>69699</v>
      </c>
      <c r="CQ36" s="136">
        <f t="shared" si="11"/>
        <v>226185</v>
      </c>
      <c r="CR36" s="136">
        <f t="shared" si="11"/>
        <v>72409</v>
      </c>
      <c r="CS36" s="136">
        <f t="shared" si="11"/>
        <v>24010</v>
      </c>
      <c r="CT36" s="136">
        <f t="shared" si="11"/>
        <v>0</v>
      </c>
      <c r="CU36" s="136">
        <f t="shared" si="11"/>
        <v>31204</v>
      </c>
      <c r="CV36" s="136">
        <f t="shared" si="11"/>
        <v>32401</v>
      </c>
      <c r="CW36" s="136">
        <f t="shared" si="11"/>
        <v>11005</v>
      </c>
      <c r="CX36" s="136">
        <f t="shared" si="11"/>
        <v>0</v>
      </c>
      <c r="CY36" s="136">
        <f t="shared" si="11"/>
        <v>0</v>
      </c>
      <c r="CZ36" s="136">
        <f t="shared" si="11"/>
        <v>0</v>
      </c>
      <c r="DA36" s="136">
        <f t="shared" si="11"/>
        <v>0</v>
      </c>
      <c r="DB36" s="136">
        <f t="shared" si="11"/>
        <v>0</v>
      </c>
      <c r="DC36" s="136">
        <f t="shared" si="11"/>
        <v>0</v>
      </c>
      <c r="DD36" s="136">
        <f t="shared" si="11"/>
        <v>0</v>
      </c>
      <c r="DE36" s="136">
        <f t="shared" si="11"/>
        <v>0</v>
      </c>
      <c r="DF36" s="136">
        <f t="shared" si="11"/>
        <v>0</v>
      </c>
      <c r="DG36" s="136">
        <f t="shared" si="11"/>
        <v>0</v>
      </c>
      <c r="DH36" s="136">
        <f t="shared" si="11"/>
        <v>0</v>
      </c>
      <c r="DI36" s="136">
        <f t="shared" si="11"/>
        <v>0</v>
      </c>
      <c r="DJ36" s="136">
        <f t="shared" si="11"/>
        <v>0</v>
      </c>
      <c r="DK36" s="136">
        <f t="shared" si="11"/>
        <v>0</v>
      </c>
      <c r="DL36" s="136">
        <f t="shared" si="11"/>
        <v>0</v>
      </c>
      <c r="DM36" s="136">
        <f t="shared" si="11"/>
        <v>0</v>
      </c>
      <c r="DN36" s="137">
        <f t="shared" si="11"/>
        <v>0</v>
      </c>
      <c r="DO36" s="138">
        <f t="shared" si="11"/>
        <v>7432</v>
      </c>
      <c r="DP36" s="136">
        <f t="shared" si="11"/>
        <v>0</v>
      </c>
      <c r="DQ36" s="136">
        <f t="shared" si="11"/>
        <v>5400</v>
      </c>
      <c r="DR36" s="136">
        <f t="shared" si="11"/>
        <v>0</v>
      </c>
      <c r="DS36" s="136">
        <f t="shared" si="11"/>
        <v>0</v>
      </c>
      <c r="DT36" s="137">
        <f t="shared" si="11"/>
        <v>0</v>
      </c>
      <c r="DU36" s="138">
        <f t="shared" ref="DU36:EI36" si="12">SUM(DU4:DU35)</f>
        <v>2500</v>
      </c>
      <c r="DV36" s="136">
        <f t="shared" si="12"/>
        <v>1066</v>
      </c>
      <c r="DW36" s="136">
        <f t="shared" si="12"/>
        <v>195</v>
      </c>
      <c r="DX36" s="136">
        <f t="shared" si="12"/>
        <v>0</v>
      </c>
      <c r="DY36" s="136">
        <f t="shared" si="12"/>
        <v>0</v>
      </c>
      <c r="DZ36" s="136">
        <f t="shared" si="12"/>
        <v>540</v>
      </c>
      <c r="EA36" s="136">
        <f t="shared" si="12"/>
        <v>104</v>
      </c>
      <c r="EB36" s="136">
        <f t="shared" si="12"/>
        <v>0</v>
      </c>
      <c r="EC36" s="136">
        <f t="shared" si="12"/>
        <v>3000</v>
      </c>
      <c r="ED36" s="136">
        <f t="shared" si="12"/>
        <v>0</v>
      </c>
      <c r="EE36" s="136">
        <f t="shared" si="12"/>
        <v>0</v>
      </c>
      <c r="EF36" s="136">
        <f t="shared" si="12"/>
        <v>0</v>
      </c>
      <c r="EG36" s="136">
        <f t="shared" si="12"/>
        <v>0</v>
      </c>
      <c r="EH36" s="136">
        <f t="shared" si="12"/>
        <v>0</v>
      </c>
      <c r="EI36" s="137">
        <f t="shared" si="12"/>
        <v>0</v>
      </c>
      <c r="EJ36" s="46">
        <f>SUM(EJ4:EJ35)</f>
        <v>720</v>
      </c>
      <c r="EK36" s="47">
        <f>SUM(EK4:EK35)</f>
        <v>702</v>
      </c>
      <c r="EL36" s="47">
        <f>SUM(EL4:EL35)</f>
        <v>702</v>
      </c>
      <c r="EM36" s="157">
        <f>EK36/EJ36</f>
        <v>0.97499999999999998</v>
      </c>
      <c r="EN36" s="63">
        <f>SUM(EN4:EN35)</f>
        <v>702</v>
      </c>
      <c r="EO36" s="63">
        <f>SUM(EO4:EO35)</f>
        <v>0</v>
      </c>
      <c r="EP36" s="63">
        <f>SUM(EP4:EP35)</f>
        <v>0</v>
      </c>
      <c r="EQ36" s="64">
        <f>SUM(EQ4:EQ35)</f>
        <v>0</v>
      </c>
      <c r="ER36" s="94">
        <f>CF36/EL36</f>
        <v>1014.974358974359</v>
      </c>
      <c r="ES36" s="95">
        <f>CF36/EN36</f>
        <v>1014.974358974359</v>
      </c>
      <c r="ET36" s="95" t="e">
        <f>CG36/EO36</f>
        <v>#DIV/0!</v>
      </c>
      <c r="EU36" s="95" t="e">
        <f>CH36/EP36</f>
        <v>#DIV/0!</v>
      </c>
      <c r="EV36" s="48">
        <f>SUM(EV4:EV35)</f>
        <v>0</v>
      </c>
      <c r="EW36" s="83"/>
      <c r="EX36" s="83"/>
      <c r="EY36" s="83"/>
      <c r="EZ36" s="83"/>
      <c r="FA36" s="83"/>
      <c r="FB36" s="83"/>
      <c r="FC36" s="83"/>
      <c r="FD36" s="83"/>
      <c r="FE36" s="83"/>
      <c r="FF36" s="83"/>
      <c r="FG36" s="83"/>
      <c r="FH36" s="83"/>
      <c r="FI36" s="83"/>
      <c r="FJ36" s="83"/>
      <c r="FK36" s="83"/>
      <c r="FL36" s="83"/>
      <c r="FM36" s="83"/>
      <c r="FN36" s="83"/>
      <c r="FO36" s="83"/>
      <c r="FP36" s="83"/>
      <c r="FQ36" s="83"/>
      <c r="FR36" s="83"/>
      <c r="FS36" s="83"/>
      <c r="FT36" s="83"/>
    </row>
    <row r="37" spans="1:176" x14ac:dyDescent="0.25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/>
      <c r="BH37" s="67"/>
      <c r="BI37" s="67"/>
      <c r="BJ37" s="67"/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/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7"/>
      <c r="DB37" s="67"/>
      <c r="DC37" s="67"/>
      <c r="DD37" s="67"/>
      <c r="DE37" s="67"/>
      <c r="DF37" s="67"/>
      <c r="DG37" s="67"/>
      <c r="DH37" s="67"/>
      <c r="DI37" s="67"/>
      <c r="DJ37" s="67"/>
      <c r="DK37" s="67"/>
      <c r="DL37" s="67"/>
      <c r="DM37" s="67"/>
      <c r="DN37" s="67"/>
      <c r="DO37" s="67"/>
      <c r="DP37" s="67"/>
      <c r="DQ37" s="67"/>
      <c r="DR37" s="67"/>
      <c r="DS37" s="67"/>
      <c r="DT37" s="67"/>
      <c r="DU37" s="67"/>
      <c r="DV37" s="67"/>
      <c r="DW37" s="67"/>
      <c r="DX37" s="67"/>
      <c r="DY37" s="67"/>
      <c r="DZ37" s="67"/>
      <c r="EA37" s="67"/>
      <c r="EB37" s="67"/>
      <c r="EC37" s="67"/>
      <c r="ED37" s="67"/>
      <c r="EE37" s="67"/>
      <c r="EF37" s="67"/>
      <c r="EG37" s="67"/>
      <c r="EH37" s="67"/>
      <c r="EI37" s="67"/>
      <c r="EJ37" s="67"/>
      <c r="EK37" s="67"/>
      <c r="EL37" s="67"/>
      <c r="EM37" s="67"/>
      <c r="EN37" s="83"/>
      <c r="EO37" s="83"/>
      <c r="EP37" s="83"/>
      <c r="EQ37" s="83"/>
      <c r="ER37" s="83"/>
      <c r="ES37" s="67"/>
      <c r="ET37" s="67"/>
      <c r="EU37" s="67"/>
      <c r="EV37" s="67"/>
      <c r="EW37" s="67"/>
      <c r="EX37" s="67"/>
      <c r="EY37" s="67"/>
      <c r="EZ37" s="67"/>
      <c r="FA37" s="67"/>
      <c r="FB37" s="67"/>
      <c r="FC37" s="67"/>
      <c r="FD37" s="67"/>
      <c r="FE37" s="67"/>
      <c r="FF37" s="67"/>
      <c r="FG37" s="67"/>
      <c r="FH37" s="67"/>
      <c r="FI37" s="67"/>
      <c r="FJ37" s="67"/>
      <c r="FK37" s="67"/>
      <c r="FL37" s="67"/>
      <c r="FM37" s="67"/>
      <c r="FN37" s="67"/>
      <c r="FO37" s="67"/>
      <c r="FP37" s="67"/>
      <c r="FQ37" s="67"/>
      <c r="FR37" s="67"/>
      <c r="FS37" s="67"/>
      <c r="FT37" s="67"/>
    </row>
    <row r="38" spans="1:176" x14ac:dyDescent="0.25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67"/>
      <c r="BM38" s="67"/>
      <c r="BN38" s="67"/>
      <c r="BO38" s="67"/>
      <c r="BP38" s="67"/>
      <c r="BQ38" s="67"/>
      <c r="BR38" s="67"/>
      <c r="BS38" s="67"/>
      <c r="BT38" s="67"/>
      <c r="BU38" s="67"/>
      <c r="BV38" s="67"/>
      <c r="BW38" s="67"/>
      <c r="BX38" s="67"/>
      <c r="BY38" s="67"/>
      <c r="BZ38" s="67"/>
      <c r="CA38" s="67"/>
      <c r="CB38" s="67"/>
      <c r="CC38" s="67"/>
      <c r="CD38" s="67"/>
      <c r="CE38" s="67"/>
      <c r="CF38" s="67"/>
      <c r="CG38" s="67"/>
      <c r="CH38" s="67"/>
      <c r="CI38" s="67"/>
      <c r="CJ38" s="67"/>
      <c r="CK38" s="67"/>
      <c r="CL38" s="67"/>
      <c r="CM38" s="67"/>
      <c r="CN38" s="67"/>
      <c r="CO38" s="67"/>
      <c r="CP38" s="67"/>
      <c r="CQ38" s="67"/>
      <c r="CR38" s="67"/>
      <c r="CS38" s="67"/>
      <c r="CT38" s="67"/>
      <c r="CU38" s="67"/>
      <c r="CV38" s="67"/>
      <c r="CW38" s="67"/>
      <c r="CX38" s="67"/>
      <c r="CY38" s="67"/>
      <c r="CZ38" s="67"/>
      <c r="DA38" s="67"/>
      <c r="DB38" s="67"/>
      <c r="DC38" s="67"/>
      <c r="DD38" s="67"/>
      <c r="DE38" s="67"/>
      <c r="DF38" s="67"/>
      <c r="DG38" s="67"/>
      <c r="DH38" s="67"/>
      <c r="DI38" s="67"/>
      <c r="DJ38" s="67"/>
      <c r="DK38" s="67"/>
      <c r="DL38" s="67"/>
      <c r="DM38" s="67"/>
      <c r="DN38" s="67"/>
      <c r="DO38" s="67"/>
      <c r="DP38" s="67"/>
      <c r="DQ38" s="67"/>
      <c r="DR38" s="67"/>
      <c r="DS38" s="67"/>
      <c r="DT38" s="67"/>
      <c r="DU38" s="67"/>
      <c r="DV38" s="67"/>
      <c r="DW38" s="67"/>
      <c r="DX38" s="67"/>
      <c r="DY38" s="67"/>
      <c r="DZ38" s="67"/>
      <c r="EA38" s="67"/>
      <c r="EB38" s="67"/>
      <c r="EC38" s="67"/>
      <c r="ED38" s="67"/>
      <c r="EE38" s="67"/>
      <c r="EF38" s="67"/>
      <c r="EG38" s="67"/>
      <c r="EH38" s="67"/>
      <c r="EI38" s="67"/>
      <c r="EJ38" s="67"/>
      <c r="EK38" s="67"/>
      <c r="EL38" s="67"/>
      <c r="EM38" s="67"/>
      <c r="EN38" s="83"/>
      <c r="EO38" s="83"/>
      <c r="EP38" s="83"/>
      <c r="EQ38" s="83"/>
      <c r="ER38" s="83"/>
      <c r="ES38" s="67"/>
      <c r="ET38" s="67"/>
      <c r="EU38" s="67"/>
      <c r="EV38" s="67"/>
      <c r="EW38" s="67"/>
      <c r="EX38" s="67"/>
      <c r="EY38" s="67"/>
      <c r="EZ38" s="67"/>
      <c r="FA38" s="67"/>
      <c r="FB38" s="67"/>
      <c r="FC38" s="67"/>
      <c r="FD38" s="67"/>
      <c r="FE38" s="67"/>
      <c r="FF38" s="67"/>
      <c r="FG38" s="67"/>
      <c r="FH38" s="67"/>
      <c r="FI38" s="67"/>
      <c r="FJ38" s="67"/>
      <c r="FK38" s="67"/>
      <c r="FL38" s="67"/>
      <c r="FM38" s="67"/>
      <c r="FN38" s="67"/>
      <c r="FO38" s="67"/>
      <c r="FP38" s="67"/>
      <c r="FQ38" s="67"/>
      <c r="FR38" s="67"/>
      <c r="FS38" s="67"/>
      <c r="FT38" s="67"/>
    </row>
    <row r="39" spans="1:176" x14ac:dyDescent="0.25">
      <c r="A39" s="67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7"/>
      <c r="BM39" s="67"/>
      <c r="BN39" s="67"/>
      <c r="BO39" s="67"/>
      <c r="BP39" s="67"/>
      <c r="BQ39" s="67"/>
      <c r="BR39" s="67"/>
      <c r="BS39" s="67"/>
      <c r="BT39" s="67"/>
      <c r="BU39" s="67"/>
      <c r="BV39" s="67"/>
      <c r="BW39" s="67"/>
      <c r="BX39" s="67"/>
      <c r="BY39" s="67"/>
      <c r="BZ39" s="67"/>
      <c r="CA39" s="67"/>
      <c r="CB39" s="67"/>
      <c r="CC39" s="67"/>
      <c r="CD39" s="67"/>
      <c r="CE39" s="67"/>
      <c r="CF39" s="67"/>
      <c r="CG39" s="67"/>
      <c r="CH39" s="67"/>
      <c r="CI39" s="67"/>
      <c r="CJ39" s="67"/>
      <c r="CK39" s="67"/>
      <c r="CL39" s="67"/>
      <c r="CM39" s="67"/>
      <c r="CN39" s="67"/>
      <c r="CO39" s="67"/>
      <c r="CP39" s="67"/>
      <c r="CQ39" s="67"/>
      <c r="CR39" s="67"/>
      <c r="CS39" s="67"/>
      <c r="CT39" s="67"/>
      <c r="CU39" s="67"/>
      <c r="CV39" s="67"/>
      <c r="CW39" s="67"/>
      <c r="CX39" s="67"/>
      <c r="CY39" s="67"/>
      <c r="CZ39" s="67"/>
      <c r="DA39" s="67"/>
      <c r="DB39" s="67"/>
      <c r="DC39" s="67"/>
      <c r="DD39" s="67"/>
      <c r="DE39" s="67"/>
      <c r="DF39" s="67"/>
      <c r="DG39" s="67"/>
      <c r="DH39" s="67"/>
      <c r="DI39" s="67"/>
      <c r="DJ39" s="67"/>
      <c r="DK39" s="67"/>
      <c r="DL39" s="67"/>
      <c r="DM39" s="67"/>
      <c r="DN39" s="67"/>
      <c r="DO39" s="67"/>
      <c r="DP39" s="67"/>
      <c r="DQ39" s="67"/>
      <c r="DR39" s="67"/>
      <c r="DS39" s="67"/>
      <c r="DT39" s="67"/>
      <c r="DU39" s="67"/>
      <c r="DV39" s="67"/>
      <c r="DW39" s="67"/>
      <c r="DX39" s="67"/>
      <c r="DY39" s="67"/>
      <c r="DZ39" s="67"/>
      <c r="EA39" s="67"/>
      <c r="EB39" s="67"/>
      <c r="EC39" s="67"/>
      <c r="ED39" s="67"/>
      <c r="EE39" s="67"/>
      <c r="EF39" s="67"/>
      <c r="EG39" s="67"/>
      <c r="EH39" s="67"/>
      <c r="EI39" s="67"/>
      <c r="EJ39" s="67"/>
      <c r="EK39" s="67"/>
      <c r="EL39" s="67"/>
      <c r="EM39" s="67"/>
      <c r="EN39" s="83"/>
      <c r="EO39" s="83"/>
      <c r="EP39" s="83"/>
      <c r="EQ39" s="83"/>
      <c r="ER39" s="83"/>
      <c r="ES39" s="67"/>
      <c r="ET39" s="67"/>
      <c r="EU39" s="67"/>
      <c r="EV39" s="67"/>
      <c r="EW39" s="67"/>
      <c r="EX39" s="67"/>
      <c r="EY39" s="67"/>
      <c r="EZ39" s="67"/>
      <c r="FA39" s="67"/>
      <c r="FB39" s="67"/>
      <c r="FC39" s="67"/>
      <c r="FD39" s="67"/>
      <c r="FE39" s="67"/>
      <c r="FF39" s="67"/>
      <c r="FG39" s="67"/>
      <c r="FH39" s="67"/>
      <c r="FI39" s="67"/>
      <c r="FJ39" s="67"/>
      <c r="FK39" s="67"/>
      <c r="FL39" s="67"/>
      <c r="FM39" s="67"/>
      <c r="FN39" s="67"/>
      <c r="FO39" s="67"/>
      <c r="FP39" s="67"/>
      <c r="FQ39" s="67"/>
      <c r="FR39" s="67"/>
      <c r="FS39" s="67"/>
      <c r="FT39" s="67"/>
    </row>
    <row r="40" spans="1:176" x14ac:dyDescent="0.25">
      <c r="A40" s="67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7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7"/>
      <c r="CC40" s="67"/>
      <c r="CD40" s="67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67"/>
      <c r="CP40" s="67"/>
      <c r="CQ40" s="67"/>
      <c r="CR40" s="67"/>
      <c r="CS40" s="67"/>
      <c r="CT40" s="67"/>
      <c r="CU40" s="67"/>
      <c r="CV40" s="67"/>
      <c r="CW40" s="67"/>
      <c r="CX40" s="67"/>
      <c r="CY40" s="67"/>
      <c r="CZ40" s="67"/>
      <c r="DA40" s="67"/>
      <c r="DB40" s="67"/>
      <c r="DC40" s="67"/>
      <c r="DD40" s="67"/>
      <c r="DE40" s="67"/>
      <c r="DF40" s="67"/>
      <c r="DG40" s="67"/>
      <c r="DH40" s="67"/>
      <c r="DI40" s="67"/>
      <c r="DJ40" s="67"/>
      <c r="DK40" s="67"/>
      <c r="DL40" s="67"/>
      <c r="DM40" s="67"/>
      <c r="DN40" s="67"/>
      <c r="DO40" s="67"/>
      <c r="DP40" s="67"/>
      <c r="DQ40" s="67"/>
      <c r="DR40" s="67"/>
      <c r="DS40" s="67"/>
      <c r="DT40" s="67"/>
      <c r="DU40" s="67"/>
      <c r="DV40" s="67"/>
      <c r="DW40" s="67"/>
      <c r="DX40" s="67"/>
      <c r="DY40" s="67"/>
      <c r="DZ40" s="67"/>
      <c r="EA40" s="67"/>
      <c r="EB40" s="67"/>
      <c r="EC40" s="67"/>
      <c r="ED40" s="67"/>
      <c r="EE40" s="67"/>
      <c r="EF40" s="67"/>
      <c r="EG40" s="67"/>
      <c r="EH40" s="67"/>
      <c r="EI40" s="67"/>
      <c r="EJ40" s="67"/>
      <c r="EK40" s="67"/>
      <c r="EL40" s="67"/>
      <c r="EM40" s="67"/>
      <c r="EN40" s="83"/>
      <c r="EO40" s="83"/>
      <c r="EP40" s="83"/>
      <c r="EQ40" s="83"/>
      <c r="ER40" s="83"/>
      <c r="ES40" s="67"/>
      <c r="ET40" s="67"/>
      <c r="EU40" s="67"/>
      <c r="EV40" s="67"/>
      <c r="EW40" s="67"/>
      <c r="EX40" s="67"/>
      <c r="EY40" s="67"/>
      <c r="EZ40" s="67"/>
      <c r="FA40" s="67"/>
      <c r="FB40" s="67"/>
      <c r="FC40" s="67"/>
      <c r="FD40" s="67"/>
      <c r="FE40" s="67"/>
      <c r="FF40" s="67"/>
      <c r="FG40" s="67"/>
      <c r="FH40" s="67"/>
      <c r="FI40" s="67"/>
      <c r="FJ40" s="67"/>
      <c r="FK40" s="67"/>
      <c r="FL40" s="67"/>
      <c r="FM40" s="67"/>
      <c r="FN40" s="67"/>
      <c r="FO40" s="67"/>
      <c r="FP40" s="67"/>
      <c r="FQ40" s="67"/>
      <c r="FR40" s="67"/>
      <c r="FS40" s="67"/>
      <c r="FT40" s="67"/>
    </row>
    <row r="41" spans="1:176" x14ac:dyDescent="0.25">
      <c r="A41" s="67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/>
      <c r="BH41" s="67"/>
      <c r="BI41" s="67"/>
      <c r="BJ41" s="67"/>
      <c r="BK41" s="67"/>
      <c r="BL41" s="67"/>
      <c r="BM41" s="67"/>
      <c r="BN41" s="67"/>
      <c r="BO41" s="67"/>
      <c r="BP41" s="67"/>
      <c r="BQ41" s="67"/>
      <c r="BR41" s="67"/>
      <c r="BS41" s="67"/>
      <c r="BT41" s="67"/>
      <c r="BU41" s="67"/>
      <c r="BV41" s="67"/>
      <c r="BW41" s="67"/>
      <c r="BX41" s="67"/>
      <c r="BY41" s="67"/>
      <c r="BZ41" s="67"/>
      <c r="CA41" s="67"/>
      <c r="CB41" s="67"/>
      <c r="CC41" s="67"/>
      <c r="CD41" s="67"/>
      <c r="CE41" s="67"/>
      <c r="CF41" s="67"/>
      <c r="CG41" s="67"/>
      <c r="CH41" s="67"/>
      <c r="CI41" s="67"/>
      <c r="CJ41" s="67"/>
      <c r="CK41" s="67"/>
      <c r="CL41" s="67"/>
      <c r="CM41" s="67"/>
      <c r="CN41" s="67"/>
      <c r="CO41" s="67"/>
      <c r="CP41" s="67"/>
      <c r="CQ41" s="67"/>
      <c r="CR41" s="67"/>
      <c r="CS41" s="67"/>
      <c r="CT41" s="67"/>
      <c r="CU41" s="67"/>
      <c r="CV41" s="67"/>
      <c r="CW41" s="67"/>
      <c r="CX41" s="67"/>
      <c r="CY41" s="67"/>
      <c r="CZ41" s="67"/>
      <c r="DA41" s="67"/>
      <c r="DB41" s="67"/>
      <c r="DC41" s="67"/>
      <c r="DD41" s="67"/>
      <c r="DE41" s="67"/>
      <c r="DF41" s="67"/>
      <c r="DG41" s="67"/>
      <c r="DH41" s="67"/>
      <c r="DI41" s="67"/>
      <c r="DJ41" s="67"/>
      <c r="DK41" s="67"/>
      <c r="DL41" s="67"/>
      <c r="DM41" s="67"/>
      <c r="DN41" s="67"/>
      <c r="DO41" s="67"/>
      <c r="DP41" s="67"/>
      <c r="DQ41" s="67"/>
      <c r="DR41" s="67"/>
      <c r="DS41" s="67"/>
      <c r="DT41" s="67"/>
      <c r="DU41" s="67"/>
      <c r="DV41" s="67"/>
      <c r="DW41" s="67"/>
      <c r="DX41" s="67"/>
      <c r="DY41" s="67"/>
      <c r="DZ41" s="67"/>
      <c r="EA41" s="67"/>
      <c r="EB41" s="67"/>
      <c r="EC41" s="67"/>
      <c r="ED41" s="67"/>
      <c r="EE41" s="67"/>
      <c r="EF41" s="67"/>
      <c r="EG41" s="67"/>
      <c r="EH41" s="67"/>
      <c r="EI41" s="67"/>
      <c r="EJ41" s="67"/>
      <c r="EK41" s="67"/>
      <c r="EL41" s="67"/>
      <c r="EM41" s="67"/>
      <c r="EN41" s="83"/>
      <c r="EO41" s="83"/>
      <c r="EP41" s="83"/>
      <c r="EQ41" s="83"/>
      <c r="ER41" s="83"/>
      <c r="ES41" s="67"/>
      <c r="ET41" s="67"/>
      <c r="EU41" s="67"/>
      <c r="EV41" s="67"/>
      <c r="EW41" s="67"/>
      <c r="EX41" s="67"/>
      <c r="EY41" s="67"/>
      <c r="EZ41" s="67"/>
      <c r="FA41" s="67"/>
      <c r="FB41" s="67"/>
      <c r="FC41" s="67"/>
      <c r="FD41" s="67"/>
      <c r="FE41" s="67"/>
      <c r="FF41" s="67"/>
      <c r="FG41" s="67"/>
      <c r="FH41" s="67"/>
      <c r="FI41" s="67"/>
      <c r="FJ41" s="67"/>
      <c r="FK41" s="67"/>
      <c r="FL41" s="67"/>
      <c r="FM41" s="67"/>
      <c r="FN41" s="67"/>
      <c r="FO41" s="67"/>
      <c r="FP41" s="67"/>
      <c r="FQ41" s="67"/>
      <c r="FR41" s="67"/>
      <c r="FS41" s="67"/>
      <c r="FT41" s="67"/>
    </row>
    <row r="42" spans="1:176" x14ac:dyDescent="0.25">
      <c r="A42" s="67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/>
      <c r="BH42" s="67"/>
      <c r="BI42" s="67"/>
      <c r="BJ42" s="67"/>
      <c r="BK42" s="67"/>
      <c r="BL42" s="67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7"/>
      <c r="CA42" s="67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7"/>
      <c r="CT42" s="67"/>
      <c r="CU42" s="67"/>
      <c r="CV42" s="67"/>
      <c r="CW42" s="67"/>
      <c r="CX42" s="67"/>
      <c r="CY42" s="67"/>
      <c r="CZ42" s="67"/>
      <c r="DA42" s="67"/>
      <c r="DB42" s="67"/>
      <c r="DC42" s="67"/>
      <c r="DD42" s="67"/>
      <c r="DE42" s="67"/>
      <c r="DF42" s="67"/>
      <c r="DG42" s="67"/>
      <c r="DH42" s="67"/>
      <c r="DI42" s="67"/>
      <c r="DJ42" s="67"/>
      <c r="DK42" s="67"/>
      <c r="DL42" s="67"/>
      <c r="DM42" s="67"/>
      <c r="DN42" s="67"/>
      <c r="DO42" s="67"/>
      <c r="DP42" s="67"/>
      <c r="DQ42" s="67"/>
      <c r="DR42" s="67"/>
      <c r="DS42" s="67"/>
      <c r="DT42" s="67"/>
      <c r="DU42" s="67"/>
      <c r="DV42" s="67"/>
      <c r="DW42" s="67"/>
      <c r="DX42" s="67"/>
      <c r="DY42" s="67"/>
      <c r="DZ42" s="67"/>
      <c r="EA42" s="67"/>
      <c r="EB42" s="67"/>
      <c r="EC42" s="67"/>
      <c r="ED42" s="67"/>
      <c r="EE42" s="67"/>
      <c r="EF42" s="67"/>
      <c r="EG42" s="67"/>
      <c r="EH42" s="67"/>
      <c r="EI42" s="67"/>
      <c r="EJ42" s="67"/>
      <c r="EK42" s="67"/>
      <c r="EL42" s="67"/>
      <c r="EM42" s="67"/>
      <c r="EN42" s="83"/>
      <c r="EO42" s="83"/>
      <c r="EP42" s="83"/>
      <c r="EQ42" s="83"/>
      <c r="ER42" s="83"/>
      <c r="ES42" s="67"/>
      <c r="ET42" s="67"/>
      <c r="EU42" s="67"/>
      <c r="EV42" s="67"/>
      <c r="EW42" s="67"/>
      <c r="EX42" s="67"/>
      <c r="EY42" s="67"/>
      <c r="EZ42" s="67"/>
      <c r="FA42" s="67"/>
      <c r="FB42" s="67"/>
      <c r="FC42" s="67"/>
      <c r="FD42" s="67"/>
      <c r="FE42" s="67"/>
      <c r="FF42" s="67"/>
      <c r="FG42" s="67"/>
      <c r="FH42" s="67"/>
      <c r="FI42" s="67"/>
      <c r="FJ42" s="67"/>
      <c r="FK42" s="67"/>
      <c r="FL42" s="67"/>
      <c r="FM42" s="67"/>
      <c r="FN42" s="67"/>
      <c r="FO42" s="67"/>
      <c r="FP42" s="67"/>
      <c r="FQ42" s="67"/>
      <c r="FR42" s="67"/>
      <c r="FS42" s="67"/>
      <c r="FT42" s="67"/>
    </row>
    <row r="43" spans="1:176" x14ac:dyDescent="0.25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7"/>
      <c r="DC43" s="67"/>
      <c r="DD43" s="67"/>
      <c r="DE43" s="67"/>
      <c r="DF43" s="67"/>
      <c r="DG43" s="67"/>
      <c r="DH43" s="67"/>
      <c r="DI43" s="67"/>
      <c r="DJ43" s="67"/>
      <c r="DK43" s="67"/>
      <c r="DL43" s="67"/>
      <c r="DM43" s="67"/>
      <c r="DN43" s="67"/>
      <c r="DO43" s="67"/>
      <c r="DP43" s="67"/>
      <c r="DQ43" s="67"/>
      <c r="DR43" s="67"/>
      <c r="DS43" s="67"/>
      <c r="DT43" s="67"/>
      <c r="DU43" s="67"/>
      <c r="DV43" s="67"/>
      <c r="DW43" s="67"/>
      <c r="DX43" s="67"/>
      <c r="DY43" s="67"/>
      <c r="DZ43" s="67"/>
      <c r="EA43" s="67"/>
      <c r="EB43" s="67"/>
      <c r="EC43" s="67"/>
      <c r="ED43" s="67"/>
      <c r="EE43" s="67"/>
      <c r="EF43" s="67"/>
      <c r="EG43" s="67"/>
      <c r="EH43" s="67"/>
      <c r="EI43" s="67"/>
      <c r="EJ43" s="67"/>
      <c r="EK43" s="67"/>
      <c r="EL43" s="67"/>
      <c r="EM43" s="67"/>
      <c r="EN43" s="83"/>
      <c r="EO43" s="83"/>
      <c r="EP43" s="83"/>
      <c r="EQ43" s="83"/>
      <c r="ER43" s="83"/>
      <c r="ES43" s="67"/>
      <c r="ET43" s="67"/>
      <c r="EU43" s="67"/>
      <c r="EV43" s="67"/>
      <c r="EW43" s="67"/>
      <c r="EX43" s="67"/>
      <c r="EY43" s="67"/>
      <c r="EZ43" s="67"/>
      <c r="FA43" s="67"/>
      <c r="FB43" s="67"/>
      <c r="FC43" s="67"/>
      <c r="FD43" s="67"/>
      <c r="FE43" s="67"/>
      <c r="FF43" s="67"/>
      <c r="FG43" s="67"/>
      <c r="FH43" s="67"/>
      <c r="FI43" s="67"/>
      <c r="FJ43" s="67"/>
      <c r="FK43" s="67"/>
      <c r="FL43" s="67"/>
      <c r="FM43" s="67"/>
      <c r="FN43" s="67"/>
      <c r="FO43" s="67"/>
      <c r="FP43" s="67"/>
      <c r="FQ43" s="67"/>
      <c r="FR43" s="67"/>
      <c r="FS43" s="67"/>
      <c r="FT43" s="67"/>
    </row>
    <row r="44" spans="1:176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/>
      <c r="BH44" s="67"/>
      <c r="BI44" s="67"/>
      <c r="BJ44" s="67"/>
      <c r="BK44" s="67"/>
      <c r="BL44" s="67"/>
      <c r="BM44" s="67"/>
      <c r="BN44" s="67"/>
      <c r="BO44" s="67"/>
      <c r="BP44" s="67"/>
      <c r="BQ44" s="67"/>
      <c r="BR44" s="67"/>
      <c r="BS44" s="67"/>
      <c r="BT44" s="67"/>
      <c r="BU44" s="67"/>
      <c r="BV44" s="67"/>
      <c r="BW44" s="67"/>
      <c r="BX44" s="67"/>
      <c r="BY44" s="67"/>
      <c r="BZ44" s="67"/>
      <c r="CA44" s="67"/>
      <c r="CB44" s="67"/>
      <c r="CC44" s="67"/>
      <c r="CD44" s="67"/>
      <c r="CE44" s="67"/>
      <c r="CF44" s="67"/>
      <c r="CG44" s="67"/>
      <c r="CH44" s="67"/>
      <c r="CI44" s="67"/>
      <c r="CJ44" s="67"/>
      <c r="CK44" s="67"/>
      <c r="CL44" s="67"/>
      <c r="CM44" s="67"/>
      <c r="CN44" s="67"/>
      <c r="CO44" s="67"/>
      <c r="CP44" s="67"/>
      <c r="CQ44" s="67"/>
      <c r="CR44" s="67"/>
      <c r="CS44" s="67"/>
      <c r="CT44" s="67"/>
      <c r="CU44" s="67"/>
      <c r="CV44" s="67"/>
      <c r="CW44" s="67"/>
      <c r="CX44" s="67"/>
      <c r="CY44" s="67"/>
      <c r="CZ44" s="67"/>
      <c r="DA44" s="67"/>
      <c r="DB44" s="67"/>
      <c r="DC44" s="67"/>
      <c r="DD44" s="67"/>
      <c r="DE44" s="67"/>
      <c r="DF44" s="67"/>
      <c r="DG44" s="67"/>
      <c r="DH44" s="67"/>
      <c r="DI44" s="67"/>
      <c r="DJ44" s="67"/>
      <c r="DK44" s="67"/>
      <c r="DL44" s="67"/>
      <c r="DM44" s="67"/>
      <c r="DN44" s="67"/>
      <c r="DO44" s="67"/>
      <c r="DP44" s="67"/>
      <c r="DQ44" s="67"/>
      <c r="DR44" s="67"/>
      <c r="DS44" s="67"/>
      <c r="DT44" s="67"/>
      <c r="DU44" s="67"/>
      <c r="DV44" s="67"/>
      <c r="DW44" s="67"/>
      <c r="DX44" s="67"/>
      <c r="DY44" s="67"/>
      <c r="DZ44" s="67"/>
      <c r="EA44" s="67"/>
      <c r="EB44" s="67"/>
      <c r="EC44" s="67"/>
      <c r="ED44" s="67"/>
      <c r="EE44" s="67"/>
      <c r="EF44" s="67"/>
      <c r="EG44" s="67"/>
      <c r="EH44" s="67"/>
      <c r="EI44" s="67"/>
      <c r="EJ44" s="67"/>
      <c r="EK44" s="67"/>
      <c r="EL44" s="67"/>
      <c r="EM44" s="67"/>
      <c r="EN44" s="83"/>
      <c r="EO44" s="83"/>
      <c r="EP44" s="83"/>
      <c r="EQ44" s="83"/>
      <c r="ER44" s="83"/>
      <c r="ES44" s="67"/>
      <c r="ET44" s="67"/>
      <c r="EU44" s="67"/>
      <c r="EV44" s="67"/>
      <c r="EW44" s="67"/>
      <c r="EX44" s="67"/>
      <c r="EY44" s="67"/>
      <c r="EZ44" s="67"/>
      <c r="FA44" s="67"/>
      <c r="FB44" s="67"/>
      <c r="FC44" s="67"/>
      <c r="FD44" s="67"/>
      <c r="FE44" s="67"/>
      <c r="FF44" s="67"/>
      <c r="FG44" s="67"/>
      <c r="FH44" s="67"/>
      <c r="FI44" s="67"/>
      <c r="FJ44" s="67"/>
      <c r="FK44" s="67"/>
      <c r="FL44" s="67"/>
      <c r="FM44" s="67"/>
      <c r="FN44" s="67"/>
      <c r="FO44" s="67"/>
      <c r="FP44" s="67"/>
      <c r="FQ44" s="67"/>
      <c r="FR44" s="67"/>
      <c r="FS44" s="67"/>
      <c r="FT44" s="67"/>
    </row>
    <row r="45" spans="1:176" x14ac:dyDescent="0.25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/>
      <c r="BH45" s="67"/>
      <c r="BI45" s="67"/>
      <c r="BJ45" s="67"/>
      <c r="BK45" s="67"/>
      <c r="BL45" s="67"/>
      <c r="BM45" s="67"/>
      <c r="BN45" s="67"/>
      <c r="BO45" s="67"/>
      <c r="BP45" s="67"/>
      <c r="BQ45" s="67"/>
      <c r="BR45" s="67"/>
      <c r="BS45" s="67"/>
      <c r="BT45" s="67"/>
      <c r="BU45" s="67"/>
      <c r="BV45" s="67"/>
      <c r="BW45" s="67"/>
      <c r="BX45" s="67"/>
      <c r="BY45" s="67"/>
      <c r="BZ45" s="67"/>
      <c r="CA45" s="67"/>
      <c r="CB45" s="67"/>
      <c r="CC45" s="67"/>
      <c r="CD45" s="67"/>
      <c r="CE45" s="67"/>
      <c r="CF45" s="67"/>
      <c r="CG45" s="67"/>
      <c r="CH45" s="67"/>
      <c r="CI45" s="67"/>
      <c r="CJ45" s="67"/>
      <c r="CK45" s="67"/>
      <c r="CL45" s="67"/>
      <c r="CM45" s="67"/>
      <c r="CN45" s="67"/>
      <c r="CO45" s="67"/>
      <c r="CP45" s="67"/>
      <c r="CQ45" s="67"/>
      <c r="CR45" s="67"/>
      <c r="CS45" s="67"/>
      <c r="CT45" s="67"/>
      <c r="CU45" s="67"/>
      <c r="CV45" s="67"/>
      <c r="CW45" s="67"/>
      <c r="CX45" s="67"/>
      <c r="CY45" s="67"/>
      <c r="CZ45" s="67"/>
      <c r="DA45" s="67"/>
      <c r="DB45" s="67"/>
      <c r="DC45" s="67"/>
      <c r="DD45" s="67"/>
      <c r="DE45" s="67"/>
      <c r="DF45" s="67"/>
      <c r="DG45" s="67"/>
      <c r="DH45" s="67"/>
      <c r="DI45" s="67"/>
      <c r="DJ45" s="67"/>
      <c r="DK45" s="67"/>
      <c r="DL45" s="67"/>
      <c r="DM45" s="67"/>
      <c r="DN45" s="67"/>
      <c r="DO45" s="67"/>
      <c r="DP45" s="67"/>
      <c r="DQ45" s="67"/>
      <c r="DR45" s="67"/>
      <c r="DS45" s="67"/>
      <c r="DT45" s="67"/>
      <c r="DU45" s="67"/>
      <c r="DV45" s="67"/>
      <c r="DW45" s="67"/>
      <c r="DX45" s="67"/>
      <c r="DY45" s="67"/>
      <c r="DZ45" s="67"/>
      <c r="EA45" s="67"/>
      <c r="EB45" s="67"/>
      <c r="EC45" s="67"/>
      <c r="ED45" s="67"/>
      <c r="EE45" s="67"/>
      <c r="EF45" s="67"/>
      <c r="EG45" s="67"/>
      <c r="EH45" s="67"/>
      <c r="EI45" s="67"/>
      <c r="EJ45" s="67"/>
      <c r="EK45" s="67"/>
      <c r="EL45" s="67"/>
      <c r="EM45" s="67"/>
      <c r="EN45" s="83"/>
      <c r="EO45" s="83"/>
      <c r="EP45" s="83"/>
      <c r="EQ45" s="83"/>
      <c r="ER45" s="83"/>
      <c r="ES45" s="67"/>
      <c r="ET45" s="67"/>
      <c r="EU45" s="67"/>
      <c r="EV45" s="67"/>
      <c r="EW45" s="67"/>
      <c r="EX45" s="67"/>
      <c r="EY45" s="67"/>
      <c r="EZ45" s="67"/>
      <c r="FA45" s="67"/>
      <c r="FB45" s="67"/>
      <c r="FC45" s="67"/>
      <c r="FD45" s="67"/>
      <c r="FE45" s="67"/>
      <c r="FF45" s="67"/>
      <c r="FG45" s="67"/>
      <c r="FH45" s="67"/>
      <c r="FI45" s="67"/>
      <c r="FJ45" s="67"/>
      <c r="FK45" s="67"/>
      <c r="FL45" s="67"/>
      <c r="FM45" s="67"/>
      <c r="FN45" s="67"/>
      <c r="FO45" s="67"/>
      <c r="FP45" s="67"/>
      <c r="FQ45" s="67"/>
      <c r="FR45" s="67"/>
      <c r="FS45" s="67"/>
      <c r="FT45" s="67"/>
    </row>
    <row r="46" spans="1:176" x14ac:dyDescent="0.25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/>
      <c r="BH46" s="67"/>
      <c r="BI46" s="67"/>
      <c r="BJ46" s="67"/>
      <c r="BK46" s="67"/>
      <c r="BL46" s="67"/>
      <c r="BM46" s="67"/>
      <c r="BN46" s="67"/>
      <c r="BO46" s="67"/>
      <c r="BP46" s="67"/>
      <c r="BQ46" s="67"/>
      <c r="BR46" s="67"/>
      <c r="BS46" s="67"/>
      <c r="BT46" s="67"/>
      <c r="BU46" s="67"/>
      <c r="BV46" s="67"/>
      <c r="BW46" s="67"/>
      <c r="BX46" s="67"/>
      <c r="BY46" s="67"/>
      <c r="BZ46" s="67"/>
      <c r="CA46" s="67"/>
      <c r="CB46" s="67"/>
      <c r="CC46" s="67"/>
      <c r="CD46" s="67"/>
      <c r="CE46" s="67"/>
      <c r="CF46" s="67"/>
      <c r="CG46" s="67"/>
      <c r="CH46" s="67"/>
      <c r="CI46" s="67"/>
      <c r="CJ46" s="67"/>
      <c r="CK46" s="67"/>
      <c r="CL46" s="67"/>
      <c r="CM46" s="67"/>
      <c r="CN46" s="67"/>
      <c r="CO46" s="67"/>
      <c r="CP46" s="67"/>
      <c r="CQ46" s="67"/>
      <c r="CR46" s="67"/>
      <c r="CS46" s="67"/>
      <c r="CT46" s="67"/>
      <c r="CU46" s="67"/>
      <c r="CV46" s="67"/>
      <c r="CW46" s="67"/>
      <c r="CX46" s="67"/>
      <c r="CY46" s="67"/>
      <c r="CZ46" s="67"/>
      <c r="DA46" s="67"/>
      <c r="DB46" s="67"/>
      <c r="DC46" s="67"/>
      <c r="DD46" s="67"/>
      <c r="DE46" s="67"/>
      <c r="DF46" s="67"/>
      <c r="DG46" s="67"/>
      <c r="DH46" s="67"/>
      <c r="DI46" s="67"/>
      <c r="DJ46" s="67"/>
      <c r="DK46" s="67"/>
      <c r="DL46" s="67"/>
      <c r="DM46" s="67"/>
      <c r="DN46" s="67"/>
      <c r="DO46" s="67"/>
      <c r="DP46" s="67"/>
      <c r="DQ46" s="67"/>
      <c r="DR46" s="67"/>
      <c r="DS46" s="67"/>
      <c r="DT46" s="67"/>
      <c r="DU46" s="67"/>
      <c r="DV46" s="67"/>
      <c r="DW46" s="67"/>
      <c r="DX46" s="67"/>
      <c r="DY46" s="67"/>
      <c r="DZ46" s="67"/>
      <c r="EA46" s="67"/>
      <c r="EB46" s="67"/>
      <c r="EC46" s="67"/>
      <c r="ED46" s="67"/>
      <c r="EE46" s="67"/>
      <c r="EF46" s="67"/>
      <c r="EG46" s="67"/>
      <c r="EH46" s="67"/>
      <c r="EI46" s="67"/>
      <c r="EJ46" s="67"/>
      <c r="EK46" s="67"/>
      <c r="EL46" s="67"/>
      <c r="EM46" s="67"/>
      <c r="EN46" s="83"/>
      <c r="EO46" s="83"/>
      <c r="EP46" s="83"/>
      <c r="EQ46" s="83"/>
      <c r="ER46" s="83"/>
      <c r="ES46" s="67"/>
      <c r="ET46" s="67"/>
      <c r="EU46" s="67"/>
      <c r="EV46" s="67"/>
      <c r="EW46" s="67"/>
      <c r="EX46" s="67"/>
      <c r="EY46" s="67"/>
      <c r="EZ46" s="67"/>
      <c r="FA46" s="67"/>
      <c r="FB46" s="67"/>
      <c r="FC46" s="67"/>
      <c r="FD46" s="67"/>
      <c r="FE46" s="67"/>
      <c r="FF46" s="67"/>
      <c r="FG46" s="67"/>
      <c r="FH46" s="67"/>
      <c r="FI46" s="67"/>
      <c r="FJ46" s="67"/>
      <c r="FK46" s="67"/>
      <c r="FL46" s="67"/>
      <c r="FM46" s="67"/>
      <c r="FN46" s="67"/>
      <c r="FO46" s="67"/>
      <c r="FP46" s="67"/>
      <c r="FQ46" s="67"/>
      <c r="FR46" s="67"/>
      <c r="FS46" s="67"/>
      <c r="FT46" s="67"/>
    </row>
    <row r="47" spans="1:176" x14ac:dyDescent="0.25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7"/>
      <c r="CP47" s="67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7"/>
      <c r="DE47" s="67"/>
      <c r="DF47" s="67"/>
      <c r="DG47" s="67"/>
      <c r="DH47" s="67"/>
      <c r="DI47" s="67"/>
      <c r="DJ47" s="67"/>
      <c r="DK47" s="67"/>
      <c r="DL47" s="67"/>
      <c r="DM47" s="67"/>
      <c r="DN47" s="67"/>
      <c r="DO47" s="67"/>
      <c r="DP47" s="67"/>
      <c r="DQ47" s="67"/>
      <c r="DR47" s="67"/>
      <c r="DS47" s="67"/>
      <c r="DT47" s="67"/>
      <c r="DU47" s="67"/>
      <c r="DV47" s="67"/>
      <c r="DW47" s="67"/>
      <c r="DX47" s="67"/>
      <c r="DY47" s="67"/>
      <c r="DZ47" s="67"/>
      <c r="EA47" s="67"/>
      <c r="EB47" s="67"/>
      <c r="EC47" s="67"/>
      <c r="ED47" s="67"/>
      <c r="EE47" s="67"/>
      <c r="EF47" s="67"/>
      <c r="EG47" s="67"/>
      <c r="EH47" s="67"/>
      <c r="EI47" s="67"/>
      <c r="EJ47" s="67"/>
      <c r="EK47" s="67"/>
      <c r="EL47" s="67"/>
      <c r="EM47" s="67"/>
      <c r="EN47" s="83"/>
      <c r="EO47" s="83"/>
      <c r="EP47" s="83"/>
      <c r="EQ47" s="83"/>
      <c r="ER47" s="83"/>
      <c r="ES47" s="67"/>
      <c r="ET47" s="67"/>
      <c r="EU47" s="67"/>
      <c r="EV47" s="67"/>
      <c r="EW47" s="67"/>
      <c r="EX47" s="67"/>
      <c r="EY47" s="67"/>
      <c r="EZ47" s="67"/>
      <c r="FA47" s="67"/>
      <c r="FB47" s="67"/>
      <c r="FC47" s="67"/>
      <c r="FD47" s="67"/>
      <c r="FE47" s="67"/>
      <c r="FF47" s="67"/>
      <c r="FG47" s="67"/>
      <c r="FH47" s="67"/>
      <c r="FI47" s="67"/>
      <c r="FJ47" s="67"/>
      <c r="FK47" s="67"/>
      <c r="FL47" s="67"/>
      <c r="FM47" s="67"/>
      <c r="FN47" s="67"/>
      <c r="FO47" s="67"/>
      <c r="FP47" s="67"/>
      <c r="FQ47" s="67"/>
      <c r="FR47" s="67"/>
      <c r="FS47" s="67"/>
      <c r="FT47" s="67"/>
    </row>
    <row r="48" spans="1:176" x14ac:dyDescent="0.25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67"/>
      <c r="CY48" s="67"/>
      <c r="CZ48" s="67"/>
      <c r="DA48" s="67"/>
      <c r="DB48" s="67"/>
      <c r="DC48" s="67"/>
      <c r="DD48" s="67"/>
      <c r="DE48" s="67"/>
      <c r="DF48" s="67"/>
      <c r="DG48" s="67"/>
      <c r="DH48" s="67"/>
      <c r="DI48" s="67"/>
      <c r="DJ48" s="67"/>
      <c r="DK48" s="67"/>
      <c r="DL48" s="67"/>
      <c r="DM48" s="67"/>
      <c r="DN48" s="67"/>
      <c r="DO48" s="67"/>
      <c r="DP48" s="67"/>
      <c r="DQ48" s="67"/>
      <c r="DR48" s="67"/>
      <c r="DS48" s="67"/>
      <c r="DT48" s="67"/>
      <c r="DU48" s="67"/>
      <c r="DV48" s="67"/>
      <c r="DW48" s="67"/>
      <c r="DX48" s="67"/>
      <c r="DY48" s="67"/>
      <c r="DZ48" s="67"/>
      <c r="EA48" s="67"/>
      <c r="EB48" s="67"/>
      <c r="EC48" s="67"/>
      <c r="ED48" s="67"/>
      <c r="EE48" s="67"/>
      <c r="EF48" s="67"/>
      <c r="EG48" s="67"/>
      <c r="EH48" s="67"/>
      <c r="EI48" s="67"/>
      <c r="EJ48" s="67"/>
      <c r="EK48" s="67"/>
      <c r="EL48" s="67"/>
      <c r="EM48" s="67"/>
      <c r="EN48" s="83"/>
      <c r="EO48" s="83"/>
      <c r="EP48" s="83"/>
      <c r="EQ48" s="83"/>
      <c r="ER48" s="83"/>
      <c r="ES48" s="67"/>
      <c r="ET48" s="67"/>
      <c r="EU48" s="67"/>
      <c r="EV48" s="67"/>
      <c r="EW48" s="67"/>
      <c r="EX48" s="67"/>
      <c r="EY48" s="67"/>
      <c r="EZ48" s="67"/>
      <c r="FA48" s="67"/>
      <c r="FB48" s="67"/>
      <c r="FC48" s="67"/>
      <c r="FD48" s="67"/>
      <c r="FE48" s="67"/>
      <c r="FF48" s="67"/>
      <c r="FG48" s="67"/>
      <c r="FH48" s="67"/>
      <c r="FI48" s="67"/>
      <c r="FJ48" s="67"/>
      <c r="FK48" s="67"/>
      <c r="FL48" s="67"/>
      <c r="FM48" s="67"/>
      <c r="FN48" s="67"/>
      <c r="FO48" s="67"/>
      <c r="FP48" s="67"/>
      <c r="FQ48" s="67"/>
      <c r="FR48" s="67"/>
      <c r="FS48" s="67"/>
      <c r="FT48" s="67"/>
    </row>
    <row r="49" spans="1:176" x14ac:dyDescent="0.25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/>
      <c r="BH49" s="67"/>
      <c r="BI49" s="67"/>
      <c r="BJ49" s="67"/>
      <c r="BK49" s="67"/>
      <c r="BL49" s="67"/>
      <c r="BM49" s="67"/>
      <c r="BN49" s="67"/>
      <c r="BO49" s="67"/>
      <c r="BP49" s="67"/>
      <c r="BQ49" s="67"/>
      <c r="BR49" s="67"/>
      <c r="BS49" s="67"/>
      <c r="BT49" s="67"/>
      <c r="BU49" s="67"/>
      <c r="BV49" s="67"/>
      <c r="BW49" s="67"/>
      <c r="BX49" s="67"/>
      <c r="BY49" s="67"/>
      <c r="BZ49" s="67"/>
      <c r="CA49" s="67"/>
      <c r="CB49" s="67"/>
      <c r="CC49" s="67"/>
      <c r="CD49" s="67"/>
      <c r="CE49" s="67"/>
      <c r="CF49" s="67"/>
      <c r="CG49" s="67"/>
      <c r="CH49" s="67"/>
      <c r="CI49" s="67"/>
      <c r="CJ49" s="67"/>
      <c r="CK49" s="67"/>
      <c r="CL49" s="67"/>
      <c r="CM49" s="67"/>
      <c r="CN49" s="67"/>
      <c r="CO49" s="67"/>
      <c r="CP49" s="67"/>
      <c r="CQ49" s="67"/>
      <c r="CR49" s="67"/>
      <c r="CS49" s="67"/>
      <c r="CT49" s="67"/>
      <c r="CU49" s="67"/>
      <c r="CV49" s="67"/>
      <c r="CW49" s="67"/>
      <c r="CX49" s="67"/>
      <c r="CY49" s="67"/>
      <c r="CZ49" s="67"/>
      <c r="DA49" s="67"/>
      <c r="DB49" s="67"/>
      <c r="DC49" s="67"/>
      <c r="DD49" s="67"/>
      <c r="DE49" s="67"/>
      <c r="DF49" s="67"/>
      <c r="DG49" s="67"/>
      <c r="DH49" s="67"/>
      <c r="DI49" s="67"/>
      <c r="DJ49" s="67"/>
      <c r="DK49" s="67"/>
      <c r="DL49" s="67"/>
      <c r="DM49" s="67"/>
      <c r="DN49" s="67"/>
      <c r="DO49" s="67"/>
      <c r="DP49" s="67"/>
      <c r="DQ49" s="67"/>
      <c r="DR49" s="67"/>
      <c r="DS49" s="67"/>
      <c r="DT49" s="67"/>
      <c r="DU49" s="67"/>
      <c r="DV49" s="67"/>
      <c r="DW49" s="67"/>
      <c r="DX49" s="67"/>
      <c r="DY49" s="67"/>
      <c r="DZ49" s="67"/>
      <c r="EA49" s="67"/>
      <c r="EB49" s="67"/>
      <c r="EC49" s="67"/>
      <c r="ED49" s="67"/>
      <c r="EE49" s="67"/>
      <c r="EF49" s="67"/>
      <c r="EG49" s="67"/>
      <c r="EH49" s="67"/>
      <c r="EI49" s="67"/>
      <c r="EJ49" s="67"/>
      <c r="EK49" s="67"/>
      <c r="EL49" s="67"/>
      <c r="EM49" s="67"/>
      <c r="EN49" s="83"/>
      <c r="EO49" s="83"/>
      <c r="EP49" s="83"/>
      <c r="EQ49" s="83"/>
      <c r="ER49" s="83"/>
      <c r="ES49" s="67"/>
      <c r="ET49" s="67"/>
      <c r="EU49" s="67"/>
      <c r="EV49" s="67"/>
      <c r="EW49" s="67"/>
      <c r="EX49" s="67"/>
      <c r="EY49" s="67"/>
      <c r="EZ49" s="67"/>
      <c r="FA49" s="67"/>
      <c r="FB49" s="67"/>
      <c r="FC49" s="67"/>
      <c r="FD49" s="67"/>
      <c r="FE49" s="67"/>
      <c r="FF49" s="67"/>
      <c r="FG49" s="67"/>
      <c r="FH49" s="67"/>
      <c r="FI49" s="67"/>
      <c r="FJ49" s="67"/>
      <c r="FK49" s="67"/>
      <c r="FL49" s="67"/>
      <c r="FM49" s="67"/>
      <c r="FN49" s="67"/>
      <c r="FO49" s="67"/>
      <c r="FP49" s="67"/>
      <c r="FQ49" s="67"/>
      <c r="FR49" s="67"/>
      <c r="FS49" s="67"/>
      <c r="FT49" s="67"/>
    </row>
    <row r="50" spans="1:176" x14ac:dyDescent="0.25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/>
      <c r="BH50" s="67"/>
      <c r="BI50" s="67"/>
      <c r="BJ50" s="67"/>
      <c r="BK50" s="67"/>
      <c r="BL50" s="67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7"/>
      <c r="CA50" s="67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7"/>
      <c r="CP50" s="67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7"/>
      <c r="DE50" s="67"/>
      <c r="DF50" s="67"/>
      <c r="DG50" s="67"/>
      <c r="DH50" s="67"/>
      <c r="DI50" s="67"/>
      <c r="DJ50" s="67"/>
      <c r="DK50" s="67"/>
      <c r="DL50" s="67"/>
      <c r="DM50" s="67"/>
      <c r="DN50" s="67"/>
      <c r="DO50" s="67"/>
      <c r="DP50" s="67"/>
      <c r="DQ50" s="67"/>
      <c r="DR50" s="67"/>
      <c r="DS50" s="67"/>
      <c r="DT50" s="67"/>
      <c r="DU50" s="67"/>
      <c r="DV50" s="67"/>
      <c r="DW50" s="67"/>
      <c r="DX50" s="67"/>
      <c r="DY50" s="67"/>
      <c r="DZ50" s="67"/>
      <c r="EA50" s="67"/>
      <c r="EB50" s="67"/>
      <c r="EC50" s="67"/>
      <c r="ED50" s="67"/>
      <c r="EE50" s="67"/>
      <c r="EF50" s="67"/>
      <c r="EG50" s="67"/>
      <c r="EH50" s="67"/>
      <c r="EI50" s="67"/>
      <c r="EJ50" s="67"/>
      <c r="EK50" s="67"/>
      <c r="EL50" s="67"/>
      <c r="EM50" s="67"/>
      <c r="EN50" s="83"/>
      <c r="EO50" s="83"/>
      <c r="EP50" s="83"/>
      <c r="EQ50" s="83"/>
      <c r="ER50" s="83"/>
      <c r="ES50" s="67"/>
      <c r="ET50" s="67"/>
      <c r="EU50" s="67"/>
      <c r="EV50" s="67"/>
      <c r="EW50" s="67"/>
      <c r="EX50" s="67"/>
      <c r="EY50" s="67"/>
      <c r="EZ50" s="67"/>
      <c r="FA50" s="67"/>
      <c r="FB50" s="67"/>
      <c r="FC50" s="67"/>
      <c r="FD50" s="67"/>
      <c r="FE50" s="67"/>
      <c r="FF50" s="67"/>
      <c r="FG50" s="67"/>
      <c r="FH50" s="67"/>
      <c r="FI50" s="67"/>
      <c r="FJ50" s="67"/>
      <c r="FK50" s="67"/>
      <c r="FL50" s="67"/>
      <c r="FM50" s="67"/>
      <c r="FN50" s="67"/>
      <c r="FO50" s="67"/>
      <c r="FP50" s="67"/>
      <c r="FQ50" s="67"/>
      <c r="FR50" s="67"/>
      <c r="FS50" s="67"/>
      <c r="FT50" s="67"/>
    </row>
    <row r="51" spans="1:176" x14ac:dyDescent="0.25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/>
      <c r="BH51" s="67"/>
      <c r="BI51" s="67"/>
      <c r="BJ51" s="67"/>
      <c r="BK51" s="67"/>
      <c r="BL51" s="67"/>
      <c r="BM51" s="67"/>
      <c r="BN51" s="67"/>
      <c r="BO51" s="67"/>
      <c r="BP51" s="67"/>
      <c r="BQ51" s="67"/>
      <c r="BR51" s="67"/>
      <c r="BS51" s="67"/>
      <c r="BT51" s="67"/>
      <c r="BU51" s="67"/>
      <c r="BV51" s="67"/>
      <c r="BW51" s="67"/>
      <c r="BX51" s="67"/>
      <c r="BY51" s="67"/>
      <c r="BZ51" s="67"/>
      <c r="CA51" s="67"/>
      <c r="CB51" s="67"/>
      <c r="CC51" s="67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67"/>
      <c r="CP51" s="67"/>
      <c r="CQ51" s="67"/>
      <c r="CR51" s="67"/>
      <c r="CS51" s="67"/>
      <c r="CT51" s="67"/>
      <c r="CU51" s="67"/>
      <c r="CV51" s="67"/>
      <c r="CW51" s="67"/>
      <c r="CX51" s="67"/>
      <c r="CY51" s="67"/>
      <c r="CZ51" s="67"/>
      <c r="DA51" s="67"/>
      <c r="DB51" s="67"/>
      <c r="DC51" s="67"/>
      <c r="DD51" s="67"/>
      <c r="DE51" s="67"/>
      <c r="DF51" s="67"/>
      <c r="DG51" s="67"/>
      <c r="DH51" s="67"/>
      <c r="DI51" s="67"/>
      <c r="DJ51" s="67"/>
      <c r="DK51" s="67"/>
      <c r="DL51" s="67"/>
      <c r="DM51" s="67"/>
      <c r="DN51" s="67"/>
      <c r="DO51" s="67"/>
      <c r="DP51" s="67"/>
      <c r="DQ51" s="67"/>
      <c r="DR51" s="67"/>
      <c r="DS51" s="67"/>
      <c r="DT51" s="67"/>
      <c r="DU51" s="67"/>
      <c r="DV51" s="67"/>
      <c r="DW51" s="67"/>
      <c r="DX51" s="67"/>
      <c r="DY51" s="67"/>
      <c r="DZ51" s="67"/>
      <c r="EA51" s="67"/>
      <c r="EB51" s="67"/>
      <c r="EC51" s="67"/>
      <c r="ED51" s="67"/>
      <c r="EE51" s="67"/>
      <c r="EF51" s="67"/>
      <c r="EG51" s="67"/>
      <c r="EH51" s="67"/>
      <c r="EI51" s="67"/>
      <c r="EJ51" s="67"/>
      <c r="EK51" s="67"/>
      <c r="EL51" s="67"/>
      <c r="EM51" s="67"/>
      <c r="EN51" s="83"/>
      <c r="EO51" s="83"/>
      <c r="EP51" s="83"/>
      <c r="EQ51" s="83"/>
      <c r="ER51" s="83"/>
      <c r="ES51" s="67"/>
      <c r="ET51" s="67"/>
      <c r="EU51" s="67"/>
      <c r="EV51" s="67"/>
      <c r="EW51" s="67"/>
      <c r="EX51" s="67"/>
      <c r="EY51" s="67"/>
      <c r="EZ51" s="67"/>
      <c r="FA51" s="67"/>
      <c r="FB51" s="67"/>
      <c r="FC51" s="67"/>
      <c r="FD51" s="67"/>
      <c r="FE51" s="67"/>
      <c r="FF51" s="67"/>
      <c r="FG51" s="67"/>
      <c r="FH51" s="67"/>
      <c r="FI51" s="67"/>
      <c r="FJ51" s="67"/>
      <c r="FK51" s="67"/>
      <c r="FL51" s="67"/>
      <c r="FM51" s="67"/>
      <c r="FN51" s="67"/>
      <c r="FO51" s="67"/>
      <c r="FP51" s="67"/>
      <c r="FQ51" s="67"/>
      <c r="FR51" s="67"/>
      <c r="FS51" s="67"/>
      <c r="FT51" s="67"/>
    </row>
    <row r="52" spans="1:176" x14ac:dyDescent="0.25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  <c r="BQ52" s="67"/>
      <c r="BR52" s="67"/>
      <c r="BS52" s="67"/>
      <c r="BT52" s="67"/>
      <c r="BU52" s="67"/>
      <c r="BV52" s="67"/>
      <c r="BW52" s="67"/>
      <c r="BX52" s="67"/>
      <c r="BY52" s="67"/>
      <c r="BZ52" s="67"/>
      <c r="CA52" s="67"/>
      <c r="CB52" s="67"/>
      <c r="CC52" s="67"/>
      <c r="CD52" s="67"/>
      <c r="CE52" s="67"/>
      <c r="CF52" s="67"/>
      <c r="CG52" s="67"/>
      <c r="CH52" s="67"/>
      <c r="CI52" s="67"/>
      <c r="CJ52" s="67"/>
      <c r="CK52" s="67"/>
      <c r="CL52" s="67"/>
      <c r="CM52" s="67"/>
      <c r="CN52" s="67"/>
      <c r="CO52" s="67"/>
      <c r="CP52" s="67"/>
      <c r="CQ52" s="67"/>
      <c r="CR52" s="67"/>
      <c r="CS52" s="67"/>
      <c r="CT52" s="67"/>
      <c r="CU52" s="67"/>
      <c r="CV52" s="67"/>
      <c r="CW52" s="67"/>
      <c r="CX52" s="67"/>
      <c r="CY52" s="67"/>
      <c r="CZ52" s="67"/>
      <c r="DA52" s="67"/>
      <c r="DB52" s="67"/>
      <c r="DC52" s="67"/>
      <c r="DD52" s="67"/>
      <c r="DE52" s="67"/>
      <c r="DF52" s="67"/>
      <c r="DG52" s="67"/>
      <c r="DH52" s="67"/>
      <c r="DI52" s="67"/>
      <c r="DJ52" s="67"/>
      <c r="DK52" s="67"/>
      <c r="DL52" s="67"/>
      <c r="DM52" s="67"/>
      <c r="DN52" s="67"/>
      <c r="DO52" s="67"/>
      <c r="DP52" s="67"/>
      <c r="DQ52" s="67"/>
      <c r="DR52" s="67"/>
      <c r="DS52" s="67"/>
      <c r="DT52" s="67"/>
      <c r="DU52" s="67"/>
      <c r="DV52" s="67"/>
      <c r="DW52" s="67"/>
      <c r="DX52" s="67"/>
      <c r="DY52" s="67"/>
      <c r="DZ52" s="67"/>
      <c r="EA52" s="67"/>
      <c r="EB52" s="67"/>
      <c r="EC52" s="67"/>
      <c r="ED52" s="67"/>
      <c r="EE52" s="67"/>
      <c r="EF52" s="67"/>
      <c r="EG52" s="67"/>
      <c r="EH52" s="67"/>
      <c r="EI52" s="67"/>
      <c r="EJ52" s="67"/>
      <c r="EK52" s="67"/>
      <c r="EL52" s="67"/>
      <c r="EM52" s="67"/>
      <c r="EN52" s="83"/>
      <c r="EO52" s="83"/>
      <c r="EP52" s="83"/>
      <c r="EQ52" s="83"/>
      <c r="ER52" s="83"/>
      <c r="ES52" s="67"/>
      <c r="ET52" s="67"/>
      <c r="EU52" s="67"/>
      <c r="EV52" s="67"/>
      <c r="EW52" s="67"/>
      <c r="EX52" s="67"/>
      <c r="EY52" s="67"/>
      <c r="EZ52" s="67"/>
      <c r="FA52" s="67"/>
      <c r="FB52" s="67"/>
      <c r="FC52" s="67"/>
      <c r="FD52" s="67"/>
      <c r="FE52" s="67"/>
      <c r="FF52" s="67"/>
      <c r="FG52" s="67"/>
      <c r="FH52" s="67"/>
      <c r="FI52" s="67"/>
      <c r="FJ52" s="67"/>
      <c r="FK52" s="67"/>
      <c r="FL52" s="67"/>
      <c r="FM52" s="67"/>
      <c r="FN52" s="67"/>
      <c r="FO52" s="67"/>
      <c r="FP52" s="67"/>
      <c r="FQ52" s="67"/>
      <c r="FR52" s="67"/>
      <c r="FS52" s="67"/>
      <c r="FT52" s="67"/>
    </row>
    <row r="53" spans="1:176" x14ac:dyDescent="0.25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67"/>
      <c r="BY53" s="67"/>
      <c r="BZ53" s="67"/>
      <c r="CA53" s="67"/>
      <c r="CB53" s="67"/>
      <c r="CC53" s="67"/>
      <c r="CD53" s="67"/>
      <c r="CE53" s="67"/>
      <c r="CF53" s="67"/>
      <c r="CG53" s="67"/>
      <c r="CH53" s="67"/>
      <c r="CI53" s="67"/>
      <c r="CJ53" s="67"/>
      <c r="CK53" s="67"/>
      <c r="CL53" s="67"/>
      <c r="CM53" s="67"/>
      <c r="CN53" s="67"/>
      <c r="CO53" s="67"/>
      <c r="CP53" s="67"/>
      <c r="CQ53" s="67"/>
      <c r="CR53" s="67"/>
      <c r="CS53" s="67"/>
      <c r="CT53" s="67"/>
      <c r="CU53" s="67"/>
      <c r="CV53" s="67"/>
      <c r="CW53" s="67"/>
      <c r="CX53" s="67"/>
      <c r="CY53" s="67"/>
      <c r="CZ53" s="67"/>
      <c r="DA53" s="67"/>
      <c r="DB53" s="67"/>
      <c r="DC53" s="67"/>
      <c r="DD53" s="67"/>
      <c r="DE53" s="67"/>
      <c r="DF53" s="67"/>
      <c r="DG53" s="67"/>
      <c r="DH53" s="67"/>
      <c r="DI53" s="67"/>
      <c r="DJ53" s="67"/>
      <c r="DK53" s="67"/>
      <c r="DL53" s="67"/>
      <c r="DM53" s="67"/>
      <c r="DN53" s="67"/>
      <c r="DO53" s="67"/>
      <c r="DP53" s="67"/>
      <c r="DQ53" s="67"/>
      <c r="DR53" s="67"/>
      <c r="DS53" s="67"/>
      <c r="DT53" s="67"/>
      <c r="DU53" s="67"/>
      <c r="DV53" s="67"/>
      <c r="DW53" s="67"/>
      <c r="DX53" s="67"/>
      <c r="DY53" s="67"/>
      <c r="DZ53" s="67"/>
      <c r="EA53" s="67"/>
      <c r="EB53" s="67"/>
      <c r="EC53" s="67"/>
      <c r="ED53" s="67"/>
      <c r="EE53" s="67"/>
      <c r="EF53" s="67"/>
      <c r="EG53" s="67"/>
      <c r="EH53" s="67"/>
      <c r="EI53" s="67"/>
      <c r="EJ53" s="67"/>
      <c r="EK53" s="67"/>
      <c r="EL53" s="67"/>
      <c r="EM53" s="67"/>
      <c r="EN53" s="83"/>
      <c r="EO53" s="83"/>
      <c r="EP53" s="83"/>
      <c r="EQ53" s="83"/>
      <c r="ER53" s="83"/>
      <c r="ES53" s="67"/>
      <c r="ET53" s="67"/>
      <c r="EU53" s="67"/>
      <c r="EV53" s="67"/>
      <c r="EW53" s="67"/>
      <c r="EX53" s="67"/>
      <c r="EY53" s="67"/>
      <c r="EZ53" s="67"/>
      <c r="FA53" s="67"/>
      <c r="FB53" s="67"/>
      <c r="FC53" s="67"/>
      <c r="FD53" s="67"/>
      <c r="FE53" s="67"/>
      <c r="FF53" s="67"/>
      <c r="FG53" s="67"/>
      <c r="FH53" s="67"/>
      <c r="FI53" s="67"/>
      <c r="FJ53" s="67"/>
      <c r="FK53" s="67"/>
      <c r="FL53" s="67"/>
      <c r="FM53" s="67"/>
      <c r="FN53" s="67"/>
      <c r="FO53" s="67"/>
      <c r="FP53" s="67"/>
      <c r="FQ53" s="67"/>
      <c r="FR53" s="67"/>
      <c r="FS53" s="67"/>
      <c r="FT53" s="67"/>
    </row>
    <row r="54" spans="1:176" x14ac:dyDescent="0.25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/>
      <c r="BH54" s="67"/>
      <c r="BI54" s="67"/>
      <c r="BJ54" s="67"/>
      <c r="BK54" s="67"/>
      <c r="BL54" s="67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7"/>
      <c r="CA54" s="67"/>
      <c r="CB54" s="67"/>
      <c r="CC54" s="67"/>
      <c r="CD54" s="67"/>
      <c r="CE54" s="67"/>
      <c r="CF54" s="67"/>
      <c r="CG54" s="67"/>
      <c r="CH54" s="67"/>
      <c r="CI54" s="67"/>
      <c r="CJ54" s="67"/>
      <c r="CK54" s="67"/>
      <c r="CL54" s="67"/>
      <c r="CM54" s="67"/>
      <c r="CN54" s="67"/>
      <c r="CO54" s="67"/>
      <c r="CP54" s="67"/>
      <c r="CQ54" s="67"/>
      <c r="CR54" s="67"/>
      <c r="CS54" s="67"/>
      <c r="CT54" s="67"/>
      <c r="CU54" s="67"/>
      <c r="CV54" s="67"/>
      <c r="CW54" s="67"/>
      <c r="CX54" s="67"/>
      <c r="CY54" s="67"/>
      <c r="CZ54" s="67"/>
      <c r="DA54" s="67"/>
      <c r="DB54" s="67"/>
      <c r="DC54" s="67"/>
      <c r="DD54" s="67"/>
      <c r="DE54" s="67"/>
      <c r="DF54" s="67"/>
      <c r="DG54" s="67"/>
      <c r="DH54" s="67"/>
      <c r="DI54" s="67"/>
      <c r="DJ54" s="67"/>
      <c r="DK54" s="67"/>
      <c r="DL54" s="67"/>
      <c r="DM54" s="67"/>
      <c r="DN54" s="67"/>
      <c r="DO54" s="67"/>
      <c r="DP54" s="67"/>
      <c r="DQ54" s="67"/>
      <c r="DR54" s="67"/>
      <c r="DS54" s="67"/>
      <c r="DT54" s="67"/>
      <c r="DU54" s="67"/>
      <c r="DV54" s="67"/>
      <c r="DW54" s="67"/>
      <c r="DX54" s="67"/>
      <c r="DY54" s="67"/>
      <c r="DZ54" s="67"/>
      <c r="EA54" s="67"/>
      <c r="EB54" s="67"/>
      <c r="EC54" s="67"/>
      <c r="ED54" s="67"/>
      <c r="EE54" s="67"/>
      <c r="EF54" s="67"/>
      <c r="EG54" s="67"/>
      <c r="EH54" s="67"/>
      <c r="EI54" s="67"/>
      <c r="EJ54" s="67"/>
      <c r="EK54" s="67"/>
      <c r="EL54" s="67"/>
      <c r="EM54" s="67"/>
      <c r="EN54" s="83"/>
      <c r="EO54" s="83"/>
      <c r="EP54" s="83"/>
      <c r="EQ54" s="83"/>
      <c r="ER54" s="83"/>
      <c r="ES54" s="67"/>
      <c r="ET54" s="67"/>
      <c r="EU54" s="67"/>
      <c r="EV54" s="67"/>
      <c r="EW54" s="67"/>
      <c r="EX54" s="67"/>
      <c r="EY54" s="67"/>
      <c r="EZ54" s="67"/>
      <c r="FA54" s="67"/>
      <c r="FB54" s="67"/>
      <c r="FC54" s="67"/>
      <c r="FD54" s="67"/>
      <c r="FE54" s="67"/>
      <c r="FF54" s="67"/>
      <c r="FG54" s="67"/>
      <c r="FH54" s="67"/>
      <c r="FI54" s="67"/>
      <c r="FJ54" s="67"/>
      <c r="FK54" s="67"/>
      <c r="FL54" s="67"/>
      <c r="FM54" s="67"/>
      <c r="FN54" s="67"/>
      <c r="FO54" s="67"/>
      <c r="FP54" s="67"/>
      <c r="FQ54" s="67"/>
      <c r="FR54" s="67"/>
      <c r="FS54" s="67"/>
      <c r="FT54" s="67"/>
    </row>
    <row r="55" spans="1:176" x14ac:dyDescent="0.25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/>
      <c r="BH55" s="67"/>
      <c r="BI55" s="67"/>
      <c r="BJ55" s="67"/>
      <c r="BK55" s="67"/>
      <c r="BL55" s="67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7"/>
      <c r="CA55" s="67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7"/>
      <c r="CP55" s="67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7"/>
      <c r="DE55" s="67"/>
      <c r="DF55" s="67"/>
      <c r="DG55" s="67"/>
      <c r="DH55" s="67"/>
      <c r="DI55" s="67"/>
      <c r="DJ55" s="67"/>
      <c r="DK55" s="67"/>
      <c r="DL55" s="67"/>
      <c r="DM55" s="67"/>
      <c r="DN55" s="67"/>
      <c r="DO55" s="67"/>
      <c r="DP55" s="67"/>
      <c r="DQ55" s="67"/>
      <c r="DR55" s="67"/>
      <c r="DS55" s="67"/>
      <c r="DT55" s="67"/>
      <c r="DU55" s="67"/>
      <c r="DV55" s="67"/>
      <c r="DW55" s="67"/>
      <c r="DX55" s="67"/>
      <c r="DY55" s="67"/>
      <c r="DZ55" s="67"/>
      <c r="EA55" s="67"/>
      <c r="EB55" s="67"/>
      <c r="EC55" s="67"/>
      <c r="ED55" s="67"/>
      <c r="EE55" s="67"/>
      <c r="EF55" s="67"/>
      <c r="EG55" s="67"/>
      <c r="EH55" s="67"/>
      <c r="EI55" s="67"/>
      <c r="EJ55" s="67"/>
      <c r="EK55" s="67"/>
      <c r="EL55" s="67"/>
      <c r="EM55" s="67"/>
      <c r="EN55" s="83"/>
      <c r="EO55" s="83"/>
      <c r="EP55" s="83"/>
      <c r="EQ55" s="83"/>
      <c r="ER55" s="83"/>
      <c r="ES55" s="67"/>
      <c r="ET55" s="67"/>
      <c r="EU55" s="67"/>
      <c r="EV55" s="67"/>
      <c r="EW55" s="67"/>
      <c r="EX55" s="67"/>
      <c r="EY55" s="67"/>
      <c r="EZ55" s="67"/>
      <c r="FA55" s="67"/>
      <c r="FB55" s="67"/>
      <c r="FC55" s="67"/>
      <c r="FD55" s="67"/>
      <c r="FE55" s="67"/>
      <c r="FF55" s="67"/>
      <c r="FG55" s="67"/>
      <c r="FH55" s="67"/>
      <c r="FI55" s="67"/>
      <c r="FJ55" s="67"/>
      <c r="FK55" s="67"/>
      <c r="FL55" s="67"/>
      <c r="FM55" s="67"/>
      <c r="FN55" s="67"/>
      <c r="FO55" s="67"/>
      <c r="FP55" s="67"/>
      <c r="FQ55" s="67"/>
      <c r="FR55" s="67"/>
      <c r="FS55" s="67"/>
      <c r="FT55" s="67"/>
    </row>
    <row r="56" spans="1:176" x14ac:dyDescent="0.25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/>
      <c r="BS56" s="67"/>
      <c r="BT56" s="67"/>
      <c r="BU56" s="67"/>
      <c r="BV56" s="67"/>
      <c r="BW56" s="67"/>
      <c r="BX56" s="67"/>
      <c r="BY56" s="67"/>
      <c r="BZ56" s="67"/>
      <c r="CA56" s="67"/>
      <c r="CB56" s="67"/>
      <c r="CC56" s="67"/>
      <c r="CD56" s="67"/>
      <c r="CE56" s="67"/>
      <c r="CF56" s="67"/>
      <c r="CG56" s="67"/>
      <c r="CH56" s="67"/>
      <c r="CI56" s="67"/>
      <c r="CJ56" s="67"/>
      <c r="CK56" s="67"/>
      <c r="CL56" s="67"/>
      <c r="CM56" s="67"/>
      <c r="CN56" s="67"/>
      <c r="CO56" s="67"/>
      <c r="CP56" s="67"/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  <c r="DL56" s="67"/>
      <c r="DM56" s="67"/>
      <c r="DN56" s="67"/>
      <c r="DO56" s="67"/>
      <c r="DP56" s="67"/>
      <c r="DQ56" s="67"/>
      <c r="DR56" s="67"/>
      <c r="DS56" s="67"/>
      <c r="DT56" s="67"/>
      <c r="DU56" s="67"/>
      <c r="DV56" s="67"/>
      <c r="DW56" s="67"/>
      <c r="DX56" s="67"/>
      <c r="DY56" s="67"/>
      <c r="DZ56" s="67"/>
      <c r="EA56" s="67"/>
      <c r="EB56" s="67"/>
      <c r="EC56" s="67"/>
      <c r="ED56" s="67"/>
      <c r="EE56" s="67"/>
      <c r="EF56" s="67"/>
      <c r="EG56" s="67"/>
      <c r="EH56" s="67"/>
      <c r="EI56" s="67"/>
      <c r="EJ56" s="67"/>
      <c r="EK56" s="67"/>
      <c r="EL56" s="67"/>
      <c r="EM56" s="67"/>
      <c r="EN56" s="83"/>
      <c r="EO56" s="83"/>
      <c r="EP56" s="83"/>
      <c r="EQ56" s="83"/>
      <c r="ER56" s="83"/>
      <c r="ES56" s="67"/>
      <c r="ET56" s="67"/>
      <c r="EU56" s="67"/>
      <c r="EV56" s="67"/>
      <c r="EW56" s="67"/>
      <c r="EX56" s="67"/>
      <c r="EY56" s="67"/>
      <c r="EZ56" s="67"/>
      <c r="FA56" s="67"/>
      <c r="FB56" s="67"/>
      <c r="FC56" s="67"/>
      <c r="FD56" s="67"/>
      <c r="FE56" s="67"/>
      <c r="FF56" s="67"/>
      <c r="FG56" s="67"/>
      <c r="FH56" s="67"/>
      <c r="FI56" s="67"/>
      <c r="FJ56" s="67"/>
      <c r="FK56" s="67"/>
      <c r="FL56" s="67"/>
      <c r="FM56" s="67"/>
      <c r="FN56" s="67"/>
      <c r="FO56" s="67"/>
      <c r="FP56" s="67"/>
      <c r="FQ56" s="67"/>
      <c r="FR56" s="67"/>
      <c r="FS56" s="67"/>
      <c r="FT56" s="67"/>
    </row>
    <row r="57" spans="1:176" x14ac:dyDescent="0.25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7"/>
      <c r="BR57" s="67"/>
      <c r="BS57" s="67"/>
      <c r="BT57" s="67"/>
      <c r="BU57" s="67"/>
      <c r="BV57" s="67"/>
      <c r="BW57" s="67"/>
      <c r="BX57" s="67"/>
      <c r="BY57" s="67"/>
      <c r="BZ57" s="67"/>
      <c r="CA57" s="67"/>
      <c r="CB57" s="67"/>
      <c r="CC57" s="67"/>
      <c r="CD57" s="67"/>
      <c r="CE57" s="67"/>
      <c r="CF57" s="67"/>
      <c r="CG57" s="67"/>
      <c r="CH57" s="67"/>
      <c r="CI57" s="67"/>
      <c r="CJ57" s="67"/>
      <c r="CK57" s="67"/>
      <c r="CL57" s="67"/>
      <c r="CM57" s="67"/>
      <c r="CN57" s="67"/>
      <c r="CO57" s="67"/>
      <c r="CP57" s="67"/>
      <c r="CQ57" s="67"/>
      <c r="CR57" s="67"/>
      <c r="CS57" s="67"/>
      <c r="CT57" s="67"/>
      <c r="CU57" s="67"/>
      <c r="CV57" s="67"/>
      <c r="CW57" s="67"/>
      <c r="CX57" s="67"/>
      <c r="CY57" s="67"/>
      <c r="CZ57" s="67"/>
      <c r="DA57" s="67"/>
      <c r="DB57" s="67"/>
      <c r="DC57" s="67"/>
      <c r="DD57" s="67"/>
      <c r="DE57" s="67"/>
      <c r="DF57" s="67"/>
      <c r="DG57" s="67"/>
      <c r="DH57" s="67"/>
      <c r="DI57" s="67"/>
      <c r="DJ57" s="67"/>
      <c r="DK57" s="67"/>
      <c r="DL57" s="67"/>
      <c r="DM57" s="67"/>
      <c r="DN57" s="67"/>
      <c r="DO57" s="67"/>
      <c r="DP57" s="67"/>
      <c r="DQ57" s="67"/>
      <c r="DR57" s="67"/>
      <c r="DS57" s="67"/>
      <c r="DT57" s="67"/>
      <c r="DU57" s="67"/>
      <c r="DV57" s="67"/>
      <c r="DW57" s="67"/>
      <c r="DX57" s="67"/>
      <c r="DY57" s="67"/>
      <c r="DZ57" s="67"/>
      <c r="EA57" s="67"/>
      <c r="EB57" s="67"/>
      <c r="EC57" s="67"/>
      <c r="ED57" s="67"/>
      <c r="EE57" s="67"/>
      <c r="EF57" s="67"/>
      <c r="EG57" s="67"/>
      <c r="EH57" s="67"/>
      <c r="EI57" s="67"/>
      <c r="EJ57" s="67"/>
      <c r="EK57" s="67"/>
      <c r="EL57" s="67"/>
      <c r="EM57" s="67"/>
      <c r="EN57" s="83"/>
      <c r="EO57" s="83"/>
      <c r="EP57" s="83"/>
      <c r="EQ57" s="83"/>
      <c r="ER57" s="83"/>
      <c r="ES57" s="67"/>
      <c r="ET57" s="67"/>
      <c r="EU57" s="67"/>
      <c r="EV57" s="67"/>
      <c r="EW57" s="67"/>
      <c r="EX57" s="67"/>
      <c r="EY57" s="67"/>
      <c r="EZ57" s="67"/>
      <c r="FA57" s="67"/>
      <c r="FB57" s="67"/>
      <c r="FC57" s="67"/>
      <c r="FD57" s="67"/>
      <c r="FE57" s="67"/>
      <c r="FF57" s="67"/>
      <c r="FG57" s="67"/>
      <c r="FH57" s="67"/>
      <c r="FI57" s="67"/>
      <c r="FJ57" s="67"/>
      <c r="FK57" s="67"/>
      <c r="FL57" s="67"/>
      <c r="FM57" s="67"/>
      <c r="FN57" s="67"/>
      <c r="FO57" s="67"/>
      <c r="FP57" s="67"/>
      <c r="FQ57" s="67"/>
      <c r="FR57" s="67"/>
      <c r="FS57" s="67"/>
      <c r="FT57" s="67"/>
    </row>
    <row r="58" spans="1:176" x14ac:dyDescent="0.25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/>
      <c r="BH58" s="67"/>
      <c r="BI58" s="67"/>
      <c r="BJ58" s="67"/>
      <c r="BK58" s="67"/>
      <c r="BL58" s="67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7"/>
      <c r="CA58" s="67"/>
      <c r="CB58" s="67"/>
      <c r="CC58" s="67"/>
      <c r="CD58" s="67"/>
      <c r="CE58" s="67"/>
      <c r="CF58" s="67"/>
      <c r="CG58" s="67"/>
      <c r="CH58" s="67"/>
      <c r="CI58" s="67"/>
      <c r="CJ58" s="67"/>
      <c r="CK58" s="67"/>
      <c r="CL58" s="67"/>
      <c r="CM58" s="67"/>
      <c r="CN58" s="67"/>
      <c r="CO58" s="67"/>
      <c r="CP58" s="67"/>
      <c r="CQ58" s="67"/>
      <c r="CR58" s="67"/>
      <c r="CS58" s="67"/>
      <c r="CT58" s="67"/>
      <c r="CU58" s="67"/>
      <c r="CV58" s="67"/>
      <c r="CW58" s="67"/>
      <c r="CX58" s="67"/>
      <c r="CY58" s="67"/>
      <c r="CZ58" s="67"/>
      <c r="DA58" s="67"/>
      <c r="DB58" s="67"/>
      <c r="DC58" s="67"/>
      <c r="DD58" s="67"/>
      <c r="DE58" s="67"/>
      <c r="DF58" s="67"/>
      <c r="DG58" s="67"/>
      <c r="DH58" s="67"/>
      <c r="DI58" s="67"/>
      <c r="DJ58" s="67"/>
      <c r="DK58" s="67"/>
      <c r="DL58" s="67"/>
      <c r="DM58" s="67"/>
      <c r="DN58" s="67"/>
      <c r="DO58" s="67"/>
      <c r="DP58" s="67"/>
      <c r="DQ58" s="67"/>
      <c r="DR58" s="67"/>
      <c r="DS58" s="67"/>
      <c r="DT58" s="67"/>
      <c r="DU58" s="67"/>
      <c r="DV58" s="67"/>
      <c r="DW58" s="67"/>
      <c r="DX58" s="67"/>
      <c r="DY58" s="67"/>
      <c r="DZ58" s="67"/>
      <c r="EA58" s="67"/>
      <c r="EB58" s="67"/>
      <c r="EC58" s="67"/>
      <c r="ED58" s="67"/>
      <c r="EE58" s="67"/>
      <c r="EF58" s="67"/>
      <c r="EG58" s="67"/>
      <c r="EH58" s="67"/>
      <c r="EI58" s="67"/>
      <c r="EJ58" s="67"/>
      <c r="EK58" s="67"/>
      <c r="EL58" s="67"/>
      <c r="EM58" s="67"/>
      <c r="EN58" s="83"/>
      <c r="EO58" s="83"/>
      <c r="EP58" s="83"/>
      <c r="EQ58" s="83"/>
      <c r="ER58" s="83"/>
      <c r="ES58" s="67"/>
      <c r="ET58" s="67"/>
      <c r="EU58" s="67"/>
      <c r="EV58" s="67"/>
      <c r="EW58" s="67"/>
      <c r="EX58" s="67"/>
      <c r="EY58" s="67"/>
      <c r="EZ58" s="67"/>
      <c r="FA58" s="67"/>
      <c r="FB58" s="67"/>
      <c r="FC58" s="67"/>
      <c r="FD58" s="67"/>
      <c r="FE58" s="67"/>
      <c r="FF58" s="67"/>
      <c r="FG58" s="67"/>
      <c r="FH58" s="67"/>
      <c r="FI58" s="67"/>
      <c r="FJ58" s="67"/>
      <c r="FK58" s="67"/>
      <c r="FL58" s="67"/>
      <c r="FM58" s="67"/>
      <c r="FN58" s="67"/>
      <c r="FO58" s="67"/>
      <c r="FP58" s="67"/>
      <c r="FQ58" s="67"/>
      <c r="FR58" s="67"/>
      <c r="FS58" s="67"/>
      <c r="FT58" s="67"/>
    </row>
    <row r="59" spans="1:176" x14ac:dyDescent="0.25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83"/>
      <c r="EO59" s="83"/>
      <c r="EP59" s="83"/>
      <c r="EQ59" s="83"/>
      <c r="ER59" s="83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/>
      <c r="FE59" s="67"/>
      <c r="FF59" s="67"/>
      <c r="FG59" s="67"/>
      <c r="FH59" s="67"/>
      <c r="FI59" s="67"/>
      <c r="FJ59" s="67"/>
      <c r="FK59" s="67"/>
      <c r="FL59" s="67"/>
      <c r="FM59" s="67"/>
      <c r="FN59" s="67"/>
      <c r="FO59" s="67"/>
      <c r="FP59" s="67"/>
      <c r="FQ59" s="67"/>
      <c r="FR59" s="67"/>
      <c r="FS59" s="67"/>
      <c r="FT59" s="67"/>
    </row>
    <row r="60" spans="1:176" x14ac:dyDescent="0.25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7"/>
      <c r="CL60" s="67"/>
      <c r="CM60" s="67"/>
      <c r="CN60" s="67"/>
      <c r="CO60" s="67"/>
      <c r="CP60" s="67"/>
      <c r="CQ60" s="67"/>
      <c r="CR60" s="67"/>
      <c r="CS60" s="67"/>
      <c r="CT60" s="67"/>
      <c r="CU60" s="67"/>
      <c r="CV60" s="67"/>
      <c r="CW60" s="67"/>
      <c r="CX60" s="67"/>
      <c r="CY60" s="67"/>
      <c r="CZ60" s="67"/>
      <c r="DA60" s="67"/>
      <c r="DB60" s="67"/>
      <c r="DC60" s="67"/>
      <c r="DD60" s="67"/>
      <c r="DE60" s="67"/>
      <c r="DF60" s="67"/>
      <c r="DG60" s="67"/>
      <c r="DH60" s="67"/>
      <c r="DI60" s="67"/>
      <c r="DJ60" s="67"/>
      <c r="DK60" s="67"/>
      <c r="DL60" s="67"/>
      <c r="DM60" s="67"/>
      <c r="DN60" s="67"/>
      <c r="DO60" s="67"/>
      <c r="DP60" s="67"/>
      <c r="DQ60" s="67"/>
      <c r="DR60" s="67"/>
      <c r="DS60" s="67"/>
      <c r="DT60" s="67"/>
      <c r="DU60" s="67"/>
      <c r="DV60" s="67"/>
      <c r="DW60" s="67"/>
      <c r="DX60" s="67"/>
      <c r="DY60" s="67"/>
      <c r="DZ60" s="67"/>
      <c r="EA60" s="67"/>
      <c r="EB60" s="67"/>
      <c r="EC60" s="67"/>
      <c r="ED60" s="67"/>
      <c r="EE60" s="67"/>
      <c r="EF60" s="67"/>
      <c r="EG60" s="67"/>
      <c r="EH60" s="67"/>
      <c r="EI60" s="67"/>
      <c r="EJ60" s="67"/>
      <c r="EK60" s="67"/>
      <c r="EL60" s="67"/>
      <c r="EM60" s="67"/>
      <c r="EN60" s="83"/>
      <c r="EO60" s="83"/>
      <c r="EP60" s="83"/>
      <c r="EQ60" s="83"/>
      <c r="ER60" s="83"/>
      <c r="ES60" s="67"/>
      <c r="ET60" s="67"/>
      <c r="EU60" s="67"/>
      <c r="EV60" s="67"/>
      <c r="EW60" s="67"/>
      <c r="EX60" s="67"/>
      <c r="EY60" s="67"/>
      <c r="EZ60" s="67"/>
      <c r="FA60" s="67"/>
      <c r="FB60" s="67"/>
      <c r="FC60" s="67"/>
      <c r="FD60" s="67"/>
      <c r="FE60" s="67"/>
      <c r="FF60" s="67"/>
      <c r="FG60" s="67"/>
      <c r="FH60" s="67"/>
      <c r="FI60" s="67"/>
      <c r="FJ60" s="67"/>
      <c r="FK60" s="67"/>
      <c r="FL60" s="67"/>
      <c r="FM60" s="67"/>
      <c r="FN60" s="67"/>
      <c r="FO60" s="67"/>
      <c r="FP60" s="67"/>
      <c r="FQ60" s="67"/>
      <c r="FR60" s="67"/>
      <c r="FS60" s="67"/>
      <c r="FT60" s="67"/>
    </row>
    <row r="61" spans="1:176" x14ac:dyDescent="0.25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  <c r="BU61" s="67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67"/>
      <c r="CK61" s="67"/>
      <c r="CL61" s="67"/>
      <c r="CM61" s="67"/>
      <c r="CN61" s="67"/>
      <c r="CO61" s="67"/>
      <c r="CP61" s="67"/>
      <c r="CQ61" s="67"/>
      <c r="CR61" s="67"/>
      <c r="CS61" s="67"/>
      <c r="CT61" s="67"/>
      <c r="CU61" s="67"/>
      <c r="CV61" s="67"/>
      <c r="CW61" s="67"/>
      <c r="CX61" s="67"/>
      <c r="CY61" s="67"/>
      <c r="CZ61" s="67"/>
      <c r="DA61" s="67"/>
      <c r="DB61" s="67"/>
      <c r="DC61" s="67"/>
      <c r="DD61" s="67"/>
      <c r="DE61" s="67"/>
      <c r="DF61" s="67"/>
      <c r="DG61" s="67"/>
      <c r="DH61" s="67"/>
      <c r="DI61" s="67"/>
      <c r="DJ61" s="67"/>
      <c r="DK61" s="67"/>
      <c r="DL61" s="67"/>
      <c r="DM61" s="67"/>
      <c r="DN61" s="67"/>
      <c r="DO61" s="67"/>
      <c r="DP61" s="67"/>
      <c r="DQ61" s="67"/>
      <c r="DR61" s="67"/>
      <c r="DS61" s="67"/>
      <c r="DT61" s="67"/>
      <c r="DU61" s="67"/>
      <c r="DV61" s="67"/>
      <c r="DW61" s="67"/>
      <c r="DX61" s="67"/>
      <c r="DY61" s="67"/>
      <c r="DZ61" s="67"/>
      <c r="EA61" s="67"/>
      <c r="EB61" s="67"/>
      <c r="EC61" s="67"/>
      <c r="ED61" s="67"/>
      <c r="EE61" s="67"/>
      <c r="EF61" s="67"/>
      <c r="EG61" s="67"/>
      <c r="EH61" s="67"/>
      <c r="EI61" s="67"/>
      <c r="EJ61" s="67"/>
      <c r="EK61" s="67"/>
      <c r="EL61" s="67"/>
      <c r="EM61" s="67"/>
      <c r="EN61" s="83"/>
      <c r="EO61" s="83"/>
      <c r="EP61" s="83"/>
      <c r="EQ61" s="83"/>
      <c r="ER61" s="83"/>
      <c r="ES61" s="67"/>
      <c r="ET61" s="67"/>
      <c r="EU61" s="67"/>
      <c r="EV61" s="67"/>
      <c r="EW61" s="67"/>
      <c r="EX61" s="67"/>
      <c r="EY61" s="67"/>
      <c r="EZ61" s="67"/>
      <c r="FA61" s="67"/>
      <c r="FB61" s="67"/>
      <c r="FC61" s="67"/>
      <c r="FD61" s="67"/>
      <c r="FE61" s="67"/>
      <c r="FF61" s="67"/>
      <c r="FG61" s="67"/>
      <c r="FH61" s="67"/>
      <c r="FI61" s="67"/>
      <c r="FJ61" s="67"/>
      <c r="FK61" s="67"/>
      <c r="FL61" s="67"/>
      <c r="FM61" s="67"/>
      <c r="FN61" s="67"/>
      <c r="FO61" s="67"/>
      <c r="FP61" s="67"/>
      <c r="FQ61" s="67"/>
      <c r="FR61" s="67"/>
      <c r="FS61" s="67"/>
      <c r="FT61" s="67"/>
    </row>
    <row r="62" spans="1:176" x14ac:dyDescent="0.25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  <c r="BU62" s="67"/>
      <c r="BV62" s="67"/>
      <c r="BW62" s="67"/>
      <c r="BX62" s="67"/>
      <c r="BY62" s="67"/>
      <c r="BZ62" s="67"/>
      <c r="CA62" s="67"/>
      <c r="CB62" s="67"/>
      <c r="CC62" s="67"/>
      <c r="CD62" s="67"/>
      <c r="CE62" s="67"/>
      <c r="CF62" s="67"/>
      <c r="CG62" s="67"/>
      <c r="CH62" s="67"/>
      <c r="CI62" s="67"/>
      <c r="CJ62" s="67"/>
      <c r="CK62" s="67"/>
      <c r="CL62" s="67"/>
      <c r="CM62" s="67"/>
      <c r="CN62" s="67"/>
      <c r="CO62" s="67"/>
      <c r="CP62" s="67"/>
      <c r="CQ62" s="67"/>
      <c r="CR62" s="67"/>
      <c r="CS62" s="67"/>
      <c r="CT62" s="67"/>
      <c r="CU62" s="67"/>
      <c r="CV62" s="67"/>
      <c r="CW62" s="67"/>
      <c r="CX62" s="67"/>
      <c r="CY62" s="67"/>
      <c r="CZ62" s="67"/>
      <c r="DA62" s="67"/>
      <c r="DB62" s="67"/>
      <c r="DC62" s="67"/>
      <c r="DD62" s="67"/>
      <c r="DE62" s="67"/>
      <c r="DF62" s="67"/>
      <c r="DG62" s="67"/>
      <c r="DH62" s="67"/>
      <c r="DI62" s="67"/>
      <c r="DJ62" s="67"/>
      <c r="DK62" s="67"/>
      <c r="DL62" s="67"/>
      <c r="DM62" s="67"/>
      <c r="DN62" s="67"/>
      <c r="DO62" s="67"/>
      <c r="DP62" s="67"/>
      <c r="DQ62" s="67"/>
      <c r="DR62" s="67"/>
      <c r="DS62" s="67"/>
      <c r="DT62" s="67"/>
      <c r="DU62" s="67"/>
      <c r="DV62" s="67"/>
      <c r="DW62" s="67"/>
      <c r="DX62" s="67"/>
      <c r="DY62" s="67"/>
      <c r="DZ62" s="67"/>
      <c r="EA62" s="67"/>
      <c r="EB62" s="67"/>
      <c r="EC62" s="67"/>
      <c r="ED62" s="67"/>
      <c r="EE62" s="67"/>
      <c r="EF62" s="67"/>
      <c r="EG62" s="67"/>
      <c r="EH62" s="67"/>
      <c r="EI62" s="67"/>
      <c r="EJ62" s="67"/>
      <c r="EK62" s="67"/>
      <c r="EL62" s="67"/>
      <c r="EM62" s="67"/>
      <c r="EN62" s="83"/>
      <c r="EO62" s="83"/>
      <c r="EP62" s="83"/>
      <c r="EQ62" s="83"/>
      <c r="ER62" s="83"/>
      <c r="ES62" s="67"/>
      <c r="ET62" s="67"/>
      <c r="EU62" s="67"/>
      <c r="EV62" s="67"/>
      <c r="EW62" s="67"/>
      <c r="EX62" s="67"/>
      <c r="EY62" s="67"/>
      <c r="EZ62" s="67"/>
      <c r="FA62" s="67"/>
      <c r="FB62" s="67"/>
      <c r="FC62" s="67"/>
      <c r="FD62" s="67"/>
      <c r="FE62" s="67"/>
      <c r="FF62" s="67"/>
      <c r="FG62" s="67"/>
      <c r="FH62" s="67"/>
      <c r="FI62" s="67"/>
      <c r="FJ62" s="67"/>
      <c r="FK62" s="67"/>
      <c r="FL62" s="67"/>
      <c r="FM62" s="67"/>
      <c r="FN62" s="67"/>
      <c r="FO62" s="67"/>
      <c r="FP62" s="67"/>
      <c r="FQ62" s="67"/>
      <c r="FR62" s="67"/>
      <c r="FS62" s="67"/>
      <c r="FT62" s="67"/>
    </row>
    <row r="63" spans="1:176" x14ac:dyDescent="0.25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  <c r="BU63" s="67"/>
      <c r="BV63" s="67"/>
      <c r="BW63" s="67"/>
      <c r="BX63" s="67"/>
      <c r="BY63" s="67"/>
      <c r="BZ63" s="67"/>
      <c r="CA63" s="67"/>
      <c r="CB63" s="67"/>
      <c r="CC63" s="67"/>
      <c r="CD63" s="67"/>
      <c r="CE63" s="67"/>
      <c r="CF63" s="67"/>
      <c r="CG63" s="67"/>
      <c r="CH63" s="67"/>
      <c r="CI63" s="67"/>
      <c r="CJ63" s="67"/>
      <c r="CK63" s="67"/>
      <c r="CL63" s="67"/>
      <c r="CM63" s="67"/>
      <c r="CN63" s="67"/>
      <c r="CO63" s="67"/>
      <c r="CP63" s="67"/>
      <c r="CQ63" s="67"/>
      <c r="CR63" s="67"/>
      <c r="CS63" s="67"/>
      <c r="CT63" s="67"/>
      <c r="CU63" s="67"/>
      <c r="CV63" s="67"/>
      <c r="CW63" s="67"/>
      <c r="CX63" s="67"/>
      <c r="CY63" s="67"/>
      <c r="CZ63" s="67"/>
      <c r="DA63" s="67"/>
      <c r="DB63" s="67"/>
      <c r="DC63" s="67"/>
      <c r="DD63" s="67"/>
      <c r="DE63" s="67"/>
      <c r="DF63" s="67"/>
      <c r="DG63" s="67"/>
      <c r="DH63" s="67"/>
      <c r="DI63" s="67"/>
      <c r="DJ63" s="67"/>
      <c r="DK63" s="67"/>
      <c r="DL63" s="67"/>
      <c r="DM63" s="67"/>
      <c r="DN63" s="67"/>
      <c r="DO63" s="67"/>
      <c r="DP63" s="67"/>
      <c r="DQ63" s="67"/>
      <c r="DR63" s="67"/>
      <c r="DS63" s="67"/>
      <c r="DT63" s="67"/>
      <c r="DU63" s="67"/>
      <c r="DV63" s="67"/>
      <c r="DW63" s="67"/>
      <c r="DX63" s="67"/>
      <c r="DY63" s="67"/>
      <c r="DZ63" s="67"/>
      <c r="EA63" s="67"/>
      <c r="EB63" s="67"/>
      <c r="EC63" s="67"/>
      <c r="ED63" s="67"/>
      <c r="EE63" s="67"/>
      <c r="EF63" s="67"/>
      <c r="EG63" s="67"/>
      <c r="EH63" s="67"/>
      <c r="EI63" s="67"/>
      <c r="EJ63" s="67"/>
      <c r="EK63" s="67"/>
      <c r="EL63" s="67"/>
      <c r="EM63" s="67"/>
      <c r="EN63" s="83"/>
      <c r="EO63" s="83"/>
      <c r="EP63" s="83"/>
      <c r="EQ63" s="83"/>
      <c r="ER63" s="83"/>
      <c r="ES63" s="67"/>
      <c r="ET63" s="67"/>
      <c r="EU63" s="67"/>
      <c r="EV63" s="67"/>
      <c r="EW63" s="67"/>
      <c r="EX63" s="67"/>
      <c r="EY63" s="67"/>
      <c r="EZ63" s="67"/>
      <c r="FA63" s="67"/>
      <c r="FB63" s="67"/>
      <c r="FC63" s="67"/>
      <c r="FD63" s="67"/>
      <c r="FE63" s="67"/>
      <c r="FF63" s="67"/>
      <c r="FG63" s="67"/>
      <c r="FH63" s="67"/>
      <c r="FI63" s="67"/>
      <c r="FJ63" s="67"/>
      <c r="FK63" s="67"/>
      <c r="FL63" s="67"/>
      <c r="FM63" s="67"/>
      <c r="FN63" s="67"/>
      <c r="FO63" s="67"/>
      <c r="FP63" s="67"/>
      <c r="FQ63" s="67"/>
      <c r="FR63" s="67"/>
      <c r="FS63" s="67"/>
      <c r="FT63" s="67"/>
    </row>
    <row r="64" spans="1:176" x14ac:dyDescent="0.25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  <c r="BU64" s="67"/>
      <c r="BV64" s="67"/>
      <c r="BW64" s="67"/>
      <c r="BX64" s="67"/>
      <c r="BY64" s="67"/>
      <c r="BZ64" s="67"/>
      <c r="CA64" s="67"/>
      <c r="CB64" s="67"/>
      <c r="CC64" s="67"/>
      <c r="CD64" s="67"/>
      <c r="CE64" s="67"/>
      <c r="CF64" s="67"/>
      <c r="CG64" s="67"/>
      <c r="CH64" s="67"/>
      <c r="CI64" s="67"/>
      <c r="CJ64" s="67"/>
      <c r="CK64" s="67"/>
      <c r="CL64" s="67"/>
      <c r="CM64" s="67"/>
      <c r="CN64" s="67"/>
      <c r="CO64" s="67"/>
      <c r="CP64" s="67"/>
      <c r="CQ64" s="67"/>
      <c r="CR64" s="67"/>
      <c r="CS64" s="67"/>
      <c r="CT64" s="67"/>
      <c r="CU64" s="67"/>
      <c r="CV64" s="67"/>
      <c r="CW64" s="67"/>
      <c r="CX64" s="67"/>
      <c r="CY64" s="67"/>
      <c r="CZ64" s="67"/>
      <c r="DA64" s="67"/>
      <c r="DB64" s="67"/>
      <c r="DC64" s="67"/>
      <c r="DD64" s="67"/>
      <c r="DE64" s="67"/>
      <c r="DF64" s="67"/>
      <c r="DG64" s="67"/>
      <c r="DH64" s="67"/>
      <c r="DI64" s="67"/>
      <c r="DJ64" s="67"/>
      <c r="DK64" s="67"/>
      <c r="DL64" s="67"/>
      <c r="DM64" s="67"/>
      <c r="DN64" s="67"/>
      <c r="DO64" s="67"/>
      <c r="DP64" s="67"/>
      <c r="DQ64" s="67"/>
      <c r="DR64" s="67"/>
      <c r="DS64" s="67"/>
      <c r="DT64" s="67"/>
      <c r="DU64" s="67"/>
      <c r="DV64" s="67"/>
      <c r="DW64" s="67"/>
      <c r="DX64" s="67"/>
      <c r="DY64" s="67"/>
      <c r="DZ64" s="67"/>
      <c r="EA64" s="67"/>
      <c r="EB64" s="67"/>
      <c r="EC64" s="67"/>
      <c r="ED64" s="67"/>
      <c r="EE64" s="67"/>
      <c r="EF64" s="67"/>
      <c r="EG64" s="67"/>
      <c r="EH64" s="67"/>
      <c r="EI64" s="67"/>
      <c r="EJ64" s="67"/>
      <c r="EK64" s="67"/>
      <c r="EL64" s="67"/>
      <c r="EM64" s="67"/>
      <c r="EN64" s="83"/>
      <c r="EO64" s="83"/>
      <c r="EP64" s="83"/>
      <c r="EQ64" s="83"/>
      <c r="ER64" s="83"/>
      <c r="ES64" s="67"/>
      <c r="ET64" s="67"/>
      <c r="EU64" s="67"/>
      <c r="EV64" s="67"/>
      <c r="EW64" s="67"/>
      <c r="EX64" s="67"/>
      <c r="EY64" s="67"/>
      <c r="EZ64" s="67"/>
      <c r="FA64" s="67"/>
      <c r="FB64" s="67"/>
      <c r="FC64" s="67"/>
      <c r="FD64" s="67"/>
      <c r="FE64" s="67"/>
      <c r="FF64" s="67"/>
      <c r="FG64" s="67"/>
      <c r="FH64" s="67"/>
      <c r="FI64" s="67"/>
      <c r="FJ64" s="67"/>
      <c r="FK64" s="67"/>
      <c r="FL64" s="67"/>
      <c r="FM64" s="67"/>
      <c r="FN64" s="67"/>
      <c r="FO64" s="67"/>
      <c r="FP64" s="67"/>
      <c r="FQ64" s="67"/>
      <c r="FR64" s="67"/>
      <c r="FS64" s="67"/>
      <c r="FT64" s="67"/>
    </row>
    <row r="65" spans="1:176" x14ac:dyDescent="0.25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/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7"/>
      <c r="DG65" s="67"/>
      <c r="DH65" s="67"/>
      <c r="DI65" s="67"/>
      <c r="DJ65" s="67"/>
      <c r="DK65" s="67"/>
      <c r="DL65" s="67"/>
      <c r="DM65" s="67"/>
      <c r="DN65" s="67"/>
      <c r="DO65" s="67"/>
      <c r="DP65" s="67"/>
      <c r="DQ65" s="67"/>
      <c r="DR65" s="67"/>
      <c r="DS65" s="67"/>
      <c r="DT65" s="67"/>
      <c r="DU65" s="67"/>
      <c r="DV65" s="67"/>
      <c r="DW65" s="67"/>
      <c r="DX65" s="67"/>
      <c r="DY65" s="67"/>
      <c r="DZ65" s="67"/>
      <c r="EA65" s="67"/>
      <c r="EB65" s="67"/>
      <c r="EC65" s="67"/>
      <c r="ED65" s="67"/>
      <c r="EE65" s="67"/>
      <c r="EF65" s="67"/>
      <c r="EG65" s="67"/>
      <c r="EH65" s="67"/>
      <c r="EI65" s="67"/>
      <c r="EJ65" s="67"/>
      <c r="EK65" s="67"/>
      <c r="EL65" s="67"/>
      <c r="EM65" s="67"/>
      <c r="EN65" s="83"/>
      <c r="EO65" s="83"/>
      <c r="EP65" s="83"/>
      <c r="EQ65" s="83"/>
      <c r="ER65" s="83"/>
      <c r="ES65" s="67"/>
      <c r="ET65" s="67"/>
      <c r="EU65" s="67"/>
      <c r="EV65" s="67"/>
      <c r="EW65" s="67"/>
      <c r="EX65" s="67"/>
      <c r="EY65" s="67"/>
      <c r="EZ65" s="67"/>
      <c r="FA65" s="67"/>
      <c r="FB65" s="67"/>
      <c r="FC65" s="67"/>
      <c r="FD65" s="67"/>
      <c r="FE65" s="67"/>
      <c r="FF65" s="67"/>
      <c r="FG65" s="67"/>
      <c r="FH65" s="67"/>
      <c r="FI65" s="67"/>
      <c r="FJ65" s="67"/>
      <c r="FK65" s="67"/>
      <c r="FL65" s="67"/>
      <c r="FM65" s="67"/>
      <c r="FN65" s="67"/>
      <c r="FO65" s="67"/>
      <c r="FP65" s="67"/>
      <c r="FQ65" s="67"/>
      <c r="FR65" s="67"/>
      <c r="FS65" s="67"/>
      <c r="FT65" s="67"/>
    </row>
    <row r="66" spans="1:176" x14ac:dyDescent="0.25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  <c r="BX66" s="67"/>
      <c r="BY66" s="67"/>
      <c r="BZ66" s="67"/>
      <c r="CA66" s="67"/>
      <c r="CB66" s="67"/>
      <c r="CC66" s="67"/>
      <c r="CD66" s="67"/>
      <c r="CE66" s="67"/>
      <c r="CF66" s="67"/>
      <c r="CG66" s="67"/>
      <c r="CH66" s="67"/>
      <c r="CI66" s="67"/>
      <c r="CJ66" s="67"/>
      <c r="CK66" s="67"/>
      <c r="CL66" s="67"/>
      <c r="CM66" s="67"/>
      <c r="CN66" s="67"/>
      <c r="CO66" s="67"/>
      <c r="CP66" s="67"/>
      <c r="CQ66" s="67"/>
      <c r="CR66" s="67"/>
      <c r="CS66" s="67"/>
      <c r="CT66" s="67"/>
      <c r="CU66" s="67"/>
      <c r="CV66" s="67"/>
      <c r="CW66" s="67"/>
      <c r="CX66" s="67"/>
      <c r="CY66" s="67"/>
      <c r="CZ66" s="67"/>
      <c r="DA66" s="67"/>
      <c r="DB66" s="67"/>
      <c r="DC66" s="67"/>
      <c r="DD66" s="67"/>
      <c r="DE66" s="67"/>
      <c r="DF66" s="67"/>
      <c r="DG66" s="67"/>
      <c r="DH66" s="67"/>
      <c r="DI66" s="67"/>
      <c r="DJ66" s="67"/>
      <c r="DK66" s="67"/>
      <c r="DL66" s="67"/>
      <c r="DM66" s="67"/>
      <c r="DN66" s="67"/>
      <c r="DO66" s="67"/>
      <c r="DP66" s="67"/>
      <c r="DQ66" s="67"/>
      <c r="DR66" s="67"/>
      <c r="DS66" s="67"/>
      <c r="DT66" s="67"/>
      <c r="DU66" s="67"/>
      <c r="DV66" s="67"/>
      <c r="DW66" s="67"/>
      <c r="DX66" s="67"/>
      <c r="DY66" s="67"/>
      <c r="DZ66" s="67"/>
      <c r="EA66" s="67"/>
      <c r="EB66" s="67"/>
      <c r="EC66" s="67"/>
      <c r="ED66" s="67"/>
      <c r="EE66" s="67"/>
      <c r="EF66" s="67"/>
      <c r="EG66" s="67"/>
      <c r="EH66" s="67"/>
      <c r="EI66" s="67"/>
      <c r="EJ66" s="67"/>
      <c r="EK66" s="67"/>
      <c r="EL66" s="67"/>
      <c r="EM66" s="67"/>
      <c r="EN66" s="83"/>
      <c r="EO66" s="83"/>
      <c r="EP66" s="83"/>
      <c r="EQ66" s="83"/>
      <c r="ER66" s="83"/>
      <c r="ES66" s="67"/>
      <c r="ET66" s="67"/>
      <c r="EU66" s="67"/>
      <c r="EV66" s="67"/>
      <c r="EW66" s="67"/>
      <c r="EX66" s="67"/>
      <c r="EY66" s="67"/>
      <c r="EZ66" s="67"/>
      <c r="FA66" s="67"/>
      <c r="FB66" s="67"/>
      <c r="FC66" s="67"/>
      <c r="FD66" s="67"/>
      <c r="FE66" s="67"/>
      <c r="FF66" s="67"/>
      <c r="FG66" s="67"/>
      <c r="FH66" s="67"/>
      <c r="FI66" s="67"/>
      <c r="FJ66" s="67"/>
      <c r="FK66" s="67"/>
      <c r="FL66" s="67"/>
      <c r="FM66" s="67"/>
      <c r="FN66" s="67"/>
      <c r="FO66" s="67"/>
      <c r="FP66" s="67"/>
      <c r="FQ66" s="67"/>
      <c r="FR66" s="67"/>
      <c r="FS66" s="67"/>
      <c r="FT66" s="67"/>
    </row>
    <row r="67" spans="1:176" x14ac:dyDescent="0.25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67"/>
      <c r="BY67" s="67"/>
      <c r="BZ67" s="67"/>
      <c r="CA67" s="67"/>
      <c r="CB67" s="67"/>
      <c r="CC67" s="67"/>
      <c r="CD67" s="67"/>
      <c r="CE67" s="67"/>
      <c r="CF67" s="67"/>
      <c r="CG67" s="67"/>
      <c r="CH67" s="67"/>
      <c r="CI67" s="67"/>
      <c r="CJ67" s="67"/>
      <c r="CK67" s="67"/>
      <c r="CL67" s="67"/>
      <c r="CM67" s="67"/>
      <c r="CN67" s="67"/>
      <c r="CO67" s="67"/>
      <c r="CP67" s="67"/>
      <c r="CQ67" s="67"/>
      <c r="CR67" s="67"/>
      <c r="CS67" s="67"/>
      <c r="CT67" s="67"/>
      <c r="CU67" s="67"/>
      <c r="CV67" s="67"/>
      <c r="CW67" s="67"/>
      <c r="CX67" s="67"/>
      <c r="CY67" s="67"/>
      <c r="CZ67" s="67"/>
      <c r="DA67" s="67"/>
      <c r="DB67" s="67"/>
      <c r="DC67" s="67"/>
      <c r="DD67" s="67"/>
      <c r="DE67" s="67"/>
      <c r="DF67" s="67"/>
      <c r="DG67" s="67"/>
      <c r="DH67" s="67"/>
      <c r="DI67" s="67"/>
      <c r="DJ67" s="67"/>
      <c r="DK67" s="67"/>
      <c r="DL67" s="67"/>
      <c r="DM67" s="67"/>
      <c r="DN67" s="67"/>
      <c r="DO67" s="67"/>
      <c r="DP67" s="67"/>
      <c r="DQ67" s="67"/>
      <c r="DR67" s="67"/>
      <c r="DS67" s="67"/>
      <c r="DT67" s="67"/>
      <c r="DU67" s="67"/>
      <c r="DV67" s="67"/>
      <c r="DW67" s="67"/>
      <c r="DX67" s="67"/>
      <c r="DY67" s="67"/>
      <c r="DZ67" s="67"/>
      <c r="EA67" s="67"/>
      <c r="EB67" s="67"/>
      <c r="EC67" s="67"/>
      <c r="ED67" s="67"/>
      <c r="EE67" s="67"/>
      <c r="EF67" s="67"/>
      <c r="EG67" s="67"/>
      <c r="EH67" s="67"/>
      <c r="EI67" s="67"/>
      <c r="EJ67" s="67"/>
      <c r="EK67" s="67"/>
      <c r="EL67" s="67"/>
      <c r="EM67" s="67"/>
      <c r="EN67" s="83"/>
      <c r="EO67" s="83"/>
      <c r="EP67" s="83"/>
      <c r="EQ67" s="83"/>
      <c r="ER67" s="83"/>
      <c r="ES67" s="67"/>
      <c r="ET67" s="67"/>
      <c r="EU67" s="67"/>
      <c r="EV67" s="67"/>
      <c r="EW67" s="67"/>
      <c r="EX67" s="67"/>
      <c r="EY67" s="67"/>
      <c r="EZ67" s="67"/>
      <c r="FA67" s="67"/>
      <c r="FB67" s="67"/>
      <c r="FC67" s="67"/>
      <c r="FD67" s="67"/>
      <c r="FE67" s="67"/>
      <c r="FF67" s="67"/>
      <c r="FG67" s="67"/>
      <c r="FH67" s="67"/>
      <c r="FI67" s="67"/>
      <c r="FJ67" s="67"/>
      <c r="FK67" s="67"/>
      <c r="FL67" s="67"/>
      <c r="FM67" s="67"/>
      <c r="FN67" s="67"/>
      <c r="FO67" s="67"/>
      <c r="FP67" s="67"/>
      <c r="FQ67" s="67"/>
      <c r="FR67" s="67"/>
      <c r="FS67" s="67"/>
      <c r="FT67" s="67"/>
    </row>
    <row r="68" spans="1:176" x14ac:dyDescent="0.25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/>
      <c r="BH68" s="67"/>
      <c r="BI68" s="67"/>
      <c r="BJ68" s="67"/>
      <c r="BK68" s="67"/>
      <c r="BL68" s="67"/>
      <c r="BM68" s="67"/>
      <c r="BN68" s="67"/>
      <c r="BO68" s="67"/>
      <c r="BP68" s="67"/>
      <c r="BQ68" s="67"/>
      <c r="BR68" s="67"/>
      <c r="BS68" s="67"/>
      <c r="BT68" s="67"/>
      <c r="BU68" s="67"/>
      <c r="BV68" s="67"/>
      <c r="BW68" s="67"/>
      <c r="BX68" s="67"/>
      <c r="BY68" s="67"/>
      <c r="BZ68" s="67"/>
      <c r="CA68" s="67"/>
      <c r="CB68" s="67"/>
      <c r="CC68" s="67"/>
      <c r="CD68" s="67"/>
      <c r="CE68" s="67"/>
      <c r="CF68" s="67"/>
      <c r="CG68" s="67"/>
      <c r="CH68" s="67"/>
      <c r="CI68" s="67"/>
      <c r="CJ68" s="67"/>
      <c r="CK68" s="67"/>
      <c r="CL68" s="67"/>
      <c r="CM68" s="67"/>
      <c r="CN68" s="67"/>
      <c r="CO68" s="67"/>
      <c r="CP68" s="67"/>
      <c r="CQ68" s="67"/>
      <c r="CR68" s="67"/>
      <c r="CS68" s="67"/>
      <c r="CT68" s="67"/>
      <c r="CU68" s="67"/>
      <c r="CV68" s="67"/>
      <c r="CW68" s="67"/>
      <c r="CX68" s="67"/>
      <c r="CY68" s="67"/>
      <c r="CZ68" s="67"/>
      <c r="DA68" s="67"/>
      <c r="DB68" s="67"/>
      <c r="DC68" s="67"/>
      <c r="DD68" s="67"/>
      <c r="DE68" s="67"/>
      <c r="DF68" s="67"/>
      <c r="DG68" s="67"/>
      <c r="DH68" s="67"/>
      <c r="DI68" s="67"/>
      <c r="DJ68" s="67"/>
      <c r="DK68" s="67"/>
      <c r="DL68" s="67"/>
      <c r="DM68" s="67"/>
      <c r="DN68" s="67"/>
      <c r="DO68" s="67"/>
      <c r="DP68" s="67"/>
      <c r="DQ68" s="67"/>
      <c r="DR68" s="67"/>
      <c r="DS68" s="67"/>
      <c r="DT68" s="67"/>
      <c r="DU68" s="67"/>
      <c r="DV68" s="67"/>
      <c r="DW68" s="67"/>
      <c r="DX68" s="67"/>
      <c r="DY68" s="67"/>
      <c r="DZ68" s="67"/>
      <c r="EA68" s="67"/>
      <c r="EB68" s="67"/>
      <c r="EC68" s="67"/>
      <c r="ED68" s="67"/>
      <c r="EE68" s="67"/>
      <c r="EF68" s="67"/>
      <c r="EG68" s="67"/>
      <c r="EH68" s="67"/>
      <c r="EI68" s="67"/>
      <c r="EJ68" s="67"/>
      <c r="EK68" s="67"/>
      <c r="EL68" s="67"/>
      <c r="EM68" s="67"/>
      <c r="EN68" s="83"/>
      <c r="EO68" s="83"/>
      <c r="EP68" s="83"/>
      <c r="EQ68" s="83"/>
      <c r="ER68" s="83"/>
      <c r="ES68" s="67"/>
      <c r="ET68" s="67"/>
      <c r="EU68" s="67"/>
      <c r="EV68" s="67"/>
      <c r="EW68" s="67"/>
      <c r="EX68" s="67"/>
      <c r="EY68" s="67"/>
      <c r="EZ68" s="67"/>
      <c r="FA68" s="67"/>
      <c r="FB68" s="67"/>
      <c r="FC68" s="67"/>
      <c r="FD68" s="67"/>
      <c r="FE68" s="67"/>
      <c r="FF68" s="67"/>
      <c r="FG68" s="67"/>
      <c r="FH68" s="67"/>
      <c r="FI68" s="67"/>
      <c r="FJ68" s="67"/>
      <c r="FK68" s="67"/>
      <c r="FL68" s="67"/>
      <c r="FM68" s="67"/>
      <c r="FN68" s="67"/>
      <c r="FO68" s="67"/>
      <c r="FP68" s="67"/>
      <c r="FQ68" s="67"/>
      <c r="FR68" s="67"/>
      <c r="FS68" s="67"/>
      <c r="FT68" s="67"/>
    </row>
    <row r="69" spans="1:176" x14ac:dyDescent="0.25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/>
      <c r="BH69" s="67"/>
      <c r="BI69" s="67"/>
      <c r="BJ69" s="67"/>
      <c r="BK69" s="67"/>
      <c r="BL69" s="67"/>
      <c r="BM69" s="67"/>
      <c r="BN69" s="67"/>
      <c r="BO69" s="67"/>
      <c r="BP69" s="67"/>
      <c r="BQ69" s="67"/>
      <c r="BR69" s="67"/>
      <c r="BS69" s="67"/>
      <c r="BT69" s="67"/>
      <c r="BU69" s="67"/>
      <c r="BV69" s="67"/>
      <c r="BW69" s="67"/>
      <c r="BX69" s="67"/>
      <c r="BY69" s="67"/>
      <c r="BZ69" s="67"/>
      <c r="CA69" s="67"/>
      <c r="CB69" s="67"/>
      <c r="CC69" s="67"/>
      <c r="CD69" s="67"/>
      <c r="CE69" s="67"/>
      <c r="CF69" s="67"/>
      <c r="CG69" s="67"/>
      <c r="CH69" s="67"/>
      <c r="CI69" s="67"/>
      <c r="CJ69" s="67"/>
      <c r="CK69" s="67"/>
      <c r="CL69" s="67"/>
      <c r="CM69" s="67"/>
      <c r="CN69" s="67"/>
      <c r="CO69" s="67"/>
      <c r="CP69" s="67"/>
      <c r="CQ69" s="67"/>
      <c r="CR69" s="67"/>
      <c r="CS69" s="67"/>
      <c r="CT69" s="67"/>
      <c r="CU69" s="67"/>
      <c r="CV69" s="67"/>
      <c r="CW69" s="67"/>
      <c r="CX69" s="67"/>
      <c r="CY69" s="67"/>
      <c r="CZ69" s="67"/>
      <c r="DA69" s="67"/>
      <c r="DB69" s="67"/>
      <c r="DC69" s="67"/>
      <c r="DD69" s="67"/>
      <c r="DE69" s="67"/>
      <c r="DF69" s="67"/>
      <c r="DG69" s="67"/>
      <c r="DH69" s="67"/>
      <c r="DI69" s="67"/>
      <c r="DJ69" s="67"/>
      <c r="DK69" s="67"/>
      <c r="DL69" s="67"/>
      <c r="DM69" s="67"/>
      <c r="DN69" s="67"/>
      <c r="DO69" s="67"/>
      <c r="DP69" s="67"/>
      <c r="DQ69" s="67"/>
      <c r="DR69" s="67"/>
      <c r="DS69" s="67"/>
      <c r="DT69" s="67"/>
      <c r="DU69" s="67"/>
      <c r="DV69" s="67"/>
      <c r="DW69" s="67"/>
      <c r="DX69" s="67"/>
      <c r="DY69" s="67"/>
      <c r="DZ69" s="67"/>
      <c r="EA69" s="67"/>
      <c r="EB69" s="67"/>
      <c r="EC69" s="67"/>
      <c r="ED69" s="67"/>
      <c r="EE69" s="67"/>
      <c r="EF69" s="67"/>
      <c r="EG69" s="67"/>
      <c r="EH69" s="67"/>
      <c r="EI69" s="67"/>
      <c r="EJ69" s="67"/>
      <c r="EK69" s="67"/>
      <c r="EL69" s="67"/>
      <c r="EM69" s="67"/>
      <c r="EN69" s="83"/>
      <c r="EO69" s="83"/>
      <c r="EP69" s="83"/>
      <c r="EQ69" s="83"/>
      <c r="ER69" s="83"/>
      <c r="ES69" s="67"/>
      <c r="ET69" s="67"/>
      <c r="EU69" s="67"/>
      <c r="EV69" s="67"/>
      <c r="EW69" s="67"/>
      <c r="EX69" s="67"/>
      <c r="EY69" s="67"/>
      <c r="EZ69" s="67"/>
      <c r="FA69" s="67"/>
      <c r="FB69" s="67"/>
      <c r="FC69" s="67"/>
      <c r="FD69" s="67"/>
      <c r="FE69" s="67"/>
      <c r="FF69" s="67"/>
      <c r="FG69" s="67"/>
      <c r="FH69" s="67"/>
      <c r="FI69" s="67"/>
      <c r="FJ69" s="67"/>
      <c r="FK69" s="67"/>
      <c r="FL69" s="67"/>
      <c r="FM69" s="67"/>
      <c r="FN69" s="67"/>
      <c r="FO69" s="67"/>
      <c r="FP69" s="67"/>
      <c r="FQ69" s="67"/>
      <c r="FR69" s="67"/>
      <c r="FS69" s="67"/>
      <c r="FT69" s="67"/>
    </row>
    <row r="70" spans="1:176" x14ac:dyDescent="0.25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/>
      <c r="BH70" s="67"/>
      <c r="BI70" s="67"/>
      <c r="BJ70" s="67"/>
      <c r="BK70" s="67"/>
      <c r="BL70" s="67"/>
      <c r="BM70" s="67"/>
      <c r="BN70" s="67"/>
      <c r="BO70" s="67"/>
      <c r="BP70" s="67"/>
      <c r="BQ70" s="67"/>
      <c r="BR70" s="67"/>
      <c r="BS70" s="67"/>
      <c r="BT70" s="67"/>
      <c r="BU70" s="67"/>
      <c r="BV70" s="67"/>
      <c r="BW70" s="67"/>
      <c r="BX70" s="67"/>
      <c r="BY70" s="67"/>
      <c r="BZ70" s="67"/>
      <c r="CA70" s="67"/>
      <c r="CB70" s="67"/>
      <c r="CC70" s="67"/>
      <c r="CD70" s="67"/>
      <c r="CE70" s="67"/>
      <c r="CF70" s="67"/>
      <c r="CG70" s="67"/>
      <c r="CH70" s="67"/>
      <c r="CI70" s="67"/>
      <c r="CJ70" s="67"/>
      <c r="CK70" s="67"/>
      <c r="CL70" s="67"/>
      <c r="CM70" s="67"/>
      <c r="CN70" s="67"/>
      <c r="CO70" s="67"/>
      <c r="CP70" s="67"/>
      <c r="CQ70" s="67"/>
      <c r="CR70" s="67"/>
      <c r="CS70" s="67"/>
      <c r="CT70" s="67"/>
      <c r="CU70" s="67"/>
      <c r="CV70" s="67"/>
      <c r="CW70" s="67"/>
      <c r="CX70" s="67"/>
      <c r="CY70" s="67"/>
      <c r="CZ70" s="67"/>
      <c r="DA70" s="67"/>
      <c r="DB70" s="67"/>
      <c r="DC70" s="67"/>
      <c r="DD70" s="67"/>
      <c r="DE70" s="67"/>
      <c r="DF70" s="67"/>
      <c r="DG70" s="67"/>
      <c r="DH70" s="67"/>
      <c r="DI70" s="67"/>
      <c r="DJ70" s="67"/>
      <c r="DK70" s="67"/>
      <c r="DL70" s="67"/>
      <c r="DM70" s="67"/>
      <c r="DN70" s="67"/>
      <c r="DO70" s="67"/>
      <c r="DP70" s="67"/>
      <c r="DQ70" s="67"/>
      <c r="DR70" s="67"/>
      <c r="DS70" s="67"/>
      <c r="DT70" s="67"/>
      <c r="DU70" s="67"/>
      <c r="DV70" s="67"/>
      <c r="DW70" s="67"/>
      <c r="DX70" s="67"/>
      <c r="DY70" s="67"/>
      <c r="DZ70" s="67"/>
      <c r="EA70" s="67"/>
      <c r="EB70" s="67"/>
      <c r="EC70" s="67"/>
      <c r="ED70" s="67"/>
      <c r="EE70" s="67"/>
      <c r="EF70" s="67"/>
      <c r="EG70" s="67"/>
      <c r="EH70" s="67"/>
      <c r="EI70" s="67"/>
      <c r="EJ70" s="67"/>
      <c r="EK70" s="67"/>
      <c r="EL70" s="67"/>
      <c r="EM70" s="67"/>
      <c r="EN70" s="83"/>
      <c r="EO70" s="83"/>
      <c r="EP70" s="83"/>
      <c r="EQ70" s="83"/>
      <c r="ER70" s="83"/>
      <c r="ES70" s="67"/>
      <c r="ET70" s="67"/>
      <c r="EU70" s="67"/>
      <c r="EV70" s="67"/>
      <c r="EW70" s="67"/>
      <c r="EX70" s="67"/>
      <c r="EY70" s="67"/>
      <c r="EZ70" s="67"/>
      <c r="FA70" s="67"/>
      <c r="FB70" s="67"/>
      <c r="FC70" s="67"/>
      <c r="FD70" s="67"/>
      <c r="FE70" s="67"/>
      <c r="FF70" s="67"/>
      <c r="FG70" s="67"/>
      <c r="FH70" s="67"/>
      <c r="FI70" s="67"/>
      <c r="FJ70" s="67"/>
      <c r="FK70" s="67"/>
      <c r="FL70" s="67"/>
      <c r="FM70" s="67"/>
      <c r="FN70" s="67"/>
      <c r="FO70" s="67"/>
      <c r="FP70" s="67"/>
      <c r="FQ70" s="67"/>
      <c r="FR70" s="67"/>
      <c r="FS70" s="67"/>
      <c r="FT70" s="67"/>
    </row>
    <row r="71" spans="1:176" x14ac:dyDescent="0.25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/>
      <c r="BH71" s="67"/>
      <c r="BI71" s="67"/>
      <c r="BJ71" s="67"/>
      <c r="BK71" s="67"/>
      <c r="BL71" s="67"/>
      <c r="BM71" s="67"/>
      <c r="BN71" s="67"/>
      <c r="BO71" s="67"/>
      <c r="BP71" s="67"/>
      <c r="BQ71" s="67"/>
      <c r="BR71" s="67"/>
      <c r="BS71" s="67"/>
      <c r="BT71" s="67"/>
      <c r="BU71" s="67"/>
      <c r="BV71" s="67"/>
      <c r="BW71" s="67"/>
      <c r="BX71" s="67"/>
      <c r="BY71" s="67"/>
      <c r="BZ71" s="67"/>
      <c r="CA71" s="67"/>
      <c r="CB71" s="67"/>
      <c r="CC71" s="67"/>
      <c r="CD71" s="67"/>
      <c r="CE71" s="67"/>
      <c r="CF71" s="67"/>
      <c r="CG71" s="67"/>
      <c r="CH71" s="67"/>
      <c r="CI71" s="67"/>
      <c r="CJ71" s="67"/>
      <c r="CK71" s="67"/>
      <c r="CL71" s="67"/>
      <c r="CM71" s="67"/>
      <c r="CN71" s="67"/>
      <c r="CO71" s="67"/>
      <c r="CP71" s="67"/>
      <c r="CQ71" s="67"/>
      <c r="CR71" s="67"/>
      <c r="CS71" s="67"/>
      <c r="CT71" s="67"/>
      <c r="CU71" s="67"/>
      <c r="CV71" s="67"/>
      <c r="CW71" s="67"/>
      <c r="CX71" s="67"/>
      <c r="CY71" s="67"/>
      <c r="CZ71" s="67"/>
      <c r="DA71" s="67"/>
      <c r="DB71" s="67"/>
      <c r="DC71" s="67"/>
      <c r="DD71" s="67"/>
      <c r="DE71" s="67"/>
      <c r="DF71" s="67"/>
      <c r="DG71" s="67"/>
      <c r="DH71" s="67"/>
      <c r="DI71" s="67"/>
      <c r="DJ71" s="67"/>
      <c r="DK71" s="67"/>
      <c r="DL71" s="67"/>
      <c r="DM71" s="67"/>
      <c r="DN71" s="67"/>
      <c r="DO71" s="67"/>
      <c r="DP71" s="67"/>
      <c r="DQ71" s="67"/>
      <c r="DR71" s="67"/>
      <c r="DS71" s="67"/>
      <c r="DT71" s="67"/>
      <c r="DU71" s="67"/>
      <c r="DV71" s="67"/>
      <c r="DW71" s="67"/>
      <c r="DX71" s="67"/>
      <c r="DY71" s="67"/>
      <c r="DZ71" s="67"/>
      <c r="EA71" s="67"/>
      <c r="EB71" s="67"/>
      <c r="EC71" s="67"/>
      <c r="ED71" s="67"/>
      <c r="EE71" s="67"/>
      <c r="EF71" s="67"/>
      <c r="EG71" s="67"/>
      <c r="EH71" s="67"/>
      <c r="EI71" s="67"/>
      <c r="EJ71" s="67"/>
      <c r="EK71" s="67"/>
      <c r="EL71" s="67"/>
      <c r="EM71" s="67"/>
      <c r="EN71" s="83"/>
      <c r="EO71" s="83"/>
      <c r="EP71" s="83"/>
      <c r="EQ71" s="83"/>
      <c r="ER71" s="83"/>
      <c r="ES71" s="67"/>
      <c r="ET71" s="67"/>
      <c r="EU71" s="67"/>
      <c r="EV71" s="67"/>
      <c r="EW71" s="67"/>
      <c r="EX71" s="67"/>
      <c r="EY71" s="67"/>
      <c r="EZ71" s="67"/>
      <c r="FA71" s="67"/>
      <c r="FB71" s="67"/>
      <c r="FC71" s="67"/>
      <c r="FD71" s="67"/>
      <c r="FE71" s="67"/>
      <c r="FF71" s="67"/>
      <c r="FG71" s="67"/>
      <c r="FH71" s="67"/>
      <c r="FI71" s="67"/>
      <c r="FJ71" s="67"/>
      <c r="FK71" s="67"/>
      <c r="FL71" s="67"/>
      <c r="FM71" s="67"/>
      <c r="FN71" s="67"/>
      <c r="FO71" s="67"/>
      <c r="FP71" s="67"/>
      <c r="FQ71" s="67"/>
      <c r="FR71" s="67"/>
      <c r="FS71" s="67"/>
      <c r="FT71" s="67"/>
    </row>
    <row r="72" spans="1:176" x14ac:dyDescent="0.25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/>
      <c r="BH72" s="67"/>
      <c r="BI72" s="67"/>
      <c r="BJ72" s="67"/>
      <c r="BK72" s="67"/>
      <c r="BL72" s="67"/>
      <c r="BM72" s="67"/>
      <c r="BN72" s="67"/>
      <c r="BO72" s="67"/>
      <c r="BP72" s="67"/>
      <c r="BQ72" s="67"/>
      <c r="BR72" s="67"/>
      <c r="BS72" s="67"/>
      <c r="BT72" s="67"/>
      <c r="BU72" s="67"/>
      <c r="BV72" s="67"/>
      <c r="BW72" s="67"/>
      <c r="BX72" s="67"/>
      <c r="BY72" s="67"/>
      <c r="BZ72" s="67"/>
      <c r="CA72" s="67"/>
      <c r="CB72" s="67"/>
      <c r="CC72" s="67"/>
      <c r="CD72" s="67"/>
      <c r="CE72" s="67"/>
      <c r="CF72" s="67"/>
      <c r="CG72" s="67"/>
      <c r="CH72" s="67"/>
      <c r="CI72" s="67"/>
      <c r="CJ72" s="67"/>
      <c r="CK72" s="67"/>
      <c r="CL72" s="67"/>
      <c r="CM72" s="67"/>
      <c r="CN72" s="67"/>
      <c r="CO72" s="67"/>
      <c r="CP72" s="67"/>
      <c r="CQ72" s="67"/>
      <c r="CR72" s="67"/>
      <c r="CS72" s="67"/>
      <c r="CT72" s="67"/>
      <c r="CU72" s="67"/>
      <c r="CV72" s="67"/>
      <c r="CW72" s="67"/>
      <c r="CX72" s="67"/>
      <c r="CY72" s="67"/>
      <c r="CZ72" s="67"/>
      <c r="DA72" s="67"/>
      <c r="DB72" s="67"/>
      <c r="DC72" s="67"/>
      <c r="DD72" s="67"/>
      <c r="DE72" s="67"/>
      <c r="DF72" s="67"/>
      <c r="DG72" s="67"/>
      <c r="DH72" s="67"/>
      <c r="DI72" s="67"/>
      <c r="DJ72" s="67"/>
      <c r="DK72" s="67"/>
      <c r="DL72" s="67"/>
      <c r="DM72" s="67"/>
      <c r="DN72" s="67"/>
      <c r="DO72" s="67"/>
      <c r="DP72" s="67"/>
      <c r="DQ72" s="67"/>
      <c r="DR72" s="67"/>
      <c r="DS72" s="67"/>
      <c r="DT72" s="67"/>
      <c r="DU72" s="67"/>
      <c r="DV72" s="67"/>
      <c r="DW72" s="67"/>
      <c r="DX72" s="67"/>
      <c r="DY72" s="67"/>
      <c r="DZ72" s="67"/>
      <c r="EA72" s="67"/>
      <c r="EB72" s="67"/>
      <c r="EC72" s="67"/>
      <c r="ED72" s="67"/>
      <c r="EE72" s="67"/>
      <c r="EF72" s="67"/>
      <c r="EG72" s="67"/>
      <c r="EH72" s="67"/>
      <c r="EI72" s="67"/>
      <c r="EJ72" s="67"/>
      <c r="EK72" s="67"/>
      <c r="EL72" s="67"/>
      <c r="EM72" s="67"/>
      <c r="EN72" s="83"/>
      <c r="EO72" s="83"/>
      <c r="EP72" s="83"/>
      <c r="EQ72" s="83"/>
      <c r="ER72" s="83"/>
      <c r="ES72" s="67"/>
      <c r="ET72" s="67"/>
      <c r="EU72" s="67"/>
      <c r="EV72" s="67"/>
      <c r="EW72" s="67"/>
      <c r="EX72" s="67"/>
      <c r="EY72" s="67"/>
      <c r="EZ72" s="67"/>
      <c r="FA72" s="67"/>
      <c r="FB72" s="67"/>
      <c r="FC72" s="67"/>
      <c r="FD72" s="67"/>
      <c r="FE72" s="67"/>
      <c r="FF72" s="67"/>
      <c r="FG72" s="67"/>
      <c r="FH72" s="67"/>
      <c r="FI72" s="67"/>
      <c r="FJ72" s="67"/>
      <c r="FK72" s="67"/>
      <c r="FL72" s="67"/>
      <c r="FM72" s="67"/>
      <c r="FN72" s="67"/>
      <c r="FO72" s="67"/>
      <c r="FP72" s="67"/>
      <c r="FQ72" s="67"/>
      <c r="FR72" s="67"/>
      <c r="FS72" s="67"/>
      <c r="FT72" s="67"/>
    </row>
    <row r="73" spans="1:176" x14ac:dyDescent="0.25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/>
      <c r="BH73" s="67"/>
      <c r="BI73" s="67"/>
      <c r="BJ73" s="67"/>
      <c r="BK73" s="67"/>
      <c r="BL73" s="67"/>
      <c r="BM73" s="67"/>
      <c r="BN73" s="67"/>
      <c r="BO73" s="67"/>
      <c r="BP73" s="67"/>
      <c r="BQ73" s="67"/>
      <c r="BR73" s="67"/>
      <c r="BS73" s="67"/>
      <c r="BT73" s="67"/>
      <c r="BU73" s="67"/>
      <c r="BV73" s="67"/>
      <c r="BW73" s="67"/>
      <c r="BX73" s="67"/>
      <c r="BY73" s="67"/>
      <c r="BZ73" s="67"/>
      <c r="CA73" s="67"/>
      <c r="CB73" s="67"/>
      <c r="CC73" s="67"/>
      <c r="CD73" s="67"/>
      <c r="CE73" s="67"/>
      <c r="CF73" s="67"/>
      <c r="CG73" s="67"/>
      <c r="CH73" s="67"/>
      <c r="CI73" s="67"/>
      <c r="CJ73" s="67"/>
      <c r="CK73" s="67"/>
      <c r="CL73" s="67"/>
      <c r="CM73" s="67"/>
      <c r="CN73" s="67"/>
      <c r="CO73" s="67"/>
      <c r="CP73" s="67"/>
      <c r="CQ73" s="67"/>
      <c r="CR73" s="67"/>
      <c r="CS73" s="67"/>
      <c r="CT73" s="67"/>
      <c r="CU73" s="67"/>
      <c r="CV73" s="67"/>
      <c r="CW73" s="67"/>
      <c r="CX73" s="67"/>
      <c r="CY73" s="67"/>
      <c r="CZ73" s="67"/>
      <c r="DA73" s="67"/>
      <c r="DB73" s="67"/>
      <c r="DC73" s="67"/>
      <c r="DD73" s="67"/>
      <c r="DE73" s="67"/>
      <c r="DF73" s="67"/>
      <c r="DG73" s="67"/>
      <c r="DH73" s="67"/>
      <c r="DI73" s="67"/>
      <c r="DJ73" s="67"/>
      <c r="DK73" s="67"/>
      <c r="DL73" s="67"/>
      <c r="DM73" s="67"/>
      <c r="DN73" s="67"/>
      <c r="DO73" s="67"/>
      <c r="DP73" s="67"/>
      <c r="DQ73" s="67"/>
      <c r="DR73" s="67"/>
      <c r="DS73" s="67"/>
      <c r="DT73" s="67"/>
      <c r="DU73" s="67"/>
      <c r="DV73" s="67"/>
      <c r="DW73" s="67"/>
      <c r="DX73" s="67"/>
      <c r="DY73" s="67"/>
      <c r="DZ73" s="67"/>
      <c r="EA73" s="67"/>
      <c r="EB73" s="67"/>
      <c r="EC73" s="67"/>
      <c r="ED73" s="67"/>
      <c r="EE73" s="67"/>
      <c r="EF73" s="67"/>
      <c r="EG73" s="67"/>
      <c r="EH73" s="67"/>
      <c r="EI73" s="67"/>
      <c r="EJ73" s="67"/>
      <c r="EK73" s="67"/>
      <c r="EL73" s="67"/>
      <c r="EM73" s="67"/>
      <c r="EN73" s="83"/>
      <c r="EO73" s="83"/>
      <c r="EP73" s="83"/>
      <c r="EQ73" s="83"/>
      <c r="ER73" s="83"/>
      <c r="ES73" s="67"/>
      <c r="ET73" s="67"/>
      <c r="EU73" s="67"/>
      <c r="EV73" s="67"/>
      <c r="EW73" s="67"/>
      <c r="EX73" s="67"/>
      <c r="EY73" s="67"/>
      <c r="EZ73" s="67"/>
      <c r="FA73" s="67"/>
      <c r="FB73" s="67"/>
      <c r="FC73" s="67"/>
      <c r="FD73" s="67"/>
      <c r="FE73" s="67"/>
      <c r="FF73" s="67"/>
      <c r="FG73" s="67"/>
      <c r="FH73" s="67"/>
      <c r="FI73" s="67"/>
      <c r="FJ73" s="67"/>
      <c r="FK73" s="67"/>
      <c r="FL73" s="67"/>
      <c r="FM73" s="67"/>
      <c r="FN73" s="67"/>
      <c r="FO73" s="67"/>
      <c r="FP73" s="67"/>
      <c r="FQ73" s="67"/>
      <c r="FR73" s="67"/>
      <c r="FS73" s="67"/>
      <c r="FT73" s="67"/>
    </row>
    <row r="74" spans="1:176" x14ac:dyDescent="0.25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/>
      <c r="BH74" s="67"/>
      <c r="BI74" s="67"/>
      <c r="BJ74" s="67"/>
      <c r="BK74" s="67"/>
      <c r="BL74" s="67"/>
      <c r="BM74" s="67"/>
      <c r="BN74" s="67"/>
      <c r="BO74" s="67"/>
      <c r="BP74" s="67"/>
      <c r="BQ74" s="67"/>
      <c r="BR74" s="67"/>
      <c r="BS74" s="67"/>
      <c r="BT74" s="67"/>
      <c r="BU74" s="67"/>
      <c r="BV74" s="67"/>
      <c r="BW74" s="67"/>
      <c r="BX74" s="67"/>
      <c r="BY74" s="67"/>
      <c r="BZ74" s="67"/>
      <c r="CA74" s="67"/>
      <c r="CB74" s="67"/>
      <c r="CC74" s="67"/>
      <c r="CD74" s="67"/>
      <c r="CE74" s="67"/>
      <c r="CF74" s="67"/>
      <c r="CG74" s="67"/>
      <c r="CH74" s="67"/>
      <c r="CI74" s="67"/>
      <c r="CJ74" s="67"/>
      <c r="CK74" s="67"/>
      <c r="CL74" s="67"/>
      <c r="CM74" s="67"/>
      <c r="CN74" s="67"/>
      <c r="CO74" s="67"/>
      <c r="CP74" s="67"/>
      <c r="CQ74" s="67"/>
      <c r="CR74" s="67"/>
      <c r="CS74" s="67"/>
      <c r="CT74" s="67"/>
      <c r="CU74" s="67"/>
      <c r="CV74" s="67"/>
      <c r="CW74" s="67"/>
      <c r="CX74" s="67"/>
      <c r="CY74" s="67"/>
      <c r="CZ74" s="67"/>
      <c r="DA74" s="67"/>
      <c r="DB74" s="67"/>
      <c r="DC74" s="67"/>
      <c r="DD74" s="67"/>
      <c r="DE74" s="67"/>
      <c r="DF74" s="67"/>
      <c r="DG74" s="67"/>
      <c r="DH74" s="67"/>
      <c r="DI74" s="67"/>
      <c r="DJ74" s="67"/>
      <c r="DK74" s="67"/>
      <c r="DL74" s="67"/>
      <c r="DM74" s="67"/>
      <c r="DN74" s="67"/>
      <c r="DO74" s="67"/>
      <c r="DP74" s="67"/>
      <c r="DQ74" s="67"/>
      <c r="DR74" s="67"/>
      <c r="DS74" s="67"/>
      <c r="DT74" s="67"/>
      <c r="DU74" s="67"/>
      <c r="DV74" s="67"/>
      <c r="DW74" s="67"/>
      <c r="DX74" s="67"/>
      <c r="DY74" s="67"/>
      <c r="DZ74" s="67"/>
      <c r="EA74" s="67"/>
      <c r="EB74" s="67"/>
      <c r="EC74" s="67"/>
      <c r="ED74" s="67"/>
      <c r="EE74" s="67"/>
      <c r="EF74" s="67"/>
      <c r="EG74" s="67"/>
      <c r="EH74" s="67"/>
      <c r="EI74" s="67"/>
      <c r="EJ74" s="67"/>
      <c r="EK74" s="67"/>
      <c r="EL74" s="67"/>
      <c r="EM74" s="67"/>
      <c r="EN74" s="83"/>
      <c r="EO74" s="83"/>
      <c r="EP74" s="83"/>
      <c r="EQ74" s="83"/>
      <c r="ER74" s="83"/>
      <c r="ES74" s="67"/>
      <c r="ET74" s="67"/>
      <c r="EU74" s="67"/>
      <c r="EV74" s="67"/>
      <c r="EW74" s="67"/>
      <c r="EX74" s="67"/>
      <c r="EY74" s="67"/>
      <c r="EZ74" s="67"/>
      <c r="FA74" s="67"/>
      <c r="FB74" s="67"/>
      <c r="FC74" s="67"/>
      <c r="FD74" s="67"/>
      <c r="FE74" s="67"/>
      <c r="FF74" s="67"/>
      <c r="FG74" s="67"/>
      <c r="FH74" s="67"/>
      <c r="FI74" s="67"/>
      <c r="FJ74" s="67"/>
      <c r="FK74" s="67"/>
      <c r="FL74" s="67"/>
      <c r="FM74" s="67"/>
      <c r="FN74" s="67"/>
      <c r="FO74" s="67"/>
      <c r="FP74" s="67"/>
      <c r="FQ74" s="67"/>
      <c r="FR74" s="67"/>
      <c r="FS74" s="67"/>
      <c r="FT74" s="67"/>
    </row>
    <row r="75" spans="1:176" x14ac:dyDescent="0.25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/>
      <c r="BH75" s="67"/>
      <c r="BI75" s="67"/>
      <c r="BJ75" s="67"/>
      <c r="BK75" s="67"/>
      <c r="BL75" s="67"/>
      <c r="BM75" s="67"/>
      <c r="BN75" s="67"/>
      <c r="BO75" s="67"/>
      <c r="BP75" s="67"/>
      <c r="BQ75" s="67"/>
      <c r="BR75" s="67"/>
      <c r="BS75" s="67"/>
      <c r="BT75" s="67"/>
      <c r="BU75" s="67"/>
      <c r="BV75" s="67"/>
      <c r="BW75" s="67"/>
      <c r="BX75" s="67"/>
      <c r="BY75" s="67"/>
      <c r="BZ75" s="67"/>
      <c r="CA75" s="67"/>
      <c r="CB75" s="67"/>
      <c r="CC75" s="67"/>
      <c r="CD75" s="67"/>
      <c r="CE75" s="67"/>
      <c r="CF75" s="67"/>
      <c r="CG75" s="67"/>
      <c r="CH75" s="67"/>
      <c r="CI75" s="67"/>
      <c r="CJ75" s="67"/>
      <c r="CK75" s="67"/>
      <c r="CL75" s="67"/>
      <c r="CM75" s="67"/>
      <c r="CN75" s="67"/>
      <c r="CO75" s="67"/>
      <c r="CP75" s="67"/>
      <c r="CQ75" s="67"/>
      <c r="CR75" s="67"/>
      <c r="CS75" s="67"/>
      <c r="CT75" s="67"/>
      <c r="CU75" s="67"/>
      <c r="CV75" s="67"/>
      <c r="CW75" s="67"/>
      <c r="CX75" s="67"/>
      <c r="CY75" s="67"/>
      <c r="CZ75" s="67"/>
      <c r="DA75" s="67"/>
      <c r="DB75" s="67"/>
      <c r="DC75" s="67"/>
      <c r="DD75" s="67"/>
      <c r="DE75" s="67"/>
      <c r="DF75" s="67"/>
      <c r="DG75" s="67"/>
      <c r="DH75" s="67"/>
      <c r="DI75" s="67"/>
      <c r="DJ75" s="67"/>
      <c r="DK75" s="67"/>
      <c r="DL75" s="67"/>
      <c r="DM75" s="67"/>
      <c r="DN75" s="67"/>
      <c r="DO75" s="67"/>
      <c r="DP75" s="67"/>
      <c r="DQ75" s="67"/>
      <c r="DR75" s="67"/>
      <c r="DS75" s="67"/>
      <c r="DT75" s="67"/>
      <c r="DU75" s="67"/>
      <c r="DV75" s="67"/>
      <c r="DW75" s="67"/>
      <c r="DX75" s="67"/>
      <c r="DY75" s="67"/>
      <c r="DZ75" s="67"/>
      <c r="EA75" s="67"/>
      <c r="EB75" s="67"/>
      <c r="EC75" s="67"/>
      <c r="ED75" s="67"/>
      <c r="EE75" s="67"/>
      <c r="EF75" s="67"/>
      <c r="EG75" s="67"/>
      <c r="EH75" s="67"/>
      <c r="EI75" s="67"/>
      <c r="EJ75" s="67"/>
      <c r="EK75" s="67"/>
      <c r="EL75" s="67"/>
      <c r="EM75" s="67"/>
      <c r="EN75" s="83"/>
      <c r="EO75" s="83"/>
      <c r="EP75" s="83"/>
      <c r="EQ75" s="83"/>
      <c r="ER75" s="83"/>
      <c r="ES75" s="67"/>
      <c r="ET75" s="67"/>
      <c r="EU75" s="67"/>
      <c r="EV75" s="67"/>
      <c r="EW75" s="67"/>
      <c r="EX75" s="67"/>
      <c r="EY75" s="67"/>
      <c r="EZ75" s="67"/>
      <c r="FA75" s="67"/>
      <c r="FB75" s="67"/>
      <c r="FC75" s="67"/>
      <c r="FD75" s="67"/>
      <c r="FE75" s="67"/>
      <c r="FF75" s="67"/>
      <c r="FG75" s="67"/>
      <c r="FH75" s="67"/>
      <c r="FI75" s="67"/>
      <c r="FJ75" s="67"/>
      <c r="FK75" s="67"/>
      <c r="FL75" s="67"/>
      <c r="FM75" s="67"/>
      <c r="FN75" s="67"/>
      <c r="FO75" s="67"/>
      <c r="FP75" s="67"/>
      <c r="FQ75" s="67"/>
      <c r="FR75" s="67"/>
      <c r="FS75" s="67"/>
      <c r="FT75" s="67"/>
    </row>
    <row r="76" spans="1:176" x14ac:dyDescent="0.25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7"/>
      <c r="CH76" s="67"/>
      <c r="CI76" s="67"/>
      <c r="CJ76" s="67"/>
      <c r="CK76" s="67"/>
      <c r="CL76" s="67"/>
      <c r="CM76" s="67"/>
      <c r="CN76" s="67"/>
      <c r="CO76" s="67"/>
      <c r="CP76" s="67"/>
      <c r="CQ76" s="67"/>
      <c r="CR76" s="67"/>
      <c r="CS76" s="67"/>
      <c r="CT76" s="67"/>
      <c r="CU76" s="67"/>
      <c r="CV76" s="67"/>
      <c r="CW76" s="67"/>
      <c r="CX76" s="67"/>
      <c r="CY76" s="67"/>
      <c r="CZ76" s="67"/>
      <c r="DA76" s="67"/>
      <c r="DB76" s="67"/>
      <c r="DC76" s="67"/>
      <c r="DD76" s="67"/>
      <c r="DE76" s="67"/>
      <c r="DF76" s="67"/>
      <c r="DG76" s="67"/>
      <c r="DH76" s="67"/>
      <c r="DI76" s="67"/>
      <c r="DJ76" s="67"/>
      <c r="DK76" s="67"/>
      <c r="DL76" s="67"/>
      <c r="DM76" s="67"/>
      <c r="DN76" s="67"/>
      <c r="DO76" s="67"/>
      <c r="DP76" s="67"/>
      <c r="DQ76" s="67"/>
      <c r="DR76" s="67"/>
      <c r="DS76" s="67"/>
      <c r="DT76" s="67"/>
      <c r="DU76" s="67"/>
      <c r="DV76" s="67"/>
      <c r="DW76" s="67"/>
      <c r="DX76" s="67"/>
      <c r="DY76" s="67"/>
      <c r="DZ76" s="67"/>
      <c r="EA76" s="67"/>
      <c r="EB76" s="67"/>
      <c r="EC76" s="67"/>
      <c r="ED76" s="67"/>
      <c r="EE76" s="67"/>
      <c r="EF76" s="67"/>
      <c r="EG76" s="67"/>
      <c r="EH76" s="67"/>
      <c r="EI76" s="67"/>
      <c r="EJ76" s="67"/>
      <c r="EK76" s="67"/>
      <c r="EL76" s="67"/>
      <c r="EM76" s="67"/>
      <c r="EN76" s="83"/>
      <c r="EO76" s="83"/>
      <c r="EP76" s="83"/>
      <c r="EQ76" s="83"/>
      <c r="ER76" s="83"/>
      <c r="ES76" s="67"/>
      <c r="ET76" s="67"/>
      <c r="EU76" s="67"/>
      <c r="EV76" s="67"/>
      <c r="EW76" s="67"/>
      <c r="EX76" s="67"/>
      <c r="EY76" s="67"/>
      <c r="EZ76" s="67"/>
      <c r="FA76" s="67"/>
      <c r="FB76" s="67"/>
      <c r="FC76" s="67"/>
      <c r="FD76" s="67"/>
      <c r="FE76" s="67"/>
      <c r="FF76" s="67"/>
      <c r="FG76" s="67"/>
      <c r="FH76" s="67"/>
      <c r="FI76" s="67"/>
      <c r="FJ76" s="67"/>
      <c r="FK76" s="67"/>
      <c r="FL76" s="67"/>
      <c r="FM76" s="67"/>
      <c r="FN76" s="67"/>
      <c r="FO76" s="67"/>
      <c r="FP76" s="67"/>
      <c r="FQ76" s="67"/>
      <c r="FR76" s="67"/>
      <c r="FS76" s="67"/>
      <c r="FT76" s="67"/>
    </row>
    <row r="77" spans="1:176" x14ac:dyDescent="0.25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/>
      <c r="BH77" s="67"/>
      <c r="BI77" s="67"/>
      <c r="BJ77" s="67"/>
      <c r="BK77" s="67"/>
      <c r="BL77" s="67"/>
      <c r="BM77" s="67"/>
      <c r="BN77" s="67"/>
      <c r="BO77" s="67"/>
      <c r="BP77" s="67"/>
      <c r="BQ77" s="67"/>
      <c r="BR77" s="67"/>
      <c r="BS77" s="67"/>
      <c r="BT77" s="67"/>
      <c r="BU77" s="67"/>
      <c r="BV77" s="67"/>
      <c r="BW77" s="67"/>
      <c r="BX77" s="67"/>
      <c r="BY77" s="67"/>
      <c r="BZ77" s="67"/>
      <c r="CA77" s="67"/>
      <c r="CB77" s="67"/>
      <c r="CC77" s="67"/>
      <c r="CD77" s="67"/>
      <c r="CE77" s="67"/>
      <c r="CF77" s="67"/>
      <c r="CG77" s="67"/>
      <c r="CH77" s="67"/>
      <c r="CI77" s="67"/>
      <c r="CJ77" s="67"/>
      <c r="CK77" s="67"/>
      <c r="CL77" s="67"/>
      <c r="CM77" s="67"/>
      <c r="CN77" s="67"/>
      <c r="CO77" s="67"/>
      <c r="CP77" s="67"/>
      <c r="CQ77" s="67"/>
      <c r="CR77" s="67"/>
      <c r="CS77" s="67"/>
      <c r="CT77" s="67"/>
      <c r="CU77" s="67"/>
      <c r="CV77" s="67"/>
      <c r="CW77" s="67"/>
      <c r="CX77" s="67"/>
      <c r="CY77" s="67"/>
      <c r="CZ77" s="67"/>
      <c r="DA77" s="67"/>
      <c r="DB77" s="67"/>
      <c r="DC77" s="67"/>
      <c r="DD77" s="67"/>
      <c r="DE77" s="67"/>
      <c r="DF77" s="67"/>
      <c r="DG77" s="67"/>
      <c r="DH77" s="67"/>
      <c r="DI77" s="67"/>
      <c r="DJ77" s="67"/>
      <c r="DK77" s="67"/>
      <c r="DL77" s="67"/>
      <c r="DM77" s="67"/>
      <c r="DN77" s="67"/>
      <c r="DO77" s="67"/>
      <c r="DP77" s="67"/>
      <c r="DQ77" s="67"/>
      <c r="DR77" s="67"/>
      <c r="DS77" s="67"/>
      <c r="DT77" s="67"/>
      <c r="DU77" s="67"/>
      <c r="DV77" s="67"/>
      <c r="DW77" s="67"/>
      <c r="DX77" s="67"/>
      <c r="DY77" s="67"/>
      <c r="DZ77" s="67"/>
      <c r="EA77" s="67"/>
      <c r="EB77" s="67"/>
      <c r="EC77" s="67"/>
      <c r="ED77" s="67"/>
      <c r="EE77" s="67"/>
      <c r="EF77" s="67"/>
      <c r="EG77" s="67"/>
      <c r="EH77" s="67"/>
      <c r="EI77" s="67"/>
      <c r="EJ77" s="67"/>
      <c r="EK77" s="67"/>
      <c r="EL77" s="67"/>
      <c r="EM77" s="67"/>
      <c r="EN77" s="83"/>
      <c r="EO77" s="83"/>
      <c r="EP77" s="83"/>
      <c r="EQ77" s="83"/>
      <c r="ER77" s="83"/>
      <c r="ES77" s="67"/>
      <c r="ET77" s="67"/>
      <c r="EU77" s="67"/>
      <c r="EV77" s="67"/>
      <c r="EW77" s="67"/>
      <c r="EX77" s="67"/>
      <c r="EY77" s="67"/>
      <c r="EZ77" s="67"/>
      <c r="FA77" s="67"/>
      <c r="FB77" s="67"/>
      <c r="FC77" s="67"/>
      <c r="FD77" s="67"/>
      <c r="FE77" s="67"/>
      <c r="FF77" s="67"/>
      <c r="FG77" s="67"/>
      <c r="FH77" s="67"/>
      <c r="FI77" s="67"/>
      <c r="FJ77" s="67"/>
      <c r="FK77" s="67"/>
      <c r="FL77" s="67"/>
      <c r="FM77" s="67"/>
      <c r="FN77" s="67"/>
      <c r="FO77" s="67"/>
      <c r="FP77" s="67"/>
      <c r="FQ77" s="67"/>
      <c r="FR77" s="67"/>
      <c r="FS77" s="67"/>
      <c r="FT77" s="67"/>
    </row>
    <row r="78" spans="1:176" x14ac:dyDescent="0.25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67"/>
      <c r="BJ78" s="67"/>
      <c r="BK78" s="67"/>
      <c r="BL78" s="67"/>
      <c r="BM78" s="67"/>
      <c r="BN78" s="67"/>
      <c r="BO78" s="67"/>
      <c r="BP78" s="67"/>
      <c r="BQ78" s="67"/>
      <c r="BR78" s="67"/>
      <c r="BS78" s="67"/>
      <c r="BT78" s="67"/>
      <c r="BU78" s="67"/>
      <c r="BV78" s="67"/>
      <c r="BW78" s="67"/>
      <c r="BX78" s="67"/>
      <c r="BY78" s="67"/>
      <c r="BZ78" s="67"/>
      <c r="CA78" s="67"/>
      <c r="CB78" s="67"/>
      <c r="CC78" s="67"/>
      <c r="CD78" s="67"/>
      <c r="CE78" s="67"/>
      <c r="CF78" s="67"/>
      <c r="CG78" s="67"/>
      <c r="CH78" s="67"/>
      <c r="CI78" s="67"/>
      <c r="CJ78" s="67"/>
      <c r="CK78" s="67"/>
      <c r="CL78" s="67"/>
      <c r="CM78" s="67"/>
      <c r="CN78" s="67"/>
      <c r="CO78" s="67"/>
      <c r="CP78" s="67"/>
      <c r="CQ78" s="67"/>
      <c r="CR78" s="67"/>
      <c r="CS78" s="67"/>
      <c r="CT78" s="67"/>
      <c r="CU78" s="67"/>
      <c r="CV78" s="67"/>
      <c r="CW78" s="67"/>
      <c r="CX78" s="67"/>
      <c r="CY78" s="67"/>
      <c r="CZ78" s="67"/>
      <c r="DA78" s="67"/>
      <c r="DB78" s="67"/>
      <c r="DC78" s="67"/>
      <c r="DD78" s="67"/>
      <c r="DE78" s="67"/>
      <c r="DF78" s="67"/>
      <c r="DG78" s="67"/>
      <c r="DH78" s="67"/>
      <c r="DI78" s="67"/>
      <c r="DJ78" s="67"/>
      <c r="DK78" s="67"/>
      <c r="DL78" s="67"/>
      <c r="DM78" s="67"/>
      <c r="DN78" s="67"/>
      <c r="DO78" s="67"/>
      <c r="DP78" s="67"/>
      <c r="DQ78" s="67"/>
      <c r="DR78" s="67"/>
      <c r="DS78" s="67"/>
      <c r="DT78" s="67"/>
      <c r="DU78" s="67"/>
      <c r="DV78" s="67"/>
      <c r="DW78" s="67"/>
      <c r="DX78" s="67"/>
      <c r="DY78" s="67"/>
      <c r="DZ78" s="67"/>
      <c r="EA78" s="67"/>
      <c r="EB78" s="67"/>
      <c r="EC78" s="67"/>
      <c r="ED78" s="67"/>
      <c r="EE78" s="67"/>
      <c r="EF78" s="67"/>
      <c r="EG78" s="67"/>
      <c r="EH78" s="67"/>
      <c r="EI78" s="67"/>
      <c r="EJ78" s="67"/>
      <c r="EK78" s="67"/>
      <c r="EL78" s="67"/>
      <c r="EM78" s="67"/>
      <c r="EN78" s="83"/>
      <c r="EO78" s="83"/>
      <c r="EP78" s="83"/>
      <c r="EQ78" s="83"/>
      <c r="ER78" s="83"/>
      <c r="ES78" s="67"/>
      <c r="ET78" s="67"/>
      <c r="EU78" s="67"/>
      <c r="EV78" s="67"/>
      <c r="EW78" s="67"/>
      <c r="EX78" s="67"/>
      <c r="EY78" s="67"/>
      <c r="EZ78" s="67"/>
      <c r="FA78" s="67"/>
      <c r="FB78" s="67"/>
      <c r="FC78" s="67"/>
      <c r="FD78" s="67"/>
      <c r="FE78" s="67"/>
      <c r="FF78" s="67"/>
      <c r="FG78" s="67"/>
      <c r="FH78" s="67"/>
      <c r="FI78" s="67"/>
      <c r="FJ78" s="67"/>
      <c r="FK78" s="67"/>
      <c r="FL78" s="67"/>
      <c r="FM78" s="67"/>
      <c r="FN78" s="67"/>
      <c r="FO78" s="67"/>
      <c r="FP78" s="67"/>
      <c r="FQ78" s="67"/>
      <c r="FR78" s="67"/>
      <c r="FS78" s="67"/>
      <c r="FT78" s="67"/>
    </row>
    <row r="79" spans="1:176" x14ac:dyDescent="0.25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/>
      <c r="BH79" s="67"/>
      <c r="BI79" s="67"/>
      <c r="BJ79" s="67"/>
      <c r="BK79" s="67"/>
      <c r="BL79" s="67"/>
      <c r="BM79" s="67"/>
      <c r="BN79" s="67"/>
      <c r="BO79" s="67"/>
      <c r="BP79" s="67"/>
      <c r="BQ79" s="67"/>
      <c r="BR79" s="67"/>
      <c r="BS79" s="67"/>
      <c r="BT79" s="67"/>
      <c r="BU79" s="67"/>
      <c r="BV79" s="67"/>
      <c r="BW79" s="67"/>
      <c r="BX79" s="67"/>
      <c r="BY79" s="67"/>
      <c r="BZ79" s="67"/>
      <c r="CA79" s="67"/>
      <c r="CB79" s="67"/>
      <c r="CC79" s="67"/>
      <c r="CD79" s="67"/>
      <c r="CE79" s="67"/>
      <c r="CF79" s="67"/>
      <c r="CG79" s="67"/>
      <c r="CH79" s="67"/>
      <c r="CI79" s="67"/>
      <c r="CJ79" s="67"/>
      <c r="CK79" s="67"/>
      <c r="CL79" s="67"/>
      <c r="CM79" s="67"/>
      <c r="CN79" s="67"/>
      <c r="CO79" s="67"/>
      <c r="CP79" s="67"/>
      <c r="CQ79" s="67"/>
      <c r="CR79" s="67"/>
      <c r="CS79" s="67"/>
      <c r="CT79" s="67"/>
      <c r="CU79" s="67"/>
      <c r="CV79" s="67"/>
      <c r="CW79" s="67"/>
      <c r="CX79" s="67"/>
      <c r="CY79" s="67"/>
      <c r="CZ79" s="67"/>
      <c r="DA79" s="67"/>
      <c r="DB79" s="67"/>
      <c r="DC79" s="67"/>
      <c r="DD79" s="67"/>
      <c r="DE79" s="67"/>
      <c r="DF79" s="67"/>
      <c r="DG79" s="67"/>
      <c r="DH79" s="67"/>
      <c r="DI79" s="67"/>
      <c r="DJ79" s="67"/>
      <c r="DK79" s="67"/>
      <c r="DL79" s="67"/>
      <c r="DM79" s="67"/>
      <c r="DN79" s="67"/>
      <c r="DO79" s="67"/>
      <c r="DP79" s="67"/>
      <c r="DQ79" s="67"/>
      <c r="DR79" s="67"/>
      <c r="DS79" s="67"/>
      <c r="DT79" s="67"/>
      <c r="DU79" s="67"/>
      <c r="DV79" s="67"/>
      <c r="DW79" s="67"/>
      <c r="DX79" s="67"/>
      <c r="DY79" s="67"/>
      <c r="DZ79" s="67"/>
      <c r="EA79" s="67"/>
      <c r="EB79" s="67"/>
      <c r="EC79" s="67"/>
      <c r="ED79" s="67"/>
      <c r="EE79" s="67"/>
      <c r="EF79" s="67"/>
      <c r="EG79" s="67"/>
      <c r="EH79" s="67"/>
      <c r="EI79" s="67"/>
      <c r="EJ79" s="67"/>
      <c r="EK79" s="67"/>
      <c r="EL79" s="67"/>
      <c r="EM79" s="67"/>
      <c r="EN79" s="83"/>
      <c r="EO79" s="83"/>
      <c r="EP79" s="83"/>
      <c r="EQ79" s="83"/>
      <c r="ER79" s="83"/>
      <c r="ES79" s="67"/>
      <c r="ET79" s="67"/>
      <c r="EU79" s="67"/>
      <c r="EV79" s="67"/>
      <c r="EW79" s="67"/>
      <c r="EX79" s="67"/>
      <c r="EY79" s="67"/>
      <c r="EZ79" s="67"/>
      <c r="FA79" s="67"/>
      <c r="FB79" s="67"/>
      <c r="FC79" s="67"/>
      <c r="FD79" s="67"/>
      <c r="FE79" s="67"/>
      <c r="FF79" s="67"/>
      <c r="FG79" s="67"/>
      <c r="FH79" s="67"/>
      <c r="FI79" s="67"/>
      <c r="FJ79" s="67"/>
      <c r="FK79" s="67"/>
      <c r="FL79" s="67"/>
      <c r="FM79" s="67"/>
      <c r="FN79" s="67"/>
      <c r="FO79" s="67"/>
      <c r="FP79" s="67"/>
      <c r="FQ79" s="67"/>
      <c r="FR79" s="67"/>
      <c r="FS79" s="67"/>
      <c r="FT79" s="67"/>
    </row>
    <row r="80" spans="1:176" x14ac:dyDescent="0.25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/>
      <c r="BH80" s="67"/>
      <c r="BI80" s="67"/>
      <c r="BJ80" s="67"/>
      <c r="BK80" s="67"/>
      <c r="BL80" s="67"/>
      <c r="BM80" s="67"/>
      <c r="BN80" s="67"/>
      <c r="BO80" s="67"/>
      <c r="BP80" s="67"/>
      <c r="BQ80" s="67"/>
      <c r="BR80" s="67"/>
      <c r="BS80" s="67"/>
      <c r="BT80" s="67"/>
      <c r="BU80" s="67"/>
      <c r="BV80" s="67"/>
      <c r="BW80" s="67"/>
      <c r="BX80" s="67"/>
      <c r="BY80" s="67"/>
      <c r="BZ80" s="67"/>
      <c r="CA80" s="67"/>
      <c r="CB80" s="67"/>
      <c r="CC80" s="67"/>
      <c r="CD80" s="67"/>
      <c r="CE80" s="67"/>
      <c r="CF80" s="67"/>
      <c r="CG80" s="67"/>
      <c r="CH80" s="67"/>
      <c r="CI80" s="67"/>
      <c r="CJ80" s="67"/>
      <c r="CK80" s="67"/>
      <c r="CL80" s="67"/>
      <c r="CM80" s="67"/>
      <c r="CN80" s="67"/>
      <c r="CO80" s="67"/>
      <c r="CP80" s="67"/>
      <c r="CQ80" s="67"/>
      <c r="CR80" s="67"/>
      <c r="CS80" s="67"/>
      <c r="CT80" s="67"/>
      <c r="CU80" s="67"/>
      <c r="CV80" s="67"/>
      <c r="CW80" s="67"/>
      <c r="CX80" s="67"/>
      <c r="CY80" s="67"/>
      <c r="CZ80" s="67"/>
      <c r="DA80" s="67"/>
      <c r="DB80" s="67"/>
      <c r="DC80" s="67"/>
      <c r="DD80" s="67"/>
      <c r="DE80" s="67"/>
      <c r="DF80" s="67"/>
      <c r="DG80" s="67"/>
      <c r="DH80" s="67"/>
      <c r="DI80" s="67"/>
      <c r="DJ80" s="67"/>
      <c r="DK80" s="67"/>
      <c r="DL80" s="67"/>
      <c r="DM80" s="67"/>
      <c r="DN80" s="67"/>
      <c r="DO80" s="67"/>
      <c r="DP80" s="67"/>
      <c r="DQ80" s="67"/>
      <c r="DR80" s="67"/>
      <c r="DS80" s="67"/>
      <c r="DT80" s="67"/>
      <c r="DU80" s="67"/>
      <c r="DV80" s="67"/>
      <c r="DW80" s="67"/>
      <c r="DX80" s="67"/>
      <c r="DY80" s="67"/>
      <c r="DZ80" s="67"/>
      <c r="EA80" s="67"/>
      <c r="EB80" s="67"/>
      <c r="EC80" s="67"/>
      <c r="ED80" s="67"/>
      <c r="EE80" s="67"/>
      <c r="EF80" s="67"/>
      <c r="EG80" s="67"/>
      <c r="EH80" s="67"/>
      <c r="EI80" s="67"/>
      <c r="EJ80" s="67"/>
      <c r="EK80" s="67"/>
      <c r="EL80" s="67"/>
      <c r="EM80" s="67"/>
      <c r="EN80" s="83"/>
      <c r="EO80" s="83"/>
      <c r="EP80" s="83"/>
      <c r="EQ80" s="83"/>
      <c r="ER80" s="83"/>
      <c r="ES80" s="67"/>
      <c r="ET80" s="67"/>
      <c r="EU80" s="67"/>
      <c r="EV80" s="67"/>
      <c r="EW80" s="67"/>
      <c r="EX80" s="67"/>
      <c r="EY80" s="67"/>
      <c r="EZ80" s="67"/>
      <c r="FA80" s="67"/>
      <c r="FB80" s="67"/>
      <c r="FC80" s="67"/>
      <c r="FD80" s="67"/>
      <c r="FE80" s="67"/>
      <c r="FF80" s="67"/>
      <c r="FG80" s="67"/>
      <c r="FH80" s="67"/>
      <c r="FI80" s="67"/>
      <c r="FJ80" s="67"/>
      <c r="FK80" s="67"/>
      <c r="FL80" s="67"/>
      <c r="FM80" s="67"/>
      <c r="FN80" s="67"/>
      <c r="FO80" s="67"/>
      <c r="FP80" s="67"/>
      <c r="FQ80" s="67"/>
      <c r="FR80" s="67"/>
      <c r="FS80" s="67"/>
      <c r="FT80" s="67"/>
    </row>
    <row r="81" spans="1:176" x14ac:dyDescent="0.25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67"/>
      <c r="BJ81" s="67"/>
      <c r="BK81" s="67"/>
      <c r="BL81" s="67"/>
      <c r="BM81" s="67"/>
      <c r="BN81" s="67"/>
      <c r="BO81" s="67"/>
      <c r="BP81" s="67"/>
      <c r="BQ81" s="67"/>
      <c r="BR81" s="67"/>
      <c r="BS81" s="67"/>
      <c r="BT81" s="67"/>
      <c r="BU81" s="67"/>
      <c r="BV81" s="67"/>
      <c r="BW81" s="67"/>
      <c r="BX81" s="67"/>
      <c r="BY81" s="67"/>
      <c r="BZ81" s="67"/>
      <c r="CA81" s="67"/>
      <c r="CB81" s="67"/>
      <c r="CC81" s="67"/>
      <c r="CD81" s="67"/>
      <c r="CE81" s="67"/>
      <c r="CF81" s="67"/>
      <c r="CG81" s="67"/>
      <c r="CH81" s="67"/>
      <c r="CI81" s="67"/>
      <c r="CJ81" s="67"/>
      <c r="CK81" s="67"/>
      <c r="CL81" s="67"/>
      <c r="CM81" s="67"/>
      <c r="CN81" s="67"/>
      <c r="CO81" s="67"/>
      <c r="CP81" s="67"/>
      <c r="CQ81" s="67"/>
      <c r="CR81" s="67"/>
      <c r="CS81" s="67"/>
      <c r="CT81" s="67"/>
      <c r="CU81" s="67"/>
      <c r="CV81" s="67"/>
      <c r="CW81" s="67"/>
      <c r="CX81" s="67"/>
      <c r="CY81" s="67"/>
      <c r="CZ81" s="67"/>
      <c r="DA81" s="67"/>
      <c r="DB81" s="67"/>
      <c r="DC81" s="67"/>
      <c r="DD81" s="67"/>
      <c r="DE81" s="67"/>
      <c r="DF81" s="67"/>
      <c r="DG81" s="67"/>
      <c r="DH81" s="67"/>
      <c r="DI81" s="67"/>
      <c r="DJ81" s="67"/>
      <c r="DK81" s="67"/>
      <c r="DL81" s="67"/>
      <c r="DM81" s="67"/>
      <c r="DN81" s="67"/>
      <c r="DO81" s="67"/>
      <c r="DP81" s="67"/>
      <c r="DQ81" s="67"/>
      <c r="DR81" s="67"/>
      <c r="DS81" s="67"/>
      <c r="DT81" s="67"/>
      <c r="DU81" s="67"/>
      <c r="DV81" s="67"/>
      <c r="DW81" s="67"/>
      <c r="DX81" s="67"/>
      <c r="DY81" s="67"/>
      <c r="DZ81" s="67"/>
      <c r="EA81" s="67"/>
      <c r="EB81" s="67"/>
      <c r="EC81" s="67"/>
      <c r="ED81" s="67"/>
      <c r="EE81" s="67"/>
      <c r="EF81" s="67"/>
      <c r="EG81" s="67"/>
      <c r="EH81" s="67"/>
      <c r="EI81" s="67"/>
      <c r="EJ81" s="67"/>
      <c r="EK81" s="67"/>
      <c r="EL81" s="67"/>
      <c r="EM81" s="67"/>
      <c r="EN81" s="83"/>
      <c r="EO81" s="83"/>
      <c r="EP81" s="83"/>
      <c r="EQ81" s="83"/>
      <c r="ER81" s="83"/>
      <c r="ES81" s="67"/>
      <c r="ET81" s="67"/>
      <c r="EU81" s="67"/>
      <c r="EV81" s="67"/>
      <c r="EW81" s="67"/>
      <c r="EX81" s="67"/>
      <c r="EY81" s="67"/>
      <c r="EZ81" s="67"/>
      <c r="FA81" s="67"/>
      <c r="FB81" s="67"/>
      <c r="FC81" s="67"/>
      <c r="FD81" s="67"/>
      <c r="FE81" s="67"/>
      <c r="FF81" s="67"/>
      <c r="FG81" s="67"/>
      <c r="FH81" s="67"/>
      <c r="FI81" s="67"/>
      <c r="FJ81" s="67"/>
      <c r="FK81" s="67"/>
      <c r="FL81" s="67"/>
      <c r="FM81" s="67"/>
      <c r="FN81" s="67"/>
      <c r="FO81" s="67"/>
      <c r="FP81" s="67"/>
      <c r="FQ81" s="67"/>
      <c r="FR81" s="67"/>
      <c r="FS81" s="67"/>
      <c r="FT81" s="67"/>
    </row>
    <row r="82" spans="1:176" x14ac:dyDescent="0.25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67"/>
      <c r="BJ82" s="67"/>
      <c r="BK82" s="67"/>
      <c r="BL82" s="67"/>
      <c r="BM82" s="67"/>
      <c r="BN82" s="67"/>
      <c r="BO82" s="67"/>
      <c r="BP82" s="67"/>
      <c r="BQ82" s="67"/>
      <c r="BR82" s="67"/>
      <c r="BS82" s="67"/>
      <c r="BT82" s="67"/>
      <c r="BU82" s="67"/>
      <c r="BV82" s="67"/>
      <c r="BW82" s="67"/>
      <c r="BX82" s="67"/>
      <c r="BY82" s="67"/>
      <c r="BZ82" s="67"/>
      <c r="CA82" s="67"/>
      <c r="CB82" s="67"/>
      <c r="CC82" s="67"/>
      <c r="CD82" s="67"/>
      <c r="CE82" s="67"/>
      <c r="CF82" s="67"/>
      <c r="CG82" s="67"/>
      <c r="CH82" s="67"/>
      <c r="CI82" s="67"/>
      <c r="CJ82" s="67"/>
      <c r="CK82" s="67"/>
      <c r="CL82" s="67"/>
      <c r="CM82" s="67"/>
      <c r="CN82" s="67"/>
      <c r="CO82" s="67"/>
      <c r="CP82" s="67"/>
      <c r="CQ82" s="67"/>
      <c r="CR82" s="67"/>
      <c r="CS82" s="67"/>
      <c r="CT82" s="67"/>
      <c r="CU82" s="67"/>
      <c r="CV82" s="67"/>
      <c r="CW82" s="67"/>
      <c r="CX82" s="67"/>
      <c r="CY82" s="67"/>
      <c r="CZ82" s="67"/>
      <c r="DA82" s="67"/>
      <c r="DB82" s="67"/>
      <c r="DC82" s="67"/>
      <c r="DD82" s="67"/>
      <c r="DE82" s="67"/>
      <c r="DF82" s="67"/>
      <c r="DG82" s="67"/>
      <c r="DH82" s="67"/>
      <c r="DI82" s="67"/>
      <c r="DJ82" s="67"/>
      <c r="DK82" s="67"/>
      <c r="DL82" s="67"/>
      <c r="DM82" s="67"/>
      <c r="DN82" s="67"/>
      <c r="DO82" s="67"/>
      <c r="DP82" s="67"/>
      <c r="DQ82" s="67"/>
      <c r="DR82" s="67"/>
      <c r="DS82" s="67"/>
      <c r="DT82" s="67"/>
      <c r="DU82" s="67"/>
      <c r="DV82" s="67"/>
      <c r="DW82" s="67"/>
      <c r="DX82" s="67"/>
      <c r="DY82" s="67"/>
      <c r="DZ82" s="67"/>
      <c r="EA82" s="67"/>
      <c r="EB82" s="67"/>
      <c r="EC82" s="67"/>
      <c r="ED82" s="67"/>
      <c r="EE82" s="67"/>
      <c r="EF82" s="67"/>
      <c r="EG82" s="67"/>
      <c r="EH82" s="67"/>
      <c r="EI82" s="67"/>
      <c r="EJ82" s="67"/>
      <c r="EK82" s="67"/>
      <c r="EL82" s="67"/>
      <c r="EM82" s="67"/>
      <c r="EN82" s="83"/>
      <c r="EO82" s="83"/>
      <c r="EP82" s="83"/>
      <c r="EQ82" s="83"/>
      <c r="ER82" s="83"/>
      <c r="ES82" s="67"/>
      <c r="ET82" s="67"/>
      <c r="EU82" s="67"/>
      <c r="EV82" s="67"/>
      <c r="EW82" s="67"/>
      <c r="EX82" s="67"/>
      <c r="EY82" s="67"/>
      <c r="EZ82" s="67"/>
      <c r="FA82" s="67"/>
      <c r="FB82" s="67"/>
      <c r="FC82" s="67"/>
      <c r="FD82" s="67"/>
      <c r="FE82" s="67"/>
      <c r="FF82" s="67"/>
      <c r="FG82" s="67"/>
      <c r="FH82" s="67"/>
      <c r="FI82" s="67"/>
      <c r="FJ82" s="67"/>
      <c r="FK82" s="67"/>
      <c r="FL82" s="67"/>
      <c r="FM82" s="67"/>
      <c r="FN82" s="67"/>
      <c r="FO82" s="67"/>
      <c r="FP82" s="67"/>
      <c r="FQ82" s="67"/>
      <c r="FR82" s="67"/>
      <c r="FS82" s="67"/>
      <c r="FT82" s="67"/>
    </row>
    <row r="83" spans="1:176" x14ac:dyDescent="0.25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/>
      <c r="BH83" s="67"/>
      <c r="BI83" s="67"/>
      <c r="BJ83" s="67"/>
      <c r="BK83" s="67"/>
      <c r="BL83" s="67"/>
      <c r="BM83" s="67"/>
      <c r="BN83" s="67"/>
      <c r="BO83" s="67"/>
      <c r="BP83" s="67"/>
      <c r="BQ83" s="67"/>
      <c r="BR83" s="67"/>
      <c r="BS83" s="67"/>
      <c r="BT83" s="67"/>
      <c r="BU83" s="67"/>
      <c r="BV83" s="67"/>
      <c r="BW83" s="67"/>
      <c r="BX83" s="67"/>
      <c r="BY83" s="67"/>
      <c r="BZ83" s="67"/>
      <c r="CA83" s="67"/>
      <c r="CB83" s="67"/>
      <c r="CC83" s="67"/>
      <c r="CD83" s="67"/>
      <c r="CE83" s="67"/>
      <c r="CF83" s="67"/>
      <c r="CG83" s="67"/>
      <c r="CH83" s="67"/>
      <c r="CI83" s="67"/>
      <c r="CJ83" s="67"/>
      <c r="CK83" s="67"/>
      <c r="CL83" s="67"/>
      <c r="CM83" s="67"/>
      <c r="CN83" s="67"/>
      <c r="CO83" s="67"/>
      <c r="CP83" s="67"/>
      <c r="CQ83" s="67"/>
      <c r="CR83" s="67"/>
      <c r="CS83" s="67"/>
      <c r="CT83" s="67"/>
      <c r="CU83" s="67"/>
      <c r="CV83" s="67"/>
      <c r="CW83" s="67"/>
      <c r="CX83" s="67"/>
      <c r="CY83" s="67"/>
      <c r="CZ83" s="67"/>
      <c r="DA83" s="67"/>
      <c r="DB83" s="67"/>
      <c r="DC83" s="67"/>
      <c r="DD83" s="67"/>
      <c r="DE83" s="67"/>
      <c r="DF83" s="67"/>
      <c r="DG83" s="67"/>
      <c r="DH83" s="67"/>
      <c r="DI83" s="67"/>
      <c r="DJ83" s="67"/>
      <c r="DK83" s="67"/>
      <c r="DL83" s="67"/>
      <c r="DM83" s="67"/>
      <c r="DN83" s="67"/>
      <c r="DO83" s="67"/>
      <c r="DP83" s="67"/>
      <c r="DQ83" s="67"/>
      <c r="DR83" s="67"/>
      <c r="DS83" s="67"/>
      <c r="DT83" s="67"/>
      <c r="DU83" s="67"/>
      <c r="DV83" s="67"/>
      <c r="DW83" s="67"/>
      <c r="DX83" s="67"/>
      <c r="DY83" s="67"/>
      <c r="DZ83" s="67"/>
      <c r="EA83" s="67"/>
      <c r="EB83" s="67"/>
      <c r="EC83" s="67"/>
      <c r="ED83" s="67"/>
      <c r="EE83" s="67"/>
      <c r="EF83" s="67"/>
      <c r="EG83" s="67"/>
      <c r="EH83" s="67"/>
      <c r="EI83" s="67"/>
      <c r="EJ83" s="67"/>
      <c r="EK83" s="67"/>
      <c r="EL83" s="67"/>
      <c r="EM83" s="67"/>
      <c r="EN83" s="83"/>
      <c r="EO83" s="83"/>
      <c r="EP83" s="83"/>
      <c r="EQ83" s="83"/>
      <c r="ER83" s="83"/>
      <c r="ES83" s="67"/>
      <c r="ET83" s="67"/>
      <c r="EU83" s="67"/>
      <c r="EV83" s="67"/>
      <c r="EW83" s="67"/>
      <c r="EX83" s="67"/>
      <c r="EY83" s="67"/>
      <c r="EZ83" s="67"/>
      <c r="FA83" s="67"/>
      <c r="FB83" s="67"/>
      <c r="FC83" s="67"/>
      <c r="FD83" s="67"/>
      <c r="FE83" s="67"/>
      <c r="FF83" s="67"/>
      <c r="FG83" s="67"/>
      <c r="FH83" s="67"/>
      <c r="FI83" s="67"/>
      <c r="FJ83" s="67"/>
      <c r="FK83" s="67"/>
      <c r="FL83" s="67"/>
      <c r="FM83" s="67"/>
      <c r="FN83" s="67"/>
      <c r="FO83" s="67"/>
      <c r="FP83" s="67"/>
      <c r="FQ83" s="67"/>
      <c r="FR83" s="67"/>
      <c r="FS83" s="67"/>
      <c r="FT83" s="67"/>
    </row>
    <row r="84" spans="1:176" x14ac:dyDescent="0.25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/>
      <c r="BH84" s="67"/>
      <c r="BI84" s="67"/>
      <c r="BJ84" s="67"/>
      <c r="BK84" s="67"/>
      <c r="BL84" s="67"/>
      <c r="BM84" s="67"/>
      <c r="BN84" s="67"/>
      <c r="BO84" s="67"/>
      <c r="BP84" s="67"/>
      <c r="BQ84" s="67"/>
      <c r="BR84" s="67"/>
      <c r="BS84" s="67"/>
      <c r="BT84" s="67"/>
      <c r="BU84" s="67"/>
      <c r="BV84" s="67"/>
      <c r="BW84" s="67"/>
      <c r="BX84" s="67"/>
      <c r="BY84" s="67"/>
      <c r="BZ84" s="67"/>
      <c r="CA84" s="67"/>
      <c r="CB84" s="67"/>
      <c r="CC84" s="67"/>
      <c r="CD84" s="67"/>
      <c r="CE84" s="67"/>
      <c r="CF84" s="67"/>
      <c r="CG84" s="67"/>
      <c r="CH84" s="67"/>
      <c r="CI84" s="67"/>
      <c r="CJ84" s="67"/>
      <c r="CK84" s="67"/>
      <c r="CL84" s="67"/>
      <c r="CM84" s="67"/>
      <c r="CN84" s="67"/>
      <c r="CO84" s="67"/>
      <c r="CP84" s="67"/>
      <c r="CQ84" s="67"/>
      <c r="CR84" s="67"/>
      <c r="CS84" s="67"/>
      <c r="CT84" s="67"/>
      <c r="CU84" s="67"/>
      <c r="CV84" s="67"/>
      <c r="CW84" s="67"/>
      <c r="CX84" s="67"/>
      <c r="CY84" s="67"/>
      <c r="CZ84" s="67"/>
      <c r="DA84" s="67"/>
      <c r="DB84" s="67"/>
      <c r="DC84" s="67"/>
      <c r="DD84" s="67"/>
      <c r="DE84" s="67"/>
      <c r="DF84" s="67"/>
      <c r="DG84" s="67"/>
      <c r="DH84" s="67"/>
      <c r="DI84" s="67"/>
      <c r="DJ84" s="67"/>
      <c r="DK84" s="67"/>
      <c r="DL84" s="67"/>
      <c r="DM84" s="67"/>
      <c r="DN84" s="67"/>
      <c r="DO84" s="67"/>
      <c r="DP84" s="67"/>
      <c r="DQ84" s="67"/>
      <c r="DR84" s="67"/>
      <c r="DS84" s="67"/>
      <c r="DT84" s="67"/>
      <c r="DU84" s="67"/>
      <c r="DV84" s="67"/>
      <c r="DW84" s="67"/>
      <c r="DX84" s="67"/>
      <c r="DY84" s="67"/>
      <c r="DZ84" s="67"/>
      <c r="EA84" s="67"/>
      <c r="EB84" s="67"/>
      <c r="EC84" s="67"/>
      <c r="ED84" s="67"/>
      <c r="EE84" s="67"/>
      <c r="EF84" s="67"/>
      <c r="EG84" s="67"/>
      <c r="EH84" s="67"/>
      <c r="EI84" s="67"/>
      <c r="EJ84" s="67"/>
      <c r="EK84" s="67"/>
      <c r="EL84" s="67"/>
      <c r="EM84" s="67"/>
      <c r="EN84" s="83"/>
      <c r="EO84" s="83"/>
      <c r="EP84" s="83"/>
      <c r="EQ84" s="83"/>
      <c r="ER84" s="83"/>
      <c r="ES84" s="67"/>
      <c r="ET84" s="67"/>
      <c r="EU84" s="67"/>
      <c r="EV84" s="67"/>
      <c r="EW84" s="67"/>
      <c r="EX84" s="67"/>
      <c r="EY84" s="67"/>
      <c r="EZ84" s="67"/>
      <c r="FA84" s="67"/>
      <c r="FB84" s="67"/>
      <c r="FC84" s="67"/>
      <c r="FD84" s="67"/>
      <c r="FE84" s="67"/>
      <c r="FF84" s="67"/>
      <c r="FG84" s="67"/>
      <c r="FH84" s="67"/>
      <c r="FI84" s="67"/>
      <c r="FJ84" s="67"/>
      <c r="FK84" s="67"/>
      <c r="FL84" s="67"/>
      <c r="FM84" s="67"/>
      <c r="FN84" s="67"/>
      <c r="FO84" s="67"/>
      <c r="FP84" s="67"/>
      <c r="FQ84" s="67"/>
      <c r="FR84" s="67"/>
      <c r="FS84" s="67"/>
      <c r="FT84" s="67"/>
    </row>
    <row r="85" spans="1:176" x14ac:dyDescent="0.25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  <c r="BH85" s="67"/>
      <c r="BI85" s="67"/>
      <c r="BJ85" s="67"/>
      <c r="BK85" s="67"/>
      <c r="BL85" s="67"/>
      <c r="BM85" s="67"/>
      <c r="BN85" s="67"/>
      <c r="BO85" s="67"/>
      <c r="BP85" s="67"/>
      <c r="BQ85" s="67"/>
      <c r="BR85" s="67"/>
      <c r="BS85" s="67"/>
      <c r="BT85" s="67"/>
      <c r="BU85" s="67"/>
      <c r="BV85" s="67"/>
      <c r="BW85" s="67"/>
      <c r="BX85" s="67"/>
      <c r="BY85" s="67"/>
      <c r="BZ85" s="67"/>
      <c r="CA85" s="67"/>
      <c r="CB85" s="67"/>
      <c r="CC85" s="67"/>
      <c r="CD85" s="67"/>
      <c r="CE85" s="67"/>
      <c r="CF85" s="67"/>
      <c r="CG85" s="67"/>
      <c r="CH85" s="67"/>
      <c r="CI85" s="67"/>
      <c r="CJ85" s="67"/>
      <c r="CK85" s="67"/>
      <c r="CL85" s="67"/>
      <c r="CM85" s="67"/>
      <c r="CN85" s="67"/>
      <c r="CO85" s="67"/>
      <c r="CP85" s="67"/>
      <c r="CQ85" s="67"/>
      <c r="CR85" s="67"/>
      <c r="CS85" s="67"/>
      <c r="CT85" s="67"/>
      <c r="CU85" s="67"/>
      <c r="CV85" s="67"/>
      <c r="CW85" s="67"/>
      <c r="CX85" s="67"/>
      <c r="CY85" s="67"/>
      <c r="CZ85" s="67"/>
      <c r="DA85" s="67"/>
      <c r="DB85" s="67"/>
      <c r="DC85" s="67"/>
      <c r="DD85" s="67"/>
      <c r="DE85" s="67"/>
      <c r="DF85" s="67"/>
      <c r="DG85" s="67"/>
      <c r="DH85" s="67"/>
      <c r="DI85" s="67"/>
      <c r="DJ85" s="67"/>
      <c r="DK85" s="67"/>
      <c r="DL85" s="67"/>
      <c r="DM85" s="67"/>
      <c r="DN85" s="67"/>
      <c r="DO85" s="67"/>
      <c r="DP85" s="67"/>
      <c r="DQ85" s="67"/>
      <c r="DR85" s="67"/>
      <c r="DS85" s="67"/>
      <c r="DT85" s="67"/>
      <c r="DU85" s="67"/>
      <c r="DV85" s="67"/>
      <c r="DW85" s="67"/>
      <c r="DX85" s="67"/>
      <c r="DY85" s="67"/>
      <c r="DZ85" s="67"/>
      <c r="EA85" s="67"/>
      <c r="EB85" s="67"/>
      <c r="EC85" s="67"/>
      <c r="ED85" s="67"/>
      <c r="EE85" s="67"/>
      <c r="EF85" s="67"/>
      <c r="EG85" s="67"/>
      <c r="EH85" s="67"/>
      <c r="EI85" s="67"/>
      <c r="EJ85" s="67"/>
      <c r="EK85" s="67"/>
      <c r="EL85" s="67"/>
      <c r="EM85" s="67"/>
      <c r="EN85" s="83"/>
      <c r="EO85" s="83"/>
      <c r="EP85" s="83"/>
      <c r="EQ85" s="83"/>
      <c r="ER85" s="83"/>
      <c r="ES85" s="67"/>
      <c r="ET85" s="67"/>
      <c r="EU85" s="67"/>
      <c r="EV85" s="67"/>
      <c r="EW85" s="67"/>
      <c r="EX85" s="67"/>
      <c r="EY85" s="67"/>
      <c r="EZ85" s="67"/>
      <c r="FA85" s="67"/>
      <c r="FB85" s="67"/>
      <c r="FC85" s="67"/>
      <c r="FD85" s="67"/>
      <c r="FE85" s="67"/>
      <c r="FF85" s="67"/>
      <c r="FG85" s="67"/>
      <c r="FH85" s="67"/>
      <c r="FI85" s="67"/>
      <c r="FJ85" s="67"/>
      <c r="FK85" s="67"/>
      <c r="FL85" s="67"/>
      <c r="FM85" s="67"/>
      <c r="FN85" s="67"/>
      <c r="FO85" s="67"/>
      <c r="FP85" s="67"/>
      <c r="FQ85" s="67"/>
      <c r="FR85" s="67"/>
      <c r="FS85" s="67"/>
      <c r="FT85" s="67"/>
    </row>
    <row r="86" spans="1:176" x14ac:dyDescent="0.25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7"/>
      <c r="BI86" s="67"/>
      <c r="BJ86" s="67"/>
      <c r="BK86" s="67"/>
      <c r="BL86" s="67"/>
      <c r="BM86" s="67"/>
      <c r="BN86" s="67"/>
      <c r="BO86" s="67"/>
      <c r="BP86" s="67"/>
      <c r="BQ86" s="67"/>
      <c r="BR86" s="67"/>
      <c r="BS86" s="67"/>
      <c r="BT86" s="67"/>
      <c r="BU86" s="67"/>
      <c r="BV86" s="67"/>
      <c r="BW86" s="67"/>
      <c r="BX86" s="67"/>
      <c r="BY86" s="67"/>
      <c r="BZ86" s="67"/>
      <c r="CA86" s="67"/>
      <c r="CB86" s="67"/>
      <c r="CC86" s="67"/>
      <c r="CD86" s="67"/>
      <c r="CE86" s="67"/>
      <c r="CF86" s="67"/>
      <c r="CG86" s="67"/>
      <c r="CH86" s="67"/>
      <c r="CI86" s="67"/>
      <c r="CJ86" s="67"/>
      <c r="CK86" s="67"/>
      <c r="CL86" s="67"/>
      <c r="CM86" s="67"/>
      <c r="CN86" s="67"/>
      <c r="CO86" s="67"/>
      <c r="CP86" s="67"/>
      <c r="CQ86" s="67"/>
      <c r="CR86" s="67"/>
      <c r="CS86" s="67"/>
      <c r="CT86" s="67"/>
      <c r="CU86" s="67"/>
      <c r="CV86" s="67"/>
      <c r="CW86" s="67"/>
      <c r="CX86" s="67"/>
      <c r="CY86" s="67"/>
      <c r="CZ86" s="67"/>
      <c r="DA86" s="67"/>
      <c r="DB86" s="67"/>
      <c r="DC86" s="67"/>
      <c r="DD86" s="67"/>
      <c r="DE86" s="67"/>
      <c r="DF86" s="67"/>
      <c r="DG86" s="67"/>
      <c r="DH86" s="67"/>
      <c r="DI86" s="67"/>
      <c r="DJ86" s="67"/>
      <c r="DK86" s="67"/>
      <c r="DL86" s="67"/>
      <c r="DM86" s="67"/>
      <c r="DN86" s="67"/>
      <c r="DO86" s="67"/>
      <c r="DP86" s="67"/>
      <c r="DQ86" s="67"/>
      <c r="DR86" s="67"/>
      <c r="DS86" s="67"/>
      <c r="DT86" s="67"/>
      <c r="DU86" s="67"/>
      <c r="DV86" s="67"/>
      <c r="DW86" s="67"/>
      <c r="DX86" s="67"/>
      <c r="DY86" s="67"/>
      <c r="DZ86" s="67"/>
      <c r="EA86" s="67"/>
      <c r="EB86" s="67"/>
      <c r="EC86" s="67"/>
      <c r="ED86" s="67"/>
      <c r="EE86" s="67"/>
      <c r="EF86" s="67"/>
      <c r="EG86" s="67"/>
      <c r="EH86" s="67"/>
      <c r="EI86" s="67"/>
      <c r="EJ86" s="67"/>
      <c r="EK86" s="67"/>
      <c r="EL86" s="67"/>
      <c r="EM86" s="67"/>
      <c r="EN86" s="83"/>
      <c r="EO86" s="83"/>
      <c r="EP86" s="83"/>
      <c r="EQ86" s="83"/>
      <c r="ER86" s="83"/>
      <c r="ES86" s="67"/>
      <c r="ET86" s="67"/>
      <c r="EU86" s="67"/>
      <c r="EV86" s="67"/>
      <c r="EW86" s="67"/>
      <c r="EX86" s="67"/>
      <c r="EY86" s="67"/>
      <c r="EZ86" s="67"/>
      <c r="FA86" s="67"/>
      <c r="FB86" s="67"/>
      <c r="FC86" s="67"/>
      <c r="FD86" s="67"/>
      <c r="FE86" s="67"/>
      <c r="FF86" s="67"/>
      <c r="FG86" s="67"/>
      <c r="FH86" s="67"/>
      <c r="FI86" s="67"/>
      <c r="FJ86" s="67"/>
      <c r="FK86" s="67"/>
      <c r="FL86" s="67"/>
      <c r="FM86" s="67"/>
      <c r="FN86" s="67"/>
      <c r="FO86" s="67"/>
      <c r="FP86" s="67"/>
      <c r="FQ86" s="67"/>
      <c r="FR86" s="67"/>
      <c r="FS86" s="67"/>
      <c r="FT86" s="67"/>
    </row>
    <row r="87" spans="1:176" x14ac:dyDescent="0.25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7"/>
      <c r="BI87" s="67"/>
      <c r="BJ87" s="67"/>
      <c r="BK87" s="67"/>
      <c r="BL87" s="67"/>
      <c r="BM87" s="67"/>
      <c r="BN87" s="67"/>
      <c r="BO87" s="67"/>
      <c r="BP87" s="67"/>
      <c r="BQ87" s="67"/>
      <c r="BR87" s="67"/>
      <c r="BS87" s="67"/>
      <c r="BT87" s="67"/>
      <c r="BU87" s="67"/>
      <c r="BV87" s="67"/>
      <c r="BW87" s="67"/>
      <c r="BX87" s="67"/>
      <c r="BY87" s="67"/>
      <c r="BZ87" s="67"/>
      <c r="CA87" s="67"/>
      <c r="CB87" s="67"/>
      <c r="CC87" s="67"/>
      <c r="CD87" s="67"/>
      <c r="CE87" s="67"/>
      <c r="CF87" s="67"/>
      <c r="CG87" s="67"/>
      <c r="CH87" s="67"/>
      <c r="CI87" s="67"/>
      <c r="CJ87" s="67"/>
      <c r="CK87" s="67"/>
      <c r="CL87" s="67"/>
      <c r="CM87" s="67"/>
      <c r="CN87" s="67"/>
      <c r="CO87" s="67"/>
      <c r="CP87" s="67"/>
      <c r="CQ87" s="67"/>
      <c r="CR87" s="67"/>
      <c r="CS87" s="67"/>
      <c r="CT87" s="67"/>
      <c r="CU87" s="67"/>
      <c r="CV87" s="67"/>
      <c r="CW87" s="67"/>
      <c r="CX87" s="67"/>
      <c r="CY87" s="67"/>
      <c r="CZ87" s="67"/>
      <c r="DA87" s="67"/>
      <c r="DB87" s="67"/>
      <c r="DC87" s="67"/>
      <c r="DD87" s="67"/>
      <c r="DE87" s="67"/>
      <c r="DF87" s="67"/>
      <c r="DG87" s="67"/>
      <c r="DH87" s="67"/>
      <c r="DI87" s="67"/>
      <c r="DJ87" s="67"/>
      <c r="DK87" s="67"/>
      <c r="DL87" s="67"/>
      <c r="DM87" s="67"/>
      <c r="DN87" s="67"/>
      <c r="DO87" s="67"/>
      <c r="DP87" s="67"/>
      <c r="DQ87" s="67"/>
      <c r="DR87" s="67"/>
      <c r="DS87" s="67"/>
      <c r="DT87" s="67"/>
      <c r="DU87" s="67"/>
      <c r="DV87" s="67"/>
      <c r="DW87" s="67"/>
      <c r="DX87" s="67"/>
      <c r="DY87" s="67"/>
      <c r="DZ87" s="67"/>
      <c r="EA87" s="67"/>
      <c r="EB87" s="67"/>
      <c r="EC87" s="67"/>
      <c r="ED87" s="67"/>
      <c r="EE87" s="67"/>
      <c r="EF87" s="67"/>
      <c r="EG87" s="67"/>
      <c r="EH87" s="67"/>
      <c r="EI87" s="67"/>
      <c r="EJ87" s="67"/>
      <c r="EK87" s="67"/>
      <c r="EL87" s="67"/>
      <c r="EM87" s="67"/>
      <c r="EN87" s="83"/>
      <c r="EO87" s="83"/>
      <c r="EP87" s="83"/>
      <c r="EQ87" s="83"/>
      <c r="ER87" s="83"/>
      <c r="ES87" s="67"/>
      <c r="ET87" s="67"/>
      <c r="EU87" s="67"/>
      <c r="EV87" s="67"/>
      <c r="EW87" s="67"/>
      <c r="EX87" s="67"/>
      <c r="EY87" s="67"/>
      <c r="EZ87" s="67"/>
      <c r="FA87" s="67"/>
      <c r="FB87" s="67"/>
      <c r="FC87" s="67"/>
      <c r="FD87" s="67"/>
      <c r="FE87" s="67"/>
      <c r="FF87" s="67"/>
      <c r="FG87" s="67"/>
      <c r="FH87" s="67"/>
      <c r="FI87" s="67"/>
      <c r="FJ87" s="67"/>
      <c r="FK87" s="67"/>
      <c r="FL87" s="67"/>
      <c r="FM87" s="67"/>
      <c r="FN87" s="67"/>
      <c r="FO87" s="67"/>
      <c r="FP87" s="67"/>
      <c r="FQ87" s="67"/>
      <c r="FR87" s="67"/>
      <c r="FS87" s="67"/>
      <c r="FT87" s="67"/>
    </row>
    <row r="88" spans="1:176" x14ac:dyDescent="0.25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  <c r="BH88" s="67"/>
      <c r="BI88" s="67"/>
      <c r="BJ88" s="67"/>
      <c r="BK88" s="67"/>
      <c r="BL88" s="67"/>
      <c r="BM88" s="67"/>
      <c r="BN88" s="67"/>
      <c r="BO88" s="67"/>
      <c r="BP88" s="67"/>
      <c r="BQ88" s="67"/>
      <c r="BR88" s="67"/>
      <c r="BS88" s="67"/>
      <c r="BT88" s="67"/>
      <c r="BU88" s="67"/>
      <c r="BV88" s="67"/>
      <c r="BW88" s="67"/>
      <c r="BX88" s="67"/>
      <c r="BY88" s="67"/>
      <c r="BZ88" s="67"/>
      <c r="CA88" s="67"/>
      <c r="CB88" s="67"/>
      <c r="CC88" s="67"/>
      <c r="CD88" s="67"/>
      <c r="CE88" s="67"/>
      <c r="CF88" s="67"/>
      <c r="CG88" s="67"/>
      <c r="CH88" s="67"/>
      <c r="CI88" s="67"/>
      <c r="CJ88" s="67"/>
      <c r="CK88" s="67"/>
      <c r="CL88" s="67"/>
      <c r="CM88" s="67"/>
      <c r="CN88" s="67"/>
      <c r="CO88" s="67"/>
      <c r="CP88" s="67"/>
      <c r="CQ88" s="67"/>
      <c r="CR88" s="67"/>
      <c r="CS88" s="67"/>
      <c r="CT88" s="67"/>
      <c r="CU88" s="67"/>
      <c r="CV88" s="67"/>
      <c r="CW88" s="67"/>
      <c r="CX88" s="67"/>
      <c r="CY88" s="67"/>
      <c r="CZ88" s="67"/>
      <c r="DA88" s="67"/>
      <c r="DB88" s="67"/>
      <c r="DC88" s="67"/>
      <c r="DD88" s="67"/>
      <c r="DE88" s="67"/>
      <c r="DF88" s="67"/>
      <c r="DG88" s="67"/>
      <c r="DH88" s="67"/>
      <c r="DI88" s="67"/>
      <c r="DJ88" s="67"/>
      <c r="DK88" s="67"/>
      <c r="DL88" s="67"/>
      <c r="DM88" s="67"/>
      <c r="DN88" s="67"/>
      <c r="DO88" s="67"/>
      <c r="DP88" s="67"/>
      <c r="DQ88" s="67"/>
      <c r="DR88" s="67"/>
      <c r="DS88" s="67"/>
      <c r="DT88" s="67"/>
      <c r="DU88" s="67"/>
      <c r="DV88" s="67"/>
      <c r="DW88" s="67"/>
      <c r="DX88" s="67"/>
      <c r="DY88" s="67"/>
      <c r="DZ88" s="67"/>
      <c r="EA88" s="67"/>
      <c r="EB88" s="67"/>
      <c r="EC88" s="67"/>
      <c r="ED88" s="67"/>
      <c r="EE88" s="67"/>
      <c r="EF88" s="67"/>
      <c r="EG88" s="67"/>
      <c r="EH88" s="67"/>
      <c r="EI88" s="67"/>
      <c r="EJ88" s="67"/>
      <c r="EK88" s="67"/>
      <c r="EL88" s="67"/>
      <c r="EM88" s="67"/>
      <c r="EN88" s="83"/>
      <c r="EO88" s="83"/>
      <c r="EP88" s="83"/>
      <c r="EQ88" s="83"/>
      <c r="ER88" s="83"/>
      <c r="ES88" s="67"/>
      <c r="ET88" s="67"/>
      <c r="EU88" s="67"/>
      <c r="EV88" s="67"/>
      <c r="EW88" s="67"/>
      <c r="EX88" s="67"/>
      <c r="EY88" s="67"/>
      <c r="EZ88" s="67"/>
      <c r="FA88" s="67"/>
      <c r="FB88" s="67"/>
      <c r="FC88" s="67"/>
      <c r="FD88" s="67"/>
      <c r="FE88" s="67"/>
      <c r="FF88" s="67"/>
      <c r="FG88" s="67"/>
      <c r="FH88" s="67"/>
      <c r="FI88" s="67"/>
      <c r="FJ88" s="67"/>
      <c r="FK88" s="67"/>
      <c r="FL88" s="67"/>
      <c r="FM88" s="67"/>
      <c r="FN88" s="67"/>
      <c r="FO88" s="67"/>
      <c r="FP88" s="67"/>
      <c r="FQ88" s="67"/>
      <c r="FR88" s="67"/>
      <c r="FS88" s="67"/>
      <c r="FT88" s="67"/>
    </row>
    <row r="89" spans="1:176" x14ac:dyDescent="0.25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/>
      <c r="BH89" s="67"/>
      <c r="BI89" s="67"/>
      <c r="BJ89" s="67"/>
      <c r="BK89" s="67"/>
      <c r="BL89" s="67"/>
      <c r="BM89" s="67"/>
      <c r="BN89" s="67"/>
      <c r="BO89" s="67"/>
      <c r="BP89" s="67"/>
      <c r="BQ89" s="67"/>
      <c r="BR89" s="67"/>
      <c r="BS89" s="67"/>
      <c r="BT89" s="67"/>
      <c r="BU89" s="67"/>
      <c r="BV89" s="67"/>
      <c r="BW89" s="67"/>
      <c r="BX89" s="67"/>
      <c r="BY89" s="67"/>
      <c r="BZ89" s="67"/>
      <c r="CA89" s="67"/>
      <c r="CB89" s="67"/>
      <c r="CC89" s="67"/>
      <c r="CD89" s="67"/>
      <c r="CE89" s="67"/>
      <c r="CF89" s="67"/>
      <c r="CG89" s="67"/>
      <c r="CH89" s="67"/>
      <c r="CI89" s="67"/>
      <c r="CJ89" s="67"/>
      <c r="CK89" s="67"/>
      <c r="CL89" s="67"/>
      <c r="CM89" s="67"/>
      <c r="CN89" s="67"/>
      <c r="CO89" s="67"/>
      <c r="CP89" s="67"/>
      <c r="CQ89" s="67"/>
      <c r="CR89" s="67"/>
      <c r="CS89" s="67"/>
      <c r="CT89" s="67"/>
      <c r="CU89" s="67"/>
      <c r="CV89" s="67"/>
      <c r="CW89" s="67"/>
      <c r="CX89" s="67"/>
      <c r="CY89" s="67"/>
      <c r="CZ89" s="67"/>
      <c r="DA89" s="67"/>
      <c r="DB89" s="67"/>
      <c r="DC89" s="67"/>
      <c r="DD89" s="67"/>
      <c r="DE89" s="67"/>
      <c r="DF89" s="67"/>
      <c r="DG89" s="67"/>
      <c r="DH89" s="67"/>
      <c r="DI89" s="67"/>
      <c r="DJ89" s="67"/>
      <c r="DK89" s="67"/>
      <c r="DL89" s="67"/>
      <c r="DM89" s="67"/>
      <c r="DN89" s="67"/>
      <c r="DO89" s="67"/>
      <c r="DP89" s="67"/>
      <c r="DQ89" s="67"/>
      <c r="DR89" s="67"/>
      <c r="DS89" s="67"/>
      <c r="DT89" s="67"/>
      <c r="DU89" s="67"/>
      <c r="DV89" s="67"/>
      <c r="DW89" s="67"/>
      <c r="DX89" s="67"/>
      <c r="DY89" s="67"/>
      <c r="DZ89" s="67"/>
      <c r="EA89" s="67"/>
      <c r="EB89" s="67"/>
      <c r="EC89" s="67"/>
      <c r="ED89" s="67"/>
      <c r="EE89" s="67"/>
      <c r="EF89" s="67"/>
      <c r="EG89" s="67"/>
      <c r="EH89" s="67"/>
      <c r="EI89" s="67"/>
      <c r="EJ89" s="67"/>
      <c r="EK89" s="67"/>
      <c r="EL89" s="67"/>
      <c r="EM89" s="67"/>
      <c r="EN89" s="83"/>
      <c r="EO89" s="83"/>
      <c r="EP89" s="83"/>
      <c r="EQ89" s="83"/>
      <c r="ER89" s="83"/>
      <c r="ES89" s="67"/>
      <c r="ET89" s="67"/>
      <c r="EU89" s="67"/>
      <c r="EV89" s="67"/>
      <c r="EW89" s="67"/>
      <c r="EX89" s="67"/>
      <c r="EY89" s="67"/>
      <c r="EZ89" s="67"/>
      <c r="FA89" s="67"/>
      <c r="FB89" s="67"/>
      <c r="FC89" s="67"/>
      <c r="FD89" s="67"/>
      <c r="FE89" s="67"/>
      <c r="FF89" s="67"/>
      <c r="FG89" s="67"/>
      <c r="FH89" s="67"/>
      <c r="FI89" s="67"/>
      <c r="FJ89" s="67"/>
      <c r="FK89" s="67"/>
      <c r="FL89" s="67"/>
      <c r="FM89" s="67"/>
      <c r="FN89" s="67"/>
      <c r="FO89" s="67"/>
      <c r="FP89" s="67"/>
      <c r="FQ89" s="67"/>
      <c r="FR89" s="67"/>
      <c r="FS89" s="67"/>
      <c r="FT89" s="67"/>
    </row>
    <row r="90" spans="1:176" x14ac:dyDescent="0.25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/>
      <c r="BH90" s="67"/>
      <c r="BI90" s="67"/>
      <c r="BJ90" s="67"/>
      <c r="BK90" s="67"/>
      <c r="BL90" s="67"/>
      <c r="BM90" s="67"/>
      <c r="BN90" s="67"/>
      <c r="BO90" s="67"/>
      <c r="BP90" s="67"/>
      <c r="BQ90" s="67"/>
      <c r="BR90" s="67"/>
      <c r="BS90" s="67"/>
      <c r="BT90" s="67"/>
      <c r="BU90" s="67"/>
      <c r="BV90" s="67"/>
      <c r="BW90" s="67"/>
      <c r="BX90" s="67"/>
      <c r="BY90" s="67"/>
      <c r="BZ90" s="67"/>
      <c r="CA90" s="67"/>
      <c r="CB90" s="67"/>
      <c r="CC90" s="67"/>
      <c r="CD90" s="67"/>
      <c r="CE90" s="67"/>
      <c r="CF90" s="67"/>
      <c r="CG90" s="67"/>
      <c r="CH90" s="67"/>
      <c r="CI90" s="67"/>
      <c r="CJ90" s="67"/>
      <c r="CK90" s="67"/>
      <c r="CL90" s="67"/>
      <c r="CM90" s="67"/>
      <c r="CN90" s="67"/>
      <c r="CO90" s="67"/>
      <c r="CP90" s="67"/>
      <c r="CQ90" s="67"/>
      <c r="CR90" s="67"/>
      <c r="CS90" s="67"/>
      <c r="CT90" s="67"/>
      <c r="CU90" s="67"/>
      <c r="CV90" s="67"/>
      <c r="CW90" s="67"/>
      <c r="CX90" s="67"/>
      <c r="CY90" s="67"/>
      <c r="CZ90" s="67"/>
      <c r="DA90" s="67"/>
      <c r="DB90" s="67"/>
      <c r="DC90" s="67"/>
      <c r="DD90" s="67"/>
      <c r="DE90" s="67"/>
      <c r="DF90" s="67"/>
      <c r="DG90" s="67"/>
      <c r="DH90" s="67"/>
      <c r="DI90" s="67"/>
      <c r="DJ90" s="67"/>
      <c r="DK90" s="67"/>
      <c r="DL90" s="67"/>
      <c r="DM90" s="67"/>
      <c r="DN90" s="67"/>
      <c r="DO90" s="67"/>
      <c r="DP90" s="67"/>
      <c r="DQ90" s="67"/>
      <c r="DR90" s="67"/>
      <c r="DS90" s="67"/>
      <c r="DT90" s="67"/>
      <c r="DU90" s="67"/>
      <c r="DV90" s="67"/>
      <c r="DW90" s="67"/>
      <c r="DX90" s="67"/>
      <c r="DY90" s="67"/>
      <c r="DZ90" s="67"/>
      <c r="EA90" s="67"/>
      <c r="EB90" s="67"/>
      <c r="EC90" s="67"/>
      <c r="ED90" s="67"/>
      <c r="EE90" s="67"/>
      <c r="EF90" s="67"/>
      <c r="EG90" s="67"/>
      <c r="EH90" s="67"/>
      <c r="EI90" s="67"/>
      <c r="EJ90" s="67"/>
      <c r="EK90" s="67"/>
      <c r="EL90" s="67"/>
      <c r="EM90" s="67"/>
      <c r="EN90" s="83"/>
      <c r="EO90" s="83"/>
      <c r="EP90" s="83"/>
      <c r="EQ90" s="83"/>
      <c r="ER90" s="83"/>
      <c r="ES90" s="67"/>
      <c r="ET90" s="67"/>
      <c r="EU90" s="67"/>
      <c r="EV90" s="67"/>
      <c r="EW90" s="67"/>
      <c r="EX90" s="67"/>
      <c r="EY90" s="67"/>
      <c r="EZ90" s="67"/>
      <c r="FA90" s="67"/>
      <c r="FB90" s="67"/>
      <c r="FC90" s="67"/>
      <c r="FD90" s="67"/>
      <c r="FE90" s="67"/>
      <c r="FF90" s="67"/>
      <c r="FG90" s="67"/>
      <c r="FH90" s="67"/>
      <c r="FI90" s="67"/>
      <c r="FJ90" s="67"/>
      <c r="FK90" s="67"/>
      <c r="FL90" s="67"/>
      <c r="FM90" s="67"/>
      <c r="FN90" s="67"/>
      <c r="FO90" s="67"/>
      <c r="FP90" s="67"/>
      <c r="FQ90" s="67"/>
      <c r="FR90" s="67"/>
      <c r="FS90" s="67"/>
      <c r="FT90" s="67"/>
    </row>
    <row r="91" spans="1:176" x14ac:dyDescent="0.25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/>
      <c r="BH91" s="67"/>
      <c r="BI91" s="67"/>
      <c r="BJ91" s="67"/>
      <c r="BK91" s="67"/>
      <c r="BL91" s="67"/>
      <c r="BM91" s="67"/>
      <c r="BN91" s="67"/>
      <c r="BO91" s="67"/>
      <c r="BP91" s="67"/>
      <c r="BQ91" s="67"/>
      <c r="BR91" s="67"/>
      <c r="BS91" s="67"/>
      <c r="BT91" s="67"/>
      <c r="BU91" s="67"/>
      <c r="BV91" s="67"/>
      <c r="BW91" s="67"/>
      <c r="BX91" s="67"/>
      <c r="BY91" s="67"/>
      <c r="BZ91" s="67"/>
      <c r="CA91" s="67"/>
      <c r="CB91" s="67"/>
      <c r="CC91" s="67"/>
      <c r="CD91" s="67"/>
      <c r="CE91" s="67"/>
      <c r="CF91" s="67"/>
      <c r="CG91" s="67"/>
      <c r="CH91" s="67"/>
      <c r="CI91" s="67"/>
      <c r="CJ91" s="67"/>
      <c r="CK91" s="67"/>
      <c r="CL91" s="67"/>
      <c r="CM91" s="67"/>
      <c r="CN91" s="67"/>
      <c r="CO91" s="67"/>
      <c r="CP91" s="67"/>
      <c r="CQ91" s="67"/>
      <c r="CR91" s="67"/>
      <c r="CS91" s="67"/>
      <c r="CT91" s="67"/>
      <c r="CU91" s="67"/>
      <c r="CV91" s="67"/>
      <c r="CW91" s="67"/>
      <c r="CX91" s="67"/>
      <c r="CY91" s="67"/>
      <c r="CZ91" s="67"/>
      <c r="DA91" s="67"/>
      <c r="DB91" s="67"/>
      <c r="DC91" s="67"/>
      <c r="DD91" s="67"/>
      <c r="DE91" s="67"/>
      <c r="DF91" s="67"/>
      <c r="DG91" s="67"/>
      <c r="DH91" s="67"/>
      <c r="DI91" s="67"/>
      <c r="DJ91" s="67"/>
      <c r="DK91" s="67"/>
      <c r="DL91" s="67"/>
      <c r="DM91" s="67"/>
      <c r="DN91" s="67"/>
      <c r="DO91" s="67"/>
      <c r="DP91" s="67"/>
      <c r="DQ91" s="67"/>
      <c r="DR91" s="67"/>
      <c r="DS91" s="67"/>
      <c r="DT91" s="67"/>
      <c r="DU91" s="67"/>
      <c r="DV91" s="67"/>
      <c r="DW91" s="67"/>
      <c r="DX91" s="67"/>
      <c r="DY91" s="67"/>
      <c r="DZ91" s="67"/>
      <c r="EA91" s="67"/>
      <c r="EB91" s="67"/>
      <c r="EC91" s="67"/>
      <c r="ED91" s="67"/>
      <c r="EE91" s="67"/>
      <c r="EF91" s="67"/>
      <c r="EG91" s="67"/>
      <c r="EH91" s="67"/>
      <c r="EI91" s="67"/>
      <c r="EJ91" s="67"/>
      <c r="EK91" s="67"/>
      <c r="EL91" s="67"/>
      <c r="EM91" s="67"/>
      <c r="EN91" s="83"/>
      <c r="EO91" s="83"/>
      <c r="EP91" s="83"/>
      <c r="EQ91" s="83"/>
      <c r="ER91" s="83"/>
      <c r="ES91" s="67"/>
      <c r="ET91" s="67"/>
      <c r="EU91" s="67"/>
      <c r="EV91" s="67"/>
      <c r="EW91" s="67"/>
      <c r="EX91" s="67"/>
      <c r="EY91" s="67"/>
      <c r="EZ91" s="67"/>
      <c r="FA91" s="67"/>
      <c r="FB91" s="67"/>
      <c r="FC91" s="67"/>
      <c r="FD91" s="67"/>
      <c r="FE91" s="67"/>
      <c r="FF91" s="67"/>
      <c r="FG91" s="67"/>
      <c r="FH91" s="67"/>
      <c r="FI91" s="67"/>
      <c r="FJ91" s="67"/>
      <c r="FK91" s="67"/>
      <c r="FL91" s="67"/>
      <c r="FM91" s="67"/>
      <c r="FN91" s="67"/>
      <c r="FO91" s="67"/>
      <c r="FP91" s="67"/>
      <c r="FQ91" s="67"/>
      <c r="FR91" s="67"/>
      <c r="FS91" s="67"/>
      <c r="FT91" s="67"/>
    </row>
    <row r="92" spans="1:176" x14ac:dyDescent="0.25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  <c r="BH92" s="67"/>
      <c r="BI92" s="67"/>
      <c r="BJ92" s="67"/>
      <c r="BK92" s="67"/>
      <c r="BL92" s="67"/>
      <c r="BM92" s="67"/>
      <c r="BN92" s="67"/>
      <c r="BO92" s="67"/>
      <c r="BP92" s="67"/>
      <c r="BQ92" s="67"/>
      <c r="BR92" s="67"/>
      <c r="BS92" s="67"/>
      <c r="BT92" s="67"/>
      <c r="BU92" s="67"/>
      <c r="BV92" s="67"/>
      <c r="BW92" s="67"/>
      <c r="BX92" s="67"/>
      <c r="BY92" s="67"/>
      <c r="BZ92" s="67"/>
      <c r="CA92" s="67"/>
      <c r="CB92" s="67"/>
      <c r="CC92" s="67"/>
      <c r="CD92" s="67"/>
      <c r="CE92" s="67"/>
      <c r="CF92" s="67"/>
      <c r="CG92" s="67"/>
      <c r="CH92" s="67"/>
      <c r="CI92" s="67"/>
      <c r="CJ92" s="67"/>
      <c r="CK92" s="67"/>
      <c r="CL92" s="67"/>
      <c r="CM92" s="67"/>
      <c r="CN92" s="67"/>
      <c r="CO92" s="67"/>
      <c r="CP92" s="67"/>
      <c r="CQ92" s="67"/>
      <c r="CR92" s="67"/>
      <c r="CS92" s="67"/>
      <c r="CT92" s="67"/>
      <c r="CU92" s="67"/>
      <c r="CV92" s="67"/>
      <c r="CW92" s="67"/>
      <c r="CX92" s="67"/>
      <c r="CY92" s="67"/>
      <c r="CZ92" s="67"/>
      <c r="DA92" s="67"/>
      <c r="DB92" s="67"/>
      <c r="DC92" s="67"/>
      <c r="DD92" s="67"/>
      <c r="DE92" s="67"/>
      <c r="DF92" s="67"/>
      <c r="DG92" s="67"/>
      <c r="DH92" s="67"/>
      <c r="DI92" s="67"/>
      <c r="DJ92" s="67"/>
      <c r="DK92" s="67"/>
      <c r="DL92" s="67"/>
      <c r="DM92" s="67"/>
      <c r="DN92" s="67"/>
      <c r="DO92" s="67"/>
      <c r="DP92" s="67"/>
      <c r="DQ92" s="67"/>
      <c r="DR92" s="67"/>
      <c r="DS92" s="67"/>
      <c r="DT92" s="67"/>
      <c r="DU92" s="67"/>
      <c r="DV92" s="67"/>
      <c r="DW92" s="67"/>
      <c r="DX92" s="67"/>
      <c r="DY92" s="67"/>
      <c r="DZ92" s="67"/>
      <c r="EA92" s="67"/>
      <c r="EB92" s="67"/>
      <c r="EC92" s="67"/>
      <c r="ED92" s="67"/>
      <c r="EE92" s="67"/>
      <c r="EF92" s="67"/>
      <c r="EG92" s="67"/>
      <c r="EH92" s="67"/>
      <c r="EI92" s="67"/>
      <c r="EJ92" s="67"/>
      <c r="EK92" s="67"/>
      <c r="EL92" s="67"/>
      <c r="EM92" s="67"/>
      <c r="EN92" s="83"/>
      <c r="EO92" s="83"/>
      <c r="EP92" s="83"/>
      <c r="EQ92" s="83"/>
      <c r="ER92" s="83"/>
      <c r="ES92" s="67"/>
      <c r="ET92" s="67"/>
      <c r="EU92" s="67"/>
      <c r="EV92" s="67"/>
      <c r="EW92" s="67"/>
      <c r="EX92" s="67"/>
      <c r="EY92" s="67"/>
      <c r="EZ92" s="67"/>
      <c r="FA92" s="67"/>
      <c r="FB92" s="67"/>
      <c r="FC92" s="67"/>
      <c r="FD92" s="67"/>
      <c r="FE92" s="67"/>
      <c r="FF92" s="67"/>
      <c r="FG92" s="67"/>
      <c r="FH92" s="67"/>
      <c r="FI92" s="67"/>
      <c r="FJ92" s="67"/>
      <c r="FK92" s="67"/>
      <c r="FL92" s="67"/>
      <c r="FM92" s="67"/>
      <c r="FN92" s="67"/>
      <c r="FO92" s="67"/>
      <c r="FP92" s="67"/>
      <c r="FQ92" s="67"/>
      <c r="FR92" s="67"/>
      <c r="FS92" s="67"/>
      <c r="FT92" s="67"/>
    </row>
    <row r="93" spans="1:176" x14ac:dyDescent="0.25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/>
      <c r="BH93" s="67"/>
      <c r="BI93" s="67"/>
      <c r="BJ93" s="67"/>
      <c r="BK93" s="67"/>
      <c r="BL93" s="67"/>
      <c r="BM93" s="67"/>
      <c r="BN93" s="67"/>
      <c r="BO93" s="67"/>
      <c r="BP93" s="67"/>
      <c r="BQ93" s="67"/>
      <c r="BR93" s="67"/>
      <c r="BS93" s="67"/>
      <c r="BT93" s="67"/>
      <c r="BU93" s="67"/>
      <c r="BV93" s="67"/>
      <c r="BW93" s="67"/>
      <c r="BX93" s="67"/>
      <c r="BY93" s="67"/>
      <c r="BZ93" s="67"/>
      <c r="CA93" s="67"/>
      <c r="CB93" s="67"/>
      <c r="CC93" s="67"/>
      <c r="CD93" s="67"/>
      <c r="CE93" s="67"/>
      <c r="CF93" s="67"/>
      <c r="CG93" s="67"/>
      <c r="CH93" s="67"/>
      <c r="CI93" s="67"/>
      <c r="CJ93" s="67"/>
      <c r="CK93" s="67"/>
      <c r="CL93" s="67"/>
      <c r="CM93" s="67"/>
      <c r="CN93" s="67"/>
      <c r="CO93" s="67"/>
      <c r="CP93" s="67"/>
      <c r="CQ93" s="67"/>
      <c r="CR93" s="67"/>
      <c r="CS93" s="67"/>
      <c r="CT93" s="67"/>
      <c r="CU93" s="67"/>
      <c r="CV93" s="67"/>
      <c r="CW93" s="67"/>
      <c r="CX93" s="67"/>
      <c r="CY93" s="67"/>
      <c r="CZ93" s="67"/>
      <c r="DA93" s="67"/>
      <c r="DB93" s="67"/>
      <c r="DC93" s="67"/>
      <c r="DD93" s="67"/>
      <c r="DE93" s="67"/>
      <c r="DF93" s="67"/>
      <c r="DG93" s="67"/>
      <c r="DH93" s="67"/>
      <c r="DI93" s="67"/>
      <c r="DJ93" s="67"/>
      <c r="DK93" s="67"/>
      <c r="DL93" s="67"/>
      <c r="DM93" s="67"/>
      <c r="DN93" s="67"/>
      <c r="DO93" s="67"/>
      <c r="DP93" s="67"/>
      <c r="DQ93" s="67"/>
      <c r="DR93" s="67"/>
      <c r="DS93" s="67"/>
      <c r="DT93" s="67"/>
      <c r="DU93" s="67"/>
      <c r="DV93" s="67"/>
      <c r="DW93" s="67"/>
      <c r="DX93" s="67"/>
      <c r="DY93" s="67"/>
      <c r="DZ93" s="67"/>
      <c r="EA93" s="67"/>
      <c r="EB93" s="67"/>
      <c r="EC93" s="67"/>
      <c r="ED93" s="67"/>
      <c r="EE93" s="67"/>
      <c r="EF93" s="67"/>
      <c r="EG93" s="67"/>
      <c r="EH93" s="67"/>
      <c r="EI93" s="67"/>
      <c r="EJ93" s="67"/>
      <c r="EK93" s="67"/>
      <c r="EL93" s="67"/>
      <c r="EM93" s="67"/>
      <c r="EN93" s="83"/>
      <c r="EO93" s="83"/>
      <c r="EP93" s="83"/>
      <c r="EQ93" s="83"/>
      <c r="ER93" s="83"/>
      <c r="ES93" s="67"/>
      <c r="ET93" s="67"/>
      <c r="EU93" s="67"/>
      <c r="EV93" s="67"/>
      <c r="EW93" s="67"/>
      <c r="EX93" s="67"/>
      <c r="EY93" s="67"/>
      <c r="EZ93" s="67"/>
      <c r="FA93" s="67"/>
      <c r="FB93" s="67"/>
      <c r="FC93" s="67"/>
      <c r="FD93" s="67"/>
      <c r="FE93" s="67"/>
      <c r="FF93" s="67"/>
      <c r="FG93" s="67"/>
      <c r="FH93" s="67"/>
      <c r="FI93" s="67"/>
      <c r="FJ93" s="67"/>
      <c r="FK93" s="67"/>
      <c r="FL93" s="67"/>
      <c r="FM93" s="67"/>
      <c r="FN93" s="67"/>
      <c r="FO93" s="67"/>
      <c r="FP93" s="67"/>
      <c r="FQ93" s="67"/>
      <c r="FR93" s="67"/>
      <c r="FS93" s="67"/>
      <c r="FT93" s="67"/>
    </row>
    <row r="94" spans="1:176" x14ac:dyDescent="0.25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  <c r="AO94" s="67"/>
      <c r="AP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/>
      <c r="BH94" s="67"/>
      <c r="BI94" s="67"/>
      <c r="BJ94" s="67"/>
      <c r="BK94" s="67"/>
      <c r="BL94" s="67"/>
      <c r="BM94" s="67"/>
      <c r="BN94" s="67"/>
      <c r="BO94" s="67"/>
      <c r="BP94" s="67"/>
      <c r="BQ94" s="67"/>
      <c r="BR94" s="67"/>
      <c r="BS94" s="67"/>
      <c r="BT94" s="67"/>
      <c r="BU94" s="67"/>
      <c r="BV94" s="67"/>
      <c r="BW94" s="67"/>
      <c r="BX94" s="67"/>
      <c r="BY94" s="67"/>
      <c r="BZ94" s="67"/>
      <c r="CA94" s="67"/>
      <c r="CB94" s="67"/>
      <c r="CC94" s="67"/>
      <c r="CD94" s="67"/>
      <c r="CE94" s="67"/>
      <c r="CF94" s="67"/>
      <c r="CG94" s="67"/>
      <c r="CH94" s="67"/>
      <c r="CI94" s="67"/>
      <c r="CJ94" s="67"/>
      <c r="CK94" s="67"/>
      <c r="CL94" s="67"/>
      <c r="CM94" s="67"/>
      <c r="CN94" s="67"/>
      <c r="CO94" s="67"/>
      <c r="CP94" s="67"/>
      <c r="CQ94" s="67"/>
      <c r="CR94" s="67"/>
      <c r="CS94" s="67"/>
      <c r="CT94" s="67"/>
      <c r="CU94" s="67"/>
      <c r="CV94" s="67"/>
      <c r="CW94" s="67"/>
      <c r="CX94" s="67"/>
      <c r="CY94" s="67"/>
      <c r="CZ94" s="67"/>
      <c r="DA94" s="67"/>
      <c r="DB94" s="67"/>
      <c r="DC94" s="67"/>
      <c r="DD94" s="67"/>
      <c r="DE94" s="67"/>
      <c r="DF94" s="67"/>
      <c r="DG94" s="67"/>
      <c r="DH94" s="67"/>
      <c r="DI94" s="67"/>
      <c r="DJ94" s="67"/>
      <c r="DK94" s="67"/>
      <c r="DL94" s="67"/>
      <c r="DM94" s="67"/>
      <c r="DN94" s="67"/>
      <c r="DO94" s="67"/>
      <c r="DP94" s="67"/>
      <c r="DQ94" s="67"/>
      <c r="DR94" s="67"/>
      <c r="DS94" s="67"/>
      <c r="DT94" s="67"/>
      <c r="DU94" s="67"/>
      <c r="DV94" s="67"/>
      <c r="DW94" s="67"/>
      <c r="DX94" s="67"/>
      <c r="DY94" s="67"/>
      <c r="DZ94" s="67"/>
      <c r="EA94" s="67"/>
      <c r="EB94" s="67"/>
      <c r="EC94" s="67"/>
      <c r="ED94" s="67"/>
      <c r="EE94" s="67"/>
      <c r="EF94" s="67"/>
      <c r="EG94" s="67"/>
      <c r="EH94" s="67"/>
      <c r="EI94" s="67"/>
      <c r="EJ94" s="67"/>
      <c r="EK94" s="67"/>
      <c r="EL94" s="67"/>
      <c r="EM94" s="67"/>
      <c r="EN94" s="83"/>
      <c r="EO94" s="83"/>
      <c r="EP94" s="83"/>
      <c r="EQ94" s="83"/>
      <c r="ER94" s="83"/>
      <c r="ES94" s="67"/>
      <c r="ET94" s="67"/>
      <c r="EU94" s="67"/>
      <c r="EV94" s="67"/>
      <c r="EW94" s="67"/>
      <c r="EX94" s="67"/>
      <c r="EY94" s="67"/>
      <c r="EZ94" s="67"/>
      <c r="FA94" s="67"/>
      <c r="FB94" s="67"/>
      <c r="FC94" s="67"/>
      <c r="FD94" s="67"/>
      <c r="FE94" s="67"/>
      <c r="FF94" s="67"/>
      <c r="FG94" s="67"/>
      <c r="FH94" s="67"/>
      <c r="FI94" s="67"/>
      <c r="FJ94" s="67"/>
      <c r="FK94" s="67"/>
      <c r="FL94" s="67"/>
      <c r="FM94" s="67"/>
      <c r="FN94" s="67"/>
      <c r="FO94" s="67"/>
      <c r="FP94" s="67"/>
      <c r="FQ94" s="67"/>
      <c r="FR94" s="67"/>
      <c r="FS94" s="67"/>
      <c r="FT94" s="67"/>
    </row>
    <row r="95" spans="1:176" x14ac:dyDescent="0.25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67"/>
      <c r="AO95" s="67"/>
      <c r="AP95" s="67"/>
      <c r="AQ95" s="67"/>
      <c r="AR95" s="67"/>
      <c r="AS95" s="67"/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/>
      <c r="BH95" s="67"/>
      <c r="BI95" s="67"/>
      <c r="BJ95" s="67"/>
      <c r="BK95" s="67"/>
      <c r="BL95" s="67"/>
      <c r="BM95" s="67"/>
      <c r="BN95" s="67"/>
      <c r="BO95" s="67"/>
      <c r="BP95" s="67"/>
      <c r="BQ95" s="67"/>
      <c r="BR95" s="67"/>
      <c r="BS95" s="67"/>
      <c r="BT95" s="67"/>
      <c r="BU95" s="67"/>
      <c r="BV95" s="67"/>
      <c r="BW95" s="67"/>
      <c r="BX95" s="67"/>
      <c r="BY95" s="67"/>
      <c r="BZ95" s="67"/>
      <c r="CA95" s="67"/>
      <c r="CB95" s="67"/>
      <c r="CC95" s="67"/>
      <c r="CD95" s="67"/>
      <c r="CE95" s="67"/>
      <c r="CF95" s="67"/>
      <c r="CG95" s="67"/>
      <c r="CH95" s="67"/>
      <c r="CI95" s="67"/>
      <c r="CJ95" s="67"/>
      <c r="CK95" s="67"/>
      <c r="CL95" s="67"/>
      <c r="CM95" s="67"/>
      <c r="CN95" s="67"/>
      <c r="CO95" s="67"/>
      <c r="CP95" s="67"/>
      <c r="CQ95" s="67"/>
      <c r="CR95" s="67"/>
      <c r="CS95" s="67"/>
      <c r="CT95" s="67"/>
      <c r="CU95" s="67"/>
      <c r="CV95" s="67"/>
      <c r="CW95" s="67"/>
      <c r="CX95" s="67"/>
      <c r="CY95" s="67"/>
      <c r="CZ95" s="67"/>
      <c r="DA95" s="67"/>
      <c r="DB95" s="67"/>
      <c r="DC95" s="67"/>
      <c r="DD95" s="67"/>
      <c r="DE95" s="67"/>
      <c r="DF95" s="67"/>
      <c r="DG95" s="67"/>
      <c r="DH95" s="67"/>
      <c r="DI95" s="67"/>
      <c r="DJ95" s="67"/>
      <c r="DK95" s="67"/>
      <c r="DL95" s="67"/>
      <c r="DM95" s="67"/>
      <c r="DN95" s="67"/>
      <c r="DO95" s="67"/>
      <c r="DP95" s="67"/>
      <c r="DQ95" s="67"/>
      <c r="DR95" s="67"/>
      <c r="DS95" s="67"/>
      <c r="DT95" s="67"/>
      <c r="DU95" s="67"/>
      <c r="DV95" s="67"/>
      <c r="DW95" s="67"/>
      <c r="DX95" s="67"/>
      <c r="DY95" s="67"/>
      <c r="DZ95" s="67"/>
      <c r="EA95" s="67"/>
      <c r="EB95" s="67"/>
      <c r="EC95" s="67"/>
      <c r="ED95" s="67"/>
      <c r="EE95" s="67"/>
      <c r="EF95" s="67"/>
      <c r="EG95" s="67"/>
      <c r="EH95" s="67"/>
      <c r="EI95" s="67"/>
      <c r="EJ95" s="67"/>
      <c r="EK95" s="67"/>
      <c r="EL95" s="67"/>
      <c r="EM95" s="67"/>
      <c r="EN95" s="83"/>
      <c r="EO95" s="83"/>
      <c r="EP95" s="83"/>
      <c r="EQ95" s="83"/>
      <c r="ER95" s="83"/>
      <c r="ES95" s="67"/>
      <c r="ET95" s="67"/>
      <c r="EU95" s="67"/>
      <c r="EV95" s="67"/>
      <c r="EW95" s="67"/>
      <c r="EX95" s="67"/>
      <c r="EY95" s="67"/>
      <c r="EZ95" s="67"/>
      <c r="FA95" s="67"/>
      <c r="FB95" s="67"/>
      <c r="FC95" s="67"/>
      <c r="FD95" s="67"/>
      <c r="FE95" s="67"/>
      <c r="FF95" s="67"/>
      <c r="FG95" s="67"/>
      <c r="FH95" s="67"/>
      <c r="FI95" s="67"/>
      <c r="FJ95" s="67"/>
      <c r="FK95" s="67"/>
      <c r="FL95" s="67"/>
      <c r="FM95" s="67"/>
      <c r="FN95" s="67"/>
      <c r="FO95" s="67"/>
      <c r="FP95" s="67"/>
      <c r="FQ95" s="67"/>
      <c r="FR95" s="67"/>
      <c r="FS95" s="67"/>
      <c r="FT95" s="67"/>
    </row>
    <row r="96" spans="1:176" x14ac:dyDescent="0.25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7"/>
      <c r="AN96" s="67"/>
      <c r="AO96" s="67"/>
      <c r="AP96" s="67"/>
      <c r="AQ96" s="67"/>
      <c r="AR96" s="67"/>
      <c r="AS96" s="67"/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/>
      <c r="BH96" s="67"/>
      <c r="BI96" s="67"/>
      <c r="BJ96" s="67"/>
      <c r="BK96" s="67"/>
      <c r="BL96" s="67"/>
      <c r="BM96" s="67"/>
      <c r="BN96" s="67"/>
      <c r="BO96" s="67"/>
      <c r="BP96" s="67"/>
      <c r="BQ96" s="67"/>
      <c r="BR96" s="67"/>
      <c r="BS96" s="67"/>
      <c r="BT96" s="67"/>
      <c r="BU96" s="67"/>
      <c r="BV96" s="67"/>
      <c r="BW96" s="67"/>
      <c r="BX96" s="67"/>
      <c r="BY96" s="67"/>
      <c r="BZ96" s="67"/>
      <c r="CA96" s="67"/>
      <c r="CB96" s="67"/>
      <c r="CC96" s="67"/>
      <c r="CD96" s="67"/>
      <c r="CE96" s="67"/>
      <c r="CF96" s="67"/>
      <c r="CG96" s="67"/>
      <c r="CH96" s="67"/>
      <c r="CI96" s="67"/>
      <c r="CJ96" s="67"/>
      <c r="CK96" s="67"/>
      <c r="CL96" s="67"/>
      <c r="CM96" s="67"/>
      <c r="CN96" s="67"/>
      <c r="CO96" s="67"/>
      <c r="CP96" s="67"/>
      <c r="CQ96" s="67"/>
      <c r="CR96" s="67"/>
      <c r="CS96" s="67"/>
      <c r="CT96" s="67"/>
      <c r="CU96" s="67"/>
      <c r="CV96" s="67"/>
      <c r="CW96" s="67"/>
      <c r="CX96" s="67"/>
      <c r="CY96" s="67"/>
      <c r="CZ96" s="67"/>
      <c r="DA96" s="67"/>
      <c r="DB96" s="67"/>
      <c r="DC96" s="67"/>
      <c r="DD96" s="67"/>
      <c r="DE96" s="67"/>
      <c r="DF96" s="67"/>
      <c r="DG96" s="67"/>
      <c r="DH96" s="67"/>
      <c r="DI96" s="67"/>
      <c r="DJ96" s="67"/>
      <c r="DK96" s="67"/>
      <c r="DL96" s="67"/>
      <c r="DM96" s="67"/>
      <c r="DN96" s="67"/>
      <c r="DO96" s="67"/>
      <c r="DP96" s="67"/>
      <c r="DQ96" s="67"/>
      <c r="DR96" s="67"/>
      <c r="DS96" s="67"/>
      <c r="DT96" s="67"/>
      <c r="DU96" s="67"/>
      <c r="DV96" s="67"/>
      <c r="DW96" s="67"/>
      <c r="DX96" s="67"/>
      <c r="DY96" s="67"/>
      <c r="DZ96" s="67"/>
      <c r="EA96" s="67"/>
      <c r="EB96" s="67"/>
      <c r="EC96" s="67"/>
      <c r="ED96" s="67"/>
      <c r="EE96" s="67"/>
      <c r="EF96" s="67"/>
      <c r="EG96" s="67"/>
      <c r="EH96" s="67"/>
      <c r="EI96" s="67"/>
      <c r="EJ96" s="67"/>
      <c r="EK96" s="67"/>
      <c r="EL96" s="67"/>
      <c r="EM96" s="67"/>
      <c r="EN96" s="83"/>
      <c r="EO96" s="83"/>
      <c r="EP96" s="83"/>
      <c r="EQ96" s="83"/>
      <c r="ER96" s="83"/>
      <c r="ES96" s="67"/>
      <c r="ET96" s="67"/>
      <c r="EU96" s="67"/>
      <c r="EV96" s="67"/>
      <c r="EW96" s="67"/>
      <c r="EX96" s="67"/>
      <c r="EY96" s="67"/>
      <c r="EZ96" s="67"/>
      <c r="FA96" s="67"/>
      <c r="FB96" s="67"/>
      <c r="FC96" s="67"/>
      <c r="FD96" s="67"/>
      <c r="FE96" s="67"/>
      <c r="FF96" s="67"/>
      <c r="FG96" s="67"/>
      <c r="FH96" s="67"/>
      <c r="FI96" s="67"/>
      <c r="FJ96" s="67"/>
      <c r="FK96" s="67"/>
      <c r="FL96" s="67"/>
      <c r="FM96" s="67"/>
      <c r="FN96" s="67"/>
      <c r="FO96" s="67"/>
      <c r="FP96" s="67"/>
      <c r="FQ96" s="67"/>
      <c r="FR96" s="67"/>
      <c r="FS96" s="67"/>
      <c r="FT96" s="67"/>
    </row>
    <row r="97" spans="1:176" x14ac:dyDescent="0.25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/>
      <c r="BH97" s="67"/>
      <c r="BI97" s="67"/>
      <c r="BJ97" s="67"/>
      <c r="BK97" s="67"/>
      <c r="BL97" s="67"/>
      <c r="BM97" s="67"/>
      <c r="BN97" s="67"/>
      <c r="BO97" s="67"/>
      <c r="BP97" s="67"/>
      <c r="BQ97" s="67"/>
      <c r="BR97" s="67"/>
      <c r="BS97" s="67"/>
      <c r="BT97" s="67"/>
      <c r="BU97" s="67"/>
      <c r="BV97" s="67"/>
      <c r="BW97" s="67"/>
      <c r="BX97" s="67"/>
      <c r="BY97" s="67"/>
      <c r="BZ97" s="67"/>
      <c r="CA97" s="67"/>
      <c r="CB97" s="67"/>
      <c r="CC97" s="67"/>
      <c r="CD97" s="67"/>
      <c r="CE97" s="67"/>
      <c r="CF97" s="67"/>
      <c r="CG97" s="67"/>
      <c r="CH97" s="67"/>
      <c r="CI97" s="67"/>
      <c r="CJ97" s="67"/>
      <c r="CK97" s="67"/>
      <c r="CL97" s="67"/>
      <c r="CM97" s="67"/>
      <c r="CN97" s="67"/>
      <c r="CO97" s="67"/>
      <c r="CP97" s="67"/>
      <c r="CQ97" s="67"/>
      <c r="CR97" s="67"/>
      <c r="CS97" s="67"/>
      <c r="CT97" s="67"/>
      <c r="CU97" s="67"/>
      <c r="CV97" s="67"/>
      <c r="CW97" s="67"/>
      <c r="CX97" s="67"/>
      <c r="CY97" s="67"/>
      <c r="CZ97" s="67"/>
      <c r="DA97" s="67"/>
      <c r="DB97" s="67"/>
      <c r="DC97" s="67"/>
      <c r="DD97" s="67"/>
      <c r="DE97" s="67"/>
      <c r="DF97" s="67"/>
      <c r="DG97" s="67"/>
      <c r="DH97" s="67"/>
      <c r="DI97" s="67"/>
      <c r="DJ97" s="67"/>
      <c r="DK97" s="67"/>
      <c r="DL97" s="67"/>
      <c r="DM97" s="67"/>
      <c r="DN97" s="67"/>
      <c r="DO97" s="67"/>
      <c r="DP97" s="67"/>
      <c r="DQ97" s="67"/>
      <c r="DR97" s="67"/>
      <c r="DS97" s="67"/>
      <c r="DT97" s="67"/>
      <c r="DU97" s="67"/>
      <c r="DV97" s="67"/>
      <c r="DW97" s="67"/>
      <c r="DX97" s="67"/>
      <c r="DY97" s="67"/>
      <c r="DZ97" s="67"/>
      <c r="EA97" s="67"/>
      <c r="EB97" s="67"/>
      <c r="EC97" s="67"/>
      <c r="ED97" s="67"/>
      <c r="EE97" s="67"/>
      <c r="EF97" s="67"/>
      <c r="EG97" s="67"/>
      <c r="EH97" s="67"/>
      <c r="EI97" s="67"/>
      <c r="EJ97" s="67"/>
      <c r="EK97" s="67"/>
      <c r="EL97" s="67"/>
      <c r="EM97" s="67"/>
      <c r="EN97" s="83"/>
      <c r="EO97" s="83"/>
      <c r="EP97" s="83"/>
      <c r="EQ97" s="83"/>
      <c r="ER97" s="83"/>
      <c r="ES97" s="67"/>
      <c r="ET97" s="67"/>
      <c r="EU97" s="67"/>
      <c r="EV97" s="67"/>
      <c r="EW97" s="67"/>
      <c r="EX97" s="67"/>
      <c r="EY97" s="67"/>
      <c r="EZ97" s="67"/>
      <c r="FA97" s="67"/>
      <c r="FB97" s="67"/>
      <c r="FC97" s="67"/>
      <c r="FD97" s="67"/>
      <c r="FE97" s="67"/>
      <c r="FF97" s="67"/>
      <c r="FG97" s="67"/>
      <c r="FH97" s="67"/>
      <c r="FI97" s="67"/>
      <c r="FJ97" s="67"/>
      <c r="FK97" s="67"/>
      <c r="FL97" s="67"/>
      <c r="FM97" s="67"/>
      <c r="FN97" s="67"/>
      <c r="FO97" s="67"/>
      <c r="FP97" s="67"/>
      <c r="FQ97" s="67"/>
      <c r="FR97" s="67"/>
      <c r="FS97" s="67"/>
      <c r="FT97" s="67"/>
    </row>
    <row r="98" spans="1:176" x14ac:dyDescent="0.25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7"/>
      <c r="AN98" s="67"/>
      <c r="AO98" s="67"/>
      <c r="AP98" s="67"/>
      <c r="AQ98" s="67"/>
      <c r="AR98" s="67"/>
      <c r="AS98" s="67"/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/>
      <c r="BH98" s="67"/>
      <c r="BI98" s="67"/>
      <c r="BJ98" s="67"/>
      <c r="BK98" s="67"/>
      <c r="BL98" s="67"/>
      <c r="BM98" s="67"/>
      <c r="BN98" s="67"/>
      <c r="BO98" s="67"/>
      <c r="BP98" s="67"/>
      <c r="BQ98" s="67"/>
      <c r="BR98" s="67"/>
      <c r="BS98" s="67"/>
      <c r="BT98" s="67"/>
      <c r="BU98" s="67"/>
      <c r="BV98" s="67"/>
      <c r="BW98" s="67"/>
      <c r="BX98" s="67"/>
      <c r="BY98" s="67"/>
      <c r="BZ98" s="67"/>
      <c r="CA98" s="67"/>
      <c r="CB98" s="67"/>
      <c r="CC98" s="67"/>
      <c r="CD98" s="67"/>
      <c r="CE98" s="67"/>
      <c r="CF98" s="67"/>
      <c r="CG98" s="67"/>
      <c r="CH98" s="67"/>
      <c r="CI98" s="67"/>
      <c r="CJ98" s="67"/>
      <c r="CK98" s="67"/>
      <c r="CL98" s="67"/>
      <c r="CM98" s="67"/>
      <c r="CN98" s="67"/>
      <c r="CO98" s="67"/>
      <c r="CP98" s="67"/>
      <c r="CQ98" s="67"/>
      <c r="CR98" s="67"/>
      <c r="CS98" s="67"/>
      <c r="CT98" s="67"/>
      <c r="CU98" s="67"/>
      <c r="CV98" s="67"/>
      <c r="CW98" s="67"/>
      <c r="CX98" s="67"/>
      <c r="CY98" s="67"/>
      <c r="CZ98" s="67"/>
      <c r="DA98" s="67"/>
      <c r="DB98" s="67"/>
      <c r="DC98" s="67"/>
      <c r="DD98" s="67"/>
      <c r="DE98" s="67"/>
      <c r="DF98" s="67"/>
      <c r="DG98" s="67"/>
      <c r="DH98" s="67"/>
      <c r="DI98" s="67"/>
      <c r="DJ98" s="67"/>
      <c r="DK98" s="67"/>
      <c r="DL98" s="67"/>
      <c r="DM98" s="67"/>
      <c r="DN98" s="67"/>
      <c r="DO98" s="67"/>
      <c r="DP98" s="67"/>
      <c r="DQ98" s="67"/>
      <c r="DR98" s="67"/>
      <c r="DS98" s="67"/>
      <c r="DT98" s="67"/>
      <c r="DU98" s="67"/>
      <c r="DV98" s="67"/>
      <c r="DW98" s="67"/>
      <c r="DX98" s="67"/>
      <c r="DY98" s="67"/>
      <c r="DZ98" s="67"/>
      <c r="EA98" s="67"/>
      <c r="EB98" s="67"/>
      <c r="EC98" s="67"/>
      <c r="ED98" s="67"/>
      <c r="EE98" s="67"/>
      <c r="EF98" s="67"/>
      <c r="EG98" s="67"/>
      <c r="EH98" s="67"/>
      <c r="EI98" s="67"/>
      <c r="EJ98" s="67"/>
      <c r="EK98" s="67"/>
      <c r="EL98" s="67"/>
      <c r="EM98" s="67"/>
      <c r="EN98" s="83"/>
      <c r="EO98" s="83"/>
      <c r="EP98" s="83"/>
      <c r="EQ98" s="83"/>
      <c r="ER98" s="83"/>
      <c r="ES98" s="67"/>
      <c r="ET98" s="67"/>
      <c r="EU98" s="67"/>
      <c r="EV98" s="67"/>
      <c r="EW98" s="67"/>
      <c r="EX98" s="67"/>
      <c r="EY98" s="67"/>
      <c r="EZ98" s="67"/>
      <c r="FA98" s="67"/>
      <c r="FB98" s="67"/>
      <c r="FC98" s="67"/>
      <c r="FD98" s="67"/>
      <c r="FE98" s="67"/>
      <c r="FF98" s="67"/>
      <c r="FG98" s="67"/>
      <c r="FH98" s="67"/>
      <c r="FI98" s="67"/>
      <c r="FJ98" s="67"/>
      <c r="FK98" s="67"/>
      <c r="FL98" s="67"/>
      <c r="FM98" s="67"/>
      <c r="FN98" s="67"/>
      <c r="FO98" s="67"/>
      <c r="FP98" s="67"/>
      <c r="FQ98" s="67"/>
      <c r="FR98" s="67"/>
      <c r="FS98" s="67"/>
      <c r="FT98" s="67"/>
    </row>
    <row r="99" spans="1:176" x14ac:dyDescent="0.25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67"/>
      <c r="AO99" s="67"/>
      <c r="AP99" s="67"/>
      <c r="AQ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/>
      <c r="BH99" s="67"/>
      <c r="BI99" s="67"/>
      <c r="BJ99" s="67"/>
      <c r="BK99" s="67"/>
      <c r="BL99" s="67"/>
      <c r="BM99" s="67"/>
      <c r="BN99" s="67"/>
      <c r="BO99" s="67"/>
      <c r="BP99" s="67"/>
      <c r="BQ99" s="67"/>
      <c r="BR99" s="67"/>
      <c r="BS99" s="67"/>
      <c r="BT99" s="67"/>
      <c r="BU99" s="67"/>
      <c r="BV99" s="67"/>
      <c r="BW99" s="67"/>
      <c r="BX99" s="67"/>
      <c r="BY99" s="67"/>
      <c r="BZ99" s="67"/>
      <c r="CA99" s="67"/>
      <c r="CB99" s="67"/>
      <c r="CC99" s="67"/>
      <c r="CD99" s="67"/>
      <c r="CE99" s="67"/>
      <c r="CF99" s="67"/>
      <c r="CG99" s="67"/>
      <c r="CH99" s="67"/>
      <c r="CI99" s="67"/>
      <c r="CJ99" s="67"/>
      <c r="CK99" s="67"/>
      <c r="CL99" s="67"/>
      <c r="CM99" s="67"/>
      <c r="CN99" s="67"/>
      <c r="CO99" s="67"/>
      <c r="CP99" s="67"/>
      <c r="CQ99" s="67"/>
      <c r="CR99" s="67"/>
      <c r="CS99" s="67"/>
      <c r="CT99" s="67"/>
      <c r="CU99" s="67"/>
      <c r="CV99" s="67"/>
      <c r="CW99" s="67"/>
      <c r="CX99" s="67"/>
      <c r="CY99" s="67"/>
      <c r="CZ99" s="67"/>
      <c r="DA99" s="67"/>
      <c r="DB99" s="67"/>
      <c r="DC99" s="67"/>
      <c r="DD99" s="67"/>
      <c r="DE99" s="67"/>
      <c r="DF99" s="67"/>
      <c r="DG99" s="67"/>
      <c r="DH99" s="67"/>
      <c r="DI99" s="67"/>
      <c r="DJ99" s="67"/>
      <c r="DK99" s="67"/>
      <c r="DL99" s="67"/>
      <c r="DM99" s="67"/>
      <c r="DN99" s="67"/>
      <c r="DO99" s="67"/>
      <c r="DP99" s="67"/>
      <c r="DQ99" s="67"/>
      <c r="DR99" s="67"/>
      <c r="DS99" s="67"/>
      <c r="DT99" s="67"/>
      <c r="DU99" s="67"/>
      <c r="DV99" s="67"/>
      <c r="DW99" s="67"/>
      <c r="DX99" s="67"/>
      <c r="DY99" s="67"/>
      <c r="DZ99" s="67"/>
      <c r="EA99" s="67"/>
      <c r="EB99" s="67"/>
      <c r="EC99" s="67"/>
      <c r="ED99" s="67"/>
      <c r="EE99" s="67"/>
      <c r="EF99" s="67"/>
      <c r="EG99" s="67"/>
      <c r="EH99" s="67"/>
      <c r="EI99" s="67"/>
      <c r="EJ99" s="67"/>
      <c r="EK99" s="67"/>
      <c r="EL99" s="67"/>
      <c r="EM99" s="67"/>
      <c r="EN99" s="83"/>
      <c r="EO99" s="83"/>
      <c r="EP99" s="83"/>
      <c r="EQ99" s="83"/>
      <c r="ER99" s="83"/>
      <c r="ES99" s="67"/>
      <c r="ET99" s="67"/>
      <c r="EU99" s="67"/>
      <c r="EV99" s="67"/>
      <c r="EW99" s="67"/>
      <c r="EX99" s="67"/>
      <c r="EY99" s="67"/>
      <c r="EZ99" s="67"/>
      <c r="FA99" s="67"/>
      <c r="FB99" s="67"/>
      <c r="FC99" s="67"/>
      <c r="FD99" s="67"/>
      <c r="FE99" s="67"/>
      <c r="FF99" s="67"/>
      <c r="FG99" s="67"/>
      <c r="FH99" s="67"/>
      <c r="FI99" s="67"/>
      <c r="FJ99" s="67"/>
      <c r="FK99" s="67"/>
      <c r="FL99" s="67"/>
      <c r="FM99" s="67"/>
      <c r="FN99" s="67"/>
      <c r="FO99" s="67"/>
      <c r="FP99" s="67"/>
      <c r="FQ99" s="67"/>
      <c r="FR99" s="67"/>
      <c r="FS99" s="67"/>
      <c r="FT99" s="67"/>
    </row>
    <row r="100" spans="1:176" x14ac:dyDescent="0.25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/>
      <c r="BH100" s="67"/>
      <c r="BI100" s="67"/>
      <c r="BJ100" s="67"/>
      <c r="BK100" s="67"/>
      <c r="BL100" s="67"/>
      <c r="BM100" s="67"/>
      <c r="BN100" s="67"/>
      <c r="BO100" s="67"/>
      <c r="BP100" s="67"/>
      <c r="BQ100" s="67"/>
      <c r="BR100" s="67"/>
      <c r="BS100" s="67"/>
      <c r="BT100" s="67"/>
      <c r="BU100" s="67"/>
      <c r="BV100" s="67"/>
      <c r="BW100" s="67"/>
      <c r="BX100" s="67"/>
      <c r="BY100" s="67"/>
      <c r="BZ100" s="67"/>
      <c r="CA100" s="67"/>
      <c r="CB100" s="67"/>
      <c r="CC100" s="67"/>
      <c r="CD100" s="67"/>
      <c r="CE100" s="67"/>
      <c r="CF100" s="67"/>
      <c r="CG100" s="67"/>
      <c r="CH100" s="67"/>
      <c r="CI100" s="67"/>
      <c r="CJ100" s="67"/>
      <c r="CK100" s="67"/>
      <c r="CL100" s="67"/>
      <c r="CM100" s="67"/>
      <c r="CN100" s="67"/>
      <c r="CO100" s="67"/>
      <c r="CP100" s="67"/>
      <c r="CQ100" s="67"/>
      <c r="CR100" s="67"/>
      <c r="CS100" s="67"/>
      <c r="CT100" s="67"/>
      <c r="CU100" s="67"/>
      <c r="CV100" s="67"/>
      <c r="CW100" s="67"/>
      <c r="CX100" s="67"/>
      <c r="CY100" s="67"/>
      <c r="CZ100" s="67"/>
      <c r="DA100" s="67"/>
      <c r="DB100" s="67"/>
      <c r="DC100" s="67"/>
      <c r="DD100" s="67"/>
      <c r="DE100" s="67"/>
      <c r="DF100" s="67"/>
      <c r="DG100" s="67"/>
      <c r="DH100" s="67"/>
      <c r="DI100" s="67"/>
      <c r="DJ100" s="67"/>
      <c r="DK100" s="67"/>
      <c r="DL100" s="67"/>
      <c r="DM100" s="67"/>
      <c r="DN100" s="67"/>
      <c r="DO100" s="67"/>
      <c r="DP100" s="67"/>
      <c r="DQ100" s="67"/>
      <c r="DR100" s="67"/>
      <c r="DS100" s="67"/>
      <c r="DT100" s="67"/>
      <c r="DU100" s="67"/>
      <c r="DV100" s="67"/>
      <c r="DW100" s="67"/>
      <c r="DX100" s="67"/>
      <c r="DY100" s="67"/>
      <c r="DZ100" s="67"/>
      <c r="EA100" s="67"/>
      <c r="EB100" s="67"/>
      <c r="EC100" s="67"/>
      <c r="ED100" s="67"/>
      <c r="EE100" s="67"/>
      <c r="EF100" s="67"/>
      <c r="EG100" s="67"/>
      <c r="EH100" s="67"/>
      <c r="EI100" s="67"/>
      <c r="EJ100" s="67"/>
      <c r="EK100" s="67"/>
      <c r="EL100" s="67"/>
      <c r="EM100" s="67"/>
      <c r="EN100" s="83"/>
      <c r="EO100" s="83"/>
      <c r="EP100" s="83"/>
      <c r="EQ100" s="83"/>
      <c r="ER100" s="83"/>
      <c r="ES100" s="67"/>
      <c r="ET100" s="67"/>
      <c r="EU100" s="67"/>
      <c r="EV100" s="67"/>
      <c r="EW100" s="67"/>
      <c r="EX100" s="67"/>
      <c r="EY100" s="67"/>
      <c r="EZ100" s="67"/>
      <c r="FA100" s="67"/>
      <c r="FB100" s="67"/>
      <c r="FC100" s="67"/>
      <c r="FD100" s="67"/>
      <c r="FE100" s="67"/>
      <c r="FF100" s="67"/>
      <c r="FG100" s="67"/>
      <c r="FH100" s="67"/>
      <c r="FI100" s="67"/>
      <c r="FJ100" s="67"/>
      <c r="FK100" s="67"/>
      <c r="FL100" s="67"/>
      <c r="FM100" s="67"/>
      <c r="FN100" s="67"/>
      <c r="FO100" s="67"/>
      <c r="FP100" s="67"/>
      <c r="FQ100" s="67"/>
      <c r="FR100" s="67"/>
      <c r="FS100" s="67"/>
      <c r="FT100" s="67"/>
    </row>
    <row r="101" spans="1:176" x14ac:dyDescent="0.25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7"/>
      <c r="AN101" s="67"/>
      <c r="AO101" s="67"/>
      <c r="AP101" s="67"/>
      <c r="AQ101" s="67"/>
      <c r="AR101" s="67"/>
      <c r="AS101" s="67"/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  <c r="BD101" s="67"/>
      <c r="BE101" s="67"/>
      <c r="BF101" s="67"/>
      <c r="BG101" s="67"/>
      <c r="BH101" s="67"/>
      <c r="BI101" s="67"/>
      <c r="BJ101" s="67"/>
      <c r="BK101" s="67"/>
      <c r="BL101" s="67"/>
      <c r="BM101" s="67"/>
      <c r="BN101" s="67"/>
      <c r="BO101" s="67"/>
      <c r="BP101" s="67"/>
      <c r="BQ101" s="67"/>
      <c r="BR101" s="67"/>
      <c r="BS101" s="67"/>
      <c r="BT101" s="67"/>
      <c r="BU101" s="67"/>
      <c r="BV101" s="67"/>
      <c r="BW101" s="67"/>
      <c r="BX101" s="67"/>
      <c r="BY101" s="67"/>
      <c r="BZ101" s="67"/>
      <c r="CA101" s="67"/>
      <c r="CB101" s="67"/>
      <c r="CC101" s="67"/>
      <c r="CD101" s="67"/>
      <c r="CE101" s="67"/>
      <c r="CF101" s="67"/>
      <c r="CG101" s="67"/>
      <c r="CH101" s="67"/>
      <c r="CI101" s="67"/>
      <c r="CJ101" s="67"/>
      <c r="CK101" s="67"/>
      <c r="CL101" s="67"/>
      <c r="CM101" s="67"/>
      <c r="CN101" s="67"/>
      <c r="CO101" s="67"/>
      <c r="CP101" s="67"/>
      <c r="CQ101" s="67"/>
      <c r="CR101" s="67"/>
      <c r="CS101" s="67"/>
      <c r="CT101" s="67"/>
      <c r="CU101" s="67"/>
      <c r="CV101" s="67"/>
      <c r="CW101" s="67"/>
      <c r="CX101" s="67"/>
      <c r="CY101" s="67"/>
      <c r="CZ101" s="67"/>
      <c r="DA101" s="67"/>
      <c r="DB101" s="67"/>
      <c r="DC101" s="67"/>
      <c r="DD101" s="67"/>
      <c r="DE101" s="67"/>
      <c r="DF101" s="67"/>
      <c r="DG101" s="67"/>
      <c r="DH101" s="67"/>
      <c r="DI101" s="67"/>
      <c r="DJ101" s="67"/>
      <c r="DK101" s="67"/>
      <c r="DL101" s="67"/>
      <c r="DM101" s="67"/>
      <c r="DN101" s="67"/>
      <c r="DO101" s="67"/>
      <c r="DP101" s="67"/>
      <c r="DQ101" s="67"/>
      <c r="DR101" s="67"/>
      <c r="DS101" s="67"/>
      <c r="DT101" s="67"/>
      <c r="DU101" s="67"/>
      <c r="DV101" s="67"/>
      <c r="DW101" s="67"/>
      <c r="DX101" s="67"/>
      <c r="DY101" s="67"/>
      <c r="DZ101" s="67"/>
      <c r="EA101" s="67"/>
      <c r="EB101" s="67"/>
      <c r="EC101" s="67"/>
      <c r="ED101" s="67"/>
      <c r="EE101" s="67"/>
      <c r="EF101" s="67"/>
      <c r="EG101" s="67"/>
      <c r="EH101" s="67"/>
      <c r="EI101" s="67"/>
      <c r="EJ101" s="67"/>
      <c r="EK101" s="67"/>
      <c r="EL101" s="67"/>
      <c r="EM101" s="67"/>
      <c r="EN101" s="83"/>
      <c r="EO101" s="83"/>
      <c r="EP101" s="83"/>
      <c r="EQ101" s="83"/>
      <c r="ER101" s="83"/>
      <c r="ES101" s="67"/>
      <c r="ET101" s="67"/>
      <c r="EU101" s="67"/>
      <c r="EV101" s="67"/>
      <c r="EW101" s="67"/>
      <c r="EX101" s="67"/>
      <c r="EY101" s="67"/>
      <c r="EZ101" s="67"/>
      <c r="FA101" s="67"/>
      <c r="FB101" s="67"/>
      <c r="FC101" s="67"/>
      <c r="FD101" s="67"/>
      <c r="FE101" s="67"/>
      <c r="FF101" s="67"/>
      <c r="FG101" s="67"/>
      <c r="FH101" s="67"/>
      <c r="FI101" s="67"/>
      <c r="FJ101" s="67"/>
      <c r="FK101" s="67"/>
      <c r="FL101" s="67"/>
      <c r="FM101" s="67"/>
      <c r="FN101" s="67"/>
      <c r="FO101" s="67"/>
      <c r="FP101" s="67"/>
      <c r="FQ101" s="67"/>
      <c r="FR101" s="67"/>
      <c r="FS101" s="67"/>
      <c r="FT101" s="67"/>
    </row>
    <row r="102" spans="1:176" x14ac:dyDescent="0.25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67"/>
      <c r="AO102" s="67"/>
      <c r="AP102" s="67"/>
      <c r="AQ102" s="67"/>
      <c r="AR102" s="67"/>
      <c r="AS102" s="67"/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/>
      <c r="BH102" s="67"/>
      <c r="BI102" s="67"/>
      <c r="BJ102" s="67"/>
      <c r="BK102" s="67"/>
      <c r="BL102" s="67"/>
      <c r="BM102" s="67"/>
      <c r="BN102" s="67"/>
      <c r="BO102" s="67"/>
      <c r="BP102" s="67"/>
      <c r="BQ102" s="67"/>
      <c r="BR102" s="67"/>
      <c r="BS102" s="67"/>
      <c r="BT102" s="67"/>
      <c r="BU102" s="67"/>
      <c r="BV102" s="67"/>
      <c r="BW102" s="67"/>
      <c r="BX102" s="67"/>
      <c r="BY102" s="67"/>
      <c r="BZ102" s="67"/>
      <c r="CA102" s="67"/>
      <c r="CB102" s="67"/>
      <c r="CC102" s="67"/>
      <c r="CD102" s="67"/>
      <c r="CE102" s="67"/>
      <c r="CF102" s="67"/>
      <c r="CG102" s="67"/>
      <c r="CH102" s="67"/>
      <c r="CI102" s="67"/>
      <c r="CJ102" s="67"/>
      <c r="CK102" s="67"/>
      <c r="CL102" s="67"/>
      <c r="CM102" s="67"/>
      <c r="CN102" s="67"/>
      <c r="CO102" s="67"/>
      <c r="CP102" s="67"/>
      <c r="CQ102" s="67"/>
      <c r="CR102" s="67"/>
      <c r="CS102" s="67"/>
      <c r="CT102" s="67"/>
      <c r="CU102" s="67"/>
      <c r="CV102" s="67"/>
      <c r="CW102" s="67"/>
      <c r="CX102" s="67"/>
      <c r="CY102" s="67"/>
      <c r="CZ102" s="67"/>
      <c r="DA102" s="67"/>
      <c r="DB102" s="67"/>
      <c r="DC102" s="67"/>
      <c r="DD102" s="67"/>
      <c r="DE102" s="67"/>
      <c r="DF102" s="67"/>
      <c r="DG102" s="67"/>
      <c r="DH102" s="67"/>
      <c r="DI102" s="67"/>
      <c r="DJ102" s="67"/>
      <c r="DK102" s="67"/>
      <c r="DL102" s="67"/>
      <c r="DM102" s="67"/>
      <c r="DN102" s="67"/>
      <c r="DO102" s="67"/>
      <c r="DP102" s="67"/>
      <c r="DQ102" s="67"/>
      <c r="DR102" s="67"/>
      <c r="DS102" s="67"/>
      <c r="DT102" s="67"/>
      <c r="DU102" s="67"/>
      <c r="DV102" s="67"/>
      <c r="DW102" s="67"/>
      <c r="DX102" s="67"/>
      <c r="DY102" s="67"/>
      <c r="DZ102" s="67"/>
      <c r="EA102" s="67"/>
      <c r="EB102" s="67"/>
      <c r="EC102" s="67"/>
      <c r="ED102" s="67"/>
      <c r="EE102" s="67"/>
      <c r="EF102" s="67"/>
      <c r="EG102" s="67"/>
      <c r="EH102" s="67"/>
      <c r="EI102" s="67"/>
      <c r="EJ102" s="67"/>
      <c r="EK102" s="67"/>
      <c r="EL102" s="67"/>
      <c r="EM102" s="67"/>
      <c r="EN102" s="83"/>
      <c r="EO102" s="83"/>
      <c r="EP102" s="83"/>
      <c r="EQ102" s="83"/>
      <c r="ER102" s="83"/>
      <c r="ES102" s="67"/>
      <c r="ET102" s="67"/>
      <c r="EU102" s="67"/>
      <c r="EV102" s="67"/>
      <c r="EW102" s="67"/>
      <c r="EX102" s="67"/>
      <c r="EY102" s="67"/>
      <c r="EZ102" s="67"/>
      <c r="FA102" s="67"/>
      <c r="FB102" s="67"/>
      <c r="FC102" s="67"/>
      <c r="FD102" s="67"/>
      <c r="FE102" s="67"/>
      <c r="FF102" s="67"/>
      <c r="FG102" s="67"/>
      <c r="FH102" s="67"/>
      <c r="FI102" s="67"/>
      <c r="FJ102" s="67"/>
      <c r="FK102" s="67"/>
      <c r="FL102" s="67"/>
      <c r="FM102" s="67"/>
      <c r="FN102" s="67"/>
      <c r="FO102" s="67"/>
      <c r="FP102" s="67"/>
      <c r="FQ102" s="67"/>
      <c r="FR102" s="67"/>
      <c r="FS102" s="67"/>
      <c r="FT102" s="67"/>
    </row>
    <row r="103" spans="1:176" x14ac:dyDescent="0.25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7"/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/>
      <c r="BH103" s="67"/>
      <c r="BI103" s="67"/>
      <c r="BJ103" s="67"/>
      <c r="BK103" s="67"/>
      <c r="BL103" s="67"/>
      <c r="BM103" s="67"/>
      <c r="BN103" s="67"/>
      <c r="BO103" s="67"/>
      <c r="BP103" s="67"/>
      <c r="BQ103" s="67"/>
      <c r="BR103" s="67"/>
      <c r="BS103" s="67"/>
      <c r="BT103" s="67"/>
      <c r="BU103" s="67"/>
      <c r="BV103" s="67"/>
      <c r="BW103" s="67"/>
      <c r="BX103" s="67"/>
      <c r="BY103" s="67"/>
      <c r="BZ103" s="67"/>
      <c r="CA103" s="67"/>
      <c r="CB103" s="67"/>
      <c r="CC103" s="67"/>
      <c r="CD103" s="67"/>
      <c r="CE103" s="67"/>
      <c r="CF103" s="67"/>
      <c r="CG103" s="67"/>
      <c r="CH103" s="67"/>
      <c r="CI103" s="67"/>
      <c r="CJ103" s="67"/>
      <c r="CK103" s="67"/>
      <c r="CL103" s="67"/>
      <c r="CM103" s="67"/>
      <c r="CN103" s="67"/>
      <c r="CO103" s="67"/>
      <c r="CP103" s="67"/>
      <c r="CQ103" s="67"/>
      <c r="CR103" s="67"/>
      <c r="CS103" s="67"/>
      <c r="CT103" s="67"/>
      <c r="CU103" s="67"/>
      <c r="CV103" s="67"/>
      <c r="CW103" s="67"/>
      <c r="CX103" s="67"/>
      <c r="CY103" s="67"/>
      <c r="CZ103" s="67"/>
      <c r="DA103" s="67"/>
      <c r="DB103" s="67"/>
      <c r="DC103" s="67"/>
      <c r="DD103" s="67"/>
      <c r="DE103" s="67"/>
      <c r="DF103" s="67"/>
      <c r="DG103" s="67"/>
      <c r="DH103" s="67"/>
      <c r="DI103" s="67"/>
      <c r="DJ103" s="67"/>
      <c r="DK103" s="67"/>
      <c r="DL103" s="67"/>
      <c r="DM103" s="67"/>
      <c r="DN103" s="67"/>
      <c r="DO103" s="67"/>
      <c r="DP103" s="67"/>
      <c r="DQ103" s="67"/>
      <c r="DR103" s="67"/>
      <c r="DS103" s="67"/>
      <c r="DT103" s="67"/>
      <c r="DU103" s="67"/>
      <c r="DV103" s="67"/>
      <c r="DW103" s="67"/>
      <c r="DX103" s="67"/>
      <c r="DY103" s="67"/>
      <c r="DZ103" s="67"/>
      <c r="EA103" s="67"/>
      <c r="EB103" s="67"/>
      <c r="EC103" s="67"/>
      <c r="ED103" s="67"/>
      <c r="EE103" s="67"/>
      <c r="EF103" s="67"/>
      <c r="EG103" s="67"/>
      <c r="EH103" s="67"/>
      <c r="EI103" s="67"/>
      <c r="EJ103" s="67"/>
      <c r="EK103" s="67"/>
      <c r="EL103" s="67"/>
      <c r="EM103" s="67"/>
      <c r="EN103" s="83"/>
      <c r="EO103" s="83"/>
      <c r="EP103" s="83"/>
      <c r="EQ103" s="83"/>
      <c r="ER103" s="83"/>
      <c r="ES103" s="67"/>
      <c r="ET103" s="67"/>
      <c r="EU103" s="67"/>
      <c r="EV103" s="67"/>
      <c r="EW103" s="67"/>
      <c r="EX103" s="67"/>
      <c r="EY103" s="67"/>
      <c r="EZ103" s="67"/>
      <c r="FA103" s="67"/>
      <c r="FB103" s="67"/>
      <c r="FC103" s="67"/>
      <c r="FD103" s="67"/>
      <c r="FE103" s="67"/>
      <c r="FF103" s="67"/>
      <c r="FG103" s="67"/>
      <c r="FH103" s="67"/>
      <c r="FI103" s="67"/>
      <c r="FJ103" s="67"/>
      <c r="FK103" s="67"/>
      <c r="FL103" s="67"/>
      <c r="FM103" s="67"/>
      <c r="FN103" s="67"/>
      <c r="FO103" s="67"/>
      <c r="FP103" s="67"/>
      <c r="FQ103" s="67"/>
      <c r="FR103" s="67"/>
      <c r="FS103" s="67"/>
      <c r="FT103" s="67"/>
    </row>
    <row r="104" spans="1:176" x14ac:dyDescent="0.25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7"/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/>
      <c r="BH104" s="67"/>
      <c r="BI104" s="67"/>
      <c r="BJ104" s="67"/>
      <c r="BK104" s="67"/>
      <c r="BL104" s="67"/>
      <c r="BM104" s="67"/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67"/>
      <c r="BY104" s="67"/>
      <c r="BZ104" s="67"/>
      <c r="CA104" s="67"/>
      <c r="CB104" s="67"/>
      <c r="CC104" s="67"/>
      <c r="CD104" s="67"/>
      <c r="CE104" s="67"/>
      <c r="CF104" s="67"/>
      <c r="CG104" s="67"/>
      <c r="CH104" s="67"/>
      <c r="CI104" s="67"/>
      <c r="CJ104" s="67"/>
      <c r="CK104" s="67"/>
      <c r="CL104" s="67"/>
      <c r="CM104" s="67"/>
      <c r="CN104" s="67"/>
      <c r="CO104" s="67"/>
      <c r="CP104" s="67"/>
      <c r="CQ104" s="67"/>
      <c r="CR104" s="67"/>
      <c r="CS104" s="67"/>
      <c r="CT104" s="67"/>
      <c r="CU104" s="67"/>
      <c r="CV104" s="67"/>
      <c r="CW104" s="67"/>
      <c r="CX104" s="67"/>
      <c r="CY104" s="67"/>
      <c r="CZ104" s="67"/>
      <c r="DA104" s="67"/>
      <c r="DB104" s="67"/>
      <c r="DC104" s="67"/>
      <c r="DD104" s="67"/>
      <c r="DE104" s="67"/>
      <c r="DF104" s="67"/>
      <c r="DG104" s="67"/>
      <c r="DH104" s="67"/>
      <c r="DI104" s="67"/>
      <c r="DJ104" s="67"/>
      <c r="DK104" s="67"/>
      <c r="DL104" s="67"/>
      <c r="DM104" s="67"/>
      <c r="DN104" s="67"/>
      <c r="DO104" s="67"/>
      <c r="DP104" s="67"/>
      <c r="DQ104" s="67"/>
      <c r="DR104" s="67"/>
      <c r="DS104" s="67"/>
      <c r="DT104" s="67"/>
      <c r="DU104" s="67"/>
      <c r="DV104" s="67"/>
      <c r="DW104" s="67"/>
      <c r="DX104" s="67"/>
      <c r="DY104" s="67"/>
      <c r="DZ104" s="67"/>
      <c r="EA104" s="67"/>
      <c r="EB104" s="67"/>
      <c r="EC104" s="67"/>
      <c r="ED104" s="67"/>
      <c r="EE104" s="67"/>
      <c r="EF104" s="67"/>
      <c r="EG104" s="67"/>
      <c r="EH104" s="67"/>
      <c r="EI104" s="67"/>
      <c r="EJ104" s="67"/>
      <c r="EK104" s="67"/>
      <c r="EL104" s="67"/>
      <c r="EM104" s="67"/>
      <c r="EN104" s="83"/>
      <c r="EO104" s="83"/>
      <c r="EP104" s="83"/>
      <c r="EQ104" s="83"/>
      <c r="ER104" s="83"/>
      <c r="ES104" s="67"/>
      <c r="ET104" s="67"/>
      <c r="EU104" s="67"/>
      <c r="EV104" s="67"/>
      <c r="EW104" s="67"/>
      <c r="EX104" s="67"/>
      <c r="EY104" s="67"/>
      <c r="EZ104" s="67"/>
      <c r="FA104" s="67"/>
      <c r="FB104" s="67"/>
      <c r="FC104" s="67"/>
      <c r="FD104" s="67"/>
      <c r="FE104" s="67"/>
      <c r="FF104" s="67"/>
      <c r="FG104" s="67"/>
      <c r="FH104" s="67"/>
      <c r="FI104" s="67"/>
      <c r="FJ104" s="67"/>
      <c r="FK104" s="67"/>
      <c r="FL104" s="67"/>
      <c r="FM104" s="67"/>
      <c r="FN104" s="67"/>
      <c r="FO104" s="67"/>
      <c r="FP104" s="67"/>
      <c r="FQ104" s="67"/>
      <c r="FR104" s="67"/>
      <c r="FS104" s="67"/>
      <c r="FT104" s="67"/>
    </row>
    <row r="105" spans="1:176" x14ac:dyDescent="0.25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/>
      <c r="BH105" s="67"/>
      <c r="BI105" s="67"/>
      <c r="BJ105" s="67"/>
      <c r="BK105" s="67"/>
      <c r="BL105" s="67"/>
      <c r="BM105" s="67"/>
      <c r="BN105" s="67"/>
      <c r="BO105" s="67"/>
      <c r="BP105" s="67"/>
      <c r="BQ105" s="67"/>
      <c r="BR105" s="67"/>
      <c r="BS105" s="67"/>
      <c r="BT105" s="67"/>
      <c r="BU105" s="67"/>
      <c r="BV105" s="67"/>
      <c r="BW105" s="67"/>
      <c r="BX105" s="67"/>
      <c r="BY105" s="67"/>
      <c r="BZ105" s="67"/>
      <c r="CA105" s="67"/>
      <c r="CB105" s="67"/>
      <c r="CC105" s="67"/>
      <c r="CD105" s="67"/>
      <c r="CE105" s="67"/>
      <c r="CF105" s="67"/>
      <c r="CG105" s="67"/>
      <c r="CH105" s="67"/>
      <c r="CI105" s="67"/>
      <c r="CJ105" s="67"/>
      <c r="CK105" s="67"/>
      <c r="CL105" s="67"/>
      <c r="CM105" s="67"/>
      <c r="CN105" s="67"/>
      <c r="CO105" s="67"/>
      <c r="CP105" s="67"/>
      <c r="CQ105" s="67"/>
      <c r="CR105" s="67"/>
      <c r="CS105" s="67"/>
      <c r="CT105" s="67"/>
      <c r="CU105" s="67"/>
      <c r="CV105" s="67"/>
      <c r="CW105" s="67"/>
      <c r="CX105" s="67"/>
      <c r="CY105" s="67"/>
      <c r="CZ105" s="67"/>
      <c r="DA105" s="67"/>
      <c r="DB105" s="67"/>
      <c r="DC105" s="67"/>
      <c r="DD105" s="67"/>
      <c r="DE105" s="67"/>
      <c r="DF105" s="67"/>
      <c r="DG105" s="67"/>
      <c r="DH105" s="67"/>
      <c r="DI105" s="67"/>
      <c r="DJ105" s="67"/>
      <c r="DK105" s="67"/>
      <c r="DL105" s="67"/>
      <c r="DM105" s="67"/>
      <c r="DN105" s="67"/>
      <c r="DO105" s="67"/>
      <c r="DP105" s="67"/>
      <c r="DQ105" s="67"/>
      <c r="DR105" s="67"/>
      <c r="DS105" s="67"/>
      <c r="DT105" s="67"/>
      <c r="DU105" s="67"/>
      <c r="DV105" s="67"/>
      <c r="DW105" s="67"/>
      <c r="DX105" s="67"/>
      <c r="DY105" s="67"/>
      <c r="DZ105" s="67"/>
      <c r="EA105" s="67"/>
      <c r="EB105" s="67"/>
      <c r="EC105" s="67"/>
      <c r="ED105" s="67"/>
      <c r="EE105" s="67"/>
      <c r="EF105" s="67"/>
      <c r="EG105" s="67"/>
      <c r="EH105" s="67"/>
      <c r="EI105" s="67"/>
      <c r="EJ105" s="67"/>
      <c r="EK105" s="67"/>
      <c r="EL105" s="67"/>
      <c r="EM105" s="67"/>
      <c r="EN105" s="83"/>
      <c r="EO105" s="83"/>
      <c r="EP105" s="83"/>
      <c r="EQ105" s="83"/>
      <c r="ER105" s="83"/>
      <c r="ES105" s="67"/>
      <c r="ET105" s="67"/>
      <c r="EU105" s="67"/>
      <c r="EV105" s="67"/>
      <c r="EW105" s="67"/>
      <c r="EX105" s="67"/>
      <c r="EY105" s="67"/>
      <c r="EZ105" s="67"/>
      <c r="FA105" s="67"/>
      <c r="FB105" s="67"/>
      <c r="FC105" s="67"/>
      <c r="FD105" s="67"/>
      <c r="FE105" s="67"/>
      <c r="FF105" s="67"/>
      <c r="FG105" s="67"/>
      <c r="FH105" s="67"/>
      <c r="FI105" s="67"/>
      <c r="FJ105" s="67"/>
      <c r="FK105" s="67"/>
      <c r="FL105" s="67"/>
      <c r="FM105" s="67"/>
      <c r="FN105" s="67"/>
      <c r="FO105" s="67"/>
      <c r="FP105" s="67"/>
      <c r="FQ105" s="67"/>
      <c r="FR105" s="67"/>
      <c r="FS105" s="67"/>
      <c r="FT105" s="67"/>
    </row>
    <row r="106" spans="1:176" x14ac:dyDescent="0.25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P106" s="67"/>
      <c r="AQ106" s="67"/>
      <c r="AR106" s="67"/>
      <c r="AS106" s="67"/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/>
      <c r="BH106" s="67"/>
      <c r="BI106" s="67"/>
      <c r="BJ106" s="67"/>
      <c r="BK106" s="67"/>
      <c r="BL106" s="67"/>
      <c r="BM106" s="67"/>
      <c r="BN106" s="67"/>
      <c r="BO106" s="67"/>
      <c r="BP106" s="67"/>
      <c r="BQ106" s="67"/>
      <c r="BR106" s="67"/>
      <c r="BS106" s="67"/>
      <c r="BT106" s="67"/>
      <c r="BU106" s="67"/>
      <c r="BV106" s="67"/>
      <c r="BW106" s="67"/>
      <c r="BX106" s="67"/>
      <c r="BY106" s="67"/>
      <c r="BZ106" s="67"/>
      <c r="CA106" s="67"/>
      <c r="CB106" s="67"/>
      <c r="CC106" s="67"/>
      <c r="CD106" s="67"/>
      <c r="CE106" s="67"/>
      <c r="CF106" s="67"/>
      <c r="CG106" s="67"/>
      <c r="CH106" s="67"/>
      <c r="CI106" s="67"/>
      <c r="CJ106" s="67"/>
      <c r="CK106" s="67"/>
      <c r="CL106" s="67"/>
      <c r="CM106" s="67"/>
      <c r="CN106" s="67"/>
      <c r="CO106" s="67"/>
      <c r="CP106" s="67"/>
      <c r="CQ106" s="67"/>
      <c r="CR106" s="67"/>
      <c r="CS106" s="67"/>
      <c r="CT106" s="67"/>
      <c r="CU106" s="67"/>
      <c r="CV106" s="67"/>
      <c r="CW106" s="67"/>
      <c r="CX106" s="67"/>
      <c r="CY106" s="67"/>
      <c r="CZ106" s="67"/>
      <c r="DA106" s="67"/>
      <c r="DB106" s="67"/>
      <c r="DC106" s="67"/>
      <c r="DD106" s="67"/>
      <c r="DE106" s="67"/>
      <c r="DF106" s="67"/>
      <c r="DG106" s="67"/>
      <c r="DH106" s="67"/>
      <c r="DI106" s="67"/>
      <c r="DJ106" s="67"/>
      <c r="DK106" s="67"/>
      <c r="DL106" s="67"/>
      <c r="DM106" s="67"/>
      <c r="DN106" s="67"/>
      <c r="DO106" s="67"/>
      <c r="DP106" s="67"/>
      <c r="DQ106" s="67"/>
      <c r="DR106" s="67"/>
      <c r="DS106" s="67"/>
      <c r="DT106" s="67"/>
      <c r="DU106" s="67"/>
      <c r="DV106" s="67"/>
      <c r="DW106" s="67"/>
      <c r="DX106" s="67"/>
      <c r="DY106" s="67"/>
      <c r="DZ106" s="67"/>
      <c r="EA106" s="67"/>
      <c r="EB106" s="67"/>
      <c r="EC106" s="67"/>
      <c r="ED106" s="67"/>
      <c r="EE106" s="67"/>
      <c r="EF106" s="67"/>
      <c r="EG106" s="67"/>
      <c r="EH106" s="67"/>
      <c r="EI106" s="67"/>
      <c r="EJ106" s="67"/>
      <c r="EK106" s="67"/>
      <c r="EL106" s="67"/>
      <c r="EM106" s="67"/>
      <c r="EN106" s="83"/>
      <c r="EO106" s="83"/>
      <c r="EP106" s="83"/>
      <c r="EQ106" s="83"/>
      <c r="ER106" s="83"/>
      <c r="ES106" s="67"/>
      <c r="ET106" s="67"/>
      <c r="EU106" s="67"/>
      <c r="EV106" s="67"/>
      <c r="EW106" s="67"/>
      <c r="EX106" s="67"/>
      <c r="EY106" s="67"/>
      <c r="EZ106" s="67"/>
      <c r="FA106" s="67"/>
      <c r="FB106" s="67"/>
      <c r="FC106" s="67"/>
      <c r="FD106" s="67"/>
      <c r="FE106" s="67"/>
      <c r="FF106" s="67"/>
      <c r="FG106" s="67"/>
      <c r="FH106" s="67"/>
      <c r="FI106" s="67"/>
      <c r="FJ106" s="67"/>
      <c r="FK106" s="67"/>
      <c r="FL106" s="67"/>
      <c r="FM106" s="67"/>
      <c r="FN106" s="67"/>
      <c r="FO106" s="67"/>
      <c r="FP106" s="67"/>
      <c r="FQ106" s="67"/>
      <c r="FR106" s="67"/>
      <c r="FS106" s="67"/>
      <c r="FT106" s="67"/>
    </row>
    <row r="107" spans="1:176" x14ac:dyDescent="0.25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7"/>
      <c r="AN107" s="67"/>
      <c r="AO107" s="67"/>
      <c r="AP107" s="67"/>
      <c r="AQ107" s="67"/>
      <c r="AR107" s="67"/>
      <c r="AS107" s="67"/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/>
      <c r="BH107" s="67"/>
      <c r="BI107" s="67"/>
      <c r="BJ107" s="67"/>
      <c r="BK107" s="67"/>
      <c r="BL107" s="67"/>
      <c r="BM107" s="67"/>
      <c r="BN107" s="67"/>
      <c r="BO107" s="67"/>
      <c r="BP107" s="67"/>
      <c r="BQ107" s="67"/>
      <c r="BR107" s="67"/>
      <c r="BS107" s="67"/>
      <c r="BT107" s="67"/>
      <c r="BU107" s="67"/>
      <c r="BV107" s="67"/>
      <c r="BW107" s="67"/>
      <c r="BX107" s="67"/>
      <c r="BY107" s="67"/>
      <c r="BZ107" s="67"/>
      <c r="CA107" s="67"/>
      <c r="CB107" s="67"/>
      <c r="CC107" s="67"/>
      <c r="CD107" s="67"/>
      <c r="CE107" s="67"/>
      <c r="CF107" s="67"/>
      <c r="CG107" s="67"/>
      <c r="CH107" s="67"/>
      <c r="CI107" s="67"/>
      <c r="CJ107" s="67"/>
      <c r="CK107" s="67"/>
      <c r="CL107" s="67"/>
      <c r="CM107" s="67"/>
      <c r="CN107" s="67"/>
      <c r="CO107" s="67"/>
      <c r="CP107" s="67"/>
      <c r="CQ107" s="67"/>
      <c r="CR107" s="67"/>
      <c r="CS107" s="67"/>
      <c r="CT107" s="67"/>
      <c r="CU107" s="67"/>
      <c r="CV107" s="67"/>
      <c r="CW107" s="67"/>
      <c r="CX107" s="67"/>
      <c r="CY107" s="67"/>
      <c r="CZ107" s="67"/>
      <c r="DA107" s="67"/>
      <c r="DB107" s="67"/>
      <c r="DC107" s="67"/>
      <c r="DD107" s="67"/>
      <c r="DE107" s="67"/>
      <c r="DF107" s="67"/>
      <c r="DG107" s="67"/>
      <c r="DH107" s="67"/>
      <c r="DI107" s="67"/>
      <c r="DJ107" s="67"/>
      <c r="DK107" s="67"/>
      <c r="DL107" s="67"/>
      <c r="DM107" s="67"/>
      <c r="DN107" s="67"/>
      <c r="DO107" s="67"/>
      <c r="DP107" s="67"/>
      <c r="DQ107" s="67"/>
      <c r="DR107" s="67"/>
      <c r="DS107" s="67"/>
      <c r="DT107" s="67"/>
      <c r="DU107" s="67"/>
      <c r="DV107" s="67"/>
      <c r="DW107" s="67"/>
      <c r="DX107" s="67"/>
      <c r="DY107" s="67"/>
      <c r="DZ107" s="67"/>
      <c r="EA107" s="67"/>
      <c r="EB107" s="67"/>
      <c r="EC107" s="67"/>
      <c r="ED107" s="67"/>
      <c r="EE107" s="67"/>
      <c r="EF107" s="67"/>
      <c r="EG107" s="67"/>
      <c r="EH107" s="67"/>
      <c r="EI107" s="67"/>
      <c r="EJ107" s="67"/>
      <c r="EK107" s="67"/>
      <c r="EL107" s="67"/>
      <c r="EM107" s="67"/>
      <c r="EN107" s="83"/>
      <c r="EO107" s="83"/>
      <c r="EP107" s="83"/>
      <c r="EQ107" s="83"/>
      <c r="ER107" s="83"/>
      <c r="ES107" s="67"/>
      <c r="ET107" s="67"/>
      <c r="EU107" s="67"/>
      <c r="EV107" s="67"/>
      <c r="EW107" s="67"/>
      <c r="EX107" s="67"/>
      <c r="EY107" s="67"/>
      <c r="EZ107" s="67"/>
      <c r="FA107" s="67"/>
      <c r="FB107" s="67"/>
      <c r="FC107" s="67"/>
      <c r="FD107" s="67"/>
      <c r="FE107" s="67"/>
      <c r="FF107" s="67"/>
      <c r="FG107" s="67"/>
      <c r="FH107" s="67"/>
      <c r="FI107" s="67"/>
      <c r="FJ107" s="67"/>
      <c r="FK107" s="67"/>
      <c r="FL107" s="67"/>
      <c r="FM107" s="67"/>
      <c r="FN107" s="67"/>
      <c r="FO107" s="67"/>
      <c r="FP107" s="67"/>
      <c r="FQ107" s="67"/>
      <c r="FR107" s="67"/>
      <c r="FS107" s="67"/>
      <c r="FT107" s="67"/>
    </row>
    <row r="108" spans="1:176" x14ac:dyDescent="0.25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67"/>
      <c r="AO108" s="67"/>
      <c r="AP108" s="67"/>
      <c r="AQ108" s="67"/>
      <c r="AR108" s="67"/>
      <c r="AS108" s="67"/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/>
      <c r="BH108" s="67"/>
      <c r="BI108" s="67"/>
      <c r="BJ108" s="67"/>
      <c r="BK108" s="67"/>
      <c r="BL108" s="67"/>
      <c r="BM108" s="67"/>
      <c r="BN108" s="67"/>
      <c r="BO108" s="67"/>
      <c r="BP108" s="67"/>
      <c r="BQ108" s="67"/>
      <c r="BR108" s="67"/>
      <c r="BS108" s="67"/>
      <c r="BT108" s="67"/>
      <c r="BU108" s="67"/>
      <c r="BV108" s="67"/>
      <c r="BW108" s="67"/>
      <c r="BX108" s="67"/>
      <c r="BY108" s="67"/>
      <c r="BZ108" s="67"/>
      <c r="CA108" s="67"/>
      <c r="CB108" s="67"/>
      <c r="CC108" s="67"/>
      <c r="CD108" s="67"/>
      <c r="FG108" s="67"/>
      <c r="FH108" s="67"/>
      <c r="FI108" s="67"/>
      <c r="FJ108" s="67"/>
      <c r="FK108" s="67"/>
      <c r="FL108" s="67"/>
      <c r="FM108" s="67"/>
      <c r="FN108" s="67"/>
      <c r="FO108" s="67"/>
      <c r="FP108" s="67"/>
      <c r="FQ108" s="67"/>
      <c r="FR108" s="67"/>
      <c r="FS108" s="67"/>
      <c r="FT108" s="67"/>
    </row>
    <row r="109" spans="1:176" x14ac:dyDescent="0.25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  <c r="AO109" s="67"/>
      <c r="AP109" s="67"/>
      <c r="AQ109" s="67"/>
      <c r="AR109" s="67"/>
      <c r="AS109" s="67"/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/>
      <c r="BH109" s="67"/>
      <c r="BI109" s="67"/>
      <c r="BJ109" s="67"/>
      <c r="BK109" s="67"/>
      <c r="BL109" s="67"/>
      <c r="BM109" s="67"/>
      <c r="BN109" s="67"/>
      <c r="BO109" s="67"/>
      <c r="BP109" s="67"/>
      <c r="BQ109" s="67"/>
      <c r="BR109" s="67"/>
      <c r="BS109" s="67"/>
      <c r="BT109" s="67"/>
      <c r="BU109" s="67"/>
      <c r="BV109" s="67"/>
      <c r="BW109" s="67"/>
      <c r="BX109" s="67"/>
      <c r="BY109" s="67"/>
      <c r="BZ109" s="67"/>
      <c r="CA109" s="67"/>
      <c r="CB109" s="67"/>
      <c r="CC109" s="67"/>
      <c r="CD109" s="67"/>
      <c r="FG109" s="67"/>
      <c r="FH109" s="67"/>
      <c r="FI109" s="67"/>
      <c r="FJ109" s="67"/>
      <c r="FK109" s="67"/>
      <c r="FL109" s="67"/>
      <c r="FM109" s="67"/>
      <c r="FN109" s="67"/>
      <c r="FO109" s="67"/>
      <c r="FP109" s="67"/>
      <c r="FQ109" s="67"/>
      <c r="FR109" s="67"/>
      <c r="FS109" s="67"/>
      <c r="FT109" s="67"/>
    </row>
    <row r="110" spans="1:176" x14ac:dyDescent="0.25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  <c r="AF110" s="67"/>
      <c r="AG110" s="67"/>
      <c r="AH110" s="67"/>
      <c r="AI110" s="67"/>
      <c r="AJ110" s="67"/>
      <c r="AK110" s="67"/>
      <c r="AL110" s="67"/>
      <c r="AM110" s="67"/>
      <c r="AN110" s="67"/>
      <c r="AO110" s="67"/>
      <c r="AP110" s="67"/>
      <c r="AQ110" s="67"/>
      <c r="AR110" s="67"/>
      <c r="AS110" s="67"/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/>
      <c r="BH110" s="67"/>
      <c r="BI110" s="67"/>
      <c r="BJ110" s="67"/>
      <c r="BK110" s="67"/>
      <c r="BL110" s="67"/>
      <c r="BM110" s="67"/>
      <c r="BN110" s="67"/>
      <c r="BO110" s="67"/>
      <c r="BP110" s="67"/>
      <c r="BQ110" s="67"/>
      <c r="BR110" s="67"/>
      <c r="BS110" s="67"/>
      <c r="BT110" s="67"/>
      <c r="BU110" s="67"/>
      <c r="BV110" s="67"/>
      <c r="BW110" s="67"/>
      <c r="BX110" s="67"/>
      <c r="BY110" s="67"/>
      <c r="BZ110" s="67"/>
      <c r="CA110" s="67"/>
      <c r="CB110" s="67"/>
      <c r="CC110" s="67"/>
      <c r="CD110" s="67"/>
      <c r="FG110" s="67"/>
      <c r="FH110" s="67"/>
      <c r="FI110" s="67"/>
      <c r="FJ110" s="67"/>
      <c r="FK110" s="67"/>
      <c r="FL110" s="67"/>
      <c r="FM110" s="67"/>
      <c r="FN110" s="67"/>
      <c r="FO110" s="67"/>
      <c r="FP110" s="67"/>
      <c r="FQ110" s="67"/>
      <c r="FR110" s="67"/>
      <c r="FS110" s="67"/>
      <c r="FT110" s="67"/>
    </row>
    <row r="111" spans="1:176" x14ac:dyDescent="0.25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67"/>
      <c r="AO111" s="67"/>
      <c r="AP111" s="67"/>
      <c r="AQ111" s="67"/>
      <c r="AR111" s="67"/>
      <c r="AS111" s="67"/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/>
      <c r="BH111" s="67"/>
      <c r="BI111" s="67"/>
      <c r="BJ111" s="67"/>
      <c r="BK111" s="67"/>
      <c r="BL111" s="67"/>
      <c r="BM111" s="67"/>
      <c r="BN111" s="67"/>
      <c r="BO111" s="67"/>
      <c r="BP111" s="67"/>
      <c r="BQ111" s="67"/>
      <c r="BR111" s="67"/>
      <c r="BS111" s="67"/>
      <c r="BT111" s="67"/>
      <c r="BU111" s="67"/>
      <c r="BV111" s="67"/>
      <c r="BW111" s="67"/>
      <c r="BX111" s="67"/>
      <c r="BY111" s="67"/>
      <c r="BZ111" s="67"/>
      <c r="CA111" s="67"/>
      <c r="CB111" s="67"/>
      <c r="CC111" s="67"/>
      <c r="CD111" s="67"/>
      <c r="FG111" s="67"/>
      <c r="FH111" s="67"/>
      <c r="FI111" s="67"/>
      <c r="FJ111" s="67"/>
      <c r="FK111" s="67"/>
      <c r="FL111" s="67"/>
      <c r="FM111" s="67"/>
      <c r="FN111" s="67"/>
      <c r="FO111" s="67"/>
      <c r="FP111" s="67"/>
      <c r="FQ111" s="67"/>
      <c r="FR111" s="67"/>
      <c r="FS111" s="67"/>
      <c r="FT111" s="67"/>
    </row>
    <row r="112" spans="1:176" x14ac:dyDescent="0.25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  <c r="AO112" s="67"/>
      <c r="AP112" s="67"/>
      <c r="AQ112" s="67"/>
      <c r="AR112" s="67"/>
      <c r="AS112" s="67"/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/>
      <c r="BF112" s="67"/>
      <c r="BG112" s="67"/>
      <c r="BH112" s="67"/>
      <c r="BI112" s="67"/>
      <c r="BJ112" s="67"/>
      <c r="BK112" s="67"/>
      <c r="BL112" s="67"/>
      <c r="BM112" s="67"/>
      <c r="BN112" s="67"/>
      <c r="BO112" s="67"/>
      <c r="BP112" s="67"/>
      <c r="BQ112" s="67"/>
      <c r="BR112" s="67"/>
      <c r="BS112" s="67"/>
      <c r="BT112" s="67"/>
      <c r="BU112" s="67"/>
      <c r="BV112" s="67"/>
      <c r="BW112" s="67"/>
      <c r="BX112" s="67"/>
      <c r="BY112" s="67"/>
      <c r="BZ112" s="67"/>
      <c r="CA112" s="67"/>
      <c r="CB112" s="67"/>
      <c r="CC112" s="67"/>
      <c r="CD112" s="67"/>
      <c r="FG112" s="67"/>
      <c r="FH112" s="67"/>
      <c r="FI112" s="67"/>
      <c r="FJ112" s="67"/>
      <c r="FK112" s="67"/>
      <c r="FL112" s="67"/>
      <c r="FM112" s="67"/>
      <c r="FN112" s="67"/>
      <c r="FO112" s="67"/>
      <c r="FP112" s="67"/>
      <c r="FQ112" s="67"/>
      <c r="FR112" s="67"/>
      <c r="FS112" s="67"/>
      <c r="FT112" s="67"/>
    </row>
    <row r="113" spans="1:82" x14ac:dyDescent="0.25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  <c r="AE113" s="67"/>
      <c r="AF113" s="67"/>
      <c r="AG113" s="67"/>
      <c r="AH113" s="67"/>
      <c r="AI113" s="67"/>
      <c r="AJ113" s="67"/>
      <c r="AK113" s="67"/>
      <c r="AL113" s="67"/>
      <c r="AM113" s="67"/>
      <c r="AN113" s="67"/>
      <c r="AO113" s="67"/>
      <c r="AP113" s="67"/>
      <c r="AQ113" s="67"/>
      <c r="AR113" s="67"/>
      <c r="AS113" s="67"/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  <c r="BD113" s="67"/>
      <c r="BE113" s="67"/>
      <c r="BF113" s="67"/>
      <c r="BG113" s="67"/>
      <c r="BH113" s="67"/>
      <c r="BI113" s="67"/>
      <c r="BJ113" s="67"/>
      <c r="BK113" s="67"/>
      <c r="BL113" s="67"/>
      <c r="BM113" s="67"/>
      <c r="BN113" s="67"/>
      <c r="BO113" s="67"/>
      <c r="BP113" s="67"/>
      <c r="BQ113" s="67"/>
      <c r="BR113" s="67"/>
      <c r="BS113" s="67"/>
      <c r="BT113" s="67"/>
      <c r="BU113" s="67"/>
      <c r="BV113" s="67"/>
      <c r="BW113" s="67"/>
      <c r="BX113" s="67"/>
      <c r="BY113" s="67"/>
      <c r="BZ113" s="67"/>
      <c r="CA113" s="67"/>
      <c r="CB113" s="67"/>
      <c r="CC113" s="67"/>
      <c r="CD113" s="67"/>
    </row>
  </sheetData>
  <sheetProtection selectLockedCells="1"/>
  <protectedRanges>
    <protectedRange sqref="B4:B34" name="Bereich2_7_2_1_1"/>
    <protectedRange sqref="A4:A34" name="Bereich2_7_2_3"/>
  </protectedRanges>
  <mergeCells count="13">
    <mergeCell ref="ER1:EV1"/>
    <mergeCell ref="EJ1:EQ1"/>
    <mergeCell ref="A1:A2"/>
    <mergeCell ref="B1:B2"/>
    <mergeCell ref="A3:B3"/>
    <mergeCell ref="AR1:BY1"/>
    <mergeCell ref="DU1:EI1"/>
    <mergeCell ref="CO1:DC1"/>
    <mergeCell ref="BZ1:CE1"/>
    <mergeCell ref="CF1:CN1"/>
    <mergeCell ref="D1:T1"/>
    <mergeCell ref="U1:AQ1"/>
    <mergeCell ref="DO1:DT1"/>
  </mergeCells>
  <conditionalFormatting sqref="EJ6:EM35 EL4:EM5">
    <cfRule type="expression" dxfId="55" priority="125" stopIfTrue="1">
      <formula>OR($EK4="dimanche",$EK4="samedi")</formula>
    </cfRule>
  </conditionalFormatting>
  <conditionalFormatting sqref="DX6:DY6 DX9:DY13 DX16:DY20 DX30:DY34 DX23:DY27 EB9:EI13 EB6:EI6 EB16:EI20 EB23:EI27 EB30:EI34">
    <cfRule type="expression" dxfId="54" priority="124" stopIfTrue="1">
      <formula>OR($DL6="dimanche",$DL6="samedi")</formula>
    </cfRule>
  </conditionalFormatting>
  <conditionalFormatting sqref="CS23:CT24 CS30:CT34 DE9:DN13 DE6:DN6 CS9:CT13 CX6:DC6 CX9:DC13 CS16:CT20 CS6:CT6 CQ6:CR35 CX30:DN34 CX23:DN27 CX16:DN20 CS26:CT27 CS25">
    <cfRule type="expression" dxfId="53" priority="123" stopIfTrue="1">
      <formula>OR($CP6="dimanche",$CP6="samedi")</formula>
    </cfRule>
  </conditionalFormatting>
  <conditionalFormatting sqref="CH9:CM13 CH30:CM34 CH16:CM20 CF4:CF35 CH4:CN4 CH23:CM27 CH5:CM6 CN5:CN35">
    <cfRule type="expression" dxfId="52" priority="601" stopIfTrue="1">
      <formula>OR(#REF!="dimanche",#REF!="samedi")</formula>
    </cfRule>
  </conditionalFormatting>
  <conditionalFormatting sqref="A4:B34 DX14:DY15 DX21:DY22 DX28:DY29 DX7:DY8 CH7:CM7 CH28:CM29 CH21:CM22 CH14:CM15 CS7:CT8 DE7:DN8 CX14:DN15 CX7:DC8 EB7:EI8 EB21:EI22 EB14:EI15 AV6:AV34 AS6:AU35 BA6:BX34 CS14:CT15 CS21:CT22 CS28:CT29 CX28:DN29 CX21:DN22 EB28:EI29 AW6:AZ35 I8 K8:CM8 CO8:EV8">
    <cfRule type="expression" dxfId="51" priority="117" stopIfTrue="1">
      <formula>OR($B4="dimanche",$B4="samedi")</formula>
    </cfRule>
  </conditionalFormatting>
  <conditionalFormatting sqref="BY6:BY34">
    <cfRule type="expression" dxfId="50" priority="107" stopIfTrue="1">
      <formula>OR($B6="dimanche",$B6="samedi")</formula>
    </cfRule>
  </conditionalFormatting>
  <conditionalFormatting sqref="AB6:AQ24 E6:T7 E20:T34 F17:F18 E19:F19 H17:T19 AB26:AQ34 AC25:AQ25 E9:T16 E8:H8">
    <cfRule type="expression" dxfId="49" priority="106" stopIfTrue="1">
      <formula>OR($B6="dimanche",$B6="samedi")</formula>
    </cfRule>
  </conditionalFormatting>
  <conditionalFormatting sqref="V30:AA34 V26:AA27 V25:X25 Z24:AA24 AA25 W24:X24 W16:X16 W23:AA23 W9:AA13 W6:AA6 W20:X20 W17:W19 Z16:AA20">
    <cfRule type="expression" dxfId="48" priority="105" stopIfTrue="1">
      <formula>OR(#REF!="dimanche",#REF!="samedi")</formula>
    </cfRule>
  </conditionalFormatting>
  <conditionalFormatting sqref="V28:AA29 W14:AA15 W22:AA22 W7:AA8 W21:X21 Z21:AA21">
    <cfRule type="expression" dxfId="47" priority="104" stopIfTrue="1">
      <formula>OR($B7="dimanche",$B7="samedi")</formula>
    </cfRule>
  </conditionalFormatting>
  <conditionalFormatting sqref="DT9:DT13 DT6 DR30:DT34 DR16:DT20 DR23:DT27">
    <cfRule type="expression" dxfId="46" priority="103" stopIfTrue="1">
      <formula>OR(#REF!="dimanche",#REF!="samedi")</formula>
    </cfRule>
  </conditionalFormatting>
  <conditionalFormatting sqref="DT7:DT8 DR28:DT29 DR21:DT22 DR14:DT15">
    <cfRule type="expression" dxfId="45" priority="102" stopIfTrue="1">
      <formula>OR($B7="dimanche",$B7="samedi")</formula>
    </cfRule>
  </conditionalFormatting>
  <conditionalFormatting sqref="DR9:DS13 DR6:DS6">
    <cfRule type="expression" dxfId="44" priority="101" stopIfTrue="1">
      <formula>OR(#REF!="dimanche",#REF!="samedi")</formula>
    </cfRule>
  </conditionalFormatting>
  <conditionalFormatting sqref="DR7:DS8">
    <cfRule type="expression" dxfId="43" priority="100" stopIfTrue="1">
      <formula>OR($B7="dimanche",$B7="samedi")</formula>
    </cfRule>
  </conditionalFormatting>
  <conditionalFormatting sqref="CE9:CE13 CE6 BZ30:BZ34 CB16:CE20 CB23:CE27 CB30:CE34">
    <cfRule type="expression" dxfId="42" priority="99" stopIfTrue="1">
      <formula>OR(#REF!="dimanche",#REF!="samedi")</formula>
    </cfRule>
  </conditionalFormatting>
  <conditionalFormatting sqref="CE7:CE8 CB28:CE29 CB14:CE15 CB21:CE22">
    <cfRule type="expression" dxfId="41" priority="98" stopIfTrue="1">
      <formula>OR($B7="dimanche",$B7="samedi")</formula>
    </cfRule>
  </conditionalFormatting>
  <conditionalFormatting sqref="CB9:CD13 CB6:CD6">
    <cfRule type="expression" dxfId="40" priority="97" stopIfTrue="1">
      <formula>OR(#REF!="dimanche",#REF!="samedi")</formula>
    </cfRule>
  </conditionalFormatting>
  <conditionalFormatting sqref="CB7:CD8">
    <cfRule type="expression" dxfId="39" priority="96" stopIfTrue="1">
      <formula>OR($B7="dimanche",$B7="samedi")</formula>
    </cfRule>
  </conditionalFormatting>
  <conditionalFormatting sqref="EN4:EQ4 EO5:EQ34 EN5:EN35">
    <cfRule type="expression" dxfId="38" priority="95" stopIfTrue="1">
      <formula>OR($B4="dimanche",$B4="samedi")</formula>
    </cfRule>
  </conditionalFormatting>
  <conditionalFormatting sqref="AR6:AR35">
    <cfRule type="expression" dxfId="37" priority="94" stopIfTrue="1">
      <formula>OR($B6="dimanche",$B6="samedi")</formula>
    </cfRule>
  </conditionalFormatting>
  <conditionalFormatting sqref="CA6:CA35">
    <cfRule type="expression" dxfId="36" priority="86" stopIfTrue="1">
      <formula>OR($B6="dimanche",$B6="samedi")</formula>
    </cfRule>
  </conditionalFormatting>
  <conditionalFormatting sqref="BZ6:BZ29">
    <cfRule type="expression" dxfId="35" priority="85" stopIfTrue="1">
      <formula>OR($B6="dimanche",$B6="samedi")</formula>
    </cfRule>
  </conditionalFormatting>
  <conditionalFormatting sqref="C8:H8 C6:CM7 CO6:EV7 CN5:CN35 CO9:EV35 C9:CM35 CF4:CF5 CH5:CM5 CH4:CN4 EL4:EV5">
    <cfRule type="expression" dxfId="34" priority="84" stopIfTrue="1">
      <formula>OR($B4="dimanche",$B4="samedi")</formula>
    </cfRule>
  </conditionalFormatting>
  <conditionalFormatting sqref="E17:E18">
    <cfRule type="expression" dxfId="33" priority="83" stopIfTrue="1">
      <formula>OR($B17="dimanche",$B17="samedi")</formula>
    </cfRule>
  </conditionalFormatting>
  <conditionalFormatting sqref="G17:G18">
    <cfRule type="expression" dxfId="32" priority="82" stopIfTrue="1">
      <formula>OR($B17="dimanche",$B17="samedi")</formula>
    </cfRule>
  </conditionalFormatting>
  <conditionalFormatting sqref="G19">
    <cfRule type="expression" dxfId="31" priority="80" stopIfTrue="1">
      <formula>OR($B19="dimanche",$B19="samedi")</formula>
    </cfRule>
  </conditionalFormatting>
  <conditionalFormatting sqref="Y24">
    <cfRule type="expression" dxfId="30" priority="79" stopIfTrue="1">
      <formula>OR($B24="dimanche",$B24="samedi")</formula>
    </cfRule>
  </conditionalFormatting>
  <conditionalFormatting sqref="Y25">
    <cfRule type="expression" dxfId="29" priority="78" stopIfTrue="1">
      <formula>OR($B25="dimanche",$B25="samedi")</formula>
    </cfRule>
  </conditionalFormatting>
  <conditionalFormatting sqref="Z25">
    <cfRule type="expression" dxfId="28" priority="77" stopIfTrue="1">
      <formula>OR($B25="dimanche",$B25="samedi")</formula>
    </cfRule>
  </conditionalFormatting>
  <conditionalFormatting sqref="C6:C35">
    <cfRule type="expression" dxfId="27" priority="76" stopIfTrue="1">
      <formula>OR($B6="dimanche",$B6="samedi")</formula>
    </cfRule>
  </conditionalFormatting>
  <conditionalFormatting sqref="DO6:DO35">
    <cfRule type="expression" dxfId="26" priority="75" stopIfTrue="1">
      <formula>OR($B6="dimanche",$B6="samedi")</formula>
    </cfRule>
  </conditionalFormatting>
  <conditionalFormatting sqref="DP6:DP35">
    <cfRule type="expression" dxfId="25" priority="74" stopIfTrue="1">
      <formula>OR($B6="dimanche",$B6="samedi")</formula>
    </cfRule>
  </conditionalFormatting>
  <conditionalFormatting sqref="DQ6:DQ35">
    <cfRule type="expression" dxfId="24" priority="73" stopIfTrue="1">
      <formula>OR($B6="dimanche",$B6="samedi")</formula>
    </cfRule>
  </conditionalFormatting>
  <conditionalFormatting sqref="CG6:CG35">
    <cfRule type="expression" dxfId="23" priority="72" stopIfTrue="1">
      <formula>OR($B6="dimanche",$B6="samedi")</formula>
    </cfRule>
  </conditionalFormatting>
  <conditionalFormatting sqref="V6:V24">
    <cfRule type="expression" dxfId="22" priority="71" stopIfTrue="1">
      <formula>OR($B6="dimanche",$B6="samedi")</formula>
    </cfRule>
  </conditionalFormatting>
  <conditionalFormatting sqref="X17:X19">
    <cfRule type="expression" dxfId="21" priority="70" stopIfTrue="1">
      <formula>OR($B17="dimanche",$B17="samedi")</formula>
    </cfRule>
  </conditionalFormatting>
  <conditionalFormatting sqref="U6:U35">
    <cfRule type="expression" dxfId="20" priority="69" stopIfTrue="1">
      <formula>OR($B6="dimanche",$B6="samedi")</formula>
    </cfRule>
  </conditionalFormatting>
  <conditionalFormatting sqref="Y16:Y21">
    <cfRule type="expression" dxfId="19" priority="68" stopIfTrue="1">
      <formula>OR($B16="dimanche",$B16="samedi")</formula>
    </cfRule>
  </conditionalFormatting>
  <conditionalFormatting sqref="CO6:CO35">
    <cfRule type="expression" dxfId="18" priority="67" stopIfTrue="1">
      <formula>OR($B6="dimanche",$B6="samedi")</formula>
    </cfRule>
  </conditionalFormatting>
  <conditionalFormatting sqref="DD6:DD13">
    <cfRule type="expression" dxfId="17" priority="66" stopIfTrue="1">
      <formula>OR($B6="dimanche",$B6="samedi")</formula>
    </cfRule>
  </conditionalFormatting>
  <conditionalFormatting sqref="CP6:CP35">
    <cfRule type="expression" dxfId="16" priority="64" stopIfTrue="1">
      <formula>OR($B6="dimanche",$B6="samedi")</formula>
    </cfRule>
  </conditionalFormatting>
  <conditionalFormatting sqref="CU6:CU35">
    <cfRule type="expression" dxfId="15" priority="63" stopIfTrue="1">
      <formula>OR($B6="dimanche",$B6="samedi")</formula>
    </cfRule>
  </conditionalFormatting>
  <conditionalFormatting sqref="CW6:CW35">
    <cfRule type="expression" dxfId="14" priority="62" stopIfTrue="1">
      <formula>OR($B6="dimanche",$B6="samedi")</formula>
    </cfRule>
  </conditionalFormatting>
  <conditionalFormatting sqref="CV6:CV35">
    <cfRule type="expression" dxfId="13" priority="61" stopIfTrue="1">
      <formula>OR($B6="dimanche",$B6="samedi")</formula>
    </cfRule>
  </conditionalFormatting>
  <conditionalFormatting sqref="DU6:DU35">
    <cfRule type="expression" dxfId="12" priority="60" stopIfTrue="1">
      <formula>OR($B6="dimanche",$B6="samedi")</formula>
    </cfRule>
  </conditionalFormatting>
  <conditionalFormatting sqref="DV6:DV35">
    <cfRule type="expression" dxfId="11" priority="59" stopIfTrue="1">
      <formula>OR($B6="dimanche",$B6="samedi")</formula>
    </cfRule>
  </conditionalFormatting>
  <conditionalFormatting sqref="DW6:DW35">
    <cfRule type="expression" dxfId="10" priority="58" stopIfTrue="1">
      <formula>OR($B6="dimanche",$B6="samedi")</formula>
    </cfRule>
  </conditionalFormatting>
  <conditionalFormatting sqref="DZ6:DZ35">
    <cfRule type="expression" dxfId="9" priority="57" stopIfTrue="1">
      <formula>OR($B6="dimanche",$B6="samedi")</formula>
    </cfRule>
  </conditionalFormatting>
  <conditionalFormatting sqref="EA6:EA35">
    <cfRule type="expression" dxfId="8" priority="56" stopIfTrue="1">
      <formula>OR($B6="dimanche",$B6="samedi")</formula>
    </cfRule>
  </conditionalFormatting>
  <conditionalFormatting sqref="EU16:EU34 ER3:ES3 ER4:EV4 ET5:EV15 ER5:ES35 EV16:EV35 ET16:ET35">
    <cfRule type="expression" dxfId="7" priority="54" stopIfTrue="1">
      <formula>OR($B3="dimanche",$B3="samedi")</formula>
    </cfRule>
  </conditionalFormatting>
  <conditionalFormatting sqref="AB25">
    <cfRule type="expression" dxfId="6" priority="53" stopIfTrue="1">
      <formula>OR(#REF!="dimanche",#REF!="samedi")</formula>
    </cfRule>
  </conditionalFormatting>
  <conditionalFormatting sqref="CT25">
    <cfRule type="expression" dxfId="5" priority="52" stopIfTrue="1">
      <formula>OR($B25="dimanche",$B25="samedi")</formula>
    </cfRule>
  </conditionalFormatting>
  <conditionalFormatting sqref="CN4:CN35">
    <cfRule type="cellIs" dxfId="4" priority="47" operator="equal">
      <formula>CG4</formula>
    </cfRule>
    <cfRule type="cellIs" dxfId="3" priority="48" operator="equal">
      <formula>15610.5</formula>
    </cfRule>
    <cfRule type="cellIs" dxfId="2" priority="49" operator="equal">
      <formula>CG4</formula>
    </cfRule>
    <cfRule type="cellIs" dxfId="1" priority="50" operator="equal">
      <formula>$CG$4</formula>
    </cfRule>
    <cfRule type="cellIs" dxfId="0" priority="51" operator="equal">
      <formula>15610.5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94090" r:id="rId3" name="CommandButton1">
          <controlPr defaultSize="0" autoFill="0" autoLine="0" r:id="rId4">
            <anchor moveWithCells="1">
              <from>
                <xdr:col>2</xdr:col>
                <xdr:colOff>30480</xdr:colOff>
                <xdr:row>0</xdr:row>
                <xdr:rowOff>22860</xdr:rowOff>
              </from>
              <to>
                <xdr:col>147</xdr:col>
                <xdr:colOff>144780</xdr:colOff>
                <xdr:row>1</xdr:row>
                <xdr:rowOff>22860</xdr:rowOff>
              </to>
            </anchor>
          </controlPr>
        </control>
      </mc:Choice>
      <mc:Fallback>
        <control shapeId="30894090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Lentilles</vt:lpstr>
      <vt:lpstr>bASE</vt:lpstr>
      <vt:lpstr>Out</vt:lpstr>
      <vt:lpstr>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GPETIT</cp:lastModifiedBy>
  <cp:lastPrinted>2020-08-14T11:39:59Z</cp:lastPrinted>
  <dcterms:created xsi:type="dcterms:W3CDTF">2008-11-28T09:56:25Z</dcterms:created>
  <dcterms:modified xsi:type="dcterms:W3CDTF">2021-03-10T08:05:04Z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14cdc71c-b2d7-4475-8046-a2026381efab</vt:lpwstr>
  </property>
</Properties>
</file>