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050" tabRatio="775"/>
  </bookViews>
  <sheets>
    <sheet name="MARCHE CONTRAT PV" sheetId="3" r:id="rId1"/>
    <sheet name="FACT ST" sheetId="4" r:id="rId2"/>
    <sheet name="RECAP FACT" sheetId="5" r:id="rId3"/>
    <sheet name="DOCS ADM" sheetId="6" r:id="rId4"/>
    <sheet name="DONNEES" sheetId="8" r:id="rId5"/>
  </sheets>
  <externalReferences>
    <externalReference r:id="rId6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9" i="5" l="1"/>
  <c r="AA4" i="4" l="1"/>
  <c r="AA5" i="4"/>
  <c r="AA6" i="4"/>
  <c r="AA7" i="4"/>
  <c r="AA8" i="4"/>
  <c r="AA9" i="4"/>
  <c r="AA10" i="4"/>
  <c r="AA11" i="4"/>
  <c r="AA12" i="4"/>
  <c r="AA13" i="4"/>
  <c r="AA14" i="4"/>
  <c r="AA15" i="4"/>
  <c r="AA16" i="4"/>
  <c r="AA17" i="4"/>
  <c r="AA18" i="4"/>
  <c r="AA19" i="4"/>
  <c r="AA20" i="4"/>
  <c r="AA21" i="4"/>
  <c r="AA22" i="4"/>
  <c r="AA23" i="4"/>
  <c r="AA24" i="4"/>
  <c r="AA25" i="4"/>
  <c r="AA26" i="4"/>
  <c r="AA27" i="4"/>
  <c r="AA28" i="4"/>
  <c r="AA29" i="4"/>
  <c r="AA30" i="4"/>
  <c r="AA31" i="4"/>
  <c r="AA40" i="4"/>
  <c r="AA71" i="4"/>
  <c r="AA72" i="4"/>
  <c r="AA73" i="4"/>
  <c r="AA74" i="4"/>
  <c r="AA75" i="4"/>
  <c r="AA76" i="4"/>
  <c r="AA77" i="4"/>
  <c r="AA78" i="4"/>
  <c r="AA79" i="4"/>
  <c r="AA80" i="4"/>
  <c r="AA81" i="4"/>
  <c r="AA82" i="4"/>
  <c r="AA83" i="4"/>
  <c r="AA84" i="4"/>
  <c r="AA85" i="4"/>
  <c r="AA86" i="4"/>
  <c r="AA87" i="4"/>
  <c r="AA88" i="4"/>
  <c r="AA89" i="4"/>
  <c r="AA90" i="4"/>
  <c r="AA91" i="4"/>
  <c r="V37" i="4"/>
  <c r="V38" i="4"/>
  <c r="V39" i="4"/>
  <c r="V40" i="4"/>
  <c r="V41" i="4"/>
  <c r="V42" i="4"/>
  <c r="V43" i="4"/>
  <c r="V44" i="4"/>
  <c r="V45" i="4"/>
  <c r="V46" i="4"/>
  <c r="V47" i="4"/>
  <c r="V4" i="4"/>
  <c r="V5" i="4"/>
  <c r="V6" i="4"/>
  <c r="V7" i="4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V23" i="4"/>
  <c r="V24" i="4"/>
  <c r="V25" i="4"/>
  <c r="V26" i="4"/>
  <c r="V27" i="4"/>
  <c r="V28" i="4"/>
  <c r="V29" i="4"/>
  <c r="V30" i="4"/>
  <c r="V31" i="4"/>
  <c r="V32" i="4"/>
  <c r="V33" i="4"/>
  <c r="V34" i="4"/>
  <c r="V48" i="4"/>
  <c r="V49" i="4"/>
  <c r="V50" i="4"/>
  <c r="V51" i="4"/>
  <c r="V52" i="4"/>
  <c r="V53" i="4"/>
  <c r="V54" i="4"/>
  <c r="V55" i="4"/>
  <c r="V56" i="4"/>
  <c r="V57" i="4"/>
  <c r="V58" i="4"/>
  <c r="V59" i="4"/>
  <c r="V60" i="4"/>
  <c r="V61" i="4"/>
  <c r="V62" i="4"/>
  <c r="V63" i="4"/>
  <c r="V64" i="4"/>
  <c r="V65" i="4"/>
  <c r="V66" i="4"/>
  <c r="V67" i="4"/>
  <c r="V68" i="4"/>
  <c r="V69" i="4"/>
  <c r="V70" i="4"/>
  <c r="V71" i="4"/>
  <c r="V72" i="4"/>
  <c r="V73" i="4"/>
  <c r="V74" i="4"/>
  <c r="V75" i="4"/>
  <c r="V76" i="4"/>
  <c r="V77" i="4"/>
  <c r="V78" i="4"/>
  <c r="V79" i="4"/>
  <c r="V80" i="4"/>
  <c r="V81" i="4"/>
  <c r="V82" i="4"/>
  <c r="V83" i="4"/>
  <c r="V84" i="4"/>
  <c r="V85" i="4"/>
  <c r="V86" i="4"/>
  <c r="V87" i="4"/>
  <c r="V88" i="4"/>
  <c r="V89" i="4"/>
  <c r="V90" i="4"/>
  <c r="V91" i="4"/>
  <c r="U4" i="4"/>
  <c r="U5" i="4"/>
  <c r="U6" i="4"/>
  <c r="U7" i="4"/>
  <c r="U8" i="4"/>
  <c r="U9" i="4"/>
  <c r="U10" i="4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U26" i="4"/>
  <c r="U27" i="4"/>
  <c r="U28" i="4"/>
  <c r="U29" i="4"/>
  <c r="U30" i="4"/>
  <c r="U31" i="4"/>
  <c r="U71" i="4"/>
  <c r="U72" i="4"/>
  <c r="U73" i="4"/>
  <c r="U74" i="4"/>
  <c r="U75" i="4"/>
  <c r="U76" i="4"/>
  <c r="U77" i="4"/>
  <c r="U78" i="4"/>
  <c r="U79" i="4"/>
  <c r="U80" i="4"/>
  <c r="U81" i="4"/>
  <c r="U82" i="4"/>
  <c r="U83" i="4"/>
  <c r="U84" i="4"/>
  <c r="U85" i="4"/>
  <c r="U86" i="4"/>
  <c r="U87" i="4"/>
  <c r="U88" i="4"/>
  <c r="U89" i="4"/>
  <c r="U90" i="4"/>
  <c r="U91" i="4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P4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O4" i="3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M42" i="3"/>
  <c r="M41" i="3"/>
  <c r="M40" i="3"/>
  <c r="M39" i="3"/>
  <c r="M38" i="3"/>
  <c r="M37" i="3"/>
  <c r="M36" i="3"/>
  <c r="M35" i="3"/>
  <c r="M34" i="3"/>
  <c r="M33" i="3"/>
  <c r="M32" i="3"/>
  <c r="M31" i="3"/>
  <c r="M30" i="3"/>
  <c r="M29" i="3"/>
  <c r="M28" i="3"/>
  <c r="M27" i="3"/>
  <c r="M26" i="3"/>
  <c r="M25" i="3"/>
  <c r="M24" i="3"/>
  <c r="M23" i="3"/>
  <c r="M22" i="3"/>
  <c r="M21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M34" i="4"/>
  <c r="N34" i="4" s="1"/>
  <c r="M33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6" i="4"/>
  <c r="M67" i="4"/>
  <c r="M68" i="4"/>
  <c r="M69" i="4"/>
  <c r="M70" i="4"/>
  <c r="M71" i="4"/>
  <c r="M72" i="4"/>
  <c r="M73" i="4"/>
  <c r="M74" i="4"/>
  <c r="M75" i="4"/>
  <c r="M76" i="4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32" i="4"/>
  <c r="N32" i="4" s="1"/>
  <c r="R4" i="3" l="1"/>
  <c r="A64" i="5" l="1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63" i="5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32" i="4"/>
  <c r="A44" i="5"/>
  <c r="H6" i="4" l="1"/>
  <c r="H10" i="4"/>
  <c r="H14" i="4"/>
  <c r="H18" i="4"/>
  <c r="H22" i="4"/>
  <c r="H26" i="4"/>
  <c r="H30" i="4"/>
  <c r="G6" i="4"/>
  <c r="G10" i="4"/>
  <c r="G14" i="4"/>
  <c r="G18" i="4"/>
  <c r="G22" i="4"/>
  <c r="G26" i="4"/>
  <c r="G30" i="4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C6" i="5"/>
  <c r="F9" i="5" s="1"/>
  <c r="L4" i="5"/>
  <c r="L5" i="5"/>
  <c r="L6" i="5"/>
  <c r="L7" i="5"/>
  <c r="L3" i="5"/>
  <c r="A37" i="5"/>
  <c r="A38" i="5"/>
  <c r="A39" i="5"/>
  <c r="A40" i="5"/>
  <c r="A41" i="5"/>
  <c r="A42" i="5"/>
  <c r="A43" i="5"/>
  <c r="A45" i="5"/>
  <c r="A46" i="5"/>
  <c r="A47" i="5"/>
  <c r="A48" i="5"/>
  <c r="A50" i="5"/>
  <c r="A51" i="5"/>
  <c r="A52" i="5"/>
  <c r="A53" i="5"/>
  <c r="A54" i="5"/>
  <c r="A55" i="5"/>
  <c r="A56" i="5"/>
  <c r="A57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11" i="5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91" i="4"/>
  <c r="Y4" i="4"/>
  <c r="Y5" i="4"/>
  <c r="Y6" i="4"/>
  <c r="Y7" i="4"/>
  <c r="Y8" i="4"/>
  <c r="Y9" i="4"/>
  <c r="Y10" i="4"/>
  <c r="Y11" i="4"/>
  <c r="Y12" i="4"/>
  <c r="Y13" i="4"/>
  <c r="Y14" i="4"/>
  <c r="Y15" i="4"/>
  <c r="Y16" i="4"/>
  <c r="Y17" i="4"/>
  <c r="Y18" i="4"/>
  <c r="Y19" i="4"/>
  <c r="Y20" i="4"/>
  <c r="Y21" i="4"/>
  <c r="Y22" i="4"/>
  <c r="Y23" i="4"/>
  <c r="Y24" i="4"/>
  <c r="Y25" i="4"/>
  <c r="Y26" i="4"/>
  <c r="Y27" i="4"/>
  <c r="Y28" i="4"/>
  <c r="Y29" i="4"/>
  <c r="Y30" i="4"/>
  <c r="Y31" i="4"/>
  <c r="Y32" i="4"/>
  <c r="Y33" i="4"/>
  <c r="Y35" i="4"/>
  <c r="Y36" i="4"/>
  <c r="Y37" i="4"/>
  <c r="Y38" i="4"/>
  <c r="Y40" i="4"/>
  <c r="Y41" i="4"/>
  <c r="Y42" i="4"/>
  <c r="Y43" i="4"/>
  <c r="Y44" i="4"/>
  <c r="Y45" i="4"/>
  <c r="Y46" i="4"/>
  <c r="Y47" i="4"/>
  <c r="Y48" i="4"/>
  <c r="Y49" i="4"/>
  <c r="Y50" i="4"/>
  <c r="Y51" i="4"/>
  <c r="Y52" i="4"/>
  <c r="Y53" i="4"/>
  <c r="Y54" i="4"/>
  <c r="Y55" i="4"/>
  <c r="Y56" i="4"/>
  <c r="Y57" i="4"/>
  <c r="Y58" i="4"/>
  <c r="Y59" i="4"/>
  <c r="Y60" i="4"/>
  <c r="Y61" i="4"/>
  <c r="Y62" i="4"/>
  <c r="Y63" i="4"/>
  <c r="Y64" i="4"/>
  <c r="Y65" i="4"/>
  <c r="Y66" i="4"/>
  <c r="Y67" i="4"/>
  <c r="Y68" i="4"/>
  <c r="Y69" i="4"/>
  <c r="Y70" i="4"/>
  <c r="Y71" i="4"/>
  <c r="Y72" i="4"/>
  <c r="Y73" i="4"/>
  <c r="Y74" i="4"/>
  <c r="Y75" i="4"/>
  <c r="Y76" i="4"/>
  <c r="Y77" i="4"/>
  <c r="Y78" i="4"/>
  <c r="Y79" i="4"/>
  <c r="Y80" i="4"/>
  <c r="Y81" i="4"/>
  <c r="Y82" i="4"/>
  <c r="Y83" i="4"/>
  <c r="Y84" i="4"/>
  <c r="Y85" i="4"/>
  <c r="Y86" i="4"/>
  <c r="Y87" i="4"/>
  <c r="Y88" i="4"/>
  <c r="Y89" i="4"/>
  <c r="Y90" i="4"/>
  <c r="Y91" i="4"/>
  <c r="X4" i="4"/>
  <c r="X5" i="4"/>
  <c r="X6" i="4"/>
  <c r="X7" i="4"/>
  <c r="X8" i="4"/>
  <c r="X9" i="4"/>
  <c r="X10" i="4"/>
  <c r="X11" i="4"/>
  <c r="X12" i="4"/>
  <c r="X13" i="4"/>
  <c r="X14" i="4"/>
  <c r="X15" i="4"/>
  <c r="X16" i="4"/>
  <c r="X17" i="4"/>
  <c r="X18" i="4"/>
  <c r="X19" i="4"/>
  <c r="X20" i="4"/>
  <c r="X21" i="4"/>
  <c r="X22" i="4"/>
  <c r="X23" i="4"/>
  <c r="X24" i="4"/>
  <c r="X25" i="4"/>
  <c r="X26" i="4"/>
  <c r="X27" i="4"/>
  <c r="X28" i="4"/>
  <c r="X29" i="4"/>
  <c r="X30" i="4"/>
  <c r="X31" i="4"/>
  <c r="X33" i="4"/>
  <c r="X34" i="4"/>
  <c r="X35" i="4"/>
  <c r="X36" i="4"/>
  <c r="X37" i="4"/>
  <c r="X39" i="4"/>
  <c r="X40" i="4"/>
  <c r="X41" i="4"/>
  <c r="X42" i="4"/>
  <c r="X43" i="4"/>
  <c r="X44" i="4"/>
  <c r="X45" i="4"/>
  <c r="X46" i="4"/>
  <c r="X47" i="4"/>
  <c r="X48" i="4"/>
  <c r="X49" i="4"/>
  <c r="X50" i="4"/>
  <c r="X51" i="4"/>
  <c r="X52" i="4"/>
  <c r="X53" i="4"/>
  <c r="X54" i="4"/>
  <c r="X55" i="4"/>
  <c r="X56" i="4"/>
  <c r="X57" i="4"/>
  <c r="X58" i="4"/>
  <c r="X59" i="4"/>
  <c r="X60" i="4"/>
  <c r="X61" i="4"/>
  <c r="X62" i="4"/>
  <c r="X63" i="4"/>
  <c r="X64" i="4"/>
  <c r="X65" i="4"/>
  <c r="X66" i="4"/>
  <c r="X67" i="4"/>
  <c r="X68" i="4"/>
  <c r="X69" i="4"/>
  <c r="X70" i="4"/>
  <c r="X71" i="4"/>
  <c r="X72" i="4"/>
  <c r="X73" i="4"/>
  <c r="X74" i="4"/>
  <c r="X75" i="4"/>
  <c r="X76" i="4"/>
  <c r="X77" i="4"/>
  <c r="X78" i="4"/>
  <c r="X79" i="4"/>
  <c r="X80" i="4"/>
  <c r="X81" i="4"/>
  <c r="X82" i="4"/>
  <c r="X83" i="4"/>
  <c r="X84" i="4"/>
  <c r="X85" i="4"/>
  <c r="X86" i="4"/>
  <c r="X87" i="4"/>
  <c r="X88" i="4"/>
  <c r="X89" i="4"/>
  <c r="X90" i="4"/>
  <c r="X91" i="4"/>
  <c r="W4" i="4"/>
  <c r="W5" i="4"/>
  <c r="W6" i="4"/>
  <c r="W7" i="4"/>
  <c r="W8" i="4"/>
  <c r="W9" i="4"/>
  <c r="W10" i="4"/>
  <c r="W11" i="4"/>
  <c r="W12" i="4"/>
  <c r="W13" i="4"/>
  <c r="W14" i="4"/>
  <c r="W15" i="4"/>
  <c r="W16" i="4"/>
  <c r="W17" i="4"/>
  <c r="W18" i="4"/>
  <c r="W19" i="4"/>
  <c r="W20" i="4"/>
  <c r="W21" i="4"/>
  <c r="W22" i="4"/>
  <c r="W23" i="4"/>
  <c r="W24" i="4"/>
  <c r="W25" i="4"/>
  <c r="W26" i="4"/>
  <c r="W27" i="4"/>
  <c r="W28" i="4"/>
  <c r="W29" i="4"/>
  <c r="W30" i="4"/>
  <c r="W31" i="4"/>
  <c r="W32" i="4"/>
  <c r="W34" i="4"/>
  <c r="W35" i="4"/>
  <c r="W36" i="4"/>
  <c r="W38" i="4"/>
  <c r="W40" i="4"/>
  <c r="W41" i="4"/>
  <c r="W42" i="4"/>
  <c r="W43" i="4"/>
  <c r="W44" i="4"/>
  <c r="W45" i="4"/>
  <c r="W46" i="4"/>
  <c r="W47" i="4"/>
  <c r="W48" i="4"/>
  <c r="W49" i="4"/>
  <c r="W50" i="4"/>
  <c r="W51" i="4"/>
  <c r="W52" i="4"/>
  <c r="W53" i="4"/>
  <c r="W54" i="4"/>
  <c r="W55" i="4"/>
  <c r="W56" i="4"/>
  <c r="W57" i="4"/>
  <c r="W58" i="4"/>
  <c r="W59" i="4"/>
  <c r="W60" i="4"/>
  <c r="W61" i="4"/>
  <c r="W62" i="4"/>
  <c r="W63" i="4"/>
  <c r="W64" i="4"/>
  <c r="W65" i="4"/>
  <c r="W66" i="4"/>
  <c r="W67" i="4"/>
  <c r="W68" i="4"/>
  <c r="W69" i="4"/>
  <c r="W70" i="4"/>
  <c r="W71" i="4"/>
  <c r="W72" i="4"/>
  <c r="W74" i="4"/>
  <c r="W75" i="4"/>
  <c r="W76" i="4"/>
  <c r="W77" i="4"/>
  <c r="W78" i="4"/>
  <c r="W79" i="4"/>
  <c r="W80" i="4"/>
  <c r="W81" i="4"/>
  <c r="W82" i="4"/>
  <c r="W83" i="4"/>
  <c r="W84" i="4"/>
  <c r="W85" i="4"/>
  <c r="W86" i="4"/>
  <c r="W87" i="4"/>
  <c r="W88" i="4"/>
  <c r="W89" i="4"/>
  <c r="W90" i="4"/>
  <c r="W91" i="4"/>
  <c r="R5" i="3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Q4" i="3"/>
  <c r="Q5" i="3"/>
  <c r="Q6" i="3"/>
  <c r="Q7" i="3"/>
  <c r="Q8" i="3"/>
  <c r="Q9" i="3"/>
  <c r="Q10" i="3"/>
  <c r="Q11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Q31" i="3"/>
  <c r="Q32" i="3"/>
  <c r="Q33" i="3"/>
  <c r="Q34" i="3"/>
  <c r="Q35" i="3"/>
  <c r="Q36" i="3"/>
  <c r="Q37" i="3"/>
  <c r="Q38" i="3"/>
  <c r="Q39" i="3"/>
  <c r="Q40" i="3"/>
  <c r="Q41" i="3"/>
  <c r="Q42" i="3"/>
  <c r="U19" i="3"/>
  <c r="U20" i="3"/>
  <c r="U21" i="3"/>
  <c r="U22" i="3"/>
  <c r="U23" i="3"/>
  <c r="U24" i="3"/>
  <c r="U25" i="3"/>
  <c r="U26" i="3"/>
  <c r="U27" i="3"/>
  <c r="U28" i="3"/>
  <c r="U29" i="3"/>
  <c r="U30" i="3"/>
  <c r="U31" i="3"/>
  <c r="U32" i="3"/>
  <c r="U33" i="3"/>
  <c r="U34" i="3"/>
  <c r="U35" i="3"/>
  <c r="U36" i="3"/>
  <c r="U37" i="3"/>
  <c r="U38" i="3"/>
  <c r="U39" i="3"/>
  <c r="U40" i="3"/>
  <c r="U41" i="3"/>
  <c r="U42" i="3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N33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M4" i="4"/>
  <c r="U18" i="3"/>
  <c r="U17" i="3"/>
  <c r="U16" i="3"/>
  <c r="U15" i="3"/>
  <c r="U14" i="3"/>
  <c r="U13" i="3"/>
  <c r="U12" i="3"/>
  <c r="U11" i="3"/>
  <c r="U10" i="3"/>
  <c r="U9" i="3"/>
  <c r="U8" i="3"/>
  <c r="U7" i="3"/>
  <c r="U6" i="3"/>
  <c r="U5" i="3"/>
  <c r="U4" i="3"/>
  <c r="H7" i="4"/>
  <c r="H8" i="4"/>
  <c r="H11" i="4"/>
  <c r="H12" i="4"/>
  <c r="H15" i="4"/>
  <c r="H16" i="4"/>
  <c r="H19" i="4"/>
  <c r="H20" i="4"/>
  <c r="H23" i="4"/>
  <c r="H24" i="4"/>
  <c r="H27" i="4"/>
  <c r="H28" i="4"/>
  <c r="H31" i="4"/>
  <c r="L2" i="8"/>
  <c r="C84" i="5"/>
  <c r="T1" i="6"/>
  <c r="J71" i="4" l="1"/>
  <c r="J75" i="4"/>
  <c r="J79" i="4"/>
  <c r="J83" i="4"/>
  <c r="H83" i="5" s="1"/>
  <c r="J87" i="4"/>
  <c r="J91" i="4"/>
  <c r="J72" i="4"/>
  <c r="J76" i="4"/>
  <c r="H76" i="5" s="1"/>
  <c r="J80" i="4"/>
  <c r="J84" i="4"/>
  <c r="J88" i="4"/>
  <c r="J74" i="4"/>
  <c r="H74" i="5" s="1"/>
  <c r="J82" i="4"/>
  <c r="J90" i="4"/>
  <c r="J73" i="4"/>
  <c r="H73" i="5" s="1"/>
  <c r="J77" i="4"/>
  <c r="H77" i="5" s="1"/>
  <c r="J81" i="4"/>
  <c r="J85" i="4"/>
  <c r="J89" i="4"/>
  <c r="J78" i="4"/>
  <c r="H78" i="5" s="1"/>
  <c r="J86" i="4"/>
  <c r="H55" i="4"/>
  <c r="H47" i="4"/>
  <c r="H63" i="4"/>
  <c r="H39" i="4"/>
  <c r="H70" i="4"/>
  <c r="G42" i="4"/>
  <c r="G58" i="4"/>
  <c r="H50" i="4"/>
  <c r="H66" i="4"/>
  <c r="H43" i="4"/>
  <c r="H51" i="4"/>
  <c r="H59" i="4"/>
  <c r="H67" i="4"/>
  <c r="H38" i="4"/>
  <c r="G46" i="4"/>
  <c r="H54" i="4"/>
  <c r="G62" i="4"/>
  <c r="H34" i="4"/>
  <c r="H29" i="4"/>
  <c r="G29" i="4"/>
  <c r="H17" i="4"/>
  <c r="G17" i="4"/>
  <c r="H5" i="4"/>
  <c r="G5" i="4"/>
  <c r="H36" i="4"/>
  <c r="H40" i="4"/>
  <c r="H48" i="4"/>
  <c r="H56" i="4"/>
  <c r="H60" i="4"/>
  <c r="H64" i="4"/>
  <c r="H68" i="4"/>
  <c r="H21" i="4"/>
  <c r="G21" i="4"/>
  <c r="H9" i="4"/>
  <c r="G9" i="4"/>
  <c r="G70" i="4"/>
  <c r="G54" i="4"/>
  <c r="G38" i="4"/>
  <c r="H62" i="4"/>
  <c r="H46" i="4"/>
  <c r="H37" i="4"/>
  <c r="H41" i="4"/>
  <c r="H45" i="4"/>
  <c r="H49" i="4"/>
  <c r="H53" i="4"/>
  <c r="H57" i="4"/>
  <c r="H61" i="4"/>
  <c r="H65" i="4"/>
  <c r="H69" i="4"/>
  <c r="G66" i="4"/>
  <c r="G50" i="4"/>
  <c r="G34" i="4"/>
  <c r="H58" i="4"/>
  <c r="H42" i="4"/>
  <c r="H25" i="4"/>
  <c r="G25" i="4"/>
  <c r="H13" i="4"/>
  <c r="G13" i="4"/>
  <c r="H33" i="4"/>
  <c r="G33" i="4"/>
  <c r="G7" i="5"/>
  <c r="F35" i="5"/>
  <c r="J39" i="5" s="1"/>
  <c r="G69" i="4"/>
  <c r="G65" i="4"/>
  <c r="G61" i="4"/>
  <c r="G57" i="4"/>
  <c r="G53" i="4"/>
  <c r="G49" i="4"/>
  <c r="G45" i="4"/>
  <c r="G41" i="4"/>
  <c r="G37" i="4"/>
  <c r="G4" i="5"/>
  <c r="G68" i="4"/>
  <c r="G64" i="4"/>
  <c r="G60" i="4"/>
  <c r="G56" i="4"/>
  <c r="G52" i="4"/>
  <c r="G48" i="4"/>
  <c r="G44" i="4"/>
  <c r="G40" i="4"/>
  <c r="G36" i="4"/>
  <c r="G32" i="4"/>
  <c r="G28" i="4"/>
  <c r="G24" i="4"/>
  <c r="G20" i="4"/>
  <c r="G16" i="4"/>
  <c r="G12" i="4"/>
  <c r="G8" i="4"/>
  <c r="H52" i="4"/>
  <c r="H44" i="4"/>
  <c r="H32" i="4"/>
  <c r="G91" i="4"/>
  <c r="G67" i="4"/>
  <c r="G63" i="4"/>
  <c r="G59" i="4"/>
  <c r="G55" i="4"/>
  <c r="G51" i="4"/>
  <c r="G47" i="4"/>
  <c r="G43" i="4"/>
  <c r="G39" i="4"/>
  <c r="G35" i="4"/>
  <c r="G31" i="4"/>
  <c r="G27" i="4"/>
  <c r="G23" i="4"/>
  <c r="G19" i="4"/>
  <c r="G15" i="4"/>
  <c r="G11" i="4"/>
  <c r="G7" i="4"/>
  <c r="H91" i="4"/>
  <c r="H35" i="4"/>
  <c r="J41" i="4"/>
  <c r="G5" i="5"/>
  <c r="G2" i="5"/>
  <c r="G6" i="5"/>
  <c r="G3" i="5"/>
  <c r="J4" i="4"/>
  <c r="J35" i="4"/>
  <c r="J34" i="4"/>
  <c r="J39" i="4"/>
  <c r="J42" i="4"/>
  <c r="J43" i="4"/>
  <c r="H6" i="5"/>
  <c r="H5" i="5"/>
  <c r="H4" i="5"/>
  <c r="F61" i="5"/>
  <c r="K65" i="5" s="1"/>
  <c r="J38" i="4"/>
  <c r="J40" i="4"/>
  <c r="J36" i="4"/>
  <c r="J37" i="4"/>
  <c r="T42" i="4"/>
  <c r="T41" i="4"/>
  <c r="U41" i="4" s="1"/>
  <c r="AA41" i="4" s="1"/>
  <c r="T38" i="4"/>
  <c r="X38" i="4" s="1"/>
  <c r="AA38" i="4" s="1"/>
  <c r="T33" i="4"/>
  <c r="W33" i="4" s="1"/>
  <c r="T29" i="4"/>
  <c r="T25" i="4"/>
  <c r="T21" i="4"/>
  <c r="T17" i="4"/>
  <c r="T13" i="4"/>
  <c r="T9" i="4"/>
  <c r="T11" i="4"/>
  <c r="T46" i="4"/>
  <c r="T74" i="4"/>
  <c r="T80" i="4"/>
  <c r="T86" i="4"/>
  <c r="T37" i="4"/>
  <c r="T58" i="4"/>
  <c r="T60" i="4"/>
  <c r="T65" i="4"/>
  <c r="T32" i="4"/>
  <c r="X32" i="4" s="1"/>
  <c r="T28" i="4"/>
  <c r="T24" i="4"/>
  <c r="T20" i="4"/>
  <c r="T16" i="4"/>
  <c r="T12" i="4"/>
  <c r="T8" i="4"/>
  <c r="T40" i="4"/>
  <c r="U40" i="4" s="1"/>
  <c r="T48" i="4"/>
  <c r="U48" i="4" s="1"/>
  <c r="AA48" i="4" s="1"/>
  <c r="T56" i="4"/>
  <c r="T72" i="4"/>
  <c r="T76" i="4"/>
  <c r="T82" i="4"/>
  <c r="T90" i="4"/>
  <c r="T45" i="4"/>
  <c r="U45" i="4" s="1"/>
  <c r="AA45" i="4" s="1"/>
  <c r="T50" i="4"/>
  <c r="U50" i="4" s="1"/>
  <c r="AA50" i="4" s="1"/>
  <c r="T53" i="4"/>
  <c r="T57" i="4"/>
  <c r="U57" i="4" s="1"/>
  <c r="AA57" i="4" s="1"/>
  <c r="T62" i="4"/>
  <c r="T69" i="4"/>
  <c r="T73" i="4"/>
  <c r="T77" i="4"/>
  <c r="T81" i="4"/>
  <c r="T85" i="4"/>
  <c r="T89" i="4"/>
  <c r="T44" i="4"/>
  <c r="T54" i="4"/>
  <c r="T63" i="4"/>
  <c r="U63" i="4" s="1"/>
  <c r="AA63" i="4" s="1"/>
  <c r="T70" i="4"/>
  <c r="T78" i="4"/>
  <c r="T84" i="4"/>
  <c r="T88" i="4"/>
  <c r="T36" i="4"/>
  <c r="T49" i="4"/>
  <c r="U49" i="4" s="1"/>
  <c r="AA49" i="4" s="1"/>
  <c r="T52" i="4"/>
  <c r="U52" i="4" s="1"/>
  <c r="AA52" i="4" s="1"/>
  <c r="T61" i="4"/>
  <c r="U61" i="4" s="1"/>
  <c r="AA61" i="4" s="1"/>
  <c r="T64" i="4"/>
  <c r="T66" i="4"/>
  <c r="T68" i="4"/>
  <c r="T34" i="4"/>
  <c r="Y34" i="4" s="1"/>
  <c r="T30" i="4"/>
  <c r="T26" i="4"/>
  <c r="T22" i="4"/>
  <c r="T18" i="4"/>
  <c r="T14" i="4"/>
  <c r="T10" i="4"/>
  <c r="T6" i="4"/>
  <c r="T87" i="4"/>
  <c r="T79" i="4"/>
  <c r="T67" i="4"/>
  <c r="U67" i="4" s="1"/>
  <c r="AA67" i="4" s="1"/>
  <c r="T43" i="4"/>
  <c r="U43" i="4" s="1"/>
  <c r="AA43" i="4" s="1"/>
  <c r="T7" i="4"/>
  <c r="T91" i="4"/>
  <c r="T83" i="4"/>
  <c r="T75" i="4"/>
  <c r="T71" i="4"/>
  <c r="T59" i="4"/>
  <c r="T51" i="4"/>
  <c r="U51" i="4" s="1"/>
  <c r="AA51" i="4" s="1"/>
  <c r="T39" i="4"/>
  <c r="H7" i="5" s="1"/>
  <c r="T31" i="4"/>
  <c r="T19" i="4"/>
  <c r="T15" i="4"/>
  <c r="T5" i="4"/>
  <c r="T55" i="4"/>
  <c r="U55" i="4" s="1"/>
  <c r="AA55" i="4" s="1"/>
  <c r="T47" i="4"/>
  <c r="U47" i="4" s="1"/>
  <c r="AA47" i="4" s="1"/>
  <c r="T35" i="4"/>
  <c r="T27" i="4"/>
  <c r="T23" i="4"/>
  <c r="T4" i="4"/>
  <c r="J5" i="4"/>
  <c r="J6" i="4"/>
  <c r="J19" i="4"/>
  <c r="J7" i="4"/>
  <c r="J13" i="5"/>
  <c r="W43" i="3"/>
  <c r="J45" i="4"/>
  <c r="J31" i="4"/>
  <c r="C31" i="5" s="1"/>
  <c r="J15" i="4"/>
  <c r="J58" i="4"/>
  <c r="J68" i="4"/>
  <c r="H68" i="5" s="1"/>
  <c r="J27" i="4"/>
  <c r="J11" i="4"/>
  <c r="J23" i="4"/>
  <c r="J8" i="4"/>
  <c r="J52" i="4"/>
  <c r="J60" i="4"/>
  <c r="J69" i="4"/>
  <c r="H69" i="5" s="1"/>
  <c r="J30" i="4"/>
  <c r="J26" i="4"/>
  <c r="J22" i="4"/>
  <c r="J18" i="4"/>
  <c r="J14" i="4"/>
  <c r="J10" i="4"/>
  <c r="J48" i="4"/>
  <c r="J57" i="4"/>
  <c r="J61" i="4"/>
  <c r="J33" i="4"/>
  <c r="J29" i="4"/>
  <c r="J25" i="4"/>
  <c r="J21" i="4"/>
  <c r="J17" i="4"/>
  <c r="J13" i="4"/>
  <c r="J9" i="4"/>
  <c r="J70" i="4"/>
  <c r="H70" i="5" s="1"/>
  <c r="J44" i="4"/>
  <c r="J49" i="4"/>
  <c r="J53" i="4"/>
  <c r="J64" i="4"/>
  <c r="J32" i="4"/>
  <c r="J28" i="4"/>
  <c r="J24" i="4"/>
  <c r="J20" i="4"/>
  <c r="J16" i="4"/>
  <c r="J12" i="4"/>
  <c r="J47" i="4"/>
  <c r="J51" i="4"/>
  <c r="J55" i="4"/>
  <c r="J59" i="4"/>
  <c r="J63" i="4"/>
  <c r="H63" i="5" s="1"/>
  <c r="J65" i="4"/>
  <c r="H65" i="5" s="1"/>
  <c r="J67" i="4"/>
  <c r="H67" i="5" s="1"/>
  <c r="H71" i="5"/>
  <c r="H72" i="5"/>
  <c r="H75" i="5"/>
  <c r="H79" i="5"/>
  <c r="H80" i="5"/>
  <c r="H81" i="5"/>
  <c r="H82" i="5"/>
  <c r="J46" i="4"/>
  <c r="J50" i="4"/>
  <c r="J54" i="4"/>
  <c r="J56" i="4"/>
  <c r="J62" i="4"/>
  <c r="J66" i="4"/>
  <c r="H66" i="5" s="1"/>
  <c r="U39" i="4" l="1"/>
  <c r="Y39" i="4"/>
  <c r="AA39" i="4" s="1"/>
  <c r="U37" i="4"/>
  <c r="W37" i="4"/>
  <c r="AA37" i="4" s="1"/>
  <c r="U36" i="4"/>
  <c r="V36" i="4"/>
  <c r="AA36" i="4" s="1"/>
  <c r="U44" i="4"/>
  <c r="AA44" i="4" s="1"/>
  <c r="U42" i="4"/>
  <c r="AA42" i="4" s="1"/>
  <c r="U59" i="4"/>
  <c r="AA59" i="4" s="1"/>
  <c r="U64" i="4"/>
  <c r="AA64" i="4" s="1"/>
  <c r="U70" i="4"/>
  <c r="AA70" i="4" s="1"/>
  <c r="U53" i="4"/>
  <c r="AA53" i="4" s="1"/>
  <c r="U46" i="4"/>
  <c r="AA46" i="4" s="1"/>
  <c r="U66" i="4"/>
  <c r="AA66" i="4" s="1"/>
  <c r="U69" i="4"/>
  <c r="AA69" i="4" s="1"/>
  <c r="U65" i="4"/>
  <c r="AA65" i="4" s="1"/>
  <c r="U38" i="4"/>
  <c r="U56" i="4"/>
  <c r="AA56" i="4" s="1"/>
  <c r="U58" i="4"/>
  <c r="AA58" i="4" s="1"/>
  <c r="U68" i="4"/>
  <c r="AA68" i="4" s="1"/>
  <c r="U54" i="4"/>
  <c r="AA54" i="4" s="1"/>
  <c r="U62" i="4"/>
  <c r="AA62" i="4" s="1"/>
  <c r="U60" i="4"/>
  <c r="AA60" i="4" s="1"/>
  <c r="W73" i="4"/>
  <c r="H3" i="5"/>
  <c r="I5" i="5"/>
  <c r="E56" i="5" a="1"/>
  <c r="E56" i="5" s="1"/>
  <c r="D65" i="5" a="1"/>
  <c r="D65" i="5" s="1"/>
  <c r="D72" i="5" a="1"/>
  <c r="D72" i="5" s="1"/>
  <c r="D78" i="5" a="1"/>
  <c r="D78" i="5" s="1"/>
  <c r="E64" i="5" a="1"/>
  <c r="E64" i="5" s="1"/>
  <c r="E69" i="5" a="1"/>
  <c r="E69" i="5" s="1"/>
  <c r="E73" i="5" a="1"/>
  <c r="E73" i="5" s="1"/>
  <c r="E77" i="5" a="1"/>
  <c r="E77" i="5" s="1"/>
  <c r="E81" i="5" a="1"/>
  <c r="E81" i="5" s="1"/>
  <c r="E83" i="5" a="1"/>
  <c r="E83" i="5" s="1"/>
  <c r="E79" i="5" a="1"/>
  <c r="E79" i="5" s="1"/>
  <c r="D82" i="5" a="1"/>
  <c r="D82" i="5" s="1"/>
  <c r="E76" i="5" a="1"/>
  <c r="E76" i="5" s="1"/>
  <c r="D66" i="5" a="1"/>
  <c r="D66" i="5" s="1"/>
  <c r="D73" i="5" a="1"/>
  <c r="D73" i="5" s="1"/>
  <c r="D80" i="5" a="1"/>
  <c r="D80" i="5" s="1"/>
  <c r="E65" i="5" a="1"/>
  <c r="E65" i="5" s="1"/>
  <c r="E70" i="5" a="1"/>
  <c r="E70" i="5" s="1"/>
  <c r="E74" i="5" a="1"/>
  <c r="E74" i="5" s="1"/>
  <c r="E78" i="5" a="1"/>
  <c r="E78" i="5" s="1"/>
  <c r="D77" i="5" a="1"/>
  <c r="D77" i="5" s="1"/>
  <c r="E68" i="5" a="1"/>
  <c r="E68" i="5" s="1"/>
  <c r="D68" i="5" a="1"/>
  <c r="D68" i="5" s="1"/>
  <c r="D76" i="5" a="1"/>
  <c r="D76" i="5" s="1"/>
  <c r="D81" i="5" a="1"/>
  <c r="D81" i="5" s="1"/>
  <c r="E66" i="5" a="1"/>
  <c r="E66" i="5" s="1"/>
  <c r="E71" i="5" a="1"/>
  <c r="E71" i="5" s="1"/>
  <c r="E75" i="5" a="1"/>
  <c r="E75" i="5" s="1"/>
  <c r="D69" i="5" a="1"/>
  <c r="D69" i="5" s="1"/>
  <c r="E72" i="5" a="1"/>
  <c r="E72" i="5" s="1"/>
  <c r="E80" i="5" a="1"/>
  <c r="E80" i="5" s="1"/>
  <c r="D83" i="5" a="1"/>
  <c r="D83" i="5" s="1"/>
  <c r="D67" i="5" a="1"/>
  <c r="D67" i="5" s="1"/>
  <c r="D74" i="5" a="1"/>
  <c r="D74" i="5" s="1"/>
  <c r="E67" i="5" a="1"/>
  <c r="E67" i="5" s="1"/>
  <c r="F63" i="5" a="1"/>
  <c r="F63" i="5" s="1"/>
  <c r="D79" i="5" a="1"/>
  <c r="D79" i="5" s="1"/>
  <c r="D70" i="5" a="1"/>
  <c r="D70" i="5" s="1"/>
  <c r="D63" i="5" a="1"/>
  <c r="D63" i="5" s="1"/>
  <c r="D71" i="5" a="1"/>
  <c r="D71" i="5" s="1"/>
  <c r="D75" i="5" a="1"/>
  <c r="D75" i="5" s="1"/>
  <c r="E82" i="5" a="1"/>
  <c r="E82" i="5" s="1"/>
  <c r="E63" i="5" a="1"/>
  <c r="E63" i="5" s="1"/>
  <c r="F21" i="5" a="1"/>
  <c r="F21" i="5" s="1"/>
  <c r="G21" i="5" s="1" a="1"/>
  <c r="G21" i="5" s="1"/>
  <c r="H64" i="5"/>
  <c r="D64" i="5"/>
  <c r="F20" i="5" a="1"/>
  <c r="F20" i="5" s="1"/>
  <c r="G20" i="5" s="1" a="1"/>
  <c r="G20" i="5" s="1"/>
  <c r="F23" i="5" a="1"/>
  <c r="F23" i="5" s="1"/>
  <c r="F25" i="5" a="1"/>
  <c r="F25" i="5" s="1"/>
  <c r="F14" i="5" a="1"/>
  <c r="F14" i="5" s="1"/>
  <c r="G14" i="5" s="1" a="1"/>
  <c r="G14" i="5" s="1"/>
  <c r="F30" i="5" a="1"/>
  <c r="F30" i="5" s="1"/>
  <c r="F16" i="5" a="1"/>
  <c r="F16" i="5" s="1"/>
  <c r="G16" i="5" s="1" a="1"/>
  <c r="G16" i="5" s="1"/>
  <c r="F31" i="5" a="1"/>
  <c r="F31" i="5" s="1"/>
  <c r="F24" i="5" a="1"/>
  <c r="F24" i="5" s="1"/>
  <c r="G24" i="5" s="1" a="1"/>
  <c r="G24" i="5" s="1"/>
  <c r="F13" i="5" a="1"/>
  <c r="F13" i="5" s="1"/>
  <c r="G13" i="5" s="1" a="1"/>
  <c r="G13" i="5" s="1"/>
  <c r="F29" i="5" a="1"/>
  <c r="F29" i="5" s="1"/>
  <c r="G29" i="5" s="1" a="1"/>
  <c r="G29" i="5" s="1"/>
  <c r="F18" i="5" a="1"/>
  <c r="F18" i="5" s="1"/>
  <c r="G18" i="5" s="1" a="1"/>
  <c r="G18" i="5" s="1"/>
  <c r="F15" i="5" a="1"/>
  <c r="F15" i="5" s="1"/>
  <c r="F11" i="5" a="1"/>
  <c r="F11" i="5" s="1"/>
  <c r="G11" i="5" s="1" a="1"/>
  <c r="G11" i="5" s="1"/>
  <c r="F26" i="5" a="1"/>
  <c r="F26" i="5" s="1"/>
  <c r="G26" i="5" s="1" a="1"/>
  <c r="G26" i="5" s="1"/>
  <c r="F12" i="5" a="1"/>
  <c r="F12" i="5" s="1"/>
  <c r="G12" i="5" s="1" a="1"/>
  <c r="G12" i="5" s="1"/>
  <c r="F28" i="5" a="1"/>
  <c r="F28" i="5" s="1"/>
  <c r="G28" i="5" s="1" a="1"/>
  <c r="G28" i="5" s="1"/>
  <c r="F17" i="5" a="1"/>
  <c r="F17" i="5" s="1"/>
  <c r="F19" i="5" a="1"/>
  <c r="F19" i="5" s="1"/>
  <c r="G19" i="5" s="1" a="1"/>
  <c r="G19" i="5" s="1"/>
  <c r="F22" i="5" a="1"/>
  <c r="F22" i="5" s="1"/>
  <c r="G22" i="5" s="1" a="1"/>
  <c r="G22" i="5" s="1"/>
  <c r="F27" i="5" a="1"/>
  <c r="F27" i="5" s="1"/>
  <c r="I7" i="5"/>
  <c r="D39" i="5" a="1"/>
  <c r="D39" i="5" s="1"/>
  <c r="D43" i="5" a="1"/>
  <c r="D43" i="5" s="1"/>
  <c r="C47" i="5" a="1"/>
  <c r="C47" i="5" s="1"/>
  <c r="F50" i="5" a="1"/>
  <c r="F50" i="5" s="1"/>
  <c r="F54" i="5" a="1"/>
  <c r="F54" i="5" s="1"/>
  <c r="E40" i="5" a="1"/>
  <c r="E40" i="5" s="1"/>
  <c r="D45" i="5" a="1"/>
  <c r="D45" i="5" s="1"/>
  <c r="D49" i="5" a="1"/>
  <c r="D49" i="5" s="1"/>
  <c r="C53" i="5" a="1"/>
  <c r="C53" i="5" s="1"/>
  <c r="D57" i="5" a="1"/>
  <c r="D57" i="5" s="1"/>
  <c r="F56" i="5" a="1"/>
  <c r="F56" i="5" s="1"/>
  <c r="F41" i="5" a="1"/>
  <c r="F41" i="5" s="1"/>
  <c r="E45" i="5" a="1"/>
  <c r="E45" i="5" s="1"/>
  <c r="E49" i="5" a="1"/>
  <c r="E49" i="5" s="1"/>
  <c r="D54" i="5" a="1"/>
  <c r="D54" i="5" s="1"/>
  <c r="D37" i="5" a="1"/>
  <c r="D37" i="5" s="1"/>
  <c r="C41" i="5" a="1"/>
  <c r="C41" i="5" s="1"/>
  <c r="C39" i="5" a="1"/>
  <c r="C39" i="5" s="1"/>
  <c r="C38" i="5" a="1"/>
  <c r="C38" i="5" s="1"/>
  <c r="C42" i="5" a="1"/>
  <c r="C42" i="5" s="1"/>
  <c r="C43" i="5" a="1"/>
  <c r="C43" i="5" s="1"/>
  <c r="F46" i="5" a="1"/>
  <c r="F46" i="5" s="1"/>
  <c r="E50" i="5" a="1"/>
  <c r="E50" i="5" s="1"/>
  <c r="E54" i="5" a="1"/>
  <c r="E54" i="5" s="1"/>
  <c r="C37" i="5" a="1"/>
  <c r="C37" i="5" s="1"/>
  <c r="F47" i="5" a="1"/>
  <c r="F47" i="5" s="1"/>
  <c r="E51" i="5" a="1"/>
  <c r="E51" i="5" s="1"/>
  <c r="E55" i="5" a="1"/>
  <c r="E55" i="5" s="1"/>
  <c r="E53" i="5" a="1"/>
  <c r="E53" i="5" s="1"/>
  <c r="F45" i="5" a="1"/>
  <c r="F45" i="5" s="1"/>
  <c r="F49" i="5" a="1"/>
  <c r="F49" i="5" s="1"/>
  <c r="F57" i="5" a="1"/>
  <c r="F57" i="5" s="1"/>
  <c r="D40" i="5" a="1"/>
  <c r="D40" i="5" s="1"/>
  <c r="D44" i="5" a="1"/>
  <c r="D44" i="5" s="1"/>
  <c r="C48" i="5" a="1"/>
  <c r="C48" i="5" s="1"/>
  <c r="F51" i="5" a="1"/>
  <c r="F51" i="5" s="1"/>
  <c r="F55" i="5" a="1"/>
  <c r="F55" i="5" s="1"/>
  <c r="E41" i="5" a="1"/>
  <c r="E41" i="5" s="1"/>
  <c r="D46" i="5" a="1"/>
  <c r="D46" i="5" s="1"/>
  <c r="D50" i="5" a="1"/>
  <c r="D50" i="5" s="1"/>
  <c r="C54" i="5" a="1"/>
  <c r="C54" i="5" s="1"/>
  <c r="E37" i="5" a="1"/>
  <c r="E37" i="5" s="1"/>
  <c r="F38" i="5" a="1"/>
  <c r="F38" i="5" s="1"/>
  <c r="F42" i="5" a="1"/>
  <c r="F42" i="5" s="1"/>
  <c r="E46" i="5" a="1"/>
  <c r="E46" i="5" s="1"/>
  <c r="D51" i="5" a="1"/>
  <c r="D51" i="5" s="1"/>
  <c r="D55" i="5" a="1"/>
  <c r="D55" i="5" s="1"/>
  <c r="D38" i="5" a="1"/>
  <c r="D38" i="5" s="1"/>
  <c r="F44" i="5" a="1"/>
  <c r="F44" i="5" s="1"/>
  <c r="E52" i="5" a="1"/>
  <c r="E52" i="5" s="1"/>
  <c r="D41" i="5" a="1"/>
  <c r="D41" i="5" s="1"/>
  <c r="C45" i="5" a="1"/>
  <c r="C45" i="5" s="1"/>
  <c r="C49" i="5" a="1"/>
  <c r="C49" i="5" s="1"/>
  <c r="F52" i="5" a="1"/>
  <c r="F52" i="5" s="1"/>
  <c r="C57" i="5" a="1"/>
  <c r="C57" i="5" s="1"/>
  <c r="E38" i="5" a="1"/>
  <c r="E38" i="5" s="1"/>
  <c r="E42" i="5" a="1"/>
  <c r="E42" i="5" s="1"/>
  <c r="D47" i="5" a="1"/>
  <c r="D47" i="5" s="1"/>
  <c r="C51" i="5" a="1"/>
  <c r="C51" i="5" s="1"/>
  <c r="C55" i="5" a="1"/>
  <c r="C55" i="5" s="1"/>
  <c r="F39" i="5" a="1"/>
  <c r="F39" i="5" s="1"/>
  <c r="F43" i="5" a="1"/>
  <c r="F43" i="5" s="1"/>
  <c r="E47" i="5" a="1"/>
  <c r="E47" i="5" s="1"/>
  <c r="D52" i="5" a="1"/>
  <c r="D52" i="5" s="1"/>
  <c r="D56" i="5" a="1"/>
  <c r="D56" i="5" s="1"/>
  <c r="C40" i="5" a="1"/>
  <c r="C40" i="5" s="1"/>
  <c r="C44" i="5" a="1"/>
  <c r="C44" i="5" s="1"/>
  <c r="D42" i="5" a="1"/>
  <c r="D42" i="5" s="1"/>
  <c r="C46" i="5" a="1"/>
  <c r="C46" i="5" s="1"/>
  <c r="C50" i="5" a="1"/>
  <c r="C50" i="5" s="1"/>
  <c r="F53" i="5" a="1"/>
  <c r="F53" i="5" s="1"/>
  <c r="F37" i="5" a="1"/>
  <c r="F37" i="5" s="1"/>
  <c r="G37" i="5" s="1" a="1"/>
  <c r="G37" i="5" s="1"/>
  <c r="E39" i="5" a="1"/>
  <c r="E39" i="5" s="1"/>
  <c r="E43" i="5" a="1"/>
  <c r="E43" i="5" s="1"/>
  <c r="D48" i="5" a="1"/>
  <c r="D48" i="5" s="1"/>
  <c r="C52" i="5" a="1"/>
  <c r="C52" i="5" s="1"/>
  <c r="C56" i="5" a="1"/>
  <c r="C56" i="5" s="1"/>
  <c r="F40" i="5" a="1"/>
  <c r="F40" i="5" s="1"/>
  <c r="E44" i="5" a="1"/>
  <c r="E44" i="5" s="1"/>
  <c r="E48" i="5" a="1"/>
  <c r="E48" i="5" s="1"/>
  <c r="D53" i="5" a="1"/>
  <c r="D53" i="5" s="1"/>
  <c r="E57" i="5" a="1"/>
  <c r="E57" i="5" s="1"/>
  <c r="F48" i="5" a="1"/>
  <c r="F48" i="5" s="1"/>
  <c r="I6" i="5"/>
  <c r="E12" i="5" a="1"/>
  <c r="E12" i="5" s="1"/>
  <c r="I3" i="5"/>
  <c r="E27" i="5" a="1"/>
  <c r="E27" i="5" s="1"/>
  <c r="E28" i="5" a="1"/>
  <c r="E28" i="5" s="1"/>
  <c r="E14" i="5" a="1"/>
  <c r="E14" i="5" s="1"/>
  <c r="D14" i="5" a="1"/>
  <c r="D14" i="5" s="1"/>
  <c r="C27" i="5" a="1"/>
  <c r="C27" i="5" s="1"/>
  <c r="C26" i="5" a="1"/>
  <c r="C26" i="5" s="1"/>
  <c r="D21" i="5" a="1"/>
  <c r="D21" i="5" s="1"/>
  <c r="D27" i="5" a="1"/>
  <c r="D27" i="5" s="1"/>
  <c r="C20" i="5" a="1"/>
  <c r="C20" i="5" s="1"/>
  <c r="E31" i="5" a="1"/>
  <c r="E31" i="5" s="1"/>
  <c r="C18" i="5" a="1"/>
  <c r="C18" i="5" s="1"/>
  <c r="E15" i="5" a="1"/>
  <c r="E15" i="5" s="1"/>
  <c r="C23" i="5" a="1"/>
  <c r="C23" i="5" s="1"/>
  <c r="D24" i="5" a="1"/>
  <c r="D24" i="5" s="1"/>
  <c r="D17" i="5" a="1"/>
  <c r="D17" i="5" s="1"/>
  <c r="E30" i="5" a="1"/>
  <c r="E30" i="5" s="1"/>
  <c r="D22" i="5" a="1"/>
  <c r="D22" i="5" s="1"/>
  <c r="C13" i="5" a="1"/>
  <c r="C13" i="5" s="1"/>
  <c r="C25" i="5" a="1"/>
  <c r="C25" i="5" s="1"/>
  <c r="D15" i="5" a="1"/>
  <c r="D15" i="5" s="1"/>
  <c r="D31" i="5" a="1"/>
  <c r="D31" i="5" s="1"/>
  <c r="E13" i="5" a="1"/>
  <c r="E13" i="5" s="1"/>
  <c r="E11" i="5" a="1"/>
  <c r="E11" i="5" s="1"/>
  <c r="E24" i="5" a="1"/>
  <c r="E24" i="5" s="1"/>
  <c r="E20" i="5" a="1"/>
  <c r="E20" i="5" s="1"/>
  <c r="E16" i="5" a="1"/>
  <c r="E16" i="5" s="1"/>
  <c r="D16" i="5" a="1"/>
  <c r="D16" i="5" s="1"/>
  <c r="D28" i="5" a="1"/>
  <c r="D28" i="5" s="1"/>
  <c r="D18" i="5" a="1"/>
  <c r="D18" i="5" s="1"/>
  <c r="C24" i="5" a="1"/>
  <c r="C24" i="5" s="1"/>
  <c r="C21" i="5" a="1"/>
  <c r="C21" i="5" s="1"/>
  <c r="C11" i="5" a="1"/>
  <c r="C11" i="5" s="1"/>
  <c r="E26" i="5" a="1"/>
  <c r="E26" i="5" s="1"/>
  <c r="D29" i="5" a="1"/>
  <c r="D29" i="5" s="1"/>
  <c r="D13" i="5" a="1"/>
  <c r="D13" i="5" s="1"/>
  <c r="D26" i="5" a="1"/>
  <c r="D26" i="5" s="1"/>
  <c r="C19" i="5" a="1"/>
  <c r="C19" i="5" s="1"/>
  <c r="C17" i="5" a="1"/>
  <c r="C17" i="5" s="1"/>
  <c r="E18" i="5" a="1"/>
  <c r="E18" i="5" s="1"/>
  <c r="C12" i="5" a="1"/>
  <c r="C12" i="5" s="1"/>
  <c r="W39" i="4"/>
  <c r="E19" i="5" a="1"/>
  <c r="E19" i="5" s="1"/>
  <c r="C29" i="5" a="1"/>
  <c r="C29" i="5" s="1"/>
  <c r="C22" i="5" a="1"/>
  <c r="C22" i="5" s="1"/>
  <c r="C30" i="5" a="1"/>
  <c r="C30" i="5" s="1"/>
  <c r="C15" i="5" a="1"/>
  <c r="C15" i="5" s="1"/>
  <c r="E25" i="5" a="1"/>
  <c r="E25" i="5" s="1"/>
  <c r="D11" i="5" a="1"/>
  <c r="D11" i="5" s="1"/>
  <c r="E22" i="5" a="1"/>
  <c r="E22" i="5" s="1"/>
  <c r="D20" i="5" a="1"/>
  <c r="D20" i="5" s="1"/>
  <c r="D12" i="5" a="1"/>
  <c r="D12" i="5" s="1"/>
  <c r="D19" i="5" a="1"/>
  <c r="D19" i="5" s="1"/>
  <c r="C28" i="5" a="1"/>
  <c r="C28" i="5" s="1"/>
  <c r="D23" i="5" a="1"/>
  <c r="D23" i="5" s="1"/>
  <c r="C14" i="5" a="1"/>
  <c r="C14" i="5" s="1"/>
  <c r="D30" i="5" a="1"/>
  <c r="D30" i="5" s="1"/>
  <c r="E17" i="5" a="1"/>
  <c r="E17" i="5" s="1"/>
  <c r="E29" i="5" a="1"/>
  <c r="E29" i="5" s="1"/>
  <c r="E23" i="5" a="1"/>
  <c r="E23" i="5" s="1"/>
  <c r="E21" i="5" a="1"/>
  <c r="E21" i="5" s="1"/>
  <c r="C16" i="5" a="1"/>
  <c r="C16" i="5" s="1"/>
  <c r="D25" i="5" a="1"/>
  <c r="D25" i="5" s="1"/>
  <c r="F84" i="5" l="1"/>
  <c r="K67" i="5" s="1"/>
  <c r="K69" i="5" s="1"/>
  <c r="G63" i="5"/>
  <c r="G84" i="5" s="1"/>
  <c r="E58" i="5"/>
  <c r="J41" i="5" s="1"/>
  <c r="J43" i="5" s="1"/>
  <c r="G27" i="5" a="1"/>
  <c r="G27" i="5" s="1"/>
  <c r="G31" i="5" a="1"/>
  <c r="G31" i="5" s="1"/>
  <c r="G25" i="5" a="1"/>
  <c r="G25" i="5" s="1"/>
  <c r="G15" i="5" a="1"/>
  <c r="G15" i="5" s="1"/>
  <c r="G23" i="5" a="1"/>
  <c r="G23" i="5" s="1"/>
  <c r="G30" i="5" a="1"/>
  <c r="G30" i="5" s="1"/>
  <c r="G17" i="5" a="1"/>
  <c r="G17" i="5" s="1"/>
  <c r="E32" i="5"/>
  <c r="J15" i="5" s="1"/>
  <c r="J17" i="5" s="1"/>
  <c r="H4" i="4" l="1"/>
  <c r="G4" i="4"/>
  <c r="N32" i="3"/>
  <c r="N39" i="3"/>
  <c r="N24" i="3"/>
  <c r="N41" i="3"/>
  <c r="N25" i="3"/>
  <c r="N31" i="3"/>
  <c r="N36" i="3"/>
  <c r="N29" i="3"/>
  <c r="N40" i="3"/>
  <c r="N27" i="3"/>
  <c r="N23" i="3"/>
  <c r="N37" i="3"/>
  <c r="N35" i="3"/>
  <c r="N38" i="3"/>
  <c r="N26" i="3"/>
  <c r="N33" i="3"/>
  <c r="N28" i="3"/>
  <c r="N30" i="3"/>
  <c r="N22" i="3"/>
  <c r="N42" i="3"/>
  <c r="N34" i="3"/>
  <c r="N21" i="3"/>
  <c r="U35" i="4"/>
  <c r="AA33" i="4"/>
  <c r="U33" i="4"/>
  <c r="U32" i="4"/>
  <c r="AA32" i="4"/>
  <c r="V35" i="4"/>
  <c r="AA35" i="4"/>
  <c r="N4" i="3"/>
  <c r="M4" i="3"/>
  <c r="U34" i="4"/>
  <c r="AA34" i="4"/>
  <c r="M7" i="3"/>
  <c r="N7" i="3"/>
  <c r="M6" i="3"/>
  <c r="N6" i="3"/>
  <c r="N5" i="3"/>
  <c r="M5" i="3"/>
</calcChain>
</file>

<file path=xl/sharedStrings.xml><?xml version="1.0" encoding="utf-8"?>
<sst xmlns="http://schemas.openxmlformats.org/spreadsheetml/2006/main" count="797" uniqueCount="218">
  <si>
    <t>CONTRÔLE DOCS ADM SOUS TRAITANT</t>
  </si>
  <si>
    <t>SOUS TRAITANT</t>
  </si>
  <si>
    <t>FORME JURIDIQUE</t>
  </si>
  <si>
    <t>LISTE PERSONNEL</t>
  </si>
  <si>
    <t>RIB</t>
  </si>
  <si>
    <t>OUI</t>
  </si>
  <si>
    <t>NON</t>
  </si>
  <si>
    <t>ECHEANCIER</t>
  </si>
  <si>
    <t>ATT S/ L'HONNEUR</t>
  </si>
  <si>
    <t>QUALIF / REF CHANTIER</t>
  </si>
  <si>
    <t>PI PERSONNEL</t>
  </si>
  <si>
    <t>PU MARCHE</t>
  </si>
  <si>
    <t>15J</t>
  </si>
  <si>
    <t>MARCHE</t>
  </si>
  <si>
    <t>BASE</t>
  </si>
  <si>
    <t>€</t>
  </si>
  <si>
    <t>RESTE</t>
  </si>
  <si>
    <t>FACT</t>
  </si>
  <si>
    <t>PAYEE LE</t>
  </si>
  <si>
    <t>CHANTIER</t>
  </si>
  <si>
    <t>PUTEAUX</t>
  </si>
  <si>
    <t>CT</t>
  </si>
  <si>
    <t>ARTHUR</t>
  </si>
  <si>
    <t>MO</t>
  </si>
  <si>
    <t>E 3%</t>
  </si>
  <si>
    <t>AUTRE</t>
  </si>
  <si>
    <t>BASE :</t>
  </si>
  <si>
    <t>FACT N°</t>
  </si>
  <si>
    <t>REF FACT</t>
  </si>
  <si>
    <t>DATE FACT</t>
  </si>
  <si>
    <t>OBS</t>
  </si>
  <si>
    <t>PAYEE</t>
  </si>
  <si>
    <t>TOTAL</t>
  </si>
  <si>
    <t>PRESENTE SUR SITU N°</t>
  </si>
  <si>
    <t>BC brut</t>
  </si>
  <si>
    <t>PAYEE :</t>
  </si>
  <si>
    <t>RESTE :</t>
  </si>
  <si>
    <t>DELAIS PAIEMENT</t>
  </si>
  <si>
    <t>Colonne1</t>
  </si>
  <si>
    <t>aujourdhui</t>
  </si>
  <si>
    <t>45J</t>
  </si>
  <si>
    <t>RG_5%</t>
  </si>
  <si>
    <t>BFT_5%</t>
  </si>
  <si>
    <t>LAURENT</t>
  </si>
  <si>
    <t>SUIVI FACTURATION SOUS TRAITANT</t>
  </si>
  <si>
    <t>FACTURES SOUS TRAITANT</t>
  </si>
  <si>
    <t>MOIS</t>
  </si>
  <si>
    <t>REF</t>
  </si>
  <si>
    <t>Sous Traitant</t>
  </si>
  <si>
    <t>Adresse chantier</t>
  </si>
  <si>
    <t>CP</t>
  </si>
  <si>
    <t>fact n°</t>
  </si>
  <si>
    <t>date fact</t>
  </si>
  <si>
    <t>date paiement provisoir</t>
  </si>
  <si>
    <t>marché</t>
  </si>
  <si>
    <t>montant</t>
  </si>
  <si>
    <t>validé par</t>
  </si>
  <si>
    <t>payé / présenté le</t>
  </si>
  <si>
    <t>Observations</t>
  </si>
  <si>
    <t>MONTANT BC</t>
  </si>
  <si>
    <t>JANV</t>
  </si>
  <si>
    <t>FEV</t>
  </si>
  <si>
    <t>MARS</t>
  </si>
  <si>
    <t>AVRIL</t>
  </si>
  <si>
    <t>MAI</t>
  </si>
  <si>
    <t>JUIN</t>
  </si>
  <si>
    <t>JUIL</t>
  </si>
  <si>
    <t>AOUT</t>
  </si>
  <si>
    <t>BOBIGNY</t>
  </si>
  <si>
    <t>2020/0790</t>
  </si>
  <si>
    <t>ST MICHEL SUR ORGE</t>
  </si>
  <si>
    <t>2020/0795</t>
  </si>
  <si>
    <t xml:space="preserve">ST CYR </t>
  </si>
  <si>
    <t>PUTEAU CORDELIA</t>
  </si>
  <si>
    <t>CHATENAY MALABRY - IRENA</t>
  </si>
  <si>
    <t>ST MAUR</t>
  </si>
  <si>
    <t>019/2020</t>
  </si>
  <si>
    <t>CHATENAY MALABRY - ANDREA 2</t>
  </si>
  <si>
    <t>018/2020</t>
  </si>
  <si>
    <t>CLAMART - LORENA</t>
  </si>
  <si>
    <t>017/2020</t>
  </si>
  <si>
    <t>SAINT PIERRE LES NEMOURS</t>
  </si>
  <si>
    <t>NANDY</t>
  </si>
  <si>
    <t>180183</t>
  </si>
  <si>
    <t>180184</t>
  </si>
  <si>
    <t>BRETIGNU SUR ORGE</t>
  </si>
  <si>
    <t>37/07/2020</t>
  </si>
  <si>
    <t>38/07/2020</t>
  </si>
  <si>
    <t>SAINT FARGEAU</t>
  </si>
  <si>
    <t>39/07/2020</t>
  </si>
  <si>
    <t>SERVON</t>
  </si>
  <si>
    <t>60/07/2020</t>
  </si>
  <si>
    <t>ROISSY EN BRIE</t>
  </si>
  <si>
    <t>RB008</t>
  </si>
  <si>
    <t>ATHIS MONS F1</t>
  </si>
  <si>
    <t>2020/0780</t>
  </si>
  <si>
    <t>EN ATTENTE MODIFICATION</t>
  </si>
  <si>
    <t>ATHIS MONS E2</t>
  </si>
  <si>
    <t>2020/0785</t>
  </si>
  <si>
    <t>2020/0305</t>
  </si>
  <si>
    <t>CLAMART</t>
  </si>
  <si>
    <t>202CLMT082020</t>
  </si>
  <si>
    <t>LOGNES</t>
  </si>
  <si>
    <t>60/07/2021</t>
  </si>
  <si>
    <t>MOISSY</t>
  </si>
  <si>
    <t>058/05/2020</t>
  </si>
  <si>
    <t>59/06/2020</t>
  </si>
  <si>
    <t>SARCELLES</t>
  </si>
  <si>
    <t>2020/516</t>
  </si>
  <si>
    <t>MONTFERMEIL</t>
  </si>
  <si>
    <t>10,620</t>
  </si>
  <si>
    <t>FA0036</t>
  </si>
  <si>
    <t>BONDOUFLE</t>
  </si>
  <si>
    <t>20/08/1</t>
  </si>
  <si>
    <t>COMBS ICADE</t>
  </si>
  <si>
    <t>F10-174</t>
  </si>
  <si>
    <t>F10-175</t>
  </si>
  <si>
    <t>SEPT</t>
  </si>
  <si>
    <t>OCT</t>
  </si>
  <si>
    <t>NOV</t>
  </si>
  <si>
    <t>DEC</t>
  </si>
  <si>
    <t>ref fact2</t>
  </si>
  <si>
    <t>SUIVI CHANTIER</t>
  </si>
  <si>
    <t>LIEN DOSSIER</t>
  </si>
  <si>
    <t>CONTRAT</t>
  </si>
  <si>
    <t>PV RECEPTION</t>
  </si>
  <si>
    <t>Ref</t>
  </si>
  <si>
    <t>MOE</t>
  </si>
  <si>
    <t>ADRESSE</t>
  </si>
  <si>
    <t>PU SOUS TRAITANT</t>
  </si>
  <si>
    <t>INDICE BC</t>
  </si>
  <si>
    <t>OBSERVATION</t>
  </si>
  <si>
    <t>STATUT</t>
  </si>
  <si>
    <t xml:space="preserve">SIGNATURE </t>
  </si>
  <si>
    <t>ENVOIE</t>
  </si>
  <si>
    <t>ACCEPTATION</t>
  </si>
  <si>
    <t>DATE</t>
  </si>
  <si>
    <t>RESERVES</t>
  </si>
  <si>
    <t>ARCADE</t>
  </si>
  <si>
    <t>13 BIS RUE DU PONT</t>
  </si>
  <si>
    <t>a</t>
  </si>
  <si>
    <t>AVANCEMENT ST</t>
  </si>
  <si>
    <t>TX</t>
  </si>
  <si>
    <t>Tx</t>
  </si>
  <si>
    <t>CFO</t>
  </si>
  <si>
    <t>TS/TMA/CFA</t>
  </si>
  <si>
    <t>spirit</t>
  </si>
  <si>
    <t>P_2%</t>
  </si>
  <si>
    <t>delais paim</t>
  </si>
  <si>
    <t>MARCHE INIT</t>
  </si>
  <si>
    <t>E_3%</t>
  </si>
  <si>
    <t>Fact</t>
  </si>
  <si>
    <t>payé(e) le</t>
  </si>
  <si>
    <t>payee le</t>
  </si>
  <si>
    <t>VALIDATION</t>
  </si>
  <si>
    <t>b</t>
  </si>
  <si>
    <t>RECEP</t>
  </si>
  <si>
    <t>BC INITIAL</t>
  </si>
  <si>
    <t>MARCHEINT</t>
  </si>
  <si>
    <t>MARCHEEXT</t>
  </si>
  <si>
    <t>ARNAUD</t>
  </si>
  <si>
    <t>FRED</t>
  </si>
  <si>
    <t>JONATHAN</t>
  </si>
  <si>
    <t>LORINE</t>
  </si>
  <si>
    <t>SEB</t>
  </si>
  <si>
    <t>TOM</t>
  </si>
  <si>
    <t>CONTACT</t>
  </si>
  <si>
    <t>TEL 1</t>
  </si>
  <si>
    <t>TEL 2</t>
  </si>
  <si>
    <t>MAIL 1</t>
  </si>
  <si>
    <t>MAIL 2</t>
  </si>
  <si>
    <t>A</t>
  </si>
  <si>
    <t>B</t>
  </si>
  <si>
    <t>C</t>
  </si>
  <si>
    <t>D</t>
  </si>
  <si>
    <t>E</t>
  </si>
  <si>
    <t>F</t>
  </si>
  <si>
    <t>G</t>
  </si>
  <si>
    <t>I</t>
  </si>
  <si>
    <t>K</t>
  </si>
  <si>
    <t>M</t>
  </si>
  <si>
    <t>L</t>
  </si>
  <si>
    <t>J</t>
  </si>
  <si>
    <t>H</t>
  </si>
  <si>
    <t>N</t>
  </si>
  <si>
    <t>O</t>
  </si>
  <si>
    <t>P</t>
  </si>
  <si>
    <t>Q</t>
  </si>
  <si>
    <t>R</t>
  </si>
  <si>
    <t>S</t>
  </si>
  <si>
    <t>U</t>
  </si>
  <si>
    <t>V</t>
  </si>
  <si>
    <t>T</t>
  </si>
  <si>
    <t>W</t>
  </si>
  <si>
    <t>X</t>
  </si>
  <si>
    <t>Y</t>
  </si>
  <si>
    <t>Z</t>
  </si>
  <si>
    <t>ST / CHANTIER</t>
  </si>
  <si>
    <t>INDIRECT CHANTIER</t>
  </si>
  <si>
    <t>INDIRECT CT</t>
  </si>
  <si>
    <t>INDIRECT ST</t>
  </si>
  <si>
    <t>H2O</t>
  </si>
  <si>
    <t>OPALE</t>
  </si>
  <si>
    <t>ZORG</t>
  </si>
  <si>
    <t>KBIS/RM 3mois</t>
  </si>
  <si>
    <t>ASSUANCE échéance</t>
  </si>
  <si>
    <t>URSSAF /RSI      3mois</t>
  </si>
  <si>
    <t>CONGES PAYEE        3mois</t>
  </si>
  <si>
    <t xml:space="preserve">IMPOTS  3mois </t>
  </si>
  <si>
    <t>RETRAITE 3mois</t>
  </si>
  <si>
    <t>LISTE ST</t>
  </si>
  <si>
    <t>NOM CHANTIER
INDIRECT ST</t>
  </si>
  <si>
    <t>CT
INDIRECT CHANTIER</t>
  </si>
  <si>
    <t>MO
INDIRECT CT</t>
  </si>
  <si>
    <t>critere obligatoire</t>
  </si>
  <si>
    <t>MARCHE INT</t>
  </si>
  <si>
    <t>MARCHE EXT</t>
  </si>
  <si>
    <t>moins value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</si>
</sst>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#,##0.00\ &quot;€&quot;"/>
    <numFmt numFmtId="165" formatCode="d/m/yy;@"/>
    <numFmt numFmtId="166" formatCode="dd/mm/yy"/>
    <numFmt numFmtId="167" formatCode="#,##0.00&quot; &quot;[$€-40C]"/>
    <numFmt numFmtId="168" formatCode="#.##0\.00\ &quot;€&quot;"/>
  </numFmts>
  <fonts count="5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36"/>
      <name val="Verdana"/>
      <family val="2"/>
    </font>
    <font>
      <sz val="11"/>
      <color theme="1"/>
      <name val="Verdana"/>
      <family val="2"/>
    </font>
    <font>
      <sz val="11"/>
      <name val="Verdana"/>
      <family val="2"/>
    </font>
    <font>
      <sz val="14"/>
      <name val="Calibri Light"/>
      <family val="2"/>
      <scheme val="major"/>
    </font>
    <font>
      <b/>
      <sz val="20"/>
      <name val="Calibri"/>
      <family val="2"/>
      <scheme val="minor"/>
    </font>
    <font>
      <sz val="11"/>
      <color theme="2" tint="-0.89992980742820516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0"/>
      <name val="Century Gothic"/>
      <family val="2"/>
    </font>
    <font>
      <sz val="11"/>
      <name val="Calibri"/>
      <family val="2"/>
      <scheme val="minor"/>
    </font>
    <font>
      <b/>
      <sz val="18"/>
      <color theme="0"/>
      <name val="Montserrat"/>
    </font>
    <font>
      <sz val="10"/>
      <color rgb="FFFF0000"/>
      <name val="Montserrat"/>
      <family val="2"/>
    </font>
    <font>
      <sz val="10"/>
      <name val="Montserrat"/>
      <family val="2"/>
    </font>
    <font>
      <b/>
      <sz val="18"/>
      <color theme="1"/>
      <name val="Montserrat"/>
    </font>
    <font>
      <b/>
      <sz val="18"/>
      <color rgb="FFFF0000"/>
      <name val="Montserrat"/>
    </font>
    <font>
      <sz val="18"/>
      <color theme="1"/>
      <name val="Montserrat"/>
      <family val="2"/>
    </font>
    <font>
      <b/>
      <sz val="26"/>
      <color theme="1"/>
      <name val="Montserrat"/>
    </font>
    <font>
      <b/>
      <sz val="24"/>
      <color theme="0"/>
      <name val="Montserrat"/>
    </font>
    <font>
      <b/>
      <sz val="11"/>
      <color theme="0"/>
      <name val="Verdana"/>
      <family val="2"/>
    </font>
    <font>
      <sz val="11"/>
      <color rgb="FFFFFFFF"/>
      <name val="Verdana"/>
      <family val="2"/>
    </font>
    <font>
      <b/>
      <sz val="11"/>
      <color rgb="FF00B0F0"/>
      <name val="Verdana"/>
      <family val="2"/>
    </font>
    <font>
      <sz val="11"/>
      <color rgb="FFFF0000"/>
      <name val="Verdana"/>
      <family val="2"/>
    </font>
    <font>
      <sz val="22"/>
      <name val="Montserrat"/>
      <family val="2"/>
    </font>
    <font>
      <sz val="12"/>
      <color rgb="FF000000"/>
      <name val="Garamond"/>
      <family val="1"/>
    </font>
    <font>
      <b/>
      <sz val="12"/>
      <color rgb="FF000000"/>
      <name val="Garamond"/>
      <family val="1"/>
    </font>
    <font>
      <b/>
      <sz val="12"/>
      <color rgb="FF00B0F0"/>
      <name val="Garamond"/>
      <family val="1"/>
    </font>
    <font>
      <sz val="12"/>
      <color rgb="FFFF0000"/>
      <name val="Garamond"/>
      <family val="1"/>
    </font>
    <font>
      <sz val="12"/>
      <name val="Garamond"/>
      <family val="1"/>
    </font>
    <font>
      <b/>
      <sz val="12"/>
      <name val="Garamond"/>
      <family val="1"/>
    </font>
    <font>
      <b/>
      <sz val="11"/>
      <name val="Arial1"/>
    </font>
    <font>
      <sz val="12"/>
      <color rgb="FF00B0F0"/>
      <name val="Garamond"/>
      <family val="1"/>
    </font>
    <font>
      <b/>
      <sz val="11"/>
      <color rgb="FFFF0000"/>
      <name val="Verdana"/>
      <family val="2"/>
    </font>
    <font>
      <sz val="36"/>
      <color theme="1"/>
      <name val="Montserrat"/>
      <family val="2"/>
    </font>
    <font>
      <b/>
      <sz val="10"/>
      <color theme="1"/>
      <name val="Montserrat"/>
    </font>
    <font>
      <sz val="22"/>
      <color theme="1"/>
      <name val="Montserrat"/>
      <family val="2"/>
    </font>
    <font>
      <sz val="10"/>
      <color rgb="FF0070C0"/>
      <name val="Montserrat"/>
      <family val="2"/>
    </font>
    <font>
      <sz val="12"/>
      <color theme="1"/>
      <name val="Montserrat"/>
      <family val="2"/>
    </font>
    <font>
      <sz val="12"/>
      <color rgb="FFFF0000"/>
      <name val="Montserrat"/>
      <family val="2"/>
    </font>
    <font>
      <sz val="11"/>
      <color rgb="FF0070C0"/>
      <name val="Verdana"/>
      <family val="2"/>
    </font>
    <font>
      <sz val="11"/>
      <color theme="0"/>
      <name val="Verdana"/>
      <family val="2"/>
    </font>
    <font>
      <sz val="11"/>
      <color rgb="FF00B0F0"/>
      <name val="Calibri"/>
      <family val="2"/>
      <scheme val="minor"/>
    </font>
    <font>
      <sz val="11"/>
      <color rgb="FF00B0F0"/>
      <name val="Verdana"/>
      <family val="2"/>
    </font>
    <font>
      <sz val="8"/>
      <color rgb="FFFF0000"/>
      <name val="Montserrat"/>
      <family val="2"/>
    </font>
    <font>
      <sz val="36"/>
      <color rgb="FFFF0000"/>
      <name val="Montserrat"/>
      <family val="2"/>
    </font>
    <font>
      <sz val="10"/>
      <color rgb="FFFF0000"/>
      <name val="Montserrat"/>
    </font>
    <font>
      <sz val="36"/>
      <color rgb="FF0070C0"/>
      <name val="Montserrat"/>
      <family val="2"/>
    </font>
    <font>
      <sz val="11"/>
      <color rgb="FF0070C0"/>
      <name val="Calibri"/>
      <family val="2"/>
      <scheme val="minor"/>
    </font>
    <font>
      <sz val="12"/>
      <color rgb="FFFF0000"/>
      <name val="Montserrat"/>
    </font>
    <font>
      <sz val="12"/>
      <color theme="1"/>
      <name val="Montserrat"/>
    </font>
    <font>
      <b/>
      <sz val="24"/>
      <color rgb="FFFF0000"/>
      <name val="Montserrat"/>
    </font>
    <font>
      <sz val="18"/>
      <color rgb="FFFF0000"/>
      <name val="Montserrat"/>
      <family val="2"/>
    </font>
    <font>
      <b/>
      <sz val="24"/>
      <name val="Montserrat"/>
    </font>
    <font>
      <b/>
      <sz val="20"/>
      <color rgb="FF00B0F0"/>
      <name val="Calibri"/>
      <family val="2"/>
      <scheme val="minor"/>
    </font>
    <font>
      <b/>
      <sz val="20"/>
      <color rgb="FF00B0F0"/>
      <name val="Century Gothic"/>
      <family val="2"/>
    </font>
    <font>
      <b/>
      <sz val="11"/>
      <color rgb="FF00B0F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 tint="-0.249977111117893"/>
        <bgColor rgb="FF000000"/>
      </patternFill>
    </fill>
    <fill>
      <patternFill patternType="solid">
        <fgColor rgb="FFC00000"/>
        <bgColor rgb="FF00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rgb="FF000000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</fills>
  <borders count="25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4" fontId="7" fillId="0" borderId="0" applyFill="0" applyBorder="0" applyProtection="0">
      <alignment horizontal="right" vertical="center" indent="2"/>
    </xf>
  </cellStyleXfs>
  <cellXfs count="290">
    <xf numFmtId="0" fontId="0" fillId="0" borderId="0" xfId="0"/>
    <xf numFmtId="14" fontId="3" fillId="0" borderId="0" xfId="0" applyNumberFormat="1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0" fontId="4" fillId="2" borderId="2" xfId="0" applyFont="1" applyFill="1" applyBorder="1" applyAlignment="1" applyProtection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6" fillId="0" borderId="4" xfId="0" applyFont="1" applyBorder="1" applyAlignment="1" applyProtection="1">
      <alignment vertical="center"/>
    </xf>
    <xf numFmtId="0" fontId="0" fillId="0" borderId="5" xfId="0" applyBorder="1"/>
    <xf numFmtId="14" fontId="7" fillId="0" borderId="5" xfId="1" applyNumberFormat="1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8" fillId="0" borderId="4" xfId="0" applyFont="1" applyBorder="1" applyAlignment="1" applyProtection="1">
      <alignment vertical="center"/>
    </xf>
    <xf numFmtId="0" fontId="6" fillId="3" borderId="4" xfId="0" applyFont="1" applyFill="1" applyBorder="1" applyAlignment="1" applyProtection="1">
      <alignment vertical="center"/>
    </xf>
    <xf numFmtId="0" fontId="6" fillId="0" borderId="6" xfId="0" applyFont="1" applyBorder="1" applyAlignment="1" applyProtection="1">
      <alignment vertical="center"/>
    </xf>
    <xf numFmtId="0" fontId="0" fillId="0" borderId="7" xfId="0" applyBorder="1"/>
    <xf numFmtId="0" fontId="0" fillId="0" borderId="7" xfId="0" applyFill="1" applyBorder="1" applyAlignment="1">
      <alignment horizontal="center" vertical="center"/>
    </xf>
    <xf numFmtId="0" fontId="0" fillId="0" borderId="5" xfId="0" applyBorder="1" applyAlignment="1">
      <alignment horizontal="left"/>
    </xf>
    <xf numFmtId="0" fontId="11" fillId="4" borderId="5" xfId="0" applyFont="1" applyFill="1" applyBorder="1" applyAlignment="1">
      <alignment horizontal="center" vertical="center"/>
    </xf>
    <xf numFmtId="164" fontId="0" fillId="0" borderId="5" xfId="0" applyNumberFormat="1" applyBorder="1"/>
    <xf numFmtId="164" fontId="0" fillId="5" borderId="5" xfId="0" applyNumberFormat="1" applyFill="1" applyBorder="1"/>
    <xf numFmtId="49" fontId="0" fillId="5" borderId="5" xfId="0" applyNumberFormat="1" applyFill="1" applyBorder="1"/>
    <xf numFmtId="164" fontId="12" fillId="0" borderId="5" xfId="0" applyNumberFormat="1" applyFont="1" applyBorder="1"/>
    <xf numFmtId="49" fontId="13" fillId="0" borderId="5" xfId="0" applyNumberFormat="1" applyFont="1" applyBorder="1"/>
    <xf numFmtId="164" fontId="13" fillId="0" borderId="5" xfId="0" applyNumberFormat="1" applyFont="1" applyBorder="1"/>
    <xf numFmtId="0" fontId="0" fillId="0" borderId="5" xfId="0" applyBorder="1" applyAlignment="1">
      <alignment horizontal="center"/>
    </xf>
    <xf numFmtId="49" fontId="13" fillId="5" borderId="5" xfId="0" applyNumberFormat="1" applyFont="1" applyFill="1" applyBorder="1"/>
    <xf numFmtId="164" fontId="13" fillId="5" borderId="5" xfId="0" applyNumberFormat="1" applyFont="1" applyFill="1" applyBorder="1"/>
    <xf numFmtId="0" fontId="0" fillId="0" borderId="0" xfId="0" applyAlignment="1">
      <alignment horizontal="center"/>
    </xf>
    <xf numFmtId="0" fontId="0" fillId="0" borderId="0" xfId="0" applyBorder="1"/>
    <xf numFmtId="49" fontId="13" fillId="0" borderId="7" xfId="0" applyNumberFormat="1" applyFont="1" applyBorder="1"/>
    <xf numFmtId="164" fontId="13" fillId="0" borderId="7" xfId="0" applyNumberFormat="1" applyFont="1" applyBorder="1"/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5" xfId="0" applyFill="1" applyBorder="1"/>
    <xf numFmtId="0" fontId="0" fillId="0" borderId="0" xfId="0" applyFill="1" applyBorder="1"/>
    <xf numFmtId="0" fontId="0" fillId="8" borderId="5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0" borderId="5" xfId="0" applyBorder="1" applyAlignment="1"/>
    <xf numFmtId="0" fontId="0" fillId="0" borderId="0" xfId="0" applyBorder="1" applyAlignment="1">
      <alignment horizontal="left"/>
    </xf>
    <xf numFmtId="0" fontId="14" fillId="6" borderId="11" xfId="0" applyFont="1" applyFill="1" applyBorder="1" applyAlignment="1"/>
    <xf numFmtId="0" fontId="14" fillId="6" borderId="13" xfId="0" applyFont="1" applyFill="1" applyBorder="1" applyAlignment="1">
      <alignment horizontal="center"/>
    </xf>
    <xf numFmtId="0" fontId="14" fillId="10" borderId="11" xfId="0" applyFont="1" applyFill="1" applyBorder="1" applyAlignment="1"/>
    <xf numFmtId="0" fontId="14" fillId="10" borderId="13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21" fillId="13" borderId="2" xfId="0" applyFont="1" applyFill="1" applyBorder="1" applyAlignment="1" applyProtection="1">
      <alignment horizontal="center" vertical="center" wrapText="1"/>
    </xf>
    <xf numFmtId="0" fontId="20" fillId="13" borderId="2" xfId="0" quotePrefix="1" applyNumberFormat="1" applyFont="1" applyFill="1" applyBorder="1" applyAlignment="1" applyProtection="1">
      <alignment horizontal="center" vertical="center" wrapText="1"/>
    </xf>
    <xf numFmtId="49" fontId="20" fillId="13" borderId="2" xfId="0" quotePrefix="1" applyNumberFormat="1" applyFont="1" applyFill="1" applyBorder="1" applyAlignment="1" applyProtection="1">
      <alignment horizontal="center" vertical="center" wrapText="1"/>
    </xf>
    <xf numFmtId="165" fontId="20" fillId="13" borderId="2" xfId="0" quotePrefix="1" applyNumberFormat="1" applyFont="1" applyFill="1" applyBorder="1" applyAlignment="1" applyProtection="1">
      <alignment horizontal="center" vertical="center" wrapText="1"/>
    </xf>
    <xf numFmtId="0" fontId="22" fillId="13" borderId="2" xfId="0" applyFont="1" applyFill="1" applyBorder="1" applyAlignment="1" applyProtection="1">
      <alignment horizontal="center" vertical="center" wrapText="1"/>
    </xf>
    <xf numFmtId="165" fontId="22" fillId="13" borderId="2" xfId="0" applyNumberFormat="1" applyFont="1" applyFill="1" applyBorder="1" applyAlignment="1" applyProtection="1">
      <alignment horizontal="center" vertical="center" wrapText="1"/>
    </xf>
    <xf numFmtId="164" fontId="20" fillId="13" borderId="2" xfId="0" quotePrefix="1" applyNumberFormat="1" applyFont="1" applyFill="1" applyBorder="1" applyAlignment="1" applyProtection="1">
      <alignment horizontal="center" vertical="center" wrapText="1"/>
    </xf>
    <xf numFmtId="164" fontId="25" fillId="0" borderId="5" xfId="0" applyNumberFormat="1" applyFont="1" applyFill="1" applyBorder="1" applyAlignment="1">
      <alignment horizontal="center" vertical="center"/>
    </xf>
    <xf numFmtId="0" fontId="0" fillId="0" borderId="7" xfId="0" applyBorder="1" applyAlignment="1"/>
    <xf numFmtId="0" fontId="0" fillId="0" borderId="0" xfId="0" applyAlignment="1"/>
    <xf numFmtId="0" fontId="21" fillId="0" borderId="5" xfId="0" applyFont="1" applyFill="1" applyBorder="1" applyAlignment="1" applyProtection="1">
      <alignment horizontal="center" vertical="center"/>
    </xf>
    <xf numFmtId="0" fontId="22" fillId="0" borderId="5" xfId="0" applyFont="1" applyFill="1" applyBorder="1" applyAlignment="1" applyProtection="1">
      <alignment horizontal="center" vertical="center"/>
    </xf>
    <xf numFmtId="165" fontId="22" fillId="0" borderId="5" xfId="0" applyNumberFormat="1" applyFont="1" applyFill="1" applyBorder="1" applyAlignment="1" applyProtection="1">
      <alignment horizontal="center" vertical="center"/>
    </xf>
    <xf numFmtId="0" fontId="26" fillId="0" borderId="5" xfId="0" applyFont="1" applyFill="1" applyBorder="1" applyAlignment="1">
      <alignment horizontal="center" vertical="center"/>
    </xf>
    <xf numFmtId="49" fontId="24" fillId="0" borderId="5" xfId="0" applyNumberFormat="1" applyFont="1" applyFill="1" applyBorder="1" applyAlignment="1">
      <alignment horizontal="center" vertical="center"/>
    </xf>
    <xf numFmtId="14" fontId="24" fillId="0" borderId="5" xfId="0" applyNumberFormat="1" applyFont="1" applyFill="1" applyBorder="1" applyAlignment="1">
      <alignment horizontal="center" vertical="center"/>
    </xf>
    <xf numFmtId="14" fontId="27" fillId="0" borderId="5" xfId="0" applyNumberFormat="1" applyFont="1" applyFill="1" applyBorder="1" applyAlignment="1">
      <alignment horizontal="center" vertical="center"/>
    </xf>
    <xf numFmtId="164" fontId="24" fillId="0" borderId="5" xfId="0" applyNumberFormat="1" applyFont="1" applyFill="1" applyBorder="1" applyAlignment="1">
      <alignment horizontal="center" vertical="center"/>
    </xf>
    <xf numFmtId="164" fontId="22" fillId="0" borderId="5" xfId="0" applyNumberFormat="1" applyFont="1" applyFill="1" applyBorder="1" applyAlignment="1" applyProtection="1">
      <alignment horizontal="center" vertical="center"/>
    </xf>
    <xf numFmtId="0" fontId="28" fillId="0" borderId="5" xfId="0" applyFont="1" applyFill="1" applyBorder="1" applyAlignment="1">
      <alignment horizontal="center" vertical="center"/>
    </xf>
    <xf numFmtId="164" fontId="22" fillId="15" borderId="5" xfId="0" applyNumberFormat="1" applyFont="1" applyFill="1" applyBorder="1" applyAlignment="1" applyProtection="1">
      <alignment vertical="center"/>
    </xf>
    <xf numFmtId="0" fontId="29" fillId="0" borderId="5" xfId="0" applyFont="1" applyFill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0" fontId="30" fillId="0" borderId="5" xfId="0" applyFont="1" applyFill="1" applyBorder="1" applyAlignment="1">
      <alignment horizontal="center" vertical="center"/>
    </xf>
    <xf numFmtId="167" fontId="25" fillId="0" borderId="5" xfId="0" applyNumberFormat="1" applyFont="1" applyFill="1" applyBorder="1" applyAlignment="1">
      <alignment horizontal="center" vertical="center"/>
    </xf>
    <xf numFmtId="49" fontId="24" fillId="0" borderId="5" xfId="0" quotePrefix="1" applyNumberFormat="1" applyFont="1" applyFill="1" applyBorder="1" applyAlignment="1">
      <alignment horizontal="center" vertical="center"/>
    </xf>
    <xf numFmtId="49" fontId="0" fillId="0" borderId="5" xfId="0" applyNumberFormat="1" applyBorder="1" applyAlignment="1"/>
    <xf numFmtId="0" fontId="12" fillId="0" borderId="5" xfId="0" applyFont="1" applyBorder="1" applyAlignment="1"/>
    <xf numFmtId="49" fontId="0" fillId="0" borderId="7" xfId="0" applyNumberFormat="1" applyBorder="1" applyAlignment="1"/>
    <xf numFmtId="165" fontId="0" fillId="0" borderId="7" xfId="0" applyNumberFormat="1" applyBorder="1" applyAlignment="1">
      <alignment horizontal="center" vertical="center"/>
    </xf>
    <xf numFmtId="0" fontId="12" fillId="0" borderId="7" xfId="0" applyFont="1" applyBorder="1" applyAlignment="1"/>
    <xf numFmtId="0" fontId="33" fillId="17" borderId="0" xfId="0" applyFont="1" applyFill="1" applyBorder="1" applyAlignment="1"/>
    <xf numFmtId="0" fontId="33" fillId="17" borderId="12" xfId="0" applyFont="1" applyFill="1" applyBorder="1" applyAlignment="1"/>
    <xf numFmtId="0" fontId="13" fillId="8" borderId="1" xfId="0" applyFont="1" applyFill="1" applyBorder="1" applyAlignment="1">
      <alignment horizontal="center" vertical="center" wrapText="1"/>
    </xf>
    <xf numFmtId="0" fontId="13" fillId="8" borderId="2" xfId="0" applyFont="1" applyFill="1" applyBorder="1" applyAlignment="1">
      <alignment horizontal="center" vertical="center" wrapText="1"/>
    </xf>
    <xf numFmtId="0" fontId="13" fillId="8" borderId="3" xfId="0" applyFont="1" applyFill="1" applyBorder="1" applyAlignment="1">
      <alignment horizontal="center" vertical="center" wrapText="1"/>
    </xf>
    <xf numFmtId="164" fontId="12" fillId="16" borderId="2" xfId="0" applyNumberFormat="1" applyFont="1" applyFill="1" applyBorder="1" applyAlignment="1">
      <alignment horizontal="center" vertical="center" wrapText="1"/>
    </xf>
    <xf numFmtId="0" fontId="13" fillId="16" borderId="2" xfId="0" applyFont="1" applyFill="1" applyBorder="1" applyAlignment="1">
      <alignment horizontal="center" vertical="center" wrapText="1"/>
    </xf>
    <xf numFmtId="164" fontId="13" fillId="16" borderId="2" xfId="0" applyNumberFormat="1" applyFont="1" applyFill="1" applyBorder="1" applyAlignment="1">
      <alignment horizontal="center" vertical="center" wrapText="1"/>
    </xf>
    <xf numFmtId="14" fontId="13" fillId="16" borderId="2" xfId="0" applyNumberFormat="1" applyFont="1" applyFill="1" applyBorder="1" applyAlignment="1">
      <alignment horizontal="center" vertical="center" wrapText="1"/>
    </xf>
    <xf numFmtId="14" fontId="12" fillId="16" borderId="2" xfId="0" applyNumberFormat="1" applyFont="1" applyFill="1" applyBorder="1" applyAlignment="1">
      <alignment horizontal="center" vertical="center" wrapText="1"/>
    </xf>
    <xf numFmtId="14" fontId="13" fillId="20" borderId="1" xfId="0" applyNumberFormat="1" applyFont="1" applyFill="1" applyBorder="1" applyAlignment="1">
      <alignment horizontal="center" vertical="center" wrapText="1"/>
    </xf>
    <xf numFmtId="0" fontId="36" fillId="20" borderId="3" xfId="0" applyFont="1" applyFill="1" applyBorder="1" applyAlignment="1">
      <alignment horizontal="center" vertical="center" wrapText="1"/>
    </xf>
    <xf numFmtId="0" fontId="37" fillId="0" borderId="5" xfId="0" applyFont="1" applyBorder="1" applyAlignment="1">
      <alignment horizontal="center"/>
    </xf>
    <xf numFmtId="0" fontId="37" fillId="0" borderId="5" xfId="0" applyFont="1" applyBorder="1" applyAlignment="1">
      <alignment horizontal="center" vertical="center"/>
    </xf>
    <xf numFmtId="14" fontId="4" fillId="0" borderId="5" xfId="0" applyNumberFormat="1" applyFont="1" applyFill="1" applyBorder="1" applyAlignment="1" applyProtection="1">
      <alignment vertical="center"/>
    </xf>
    <xf numFmtId="14" fontId="22" fillId="0" borderId="5" xfId="0" applyNumberFormat="1" applyFont="1" applyFill="1" applyBorder="1" applyAlignment="1" applyProtection="1">
      <alignment vertical="center"/>
    </xf>
    <xf numFmtId="14" fontId="22" fillId="0" borderId="4" xfId="0" applyNumberFormat="1" applyFont="1" applyFill="1" applyBorder="1" applyAlignment="1" applyProtection="1">
      <alignment vertical="center"/>
    </xf>
    <xf numFmtId="164" fontId="39" fillId="0" borderId="11" xfId="0" applyNumberFormat="1" applyFont="1" applyFill="1" applyBorder="1" applyAlignment="1" applyProtection="1">
      <alignment horizontal="center" vertical="center"/>
    </xf>
    <xf numFmtId="0" fontId="37" fillId="0" borderId="5" xfId="0" applyFont="1" applyBorder="1" applyAlignment="1"/>
    <xf numFmtId="0" fontId="37" fillId="0" borderId="11" xfId="0" applyFont="1" applyBorder="1" applyAlignment="1"/>
    <xf numFmtId="164" fontId="38" fillId="0" borderId="5" xfId="0" applyNumberFormat="1" applyFont="1" applyBorder="1" applyAlignment="1"/>
    <xf numFmtId="164" fontId="37" fillId="0" borderId="5" xfId="0" applyNumberFormat="1" applyFont="1" applyBorder="1" applyAlignment="1"/>
    <xf numFmtId="14" fontId="37" fillId="0" borderId="5" xfId="0" applyNumberFormat="1" applyFont="1" applyBorder="1" applyAlignment="1"/>
    <xf numFmtId="14" fontId="37" fillId="0" borderId="4" xfId="0" applyNumberFormat="1" applyFont="1" applyBorder="1" applyAlignment="1"/>
    <xf numFmtId="14" fontId="22" fillId="0" borderId="11" xfId="0" applyNumberFormat="1" applyFont="1" applyFill="1" applyBorder="1" applyAlignment="1" applyProtection="1">
      <alignment vertical="center"/>
    </xf>
    <xf numFmtId="14" fontId="37" fillId="0" borderId="11" xfId="0" applyNumberFormat="1" applyFont="1" applyBorder="1" applyAlignment="1"/>
    <xf numFmtId="0" fontId="37" fillId="0" borderId="7" xfId="0" applyFont="1" applyBorder="1" applyAlignment="1"/>
    <xf numFmtId="0" fontId="37" fillId="0" borderId="8" xfId="0" applyFont="1" applyBorder="1" applyAlignment="1"/>
    <xf numFmtId="164" fontId="38" fillId="0" borderId="7" xfId="0" applyNumberFormat="1" applyFont="1" applyBorder="1" applyAlignment="1"/>
    <xf numFmtId="0" fontId="37" fillId="0" borderId="7" xfId="0" applyFont="1" applyBorder="1" applyAlignment="1">
      <alignment horizontal="center" vertical="center"/>
    </xf>
    <xf numFmtId="164" fontId="22" fillId="15" borderId="7" xfId="0" applyNumberFormat="1" applyFont="1" applyFill="1" applyBorder="1" applyAlignment="1" applyProtection="1">
      <alignment vertical="center"/>
    </xf>
    <xf numFmtId="164" fontId="37" fillId="0" borderId="7" xfId="0" applyNumberFormat="1" applyFont="1" applyBorder="1" applyAlignment="1"/>
    <xf numFmtId="164" fontId="22" fillId="0" borderId="7" xfId="0" applyNumberFormat="1" applyFont="1" applyFill="1" applyBorder="1" applyAlignment="1" applyProtection="1">
      <alignment horizontal="center" vertical="center"/>
    </xf>
    <xf numFmtId="14" fontId="37" fillId="0" borderId="7" xfId="0" applyNumberFormat="1" applyFont="1" applyBorder="1" applyAlignment="1"/>
    <xf numFmtId="14" fontId="37" fillId="0" borderId="8" xfId="0" applyNumberFormat="1" applyFont="1" applyBorder="1" applyAlignment="1"/>
    <xf numFmtId="165" fontId="4" fillId="0" borderId="5" xfId="0" applyNumberFormat="1" applyFont="1" applyFill="1" applyBorder="1" applyAlignment="1" applyProtection="1">
      <alignment horizontal="center" vertical="center"/>
    </xf>
    <xf numFmtId="165" fontId="10" fillId="0" borderId="5" xfId="0" applyNumberFormat="1" applyFont="1" applyFill="1" applyBorder="1" applyAlignment="1">
      <alignment horizontal="center" vertical="center"/>
    </xf>
    <xf numFmtId="0" fontId="10" fillId="0" borderId="0" xfId="0" applyFont="1" applyAlignment="1"/>
    <xf numFmtId="165" fontId="40" fillId="13" borderId="2" xfId="0" applyNumberFormat="1" applyFont="1" applyFill="1" applyBorder="1" applyAlignment="1" applyProtection="1">
      <alignment horizontal="center" vertical="center" wrapText="1"/>
    </xf>
    <xf numFmtId="0" fontId="4" fillId="0" borderId="5" xfId="0" applyFont="1" applyFill="1" applyBorder="1" applyAlignment="1" applyProtection="1">
      <alignment horizontal="center" vertical="center"/>
    </xf>
    <xf numFmtId="49" fontId="4" fillId="0" borderId="5" xfId="0" quotePrefix="1" applyNumberFormat="1" applyFont="1" applyFill="1" applyBorder="1" applyAlignment="1" applyProtection="1">
      <alignment horizontal="center" vertical="center"/>
    </xf>
    <xf numFmtId="165" fontId="4" fillId="0" borderId="5" xfId="0" quotePrefix="1" applyNumberFormat="1" applyFont="1" applyFill="1" applyBorder="1" applyAlignment="1" applyProtection="1">
      <alignment horizontal="center" vertical="center"/>
    </xf>
    <xf numFmtId="164" fontId="4" fillId="0" borderId="5" xfId="0" quotePrefix="1" applyNumberFormat="1" applyFont="1" applyFill="1" applyBorder="1" applyAlignment="1" applyProtection="1">
      <alignment horizontal="center" vertical="center"/>
    </xf>
    <xf numFmtId="0" fontId="10" fillId="0" borderId="0" xfId="0" applyFont="1"/>
    <xf numFmtId="0" fontId="41" fillId="0" borderId="0" xfId="0" applyFont="1" applyAlignment="1"/>
    <xf numFmtId="0" fontId="1" fillId="0" borderId="0" xfId="0" applyFont="1" applyAlignment="1"/>
    <xf numFmtId="0" fontId="1" fillId="0" borderId="5" xfId="0" applyFont="1" applyBorder="1" applyAlignment="1"/>
    <xf numFmtId="0" fontId="1" fillId="0" borderId="7" xfId="0" applyFont="1" applyBorder="1" applyAlignment="1"/>
    <xf numFmtId="164" fontId="42" fillId="13" borderId="2" xfId="0" quotePrefix="1" applyNumberFormat="1" applyFont="1" applyFill="1" applyBorder="1" applyAlignment="1" applyProtection="1">
      <alignment horizontal="center" vertical="center" wrapText="1"/>
    </xf>
    <xf numFmtId="0" fontId="22" fillId="0" borderId="5" xfId="0" applyFont="1" applyFill="1" applyBorder="1" applyAlignment="1" applyProtection="1">
      <alignment vertical="center"/>
    </xf>
    <xf numFmtId="0" fontId="1" fillId="0" borderId="5" xfId="0" applyFont="1" applyFill="1" applyBorder="1" applyAlignment="1"/>
    <xf numFmtId="0" fontId="32" fillId="13" borderId="1" xfId="0" applyFont="1" applyFill="1" applyBorder="1" applyAlignment="1" applyProtection="1">
      <alignment horizontal="center" vertical="center" wrapText="1"/>
    </xf>
    <xf numFmtId="0" fontId="43" fillId="0" borderId="12" xfId="0" applyFont="1" applyBorder="1" applyAlignment="1">
      <alignment horizontal="center" vertical="center"/>
    </xf>
    <xf numFmtId="0" fontId="44" fillId="17" borderId="0" xfId="0" applyFont="1" applyFill="1" applyBorder="1" applyAlignment="1"/>
    <xf numFmtId="0" fontId="38" fillId="0" borderId="4" xfId="0" applyFont="1" applyBorder="1" applyAlignment="1"/>
    <xf numFmtId="0" fontId="38" fillId="0" borderId="6" xfId="0" applyFont="1" applyBorder="1" applyAlignment="1"/>
    <xf numFmtId="0" fontId="1" fillId="0" borderId="0" xfId="0" applyFont="1"/>
    <xf numFmtId="0" fontId="45" fillId="8" borderId="4" xfId="0" applyFont="1" applyFill="1" applyBorder="1" applyAlignment="1">
      <alignment horizontal="center" vertical="center" wrapText="1"/>
    </xf>
    <xf numFmtId="14" fontId="12" fillId="16" borderId="3" xfId="0" applyNumberFormat="1" applyFont="1" applyFill="1" applyBorder="1" applyAlignment="1">
      <alignment horizontal="center" vertical="center" wrapText="1"/>
    </xf>
    <xf numFmtId="0" fontId="46" fillId="17" borderId="0" xfId="0" applyFont="1" applyFill="1" applyBorder="1" applyAlignment="1"/>
    <xf numFmtId="0" fontId="47" fillId="0" borderId="0" xfId="0" applyFont="1"/>
    <xf numFmtId="0" fontId="36" fillId="8" borderId="2" xfId="0" applyFont="1" applyFill="1" applyBorder="1" applyAlignment="1">
      <alignment horizontal="center" vertical="center" wrapText="1"/>
    </xf>
    <xf numFmtId="166" fontId="42" fillId="13" borderId="2" xfId="0" quotePrefix="1" applyNumberFormat="1" applyFont="1" applyFill="1" applyBorder="1" applyAlignment="1" applyProtection="1">
      <alignment horizontal="center" vertical="center" wrapText="1"/>
    </xf>
    <xf numFmtId="164" fontId="26" fillId="0" borderId="5" xfId="0" applyNumberFormat="1" applyFont="1" applyFill="1" applyBorder="1" applyAlignment="1">
      <alignment horizontal="center" vertical="center"/>
    </xf>
    <xf numFmtId="164" fontId="0" fillId="0" borderId="0" xfId="0" applyNumberFormat="1"/>
    <xf numFmtId="0" fontId="48" fillId="0" borderId="4" xfId="0" applyNumberFormat="1" applyFont="1" applyBorder="1" applyAlignment="1"/>
    <xf numFmtId="0" fontId="49" fillId="0" borderId="5" xfId="0" applyFont="1" applyBorder="1" applyAlignment="1"/>
    <xf numFmtId="0" fontId="49" fillId="0" borderId="11" xfId="0" applyFont="1" applyBorder="1" applyAlignment="1"/>
    <xf numFmtId="164" fontId="48" fillId="0" borderId="5" xfId="0" applyNumberFormat="1" applyFont="1" applyBorder="1" applyAlignment="1"/>
    <xf numFmtId="0" fontId="49" fillId="0" borderId="5" xfId="0" applyFont="1" applyBorder="1" applyAlignment="1">
      <alignment horizontal="center" vertical="center"/>
    </xf>
    <xf numFmtId="164" fontId="49" fillId="0" borderId="5" xfId="0" applyNumberFormat="1" applyFont="1" applyBorder="1" applyAlignment="1"/>
    <xf numFmtId="14" fontId="49" fillId="0" borderId="5" xfId="0" applyNumberFormat="1" applyFont="1" applyBorder="1" applyAlignment="1"/>
    <xf numFmtId="14" fontId="49" fillId="0" borderId="11" xfId="0" applyNumberFormat="1" applyFont="1" applyBorder="1" applyAlignment="1"/>
    <xf numFmtId="164" fontId="22" fillId="14" borderId="2" xfId="0" applyNumberFormat="1" applyFont="1" applyFill="1" applyBorder="1" applyAlignment="1" applyProtection="1">
      <alignment horizontal="center" vertical="center" wrapText="1"/>
    </xf>
    <xf numFmtId="0" fontId="22" fillId="14" borderId="3" xfId="0" applyFont="1" applyFill="1" applyBorder="1" applyAlignment="1" applyProtection="1">
      <alignment horizontal="center" vertical="center" wrapText="1"/>
    </xf>
    <xf numFmtId="0" fontId="22" fillId="14" borderId="2" xfId="0" applyFont="1" applyFill="1" applyBorder="1" applyAlignment="1" applyProtection="1">
      <alignment horizontal="center" vertical="center" wrapText="1"/>
    </xf>
    <xf numFmtId="0" fontId="10" fillId="0" borderId="5" xfId="0" applyFont="1" applyFill="1" applyBorder="1" applyAlignment="1"/>
    <xf numFmtId="165" fontId="10" fillId="0" borderId="7" xfId="0" applyNumberFormat="1" applyFont="1" applyFill="1" applyBorder="1" applyAlignment="1">
      <alignment horizontal="center" vertical="center"/>
    </xf>
    <xf numFmtId="0" fontId="10" fillId="0" borderId="7" xfId="0" applyFont="1" applyFill="1" applyBorder="1" applyAlignment="1"/>
    <xf numFmtId="168" fontId="22" fillId="0" borderId="5" xfId="0" applyNumberFormat="1" applyFont="1" applyFill="1" applyBorder="1" applyAlignment="1" applyProtection="1"/>
    <xf numFmtId="168" fontId="22" fillId="0" borderId="2" xfId="0" applyNumberFormat="1" applyFont="1" applyFill="1" applyBorder="1" applyAlignment="1" applyProtection="1"/>
    <xf numFmtId="0" fontId="19" fillId="13" borderId="2" xfId="0" applyFont="1" applyFill="1" applyBorder="1" applyAlignment="1" applyProtection="1">
      <alignment horizontal="center" vertical="center" wrapText="1"/>
    </xf>
    <xf numFmtId="0" fontId="40" fillId="13" borderId="3" xfId="0" applyFont="1" applyFill="1" applyBorder="1" applyAlignment="1" applyProtection="1">
      <alignment horizontal="center" vertical="center" wrapText="1"/>
    </xf>
    <xf numFmtId="164" fontId="22" fillId="0" borderId="2" xfId="0" applyNumberFormat="1" applyFont="1" applyFill="1" applyBorder="1" applyAlignment="1" applyProtection="1">
      <alignment horizontal="center" vertical="center"/>
    </xf>
    <xf numFmtId="0" fontId="50" fillId="21" borderId="7" xfId="0" applyFont="1" applyFill="1" applyBorder="1" applyAlignment="1"/>
    <xf numFmtId="0" fontId="22" fillId="22" borderId="5" xfId="0" applyFont="1" applyFill="1" applyBorder="1" applyAlignment="1" applyProtection="1">
      <alignment horizontal="center" vertical="center" wrapText="1"/>
    </xf>
    <xf numFmtId="168" fontId="1" fillId="0" borderId="5" xfId="0" applyNumberFormat="1" applyFont="1" applyBorder="1" applyAlignment="1"/>
    <xf numFmtId="0" fontId="14" fillId="8" borderId="11" xfId="0" applyFont="1" applyFill="1" applyBorder="1" applyAlignment="1"/>
    <xf numFmtId="0" fontId="0" fillId="0" borderId="0" xfId="0" applyBorder="1" applyAlignment="1">
      <alignment horizontal="center"/>
    </xf>
    <xf numFmtId="14" fontId="0" fillId="8" borderId="5" xfId="0" applyNumberFormat="1" applyFill="1" applyBorder="1" applyAlignment="1">
      <alignment horizontal="center"/>
    </xf>
    <xf numFmtId="164" fontId="14" fillId="6" borderId="4" xfId="0" applyNumberFormat="1" applyFont="1" applyFill="1" applyBorder="1" applyAlignment="1"/>
    <xf numFmtId="164" fontId="14" fillId="8" borderId="4" xfId="0" applyNumberFormat="1" applyFont="1" applyFill="1" applyBorder="1" applyAlignment="1"/>
    <xf numFmtId="164" fontId="0" fillId="8" borderId="5" xfId="0" applyNumberFormat="1" applyFill="1" applyBorder="1" applyAlignment="1">
      <alignment horizontal="center"/>
    </xf>
    <xf numFmtId="164" fontId="14" fillId="10" borderId="4" xfId="0" applyNumberFormat="1" applyFont="1" applyFill="1" applyBorder="1" applyAlignment="1"/>
    <xf numFmtId="164" fontId="0" fillId="0" borderId="5" xfId="0" applyNumberFormat="1" applyBorder="1" applyAlignment="1"/>
    <xf numFmtId="0" fontId="14" fillId="8" borderId="13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Border="1" applyAlignment="1">
      <alignment horizontal="center"/>
    </xf>
    <xf numFmtId="14" fontId="14" fillId="6" borderId="13" xfId="0" applyNumberFormat="1" applyFont="1" applyFill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14" fillId="8" borderId="13" xfId="0" applyNumberFormat="1" applyFont="1" applyFill="1" applyBorder="1" applyAlignment="1">
      <alignment horizontal="center"/>
    </xf>
    <xf numFmtId="14" fontId="14" fillId="10" borderId="13" xfId="0" applyNumberFormat="1" applyFont="1" applyFill="1" applyBorder="1" applyAlignment="1">
      <alignment horizontal="center"/>
    </xf>
    <xf numFmtId="14" fontId="11" fillId="4" borderId="5" xfId="0" applyNumberFormat="1" applyFont="1" applyFill="1" applyBorder="1" applyAlignment="1">
      <alignment horizontal="left" vertical="center"/>
    </xf>
    <xf numFmtId="14" fontId="0" fillId="0" borderId="5" xfId="0" applyNumberFormat="1" applyBorder="1" applyAlignment="1">
      <alignment horizontal="left"/>
    </xf>
    <xf numFmtId="14" fontId="0" fillId="0" borderId="7" xfId="0" applyNumberFormat="1" applyBorder="1" applyAlignment="1">
      <alignment horizontal="left"/>
    </xf>
    <xf numFmtId="164" fontId="1" fillId="0" borderId="5" xfId="0" applyNumberFormat="1" applyFont="1" applyBorder="1"/>
    <xf numFmtId="14" fontId="1" fillId="5" borderId="5" xfId="0" applyNumberFormat="1" applyFont="1" applyFill="1" applyBorder="1"/>
    <xf numFmtId="164" fontId="1" fillId="5" borderId="5" xfId="0" applyNumberFormat="1" applyFont="1" applyFill="1" applyBorder="1"/>
    <xf numFmtId="14" fontId="12" fillId="5" borderId="5" xfId="0" applyNumberFormat="1" applyFont="1" applyFill="1" applyBorder="1"/>
    <xf numFmtId="0" fontId="15" fillId="4" borderId="5" xfId="0" applyFont="1" applyFill="1" applyBorder="1" applyAlignment="1">
      <alignment horizontal="center" vertical="center"/>
    </xf>
    <xf numFmtId="164" fontId="0" fillId="0" borderId="5" xfId="0" applyNumberFormat="1" applyFill="1" applyBorder="1"/>
    <xf numFmtId="14" fontId="1" fillId="10" borderId="2" xfId="0" applyNumberFormat="1" applyFont="1" applyFill="1" applyBorder="1" applyAlignment="1">
      <alignment horizontal="center"/>
    </xf>
    <xf numFmtId="164" fontId="1" fillId="10" borderId="2" xfId="0" applyNumberFormat="1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14" fontId="1" fillId="0" borderId="5" xfId="0" applyNumberFormat="1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49" fontId="1" fillId="0" borderId="5" xfId="0" applyNumberFormat="1" applyFont="1" applyBorder="1" applyAlignment="1">
      <alignment horizontal="center"/>
    </xf>
    <xf numFmtId="164" fontId="1" fillId="0" borderId="5" xfId="0" applyNumberFormat="1" applyFont="1" applyBorder="1" applyAlignment="1"/>
    <xf numFmtId="0" fontId="1" fillId="10" borderId="2" xfId="0" applyFont="1" applyFill="1" applyBorder="1" applyAlignment="1">
      <alignment horizontal="center"/>
    </xf>
    <xf numFmtId="0" fontId="1" fillId="0" borderId="5" xfId="0" applyFont="1" applyFill="1" applyBorder="1"/>
    <xf numFmtId="0" fontId="1" fillId="0" borderId="5" xfId="0" applyFont="1" applyBorder="1"/>
    <xf numFmtId="0" fontId="1" fillId="6" borderId="2" xfId="0" applyFont="1" applyFill="1" applyBorder="1" applyAlignment="1">
      <alignment horizontal="center"/>
    </xf>
    <xf numFmtId="14" fontId="1" fillId="6" borderId="2" xfId="0" applyNumberFormat="1" applyFont="1" applyFill="1" applyBorder="1" applyAlignment="1">
      <alignment horizontal="center"/>
    </xf>
    <xf numFmtId="164" fontId="1" fillId="6" borderId="2" xfId="0" applyNumberFormat="1" applyFont="1" applyFill="1" applyBorder="1" applyAlignment="1">
      <alignment horizontal="center"/>
    </xf>
    <xf numFmtId="0" fontId="41" fillId="0" borderId="5" xfId="0" applyFont="1" applyBorder="1" applyAlignment="1">
      <alignment horizontal="left"/>
    </xf>
    <xf numFmtId="0" fontId="52" fillId="23" borderId="0" xfId="0" applyFont="1" applyFill="1" applyBorder="1" applyAlignment="1"/>
    <xf numFmtId="164" fontId="4" fillId="24" borderId="5" xfId="0" applyNumberFormat="1" applyFont="1" applyFill="1" applyBorder="1" applyAlignment="1" applyProtection="1">
      <alignment horizontal="center" vertical="center" wrapText="1"/>
    </xf>
    <xf numFmtId="0" fontId="22" fillId="9" borderId="5" xfId="0" applyFont="1" applyFill="1" applyBorder="1" applyAlignment="1" applyProtection="1">
      <alignment horizontal="center" vertical="center"/>
    </xf>
    <xf numFmtId="14" fontId="13" fillId="16" borderId="3" xfId="0" applyNumberFormat="1" applyFont="1" applyFill="1" applyBorder="1" applyAlignment="1">
      <alignment horizontal="center" vertical="center" wrapText="1"/>
    </xf>
    <xf numFmtId="0" fontId="1" fillId="0" borderId="0" xfId="0" applyFont="1" applyFill="1"/>
    <xf numFmtId="0" fontId="6" fillId="25" borderId="5" xfId="0" applyFont="1" applyFill="1" applyBorder="1" applyAlignment="1">
      <alignment vertical="center"/>
    </xf>
    <xf numFmtId="0" fontId="6" fillId="0" borderId="5" xfId="0" applyFont="1" applyBorder="1" applyAlignment="1">
      <alignment vertical="center"/>
    </xf>
    <xf numFmtId="0" fontId="8" fillId="25" borderId="5" xfId="0" applyFont="1" applyFill="1" applyBorder="1" applyAlignment="1">
      <alignment vertical="center"/>
    </xf>
    <xf numFmtId="0" fontId="8" fillId="0" borderId="5" xfId="0" applyFont="1" applyBorder="1" applyAlignment="1">
      <alignment vertical="center"/>
    </xf>
    <xf numFmtId="0" fontId="13" fillId="16" borderId="1" xfId="0" applyFont="1" applyFill="1" applyBorder="1" applyAlignment="1">
      <alignment horizontal="center" vertical="center" wrapText="1"/>
    </xf>
    <xf numFmtId="0" fontId="53" fillId="0" borderId="4" xfId="0" applyFont="1" applyBorder="1" applyAlignment="1" applyProtection="1">
      <alignment vertical="center"/>
    </xf>
    <xf numFmtId="0" fontId="53" fillId="3" borderId="4" xfId="0" applyFont="1" applyFill="1" applyBorder="1" applyAlignment="1" applyProtection="1">
      <alignment vertical="center"/>
    </xf>
    <xf numFmtId="0" fontId="53" fillId="0" borderId="6" xfId="0" applyFont="1" applyBorder="1" applyAlignment="1" applyProtection="1">
      <alignment vertical="center"/>
    </xf>
    <xf numFmtId="0" fontId="41" fillId="0" borderId="0" xfId="0" applyFont="1"/>
    <xf numFmtId="0" fontId="9" fillId="0" borderId="4" xfId="0" applyFont="1" applyFill="1" applyBorder="1" applyAlignment="1">
      <alignment vertical="center" wrapText="1"/>
    </xf>
    <xf numFmtId="0" fontId="54" fillId="0" borderId="4" xfId="0" applyFont="1" applyFill="1" applyBorder="1" applyAlignment="1">
      <alignment vertical="center" wrapText="1"/>
    </xf>
    <xf numFmtId="164" fontId="6" fillId="0" borderId="4" xfId="0" applyNumberFormat="1" applyFont="1" applyBorder="1" applyAlignment="1" applyProtection="1">
      <alignment vertical="center"/>
    </xf>
    <xf numFmtId="164" fontId="8" fillId="0" borderId="4" xfId="0" applyNumberFormat="1" applyFont="1" applyBorder="1" applyAlignment="1" applyProtection="1">
      <alignment vertical="center"/>
    </xf>
    <xf numFmtId="164" fontId="9" fillId="0" borderId="4" xfId="0" applyNumberFormat="1" applyFont="1" applyFill="1" applyBorder="1" applyAlignment="1">
      <alignment vertical="center" wrapText="1"/>
    </xf>
    <xf numFmtId="164" fontId="6" fillId="3" borderId="4" xfId="0" applyNumberFormat="1" applyFont="1" applyFill="1" applyBorder="1" applyAlignment="1" applyProtection="1">
      <alignment vertical="center"/>
    </xf>
    <xf numFmtId="164" fontId="6" fillId="0" borderId="6" xfId="0" applyNumberFormat="1" applyFont="1" applyBorder="1" applyAlignment="1" applyProtection="1">
      <alignment vertical="center"/>
    </xf>
    <xf numFmtId="0" fontId="21" fillId="13" borderId="1" xfId="0" applyFont="1" applyFill="1" applyBorder="1" applyAlignment="1" applyProtection="1">
      <alignment horizontal="center" vertical="center" wrapText="1"/>
    </xf>
    <xf numFmtId="0" fontId="21" fillId="0" borderId="4" xfId="0" applyFont="1" applyFill="1" applyBorder="1" applyAlignment="1" applyProtection="1">
      <alignment horizontal="center" vertical="center"/>
    </xf>
    <xf numFmtId="0" fontId="55" fillId="0" borderId="0" xfId="0" applyFont="1" applyAlignment="1"/>
    <xf numFmtId="0" fontId="42" fillId="0" borderId="5" xfId="0" applyFont="1" applyFill="1" applyBorder="1" applyAlignment="1" applyProtection="1">
      <alignment horizontal="center" vertical="center"/>
    </xf>
    <xf numFmtId="0" fontId="42" fillId="13" borderId="2" xfId="0" applyFont="1" applyFill="1" applyBorder="1" applyAlignment="1" applyProtection="1">
      <alignment horizontal="center" vertical="center" wrapText="1"/>
    </xf>
    <xf numFmtId="0" fontId="42" fillId="14" borderId="2" xfId="0" applyFont="1" applyFill="1" applyBorder="1" applyAlignment="1" applyProtection="1">
      <alignment horizontal="center" vertical="center" wrapText="1"/>
    </xf>
    <xf numFmtId="164" fontId="12" fillId="26" borderId="2" xfId="0" applyNumberFormat="1" applyFont="1" applyFill="1" applyBorder="1" applyAlignment="1">
      <alignment horizontal="center" vertical="center" wrapText="1"/>
    </xf>
    <xf numFmtId="0" fontId="26" fillId="6" borderId="4" xfId="0" applyFont="1" applyFill="1" applyBorder="1" applyAlignment="1">
      <alignment horizontal="center" vertical="center"/>
    </xf>
    <xf numFmtId="0" fontId="26" fillId="6" borderId="5" xfId="0" applyFont="1" applyFill="1" applyBorder="1" applyAlignment="1">
      <alignment horizontal="center" vertical="center"/>
    </xf>
    <xf numFmtId="0" fontId="42" fillId="6" borderId="5" xfId="0" applyFont="1" applyFill="1" applyBorder="1" applyAlignment="1" applyProtection="1">
      <alignment horizontal="center" vertical="center"/>
    </xf>
    <xf numFmtId="0" fontId="55" fillId="6" borderId="4" xfId="0" applyFont="1" applyFill="1" applyBorder="1" applyAlignment="1"/>
    <xf numFmtId="0" fontId="41" fillId="6" borderId="5" xfId="0" applyFont="1" applyFill="1" applyBorder="1" applyAlignment="1"/>
    <xf numFmtId="0" fontId="55" fillId="6" borderId="6" xfId="0" applyFont="1" applyFill="1" applyBorder="1" applyAlignment="1"/>
    <xf numFmtId="0" fontId="41" fillId="6" borderId="7" xfId="0" applyFont="1" applyFill="1" applyBorder="1" applyAlignment="1"/>
    <xf numFmtId="0" fontId="10" fillId="6" borderId="0" xfId="0" applyFont="1" applyFill="1" applyAlignment="1"/>
    <xf numFmtId="0" fontId="4" fillId="6" borderId="5" xfId="0" applyFont="1" applyFill="1" applyBorder="1" applyAlignment="1" applyProtection="1">
      <alignment horizontal="center" vertical="center"/>
    </xf>
    <xf numFmtId="0" fontId="25" fillId="6" borderId="5" xfId="0" applyFont="1" applyFill="1" applyBorder="1" applyAlignment="1">
      <alignment horizontal="center" vertical="center"/>
    </xf>
    <xf numFmtId="0" fontId="31" fillId="6" borderId="4" xfId="0" applyFont="1" applyFill="1" applyBorder="1" applyAlignment="1">
      <alignment horizontal="center" vertical="center"/>
    </xf>
    <xf numFmtId="164" fontId="4" fillId="6" borderId="5" xfId="0" applyNumberFormat="1" applyFont="1" applyFill="1" applyBorder="1" applyAlignment="1" applyProtection="1">
      <alignment vertical="center"/>
    </xf>
    <xf numFmtId="0" fontId="10" fillId="6" borderId="0" xfId="0" applyFont="1" applyFill="1"/>
    <xf numFmtId="0" fontId="34" fillId="18" borderId="7" xfId="0" applyFont="1" applyFill="1" applyBorder="1" applyAlignment="1">
      <alignment horizontal="center" vertical="center" wrapText="1"/>
    </xf>
    <xf numFmtId="0" fontId="34" fillId="18" borderId="19" xfId="0" applyFont="1" applyFill="1" applyBorder="1" applyAlignment="1">
      <alignment horizontal="center" vertical="center" wrapText="1"/>
    </xf>
    <xf numFmtId="0" fontId="34" fillId="18" borderId="2" xfId="0" applyFont="1" applyFill="1" applyBorder="1" applyAlignment="1">
      <alignment horizontal="center" vertical="center" wrapText="1"/>
    </xf>
    <xf numFmtId="0" fontId="35" fillId="8" borderId="20" xfId="0" applyFont="1" applyFill="1" applyBorder="1" applyAlignment="1">
      <alignment horizontal="center"/>
    </xf>
    <xf numFmtId="0" fontId="35" fillId="8" borderId="1" xfId="0" applyFont="1" applyFill="1" applyBorder="1" applyAlignment="1">
      <alignment horizontal="center"/>
    </xf>
    <xf numFmtId="0" fontId="0" fillId="19" borderId="6" xfId="0" applyFont="1" applyFill="1" applyBorder="1" applyAlignment="1">
      <alignment horizontal="center" vertical="center" wrapText="1"/>
    </xf>
    <xf numFmtId="0" fontId="0" fillId="19" borderId="1" xfId="0" applyFont="1" applyFill="1" applyBorder="1" applyAlignment="1">
      <alignment horizontal="center" vertical="center" wrapText="1"/>
    </xf>
    <xf numFmtId="0" fontId="35" fillId="20" borderId="8" xfId="0" applyFont="1" applyFill="1" applyBorder="1" applyAlignment="1">
      <alignment horizontal="center"/>
    </xf>
    <xf numFmtId="0" fontId="35" fillId="20" borderId="6" xfId="0" applyFont="1" applyFill="1" applyBorder="1" applyAlignment="1">
      <alignment horizontal="center"/>
    </xf>
    <xf numFmtId="0" fontId="35" fillId="16" borderId="9" xfId="0" applyFont="1" applyFill="1" applyBorder="1" applyAlignment="1">
      <alignment horizontal="center"/>
    </xf>
    <xf numFmtId="0" fontId="35" fillId="16" borderId="8" xfId="0" applyFont="1" applyFill="1" applyBorder="1" applyAlignment="1">
      <alignment horizontal="center"/>
    </xf>
    <xf numFmtId="0" fontId="17" fillId="0" borderId="0" xfId="0" applyFont="1" applyAlignment="1">
      <alignment horizontal="center" vertical="center"/>
    </xf>
    <xf numFmtId="0" fontId="18" fillId="4" borderId="5" xfId="0" applyFont="1" applyFill="1" applyBorder="1" applyAlignment="1">
      <alignment horizontal="center"/>
    </xf>
    <xf numFmtId="0" fontId="18" fillId="4" borderId="11" xfId="0" applyFont="1" applyFill="1" applyBorder="1" applyAlignment="1">
      <alignment horizontal="center"/>
    </xf>
    <xf numFmtId="0" fontId="4" fillId="0" borderId="7" xfId="0" applyFont="1" applyFill="1" applyBorder="1" applyAlignment="1" applyProtection="1">
      <alignment horizontal="center" vertical="center" textRotation="90"/>
    </xf>
    <xf numFmtId="0" fontId="4" fillId="0" borderId="19" xfId="0" applyFont="1" applyFill="1" applyBorder="1" applyAlignment="1" applyProtection="1">
      <alignment horizontal="center" vertical="center" textRotation="90"/>
    </xf>
    <xf numFmtId="0" fontId="4" fillId="0" borderId="2" xfId="0" applyFont="1" applyFill="1" applyBorder="1" applyAlignment="1" applyProtection="1">
      <alignment horizontal="center" vertical="center" textRotation="90"/>
    </xf>
    <xf numFmtId="0" fontId="13" fillId="0" borderId="7" xfId="0" applyFont="1" applyBorder="1" applyAlignment="1">
      <alignment horizontal="center" textRotation="90"/>
    </xf>
    <xf numFmtId="0" fontId="13" fillId="0" borderId="19" xfId="0" applyFont="1" applyBorder="1" applyAlignment="1">
      <alignment horizontal="center" textRotation="90"/>
    </xf>
    <xf numFmtId="0" fontId="13" fillId="0" borderId="2" xfId="0" applyFont="1" applyBorder="1" applyAlignment="1">
      <alignment horizontal="center" textRotation="90"/>
    </xf>
    <xf numFmtId="0" fontId="23" fillId="0" borderId="7" xfId="0" applyFont="1" applyBorder="1" applyAlignment="1">
      <alignment horizontal="center" vertical="center" textRotation="90"/>
    </xf>
    <xf numFmtId="0" fontId="23" fillId="0" borderId="19" xfId="0" applyFont="1" applyBorder="1" applyAlignment="1">
      <alignment horizontal="center" vertical="center" textRotation="90"/>
    </xf>
    <xf numFmtId="0" fontId="23" fillId="0" borderId="2" xfId="0" applyFont="1" applyBorder="1" applyAlignment="1">
      <alignment horizontal="center" vertical="center" textRotation="90"/>
    </xf>
    <xf numFmtId="164" fontId="15" fillId="6" borderId="14" xfId="0" applyNumberFormat="1" applyFont="1" applyFill="1" applyBorder="1" applyAlignment="1">
      <alignment horizontal="right"/>
    </xf>
    <xf numFmtId="164" fontId="15" fillId="6" borderId="15" xfId="0" applyNumberFormat="1" applyFont="1" applyFill="1" applyBorder="1" applyAlignment="1">
      <alignment horizontal="right"/>
    </xf>
    <xf numFmtId="0" fontId="16" fillId="7" borderId="17" xfId="0" applyFont="1" applyFill="1" applyBorder="1" applyAlignment="1">
      <alignment vertical="center"/>
    </xf>
    <xf numFmtId="0" fontId="16" fillId="7" borderId="18" xfId="0" applyFont="1" applyFill="1" applyBorder="1" applyAlignment="1">
      <alignment vertical="center"/>
    </xf>
    <xf numFmtId="0" fontId="10" fillId="0" borderId="5" xfId="0" applyFont="1" applyBorder="1" applyAlignment="1">
      <alignment horizontal="center"/>
    </xf>
    <xf numFmtId="0" fontId="16" fillId="9" borderId="16" xfId="0" applyFont="1" applyFill="1" applyBorder="1" applyAlignment="1">
      <alignment horizontal="left" vertical="center"/>
    </xf>
    <xf numFmtId="0" fontId="16" fillId="9" borderId="17" xfId="0" applyFont="1" applyFill="1" applyBorder="1" applyAlignment="1">
      <alignment horizontal="left" vertical="center"/>
    </xf>
    <xf numFmtId="164" fontId="51" fillId="7" borderId="5" xfId="0" applyNumberFormat="1" applyFont="1" applyFill="1" applyBorder="1" applyAlignment="1">
      <alignment horizontal="right"/>
    </xf>
    <xf numFmtId="164" fontId="51" fillId="9" borderId="5" xfId="0" applyNumberFormat="1" applyFont="1" applyFill="1" applyBorder="1" applyAlignment="1">
      <alignment horizontal="right"/>
    </xf>
    <xf numFmtId="164" fontId="14" fillId="8" borderId="11" xfId="0" applyNumberFormat="1" applyFont="1" applyFill="1" applyBorder="1" applyAlignment="1">
      <alignment horizontal="right"/>
    </xf>
    <xf numFmtId="164" fontId="14" fillId="8" borderId="4" xfId="0" applyNumberFormat="1" applyFont="1" applyFill="1" applyBorder="1" applyAlignment="1">
      <alignment horizontal="right"/>
    </xf>
    <xf numFmtId="0" fontId="16" fillId="7" borderId="16" xfId="0" applyFont="1" applyFill="1" applyBorder="1" applyAlignment="1">
      <alignment vertical="center"/>
    </xf>
    <xf numFmtId="0" fontId="16" fillId="9" borderId="18" xfId="0" applyFont="1" applyFill="1" applyBorder="1" applyAlignment="1">
      <alignment horizontal="left" vertical="center"/>
    </xf>
    <xf numFmtId="0" fontId="1" fillId="0" borderId="5" xfId="0" applyFont="1" applyBorder="1" applyAlignment="1">
      <alignment horizontal="center"/>
    </xf>
    <xf numFmtId="0" fontId="16" fillId="11" borderId="21" xfId="0" applyFont="1" applyFill="1" applyBorder="1" applyAlignment="1">
      <alignment horizontal="center" vertical="center"/>
    </xf>
    <xf numFmtId="0" fontId="16" fillId="11" borderId="22" xfId="0" applyFont="1" applyFill="1" applyBorder="1" applyAlignment="1">
      <alignment horizontal="center" vertical="center"/>
    </xf>
    <xf numFmtId="0" fontId="16" fillId="11" borderId="24" xfId="0" applyFont="1" applyFill="1" applyBorder="1" applyAlignment="1">
      <alignment horizontal="center" vertical="center"/>
    </xf>
    <xf numFmtId="164" fontId="51" fillId="11" borderId="10" xfId="0" applyNumberFormat="1" applyFont="1" applyFill="1" applyBorder="1" applyAlignment="1">
      <alignment horizontal="center" vertical="center"/>
    </xf>
    <xf numFmtId="164" fontId="51" fillId="11" borderId="0" xfId="0" applyNumberFormat="1" applyFont="1" applyFill="1" applyBorder="1" applyAlignment="1">
      <alignment horizontal="center" vertical="center"/>
    </xf>
    <xf numFmtId="164" fontId="15" fillId="10" borderId="5" xfId="0" applyNumberFormat="1" applyFont="1" applyFill="1" applyBorder="1" applyAlignment="1">
      <alignment horizontal="right"/>
    </xf>
    <xf numFmtId="0" fontId="16" fillId="11" borderId="23" xfId="0" applyFont="1" applyFill="1" applyBorder="1" applyAlignment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18" fillId="12" borderId="0" xfId="0" applyFont="1" applyFill="1" applyBorder="1" applyAlignment="1"/>
  </cellXfs>
  <cellStyles count="2">
    <cellStyle name="Date" xfId="1"/>
    <cellStyle name="Normal" xfId="0" builtinId="0"/>
  </cellStyles>
  <dxfs count="104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z val="11"/>
        <color theme="2" tint="-0.89992980742820516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89992980742820516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89992980742820516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89992980742820516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89992980742820516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89992980742820516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B0F0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scheme val="minor"/>
      </font>
      <numFmt numFmtId="164" formatCode="#,##0.00\ &quot;€&quot;"/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ont>
        <color theme="0"/>
      </font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8" formatCode="#.##0\.00\ &quot;€&quot;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color rgb="FFFF0000"/>
      </font>
      <numFmt numFmtId="164" formatCode="#,##0.00\ &quot;€&quot;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rgb="FFFF0000"/>
      </font>
      <numFmt numFmtId="164" formatCode="#,##0.00\ &quot;€&quot;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rgb="FFFF0000"/>
      </font>
      <numFmt numFmtId="164" formatCode="#,##0.00\ &quot;€&quot;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rgb="FFFF0000"/>
      </font>
      <numFmt numFmtId="164" formatCode="#,##0.00\ &quot;€&quot;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rgb="FFFF0000"/>
      </font>
      <numFmt numFmtId="164" formatCode="#,##0.00\ &quot;€&quot;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rgb="FFFF0000"/>
      </font>
      <numFmt numFmtId="164" formatCode="#,##0.00\ &quot;€&quot;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FF0000"/>
        <name val="Verdana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</font>
      <numFmt numFmtId="165" formatCode="d/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rgb="FF00B0F0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rgb="FF00B0F0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rgb="FFFF0000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rgb="FFFF0000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d/m/yy;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rgb="FFFF0000"/>
        <name val="Verdana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rgb="FFFF0000"/>
      </font>
      <numFmt numFmtId="0" formatCode="General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rgb="FFFF0000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rgb="FFFF0000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rgb="FF00B0F0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F0"/>
        <name val="Montserrat"/>
        <scheme val="none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rgb="FF00B0F0"/>
      </font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color rgb="FF00B0F0"/>
      </font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Verdana"/>
        <scheme val="none"/>
      </font>
      <numFmt numFmtId="164" formatCode="#,##0.00\ &quot;€&quot;"/>
      <fill>
        <patternFill patternType="solid">
          <fgColor rgb="FF000000"/>
          <bgColor rgb="FFC000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Montserrat"/>
        <scheme val="none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Montserrat"/>
        <scheme val="none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Montserrat"/>
        <scheme val="none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Montserrat"/>
        <scheme val="none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Verdana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Montserrat"/>
        <scheme val="none"/>
      </font>
      <numFmt numFmtId="164" formatCode="#,##0.00\ &quot;€&quot;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Montserrat"/>
        <scheme val="none"/>
      </font>
      <numFmt numFmtId="164" formatCode="#,##0.00\ &quot;€&quot;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Verdana"/>
        <scheme val="none"/>
      </font>
      <numFmt numFmtId="164" formatCode="#,##0.00\ &quot;€&quot;"/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Verdana"/>
        <scheme val="none"/>
      </font>
      <numFmt numFmtId="164" formatCode="#,##0.00\ &quot;€&quot;"/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Verdana"/>
        <scheme val="none"/>
      </font>
      <numFmt numFmtId="164" formatCode="#,##0.00\ &quot;€&quot;"/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Verdana"/>
        <scheme val="none"/>
      </font>
      <numFmt numFmtId="164" formatCode="#,##0.00\ &quot;€&quot;"/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Verdana"/>
        <scheme val="none"/>
      </font>
      <numFmt numFmtId="164" formatCode="#,##0.00\ &quot;€&quot;"/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Verdana"/>
        <scheme val="none"/>
      </font>
      <numFmt numFmtId="164" formatCode="#,##0.00\ &quot;€&quot;"/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Verdana"/>
        <scheme val="none"/>
      </font>
      <numFmt numFmtId="164" formatCode="#,##0.00\ &quot;€&quot;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Montserrat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Montserra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Montserrat"/>
        <scheme val="none"/>
      </font>
      <numFmt numFmtId="164" formatCode="#,##0.00\ &quot;€&quot;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Garamond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Montserrat"/>
        <scheme val="none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Montserrat"/>
        <scheme val="none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Garamond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Garamond"/>
        <scheme val="none"/>
      </font>
      <numFmt numFmtId="30" formatCode="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Montserrat"/>
        <scheme val="none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Verdana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Montserrat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Montserrat"/>
        <scheme val="none"/>
      </font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textRotation="0" wrapText="1" indent="0" justifyLastLine="0" shrinkToFit="0" readingOrder="0"/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UIVI%20COMPLET%20CHANTIER%20SOUS%20TRAITA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CHE.CONTRAT.PVRECEP"/>
      <sheetName val="FACT ST"/>
      <sheetName val="RECAP FACT"/>
      <sheetName val="DOCS ADM"/>
      <sheetName val="CONTACT et INFOS"/>
      <sheetName val="DONNEES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id="16" name="Tableau16" displayName="Tableau16" ref="A3:Y42" totalsRowShown="0" headerRowDxfId="94" dataDxfId="92" headerRowBorderDxfId="93" tableBorderDxfId="91" totalsRowBorderDxfId="90">
  <autoFilter ref="A3:Y42"/>
  <tableColumns count="25">
    <tableColumn id="1" name="Ref" dataDxfId="89">
      <calculatedColumnFormula>CONCATENATE(Tableau16[[#This Row],[CT]],Tableau16[[#This Row],[CHANTIER]],Tableau16[[#This Row],[SOUS TRAITANT]],Tableau16[[#This Row],[MO]])</calculatedColumnFormula>
    </tableColumn>
    <tableColumn id="2" name="MO" dataDxfId="88"/>
    <tableColumn id="3" name="MOE" dataDxfId="87"/>
    <tableColumn id="4" name="CT" dataDxfId="86"/>
    <tableColumn id="5" name="CHANTIER" dataDxfId="85"/>
    <tableColumn id="6" name="ADRESSE" dataDxfId="84"/>
    <tableColumn id="7" name="CP" dataDxfId="83"/>
    <tableColumn id="8" name="SOUS TRAITANT" dataDxfId="82"/>
    <tableColumn id="9" name="PU SOUS TRAITANT" dataDxfId="81">
      <calculatedColumnFormula>VLOOKUP(H4,Tableau11[[SOUS TRAITANT]:[PU MARCHE]],3,FALSE)</calculatedColumnFormula>
    </tableColumn>
    <tableColumn id="10" name="INDICE BC" dataDxfId="80"/>
    <tableColumn id="24" name="TX" dataDxfId="79"/>
    <tableColumn id="11" name="MONTANT BC" dataDxfId="78"/>
    <tableColumn id="26" name="MARCHEEXT" dataDxfId="77"/>
    <tableColumn id="12" name="MARCHEINT" dataDxfId="76">
      <calculatedColumnFormula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calculatedColumnFormula>
    </tableColumn>
    <tableColumn id="14" name="RG_5%" dataDxfId="75">
      <calculatedColumnFormula>Tableau16[MONTANT BC]*5%</calculatedColumnFormula>
    </tableColumn>
    <tableColumn id="15" name="P_2%" dataDxfId="74">
      <calculatedColumnFormula>Tableau16[[#This Row],[MONTANT BC]]*2%</calculatedColumnFormula>
    </tableColumn>
    <tableColumn id="16" name="BFT_5%" dataDxfId="73">
      <calculatedColumnFormula>Tableau16[[#This Row],[MONTANT BC]]*5%</calculatedColumnFormula>
    </tableColumn>
    <tableColumn id="17" name="E 3%" dataDxfId="72">
      <calculatedColumnFormula>(Tableau16[[#This Row],[MONTANT BC]]*3%)</calculatedColumnFormula>
    </tableColumn>
    <tableColumn id="18" name="AUTRE" dataDxfId="71"/>
    <tableColumn id="19" name="OBSERVATION" dataDxfId="70"/>
    <tableColumn id="20" name="STATUT" dataDxfId="69">
      <calculatedColumnFormula>IF(AND(J4="",W4="",Y4=""),"",IF(AND(J4&gt;1,W4=""),"EN_COURS",IF(AND(W4&gt;1,Y4="",W4+21&lt;=TODAY()),"VALIDER_PAR_DEFFAUT",IF(AND(W4&gt;1,Y4=""),"ENVOYER",IF(Y4&gt;1,"VALIDER","")))))</calculatedColumnFormula>
    </tableColumn>
    <tableColumn id="21" name="SIGNATURE " dataDxfId="68"/>
    <tableColumn id="22" name="ENVOIE" dataDxfId="67"/>
    <tableColumn id="25" name="RECEP" dataDxfId="66"/>
    <tableColumn id="23" name="ACCEPTATION" dataDxfId="6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5" name="Tableau8" displayName="Tableau8" ref="C3:AA91" totalsRowShown="0" headerRowDxfId="62" dataDxfId="60" headerRowBorderDxfId="61" tableBorderDxfId="59" totalsRowBorderDxfId="58">
  <tableColumns count="25">
    <tableColumn id="1" name="Sous Traitant" dataDxfId="57"/>
    <tableColumn id="2" name="NOM CHANTIER_x000a_INDIRECT ST" dataDxfId="56"/>
    <tableColumn id="3" name="CT_x000a_INDIRECT CHANTIER" dataDxfId="55"/>
    <tableColumn id="4" name="MO_x000a_INDIRECT CT" dataDxfId="54"/>
    <tableColumn id="5" name="Adresse chantier" dataDxfId="53">
      <calculatedColumnFormula>IFERROR(IF(B4="","",VLOOKUP(B4,Tableau16[[Ref]:[CP]],6,FALSE)),"")</calculatedColumnFormula>
    </tableColumn>
    <tableColumn id="7" name="CP" dataDxfId="52">
      <calculatedColumnFormula>IFERROR(IF(B4="","",VLOOKUP(B4,Tableau16[[Ref]:[CP]],7,FALSE)),"")</calculatedColumnFormula>
    </tableColumn>
    <tableColumn id="28" name="REF FACT" dataDxfId="51">
      <calculatedColumnFormula>CONCATENATE(Tableau8[[#This Row],[CT
INDIRECT CHANTIER]],Tableau8[[#This Row],[NOM CHANTIER
INDIRECT ST]],Tableau8[[#This Row],[Sous Traitant]],Tableau8[[#This Row],[MO
INDIRECT CT]],Tableau8[[#This Row],[marché]])</calculatedColumnFormula>
    </tableColumn>
    <tableColumn id="8" name="fact n°" dataDxfId="50">
      <calculatedColumnFormula>IF(Tableau8[[#This Row],[REF FACT]]&gt;=0,MAX($J3:J$4)+1,"")</calculatedColumnFormula>
    </tableColumn>
    <tableColumn id="9" name="ref fact2" dataDxfId="49"/>
    <tableColumn id="10" name="date fact" dataDxfId="48"/>
    <tableColumn id="11" name="delais paim" dataDxfId="47">
      <calculatedColumnFormula>IF(Tableau8[[#This Row],[Sous Traitant]]&gt;1,VLOOKUP(Tableau8[[#This Row],[Sous Traitant]],#REF!,3,FALSE),"")</calculatedColumnFormula>
    </tableColumn>
    <tableColumn id="12" name="date paiement provisoir" dataDxfId="46"/>
    <tableColumn id="13" name="marché" dataDxfId="45"/>
    <tableColumn id="14" name="montant" dataDxfId="44"/>
    <tableColumn id="16" name="validé par" dataDxfId="43"/>
    <tableColumn id="17" name="payé / présenté le" dataDxfId="42"/>
    <tableColumn id="18" name="Observations" dataDxfId="41"/>
    <tableColumn id="32" name="PAYEE" dataDxfId="40">
      <calculatedColumnFormula>SUMIFS($P$4:P4,$I$4:I4,I4)</calculatedColumnFormula>
    </tableColumn>
    <tableColumn id="21" name="MARCHE INT" dataDxfId="39">
      <calculatedColumnFormula>IF(Tableau8[[#This Row],[marché]]="MARCHEINT",VLOOKUP($B4,Tableau16[[Ref]:[AUTRE]],13,FALSE)-Tableau8[[#This Row],[PAYEE]],"")</calculatedColumnFormula>
    </tableColumn>
    <tableColumn id="22" name="MARCHE EXT" dataDxfId="38">
      <calculatedColumnFormula>IF(Tableau8[[#This Row],[marché]]="MARCHEEXT",VLOOKUP($B4,Tableau16[[Ref]:[AUTRE]],14,FALSE)-Tableau8[[#This Row],[PAYEE]],"")</calculatedColumnFormula>
    </tableColumn>
    <tableColumn id="23" name="RG_5%" dataDxfId="37">
      <calculatedColumnFormula>IF(Tableau8[[#This Row],[marché]]="RG_5%",VLOOKUP($B4,Tableau16[[Ref]:[AUTRE]],15,FALSE)-Tableau8[[#This Row],[PAYEE]],"")</calculatedColumnFormula>
    </tableColumn>
    <tableColumn id="25" name="BFT_5%" dataDxfId="36">
      <calculatedColumnFormula>IF(Tableau8[[#This Row],[marché]]="BFT_5%",VLOOKUP($B4,Tableau16[[Ref]:[AUTRE]],17,FALSE)-Tableau8[[#This Row],[PAYEE]],"")</calculatedColumnFormula>
    </tableColumn>
    <tableColumn id="27" name="AUTRE" dataDxfId="35">
      <calculatedColumnFormula>IF(Tableau8[[#This Row],[marché]]="AUTRE",VLOOKUP($B4,Tableau16[[Ref]:[AUTRE]],19,FALSE)-Tableau8[[#This Row],[PAYEE]],"")</calculatedColumnFormula>
    </tableColumn>
    <tableColumn id="33" name="TS/TMA/CFA" dataDxfId="34"/>
    <tableColumn id="34" name="MARCHE INIT" dataDxfId="33">
      <calculatedColumnFormula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11" displayName="Tableau11" ref="A2:T56" totalsRowShown="0" headerRowDxfId="28" headerRowBorderDxfId="27" tableBorderDxfId="26" totalsRowBorderDxfId="25">
  <autoFilter ref="A2:T56"/>
  <sortState ref="A3:M56">
    <sortCondition ref="A2:A56"/>
  </sortState>
  <tableColumns count="20">
    <tableColumn id="1" name="SOUS TRAITANT" dataDxfId="24"/>
    <tableColumn id="17" name="CONTACT" dataDxfId="23"/>
    <tableColumn id="19" name="PU MARCHE" dataDxfId="22"/>
    <tableColumn id="18" name="DELAIS PAIEMENT" dataDxfId="21"/>
    <tableColumn id="16" name="TEL 1" dataDxfId="20"/>
    <tableColumn id="15" name="TEL 2" dataDxfId="19"/>
    <tableColumn id="14" name="MAIL 1" dataDxfId="18"/>
    <tableColumn id="7" name="MAIL 2" dataDxfId="17"/>
    <tableColumn id="2" name="FORME JURIDIQUE" dataDxfId="16"/>
    <tableColumn id="27" name="KBIS/RM 3mois" dataDxfId="15" dataCellStyle="Date"/>
    <tableColumn id="26" name="ASSUANCE échéance" dataDxfId="14" dataCellStyle="Date"/>
    <tableColumn id="25" name="URSSAF /RSI      3mois" dataDxfId="13" dataCellStyle="Date"/>
    <tableColumn id="24" name="CONGES PAYEE        3mois" dataDxfId="12" dataCellStyle="Date"/>
    <tableColumn id="23" name="IMPOTS  3mois " dataDxfId="11" dataCellStyle="Date"/>
    <tableColumn id="8" name="RETRAITE 3mois" dataDxfId="10" dataCellStyle="Date"/>
    <tableColumn id="9" name="ATT S/ L'HONNEUR" dataDxfId="9"/>
    <tableColumn id="10" name="QUALIF / REF CHANTIER" dataDxfId="8"/>
    <tableColumn id="11" name="LISTE PERSONNEL" dataDxfId="7"/>
    <tableColumn id="12" name="PI PERSONNEL" dataDxfId="6"/>
    <tableColumn id="13" name="RIB" dataDxfId="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0" name="Tableau1" displayName="Tableau1" ref="B1:B11" totalsRowShown="0" headerRowDxfId="4">
  <autoFilter ref="B1:B11"/>
  <sortState ref="B2:B12">
    <sortCondition ref="B1:B12"/>
  </sortState>
  <tableColumns count="1">
    <tableColumn id="1" name="CT"/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id="11" name="Tableau2" displayName="Tableau2" ref="D1:D11" totalsRowShown="0" headerRowDxfId="3">
  <autoFilter ref="D1:D11"/>
  <sortState ref="D2:D5">
    <sortCondition ref="D1:D5"/>
  </sortState>
  <tableColumns count="1">
    <tableColumn id="1" name="FAC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2" name="Tableau4" displayName="Tableau4" ref="F1:F4" totalsRowShown="0" headerRowDxfId="2">
  <autoFilter ref="F1:F4"/>
  <sortState ref="F2:F4">
    <sortCondition ref="F1:F4"/>
  </sortState>
  <tableColumns count="1">
    <tableColumn id="1" name="DELAIS PAIEMEN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3" name="Tableau6" displayName="Tableau6" ref="H1:H4" totalsRowShown="0" headerRowDxfId="1">
  <autoFilter ref="H1:H4"/>
  <sortState ref="H2:H4">
    <sortCondition ref="H1:H4"/>
  </sortState>
  <tableColumns count="1">
    <tableColumn id="1" name="Colonne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7" name="Tableau17" displayName="Tableau17" ref="J1:J4" totalsRowShown="0" headerRowDxfId="0">
  <autoFilter ref="J1:J4"/>
  <sortState ref="J2:J4">
    <sortCondition ref="J1:J4"/>
  </sortState>
  <tableColumns count="1">
    <tableColumn id="1" name="T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4"/>
  <sheetViews>
    <sheetView tabSelected="1" topLeftCell="K1" zoomScale="70" zoomScaleNormal="70" workbookViewId="0">
      <selection activeCell="M4" sqref="M4"/>
    </sheetView>
  </sheetViews>
  <sheetFormatPr baseColWidth="10" defaultRowHeight="15"/>
  <cols>
    <col min="1" max="1" width="12.42578125" style="134" customWidth="1"/>
    <col min="4" max="4" width="15.85546875" style="138" bestFit="1" customWidth="1"/>
    <col min="5" max="5" width="40.85546875" bestFit="1" customWidth="1"/>
    <col min="6" max="6" width="24.140625" bestFit="1" customWidth="1"/>
    <col min="8" max="8" width="18.140625" style="138" customWidth="1"/>
    <col min="9" max="9" width="12.85546875" customWidth="1"/>
    <col min="10" max="11" width="12.42578125" customWidth="1"/>
    <col min="12" max="14" width="16.42578125" bestFit="1" customWidth="1"/>
    <col min="15" max="18" width="13.42578125" bestFit="1" customWidth="1"/>
    <col min="19" max="19" width="15.42578125" customWidth="1"/>
    <col min="20" max="20" width="16.5703125" customWidth="1"/>
    <col min="21" max="21" width="27.42578125" bestFit="1" customWidth="1"/>
    <col min="22" max="22" width="14.42578125" customWidth="1"/>
    <col min="23" max="23" width="14.7109375" bestFit="1" customWidth="1"/>
    <col min="24" max="24" width="14.7109375" customWidth="1"/>
    <col min="25" max="25" width="16.28515625" customWidth="1"/>
    <col min="26" max="26" width="14" customWidth="1"/>
    <col min="27" max="28" width="18.5703125" customWidth="1"/>
  </cols>
  <sheetData>
    <row r="1" spans="1:29" ht="44.25">
      <c r="A1" s="131"/>
      <c r="B1" s="131" t="s">
        <v>122</v>
      </c>
      <c r="C1" s="78"/>
      <c r="D1" s="137"/>
      <c r="E1" s="78"/>
      <c r="F1" s="78"/>
      <c r="G1" s="78"/>
      <c r="H1" s="137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9"/>
      <c r="AC1" s="244" t="s">
        <v>123</v>
      </c>
    </row>
    <row r="2" spans="1:29" ht="27">
      <c r="A2" s="247" t="s">
        <v>19</v>
      </c>
      <c r="B2" s="247"/>
      <c r="C2" s="247"/>
      <c r="D2" s="247"/>
      <c r="E2" s="247"/>
      <c r="F2" s="247"/>
      <c r="G2" s="248"/>
      <c r="H2" s="254" t="s">
        <v>124</v>
      </c>
      <c r="I2" s="253"/>
      <c r="J2" s="253"/>
      <c r="K2" s="253"/>
      <c r="L2" s="253"/>
      <c r="M2" s="253"/>
      <c r="N2" s="253"/>
      <c r="O2" s="253"/>
      <c r="P2" s="253"/>
      <c r="Q2" s="253"/>
      <c r="R2" s="253"/>
      <c r="S2" s="253"/>
      <c r="T2" s="253"/>
      <c r="U2" s="253" t="s">
        <v>154</v>
      </c>
      <c r="V2" s="253"/>
      <c r="W2" s="253"/>
      <c r="X2" s="253"/>
      <c r="Y2" s="253"/>
      <c r="Z2" s="249" t="s">
        <v>141</v>
      </c>
      <c r="AA2" s="251" t="s">
        <v>125</v>
      </c>
      <c r="AB2" s="252"/>
      <c r="AC2" s="245"/>
    </row>
    <row r="3" spans="1:29" s="46" customFormat="1" ht="31.5" customHeight="1">
      <c r="A3" s="135" t="s">
        <v>126</v>
      </c>
      <c r="B3" s="80" t="s">
        <v>23</v>
      </c>
      <c r="C3" s="81" t="s">
        <v>127</v>
      </c>
      <c r="D3" s="139" t="s">
        <v>21</v>
      </c>
      <c r="E3" s="81" t="s">
        <v>19</v>
      </c>
      <c r="F3" s="81" t="s">
        <v>128</v>
      </c>
      <c r="G3" s="82" t="s">
        <v>50</v>
      </c>
      <c r="H3" s="212" t="s">
        <v>1</v>
      </c>
      <c r="I3" s="83" t="s">
        <v>129</v>
      </c>
      <c r="J3" s="84" t="s">
        <v>130</v>
      </c>
      <c r="K3" s="84" t="s">
        <v>142</v>
      </c>
      <c r="L3" s="85" t="s">
        <v>59</v>
      </c>
      <c r="M3" s="230" t="s">
        <v>159</v>
      </c>
      <c r="N3" s="83" t="s">
        <v>158</v>
      </c>
      <c r="O3" s="83" t="s">
        <v>41</v>
      </c>
      <c r="P3" s="83" t="s">
        <v>147</v>
      </c>
      <c r="Q3" s="83" t="s">
        <v>42</v>
      </c>
      <c r="R3" s="83" t="s">
        <v>24</v>
      </c>
      <c r="S3" s="85" t="s">
        <v>25</v>
      </c>
      <c r="T3" s="85" t="s">
        <v>131</v>
      </c>
      <c r="U3" s="83" t="s">
        <v>132</v>
      </c>
      <c r="V3" s="86" t="s">
        <v>133</v>
      </c>
      <c r="W3" s="87" t="s">
        <v>134</v>
      </c>
      <c r="X3" s="206" t="s">
        <v>156</v>
      </c>
      <c r="Y3" s="136" t="s">
        <v>135</v>
      </c>
      <c r="Z3" s="250"/>
      <c r="AA3" s="88" t="s">
        <v>136</v>
      </c>
      <c r="AB3" s="89" t="s">
        <v>137</v>
      </c>
      <c r="AC3" s="246"/>
    </row>
    <row r="4" spans="1:29" s="56" customFormat="1" ht="15.75">
      <c r="A4" s="132" t="str">
        <f>CONCATENATE(Tableau16[[#This Row],[CT]],Tableau16[[#This Row],[CHANTIER]],Tableau16[[#This Row],[SOUS TRAITANT]],Tableau16[[#This Row],[MO]])</f>
        <v>ARNAUDBOBIGNYAspirit</v>
      </c>
      <c r="B4" s="239" t="s">
        <v>146</v>
      </c>
      <c r="C4" s="90" t="s">
        <v>138</v>
      </c>
      <c r="D4" s="232" t="s">
        <v>160</v>
      </c>
      <c r="E4" s="240" t="s">
        <v>68</v>
      </c>
      <c r="F4" s="96" t="s">
        <v>139</v>
      </c>
      <c r="G4" s="97">
        <v>77000</v>
      </c>
      <c r="H4" s="241" t="s">
        <v>171</v>
      </c>
      <c r="I4" s="98">
        <f>VLOOKUP(H4,Tableau11[[SOUS TRAITANT]:[PU MARCHE]],3,FALSE)</f>
        <v>1100</v>
      </c>
      <c r="J4" s="91" t="s">
        <v>140</v>
      </c>
      <c r="K4" s="91" t="s">
        <v>144</v>
      </c>
      <c r="L4" s="242">
        <v>100000</v>
      </c>
      <c r="M4" s="67">
        <f ca="1">IF(Tableau16[[#This Row],[MARCHEINT]]&gt;1,Tableau16[[#This Row],[MONTANT BC]]*30%,Tableau16[[#This Row],[MONTANT BC]])</f>
        <v>0</v>
      </c>
      <c r="N4" s="67">
        <f ca="1"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4" s="67">
        <f>Tableau16[MONTANT BC]*5%</f>
        <v>5000</v>
      </c>
      <c r="P4" s="67">
        <f>Tableau16[[#This Row],[MONTANT BC]]*2%</f>
        <v>2000</v>
      </c>
      <c r="Q4" s="67">
        <f>Tableau16[[#This Row],[MONTANT BC]]*5%</f>
        <v>5000</v>
      </c>
      <c r="R4" s="67">
        <f>(Tableau16[[#This Row],[MONTANT BC]]*3%)</f>
        <v>3000</v>
      </c>
      <c r="S4" s="67"/>
      <c r="T4" s="67"/>
      <c r="U4" s="65" t="str">
        <f t="shared" ref="U4:U42" ca="1" si="0">IF(AND(J4="",W4="",Y4=""),"",IF(AND(J4&gt;1,W4=""),"EN_COURS",IF(AND(W4&gt;1,Y4="",W4+21&lt;=TODAY()),"VALIDER_PAR_DEFFAUT",IF(AND(W4&gt;1,Y4=""),"ENVOYER",IF(Y4&gt;1,"VALIDER","")))))</f>
        <v>VALIDER_PAR_DEFFAUT</v>
      </c>
      <c r="V4" s="92"/>
      <c r="W4" s="93">
        <v>43831</v>
      </c>
      <c r="X4" s="102"/>
      <c r="Y4" s="102"/>
      <c r="Z4" s="94"/>
      <c r="AA4" s="94"/>
      <c r="AB4" s="95" t="s">
        <v>6</v>
      </c>
      <c r="AC4" s="96"/>
    </row>
    <row r="5" spans="1:29" s="56" customFormat="1" ht="15.75">
      <c r="A5" s="132" t="str">
        <f>CONCATENATE(Tableau16[[#This Row],[CT]],Tableau16[[#This Row],[CHANTIER]],Tableau16[[#This Row],[SOUS TRAITANT]],Tableau16[[#This Row],[MO]])</f>
        <v>ARNAUDST MICHEL SUR ORGEAspirit</v>
      </c>
      <c r="B5" s="239" t="s">
        <v>146</v>
      </c>
      <c r="C5" s="90"/>
      <c r="D5" s="232" t="s">
        <v>160</v>
      </c>
      <c r="E5" s="240" t="s">
        <v>70</v>
      </c>
      <c r="F5" s="96"/>
      <c r="G5" s="97"/>
      <c r="H5" s="241" t="s">
        <v>171</v>
      </c>
      <c r="I5" s="98">
        <f>VLOOKUP(H5,Tableau11[[SOUS TRAITANT]:[PU MARCHE]],3,FALSE)</f>
        <v>1100</v>
      </c>
      <c r="J5" s="91" t="s">
        <v>140</v>
      </c>
      <c r="K5" s="91" t="s">
        <v>144</v>
      </c>
      <c r="L5" s="242">
        <v>100000</v>
      </c>
      <c r="M5" s="67">
        <f ca="1">IF(Tableau16[[#This Row],[MARCHEINT]]&gt;1,Tableau16[[#This Row],[MONTANT BC]]*30%,Tableau16[[#This Row],[MONTANT BC]])</f>
        <v>0</v>
      </c>
      <c r="N5" s="67">
        <f ca="1"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5" s="67">
        <f>Tableau16[MONTANT BC]*5%</f>
        <v>5000</v>
      </c>
      <c r="P5" s="67">
        <f>Tableau16[[#This Row],[MONTANT BC]]*2%</f>
        <v>2000</v>
      </c>
      <c r="Q5" s="67">
        <f>Tableau16[[#This Row],[MONTANT BC]]*5%</f>
        <v>5000</v>
      </c>
      <c r="R5" s="67">
        <f>(Tableau16[[#This Row],[MONTANT BC]]*3%)</f>
        <v>3000</v>
      </c>
      <c r="S5" s="99"/>
      <c r="T5" s="99"/>
      <c r="U5" s="65" t="str">
        <f t="shared" ca="1" si="0"/>
        <v>VALIDER</v>
      </c>
      <c r="V5" s="100"/>
      <c r="W5" s="100">
        <v>44032</v>
      </c>
      <c r="X5" s="103"/>
      <c r="Y5" s="102">
        <v>44042</v>
      </c>
      <c r="Z5" s="94"/>
      <c r="AA5" s="101"/>
      <c r="AB5" s="95"/>
      <c r="AC5" s="96"/>
    </row>
    <row r="6" spans="1:29" s="56" customFormat="1" ht="15.75">
      <c r="A6" s="132" t="str">
        <f>CONCATENATE(Tableau16[[#This Row],[CT]],Tableau16[[#This Row],[CHANTIER]],Tableau16[[#This Row],[SOUS TRAITANT]],Tableau16[[#This Row],[MO]])</f>
        <v>ARNAUDST MICHEL SUR ORGEAspirit</v>
      </c>
      <c r="B6" s="239" t="s">
        <v>146</v>
      </c>
      <c r="C6" s="90"/>
      <c r="D6" s="232" t="s">
        <v>160</v>
      </c>
      <c r="E6" s="240" t="s">
        <v>70</v>
      </c>
      <c r="F6" s="96"/>
      <c r="G6" s="97"/>
      <c r="H6" s="241" t="s">
        <v>171</v>
      </c>
      <c r="I6" s="98">
        <f>VLOOKUP(H6,Tableau11[[SOUS TRAITANT]:[PU MARCHE]],3,FALSE)</f>
        <v>1100</v>
      </c>
      <c r="J6" s="91" t="s">
        <v>140</v>
      </c>
      <c r="K6" s="91" t="s">
        <v>144</v>
      </c>
      <c r="L6" s="242">
        <v>100000</v>
      </c>
      <c r="M6" s="67">
        <f ca="1">IF(Tableau16[[#This Row],[MARCHEINT]]&gt;1,Tableau16[[#This Row],[MONTANT BC]]*30%,Tableau16[[#This Row],[MONTANT BC]])</f>
        <v>0</v>
      </c>
      <c r="N6" s="67">
        <f ca="1"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85000</v>
      </c>
      <c r="O6" s="67">
        <f>Tableau16[MONTANT BC]*5%</f>
        <v>5000</v>
      </c>
      <c r="P6" s="67">
        <f>Tableau16[[#This Row],[MONTANT BC]]*2%</f>
        <v>2000</v>
      </c>
      <c r="Q6" s="67">
        <f>Tableau16[[#This Row],[MONTANT BC]]*5%</f>
        <v>5000</v>
      </c>
      <c r="R6" s="67">
        <f>(Tableau16[[#This Row],[MONTANT BC]]*3%)</f>
        <v>3000</v>
      </c>
      <c r="S6" s="99"/>
      <c r="T6" s="99"/>
      <c r="U6" s="65" t="str">
        <f t="shared" ca="1" si="0"/>
        <v>VALIDER_PAR_DEFFAUT</v>
      </c>
      <c r="V6" s="100"/>
      <c r="W6" s="100">
        <v>44063</v>
      </c>
      <c r="X6" s="103"/>
      <c r="Y6" s="102"/>
      <c r="Z6" s="94"/>
      <c r="AA6" s="101"/>
      <c r="AB6" s="95"/>
      <c r="AC6" s="96"/>
    </row>
    <row r="7" spans="1:29" s="56" customFormat="1" ht="15.75">
      <c r="A7" s="132" t="str">
        <f>CONCATENATE(Tableau16[[#This Row],[CT]],Tableau16[[#This Row],[CHANTIER]],Tableau16[[#This Row],[SOUS TRAITANT]],Tableau16[[#This Row],[MO]])</f>
        <v>ARNAUDST CYR Aspirit</v>
      </c>
      <c r="B7" s="239" t="s">
        <v>146</v>
      </c>
      <c r="C7" s="90"/>
      <c r="D7" s="232" t="s">
        <v>160</v>
      </c>
      <c r="E7" s="240" t="s">
        <v>72</v>
      </c>
      <c r="F7" s="96"/>
      <c r="G7" s="97"/>
      <c r="H7" s="241" t="s">
        <v>171</v>
      </c>
      <c r="I7" s="98">
        <f>VLOOKUP(H7,Tableau11[[SOUS TRAITANT]:[PU MARCHE]],3,FALSE)</f>
        <v>1100</v>
      </c>
      <c r="J7" s="91" t="s">
        <v>140</v>
      </c>
      <c r="K7" s="91" t="s">
        <v>144</v>
      </c>
      <c r="L7" s="242">
        <v>100000</v>
      </c>
      <c r="M7" s="67">
        <f ca="1">IF(Tableau16[[#This Row],[MARCHEINT]]&gt;1,Tableau16[[#This Row],[MONTANT BC]]*30%,Tableau16[[#This Row],[MONTANT BC]])</f>
        <v>0</v>
      </c>
      <c r="N7" s="67">
        <f ca="1"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7" s="67">
        <f>Tableau16[MONTANT BC]*5%</f>
        <v>5000</v>
      </c>
      <c r="P7" s="67">
        <f>Tableau16[[#This Row],[MONTANT BC]]*2%</f>
        <v>2000</v>
      </c>
      <c r="Q7" s="67">
        <f>Tableau16[[#This Row],[MONTANT BC]]*5%</f>
        <v>5000</v>
      </c>
      <c r="R7" s="67">
        <f>(Tableau16[[#This Row],[MONTANT BC]]*3%)</f>
        <v>3000</v>
      </c>
      <c r="S7" s="99"/>
      <c r="T7" s="99"/>
      <c r="U7" s="65" t="str">
        <f t="shared" ca="1" si="0"/>
        <v>EN_COURS</v>
      </c>
      <c r="V7" s="100"/>
      <c r="W7" s="100"/>
      <c r="X7" s="103"/>
      <c r="Y7" s="102"/>
      <c r="Z7" s="94"/>
      <c r="AA7" s="101"/>
      <c r="AB7" s="95"/>
      <c r="AC7" s="96"/>
    </row>
    <row r="8" spans="1:29" s="56" customFormat="1" ht="15.75">
      <c r="A8" s="132" t="str">
        <f>CONCATENATE(Tableau16[[#This Row],[CT]],Tableau16[[#This Row],[CHANTIER]],Tableau16[[#This Row],[SOUS TRAITANT]],Tableau16[[#This Row],[MO]])</f>
        <v>ARNAUDPUTEAU CORDELIAAspirit</v>
      </c>
      <c r="B8" s="239" t="s">
        <v>146</v>
      </c>
      <c r="C8" s="90"/>
      <c r="D8" s="232" t="s">
        <v>160</v>
      </c>
      <c r="E8" s="240" t="s">
        <v>73</v>
      </c>
      <c r="F8" s="96"/>
      <c r="G8" s="97"/>
      <c r="H8" s="241" t="s">
        <v>171</v>
      </c>
      <c r="I8" s="98">
        <f>VLOOKUP(H8,Tableau11[[SOUS TRAITANT]:[PU MARCHE]],3,FALSE)</f>
        <v>1100</v>
      </c>
      <c r="J8" s="91" t="s">
        <v>140</v>
      </c>
      <c r="K8" s="91" t="s">
        <v>144</v>
      </c>
      <c r="L8" s="242">
        <v>100000</v>
      </c>
      <c r="M8" s="67">
        <f>Tableau16[[#This Row],[MONTANT BC]]*30%</f>
        <v>30000</v>
      </c>
      <c r="N8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8" s="67">
        <f>Tableau16[MONTANT BC]*5%</f>
        <v>5000</v>
      </c>
      <c r="P8" s="67">
        <f>Tableau16[[#This Row],[MONTANT BC]]*2%</f>
        <v>2000</v>
      </c>
      <c r="Q8" s="67">
        <f>Tableau16[[#This Row],[MONTANT BC]]*5%</f>
        <v>5000</v>
      </c>
      <c r="R8" s="67">
        <f>(Tableau16[[#This Row],[MONTANT BC]]*3%)</f>
        <v>3000</v>
      </c>
      <c r="S8" s="99"/>
      <c r="T8" s="99"/>
      <c r="U8" s="65" t="str">
        <f t="shared" ca="1" si="0"/>
        <v>EN_COURS</v>
      </c>
      <c r="V8" s="100"/>
      <c r="W8" s="100"/>
      <c r="X8" s="103"/>
      <c r="Y8" s="102"/>
      <c r="Z8" s="94"/>
      <c r="AA8" s="101"/>
      <c r="AB8" s="95"/>
      <c r="AC8" s="96"/>
    </row>
    <row r="9" spans="1:29" s="56" customFormat="1" ht="15.75">
      <c r="A9" s="132" t="str">
        <f>CONCATENATE(Tableau16[[#This Row],[CT]],Tableau16[[#This Row],[CHANTIER]],Tableau16[[#This Row],[SOUS TRAITANT]],Tableau16[[#This Row],[MO]])</f>
        <v>ARNAUDPUTEAU CORDELIAAspirit</v>
      </c>
      <c r="B9" s="239" t="s">
        <v>146</v>
      </c>
      <c r="C9" s="90"/>
      <c r="D9" s="232" t="s">
        <v>160</v>
      </c>
      <c r="E9" s="240" t="s">
        <v>73</v>
      </c>
      <c r="F9" s="96"/>
      <c r="G9" s="97"/>
      <c r="H9" s="241" t="s">
        <v>171</v>
      </c>
      <c r="I9" s="98">
        <f>VLOOKUP(H9,Tableau11[[SOUS TRAITANT]:[PU MARCHE]],3,FALSE)</f>
        <v>1100</v>
      </c>
      <c r="J9" s="91" t="s">
        <v>140</v>
      </c>
      <c r="K9" s="91" t="s">
        <v>144</v>
      </c>
      <c r="L9" s="242">
        <v>100000</v>
      </c>
      <c r="M9" s="67">
        <f>Tableau16[[#This Row],[MONTANT BC]]*30%</f>
        <v>30000</v>
      </c>
      <c r="N9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9" s="67">
        <f>Tableau16[MONTANT BC]*5%</f>
        <v>5000</v>
      </c>
      <c r="P9" s="67">
        <f>Tableau16[[#This Row],[MONTANT BC]]*2%</f>
        <v>2000</v>
      </c>
      <c r="Q9" s="67">
        <f>Tableau16[[#This Row],[MONTANT BC]]*5%</f>
        <v>5000</v>
      </c>
      <c r="R9" s="67">
        <f>(Tableau16[[#This Row],[MONTANT BC]]*3%)</f>
        <v>3000</v>
      </c>
      <c r="S9" s="99"/>
      <c r="T9" s="99"/>
      <c r="U9" s="65" t="str">
        <f t="shared" ca="1" si="0"/>
        <v>ENVOYER</v>
      </c>
      <c r="V9" s="100"/>
      <c r="W9" s="100">
        <v>44089</v>
      </c>
      <c r="X9" s="103"/>
      <c r="Y9" s="102"/>
      <c r="Z9" s="94"/>
      <c r="AA9" s="101"/>
      <c r="AB9" s="95"/>
      <c r="AC9" s="96"/>
    </row>
    <row r="10" spans="1:29" s="56" customFormat="1" ht="15.75">
      <c r="A10" s="132" t="str">
        <f>CONCATENATE(Tableau16[[#This Row],[CT]],Tableau16[[#This Row],[CHANTIER]],Tableau16[[#This Row],[SOUS TRAITANT]],Tableau16[[#This Row],[MO]])</f>
        <v>ARNAUDPUTEAU CORDELIAAspirit</v>
      </c>
      <c r="B10" s="239" t="s">
        <v>146</v>
      </c>
      <c r="C10" s="90"/>
      <c r="D10" s="232" t="s">
        <v>160</v>
      </c>
      <c r="E10" s="240" t="s">
        <v>73</v>
      </c>
      <c r="F10" s="96"/>
      <c r="G10" s="97"/>
      <c r="H10" s="241" t="s">
        <v>171</v>
      </c>
      <c r="I10" s="98">
        <f>VLOOKUP(H10,Tableau11[[SOUS TRAITANT]:[PU MARCHE]],3,FALSE)</f>
        <v>1100</v>
      </c>
      <c r="J10" s="91" t="s">
        <v>140</v>
      </c>
      <c r="K10" s="91" t="s">
        <v>144</v>
      </c>
      <c r="L10" s="242">
        <v>100000</v>
      </c>
      <c r="M10" s="67">
        <f>Tableau16[[#This Row],[MONTANT BC]]*30%</f>
        <v>30000</v>
      </c>
      <c r="N10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10" s="67">
        <f>Tableau16[MONTANT BC]*5%</f>
        <v>5000</v>
      </c>
      <c r="P10" s="67">
        <f>Tableau16[[#This Row],[MONTANT BC]]*2%</f>
        <v>2000</v>
      </c>
      <c r="Q10" s="67">
        <f>Tableau16[[#This Row],[MONTANT BC]]*5%</f>
        <v>5000</v>
      </c>
      <c r="R10" s="67">
        <f>(Tableau16[[#This Row],[MONTANT BC]]*3%)</f>
        <v>3000</v>
      </c>
      <c r="S10" s="99"/>
      <c r="T10" s="99"/>
      <c r="U10" s="65" t="str">
        <f t="shared" ca="1" si="0"/>
        <v>EN_COURS</v>
      </c>
      <c r="V10" s="100"/>
      <c r="W10" s="100"/>
      <c r="X10" s="103"/>
      <c r="Y10" s="102"/>
      <c r="Z10" s="94"/>
      <c r="AA10" s="101"/>
      <c r="AB10" s="95"/>
      <c r="AC10" s="96"/>
    </row>
    <row r="11" spans="1:29" s="56" customFormat="1" ht="15.75">
      <c r="A11" s="132" t="str">
        <f>CONCATENATE(Tableau16[[#This Row],[CT]],Tableau16[[#This Row],[CHANTIER]],Tableau16[[#This Row],[SOUS TRAITANT]],Tableau16[[#This Row],[MO]])</f>
        <v>FREDCHATENAY MALABRY - IRENADH2O</v>
      </c>
      <c r="B11" s="239" t="s">
        <v>201</v>
      </c>
      <c r="C11" s="90"/>
      <c r="D11" s="232" t="s">
        <v>161</v>
      </c>
      <c r="E11" s="240" t="s">
        <v>74</v>
      </c>
      <c r="F11" s="96"/>
      <c r="G11" s="97"/>
      <c r="H11" s="241" t="s">
        <v>174</v>
      </c>
      <c r="I11" s="98">
        <f>VLOOKUP(H11,Tableau11[[SOUS TRAITANT]:[PU MARCHE]],3,FALSE)</f>
        <v>1103</v>
      </c>
      <c r="J11" s="91" t="s">
        <v>140</v>
      </c>
      <c r="K11" s="91" t="s">
        <v>144</v>
      </c>
      <c r="L11" s="242">
        <v>100000</v>
      </c>
      <c r="M11" s="67">
        <f>Tableau16[[#This Row],[MONTANT BC]]*30%</f>
        <v>30000</v>
      </c>
      <c r="N11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11" s="67">
        <f>Tableau16[MONTANT BC]*5%</f>
        <v>5000</v>
      </c>
      <c r="P11" s="67">
        <f>Tableau16[[#This Row],[MONTANT BC]]*2%</f>
        <v>2000</v>
      </c>
      <c r="Q11" s="67">
        <f>Tableau16[[#This Row],[MONTANT BC]]*5%</f>
        <v>5000</v>
      </c>
      <c r="R11" s="67">
        <f>(Tableau16[[#This Row],[MONTANT BC]]*3%)</f>
        <v>3000</v>
      </c>
      <c r="S11" s="99"/>
      <c r="T11" s="99"/>
      <c r="U11" s="65" t="str">
        <f t="shared" ca="1" si="0"/>
        <v>EN_COURS</v>
      </c>
      <c r="V11" s="100"/>
      <c r="W11" s="100"/>
      <c r="X11" s="103"/>
      <c r="Y11" s="103"/>
      <c r="Z11" s="101"/>
      <c r="AA11" s="101"/>
      <c r="AB11" s="95"/>
      <c r="AC11" s="96"/>
    </row>
    <row r="12" spans="1:29" s="56" customFormat="1" ht="15.75">
      <c r="A12" s="132" t="str">
        <f>CONCATENATE(Tableau16[[#This Row],[CT]],Tableau16[[#This Row],[CHANTIER]],Tableau16[[#This Row],[SOUS TRAITANT]],Tableau16[[#This Row],[MO]])</f>
        <v>FREDCHATENAY MALABRY - IRENADH2O</v>
      </c>
      <c r="B12" s="239" t="s">
        <v>201</v>
      </c>
      <c r="C12" s="90"/>
      <c r="D12" s="232" t="s">
        <v>161</v>
      </c>
      <c r="E12" s="240" t="s">
        <v>74</v>
      </c>
      <c r="F12" s="96"/>
      <c r="G12" s="97"/>
      <c r="H12" s="241" t="s">
        <v>174</v>
      </c>
      <c r="I12" s="98">
        <f>VLOOKUP(H12,Tableau11[[SOUS TRAITANT]:[PU MARCHE]],3,FALSE)</f>
        <v>1103</v>
      </c>
      <c r="J12" s="91" t="s">
        <v>140</v>
      </c>
      <c r="K12" s="91" t="s">
        <v>144</v>
      </c>
      <c r="L12" s="242">
        <v>100000</v>
      </c>
      <c r="M12" s="67">
        <f>Tableau16[[#This Row],[MONTANT BC]]*30%</f>
        <v>30000</v>
      </c>
      <c r="N12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12" s="67">
        <f>Tableau16[MONTANT BC]*5%</f>
        <v>5000</v>
      </c>
      <c r="P12" s="67">
        <f>Tableau16[[#This Row],[MONTANT BC]]*2%</f>
        <v>2000</v>
      </c>
      <c r="Q12" s="67">
        <f>Tableau16[[#This Row],[MONTANT BC]]*5%</f>
        <v>5000</v>
      </c>
      <c r="R12" s="67">
        <f>(Tableau16[[#This Row],[MONTANT BC]]*3%)</f>
        <v>3000</v>
      </c>
      <c r="S12" s="99"/>
      <c r="T12" s="99"/>
      <c r="U12" s="65" t="str">
        <f t="shared" ca="1" si="0"/>
        <v>EN_COURS</v>
      </c>
      <c r="V12" s="100"/>
      <c r="W12" s="100"/>
      <c r="X12" s="103"/>
      <c r="Y12" s="103"/>
      <c r="Z12" s="101"/>
      <c r="AA12" s="101"/>
      <c r="AB12" s="95"/>
      <c r="AC12" s="96"/>
    </row>
    <row r="13" spans="1:29" s="56" customFormat="1" ht="15.75">
      <c r="A13" s="132" t="str">
        <f>CONCATENATE(Tableau16[[#This Row],[CT]],Tableau16[[#This Row],[CHANTIER]],Tableau16[[#This Row],[SOUS TRAITANT]],Tableau16[[#This Row],[MO]])</f>
        <v>FREDCHATENAY MALABRY - IRENADH2O</v>
      </c>
      <c r="B13" s="239" t="s">
        <v>201</v>
      </c>
      <c r="C13" s="90"/>
      <c r="D13" s="232" t="s">
        <v>161</v>
      </c>
      <c r="E13" s="240" t="s">
        <v>74</v>
      </c>
      <c r="F13" s="96"/>
      <c r="G13" s="97"/>
      <c r="H13" s="241" t="s">
        <v>174</v>
      </c>
      <c r="I13" s="98">
        <f>VLOOKUP(H13,Tableau11[[SOUS TRAITANT]:[PU MARCHE]],3,FALSE)</f>
        <v>1103</v>
      </c>
      <c r="J13" s="91" t="s">
        <v>140</v>
      </c>
      <c r="K13" s="91" t="s">
        <v>144</v>
      </c>
      <c r="L13" s="242">
        <v>100000</v>
      </c>
      <c r="M13" s="67">
        <f>Tableau16[[#This Row],[MONTANT BC]]*30%</f>
        <v>30000</v>
      </c>
      <c r="N13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13" s="67">
        <f>Tableau16[MONTANT BC]*5%</f>
        <v>5000</v>
      </c>
      <c r="P13" s="67">
        <f>Tableau16[[#This Row],[MONTANT BC]]*2%</f>
        <v>2000</v>
      </c>
      <c r="Q13" s="67">
        <f>Tableau16[[#This Row],[MONTANT BC]]*5%</f>
        <v>5000</v>
      </c>
      <c r="R13" s="67">
        <f>(Tableau16[[#This Row],[MONTANT BC]]*3%)</f>
        <v>3000</v>
      </c>
      <c r="S13" s="99"/>
      <c r="T13" s="99"/>
      <c r="U13" s="65" t="str">
        <f t="shared" ca="1" si="0"/>
        <v>EN_COURS</v>
      </c>
      <c r="V13" s="100"/>
      <c r="W13" s="100"/>
      <c r="X13" s="103"/>
      <c r="Y13" s="103"/>
      <c r="Z13" s="101"/>
      <c r="AA13" s="101"/>
      <c r="AB13" s="95"/>
      <c r="AC13" s="96"/>
    </row>
    <row r="14" spans="1:29" s="56" customFormat="1" ht="15.75">
      <c r="A14" s="132" t="str">
        <f>CONCATENATE(Tableau16[[#This Row],[CT]],Tableau16[[#This Row],[CHANTIER]],Tableau16[[#This Row],[SOUS TRAITANT]],Tableau16[[#This Row],[MO]])</f>
        <v>FREDCHATENAY MALABRY - IRENAFH2O</v>
      </c>
      <c r="B14" s="239" t="s">
        <v>201</v>
      </c>
      <c r="C14" s="96"/>
      <c r="D14" s="232" t="s">
        <v>161</v>
      </c>
      <c r="E14" s="240" t="s">
        <v>74</v>
      </c>
      <c r="F14" s="96"/>
      <c r="G14" s="97"/>
      <c r="H14" s="241" t="s">
        <v>176</v>
      </c>
      <c r="I14" s="98">
        <f>VLOOKUP(H14,Tableau11[[SOUS TRAITANT]:[PU MARCHE]],3,FALSE)</f>
        <v>1105</v>
      </c>
      <c r="J14" s="91" t="s">
        <v>140</v>
      </c>
      <c r="K14" s="91" t="s">
        <v>144</v>
      </c>
      <c r="L14" s="242">
        <v>100000</v>
      </c>
      <c r="M14" s="67">
        <f>Tableau16[[#This Row],[MONTANT BC]]*30%</f>
        <v>30000</v>
      </c>
      <c r="N14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14" s="67">
        <f>Tableau16[MONTANT BC]*5%</f>
        <v>5000</v>
      </c>
      <c r="P14" s="67">
        <f>Tableau16[[#This Row],[MONTANT BC]]*2%</f>
        <v>2000</v>
      </c>
      <c r="Q14" s="67">
        <f>Tableau16[[#This Row],[MONTANT BC]]*5%</f>
        <v>5000</v>
      </c>
      <c r="R14" s="67">
        <f>(Tableau16[[#This Row],[MONTANT BC]]*3%)</f>
        <v>3000</v>
      </c>
      <c r="S14" s="99"/>
      <c r="T14" s="99"/>
      <c r="U14" s="65" t="str">
        <f t="shared" ca="1" si="0"/>
        <v>EN_COURS</v>
      </c>
      <c r="V14" s="100"/>
      <c r="W14" s="100"/>
      <c r="X14" s="103"/>
      <c r="Y14" s="103"/>
      <c r="Z14" s="101"/>
      <c r="AA14" s="101"/>
      <c r="AB14" s="95"/>
      <c r="AC14" s="96"/>
    </row>
    <row r="15" spans="1:29" s="56" customFormat="1" ht="15.75">
      <c r="A15" s="132" t="str">
        <f>CONCATENATE(Tableau16[[#This Row],[CT]],Tableau16[[#This Row],[CHANTIER]],Tableau16[[#This Row],[SOUS TRAITANT]],Tableau16[[#This Row],[MO]])</f>
        <v>FREDCHATENAY MALABRY - IRENAFH2O</v>
      </c>
      <c r="B15" s="239" t="s">
        <v>201</v>
      </c>
      <c r="C15" s="96"/>
      <c r="D15" s="232" t="s">
        <v>161</v>
      </c>
      <c r="E15" s="240" t="s">
        <v>74</v>
      </c>
      <c r="F15" s="96"/>
      <c r="G15" s="97"/>
      <c r="H15" s="241" t="s">
        <v>176</v>
      </c>
      <c r="I15" s="98">
        <f>VLOOKUP(H15,Tableau11[[SOUS TRAITANT]:[PU MARCHE]],3,FALSE)</f>
        <v>1105</v>
      </c>
      <c r="J15" s="91"/>
      <c r="K15" s="91" t="s">
        <v>144</v>
      </c>
      <c r="L15" s="242">
        <v>100000</v>
      </c>
      <c r="M15" s="67">
        <f>Tableau16[[#This Row],[MONTANT BC]]*30%</f>
        <v>30000</v>
      </c>
      <c r="N15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15" s="67">
        <f>Tableau16[MONTANT BC]*5%</f>
        <v>5000</v>
      </c>
      <c r="P15" s="67">
        <f>Tableau16[[#This Row],[MONTANT BC]]*2%</f>
        <v>2000</v>
      </c>
      <c r="Q15" s="67">
        <f>Tableau16[[#This Row],[MONTANT BC]]*5%</f>
        <v>5000</v>
      </c>
      <c r="R15" s="67">
        <f>(Tableau16[[#This Row],[MONTANT BC]]*3%)</f>
        <v>3000</v>
      </c>
      <c r="S15" s="99"/>
      <c r="T15" s="99"/>
      <c r="U15" s="65" t="str">
        <f t="shared" ca="1" si="0"/>
        <v/>
      </c>
      <c r="V15" s="100"/>
      <c r="W15" s="100"/>
      <c r="X15" s="103"/>
      <c r="Y15" s="103"/>
      <c r="Z15" s="101"/>
      <c r="AA15" s="101"/>
      <c r="AB15" s="95"/>
      <c r="AC15" s="96"/>
    </row>
    <row r="16" spans="1:29" s="56" customFormat="1" ht="15.75">
      <c r="A16" s="132" t="str">
        <f>CONCATENATE(Tableau16[[#This Row],[CT]],Tableau16[[#This Row],[CHANTIER]],Tableau16[[#This Row],[SOUS TRAITANT]],Tableau16[[#This Row],[MO]])</f>
        <v>JONATHANST MAURDH2O</v>
      </c>
      <c r="B16" s="239" t="s">
        <v>201</v>
      </c>
      <c r="C16" s="96"/>
      <c r="D16" s="232" t="s">
        <v>162</v>
      </c>
      <c r="E16" s="240" t="s">
        <v>75</v>
      </c>
      <c r="F16" s="96"/>
      <c r="G16" s="97"/>
      <c r="H16" s="241" t="s">
        <v>174</v>
      </c>
      <c r="I16" s="98">
        <f>VLOOKUP(H16,Tableau11[[SOUS TRAITANT]:[PU MARCHE]],3,FALSE)</f>
        <v>1103</v>
      </c>
      <c r="J16" s="91"/>
      <c r="K16" s="91" t="s">
        <v>144</v>
      </c>
      <c r="L16" s="242">
        <v>100000</v>
      </c>
      <c r="M16" s="67">
        <f>Tableau16[[#This Row],[MONTANT BC]]*30%</f>
        <v>30000</v>
      </c>
      <c r="N16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16" s="67">
        <f>Tableau16[MONTANT BC]*5%</f>
        <v>5000</v>
      </c>
      <c r="P16" s="67">
        <f>Tableau16[[#This Row],[MONTANT BC]]*2%</f>
        <v>2000</v>
      </c>
      <c r="Q16" s="67">
        <f>Tableau16[[#This Row],[MONTANT BC]]*5%</f>
        <v>5000</v>
      </c>
      <c r="R16" s="67">
        <f>(Tableau16[[#This Row],[MONTANT BC]]*3%)</f>
        <v>3000</v>
      </c>
      <c r="S16" s="99"/>
      <c r="T16" s="99"/>
      <c r="U16" s="65" t="str">
        <f t="shared" ca="1" si="0"/>
        <v/>
      </c>
      <c r="V16" s="100"/>
      <c r="W16" s="100"/>
      <c r="X16" s="103"/>
      <c r="Y16" s="103"/>
      <c r="Z16" s="101"/>
      <c r="AA16" s="101"/>
      <c r="AB16" s="95"/>
      <c r="AC16" s="96"/>
    </row>
    <row r="17" spans="1:29" s="56" customFormat="1" ht="15.75">
      <c r="A17" s="132" t="str">
        <f>CONCATENATE(Tableau16[[#This Row],[CT]],Tableau16[[#This Row],[CHANTIER]],Tableau16[[#This Row],[SOUS TRAITANT]],Tableau16[[#This Row],[MO]])</f>
        <v>JONATHANCHATENAY MALABRY - ANDREA 2DH2O</v>
      </c>
      <c r="B17" s="239" t="s">
        <v>201</v>
      </c>
      <c r="C17" s="96"/>
      <c r="D17" s="232" t="s">
        <v>162</v>
      </c>
      <c r="E17" s="240" t="s">
        <v>77</v>
      </c>
      <c r="F17" s="96"/>
      <c r="G17" s="97"/>
      <c r="H17" s="241" t="s">
        <v>174</v>
      </c>
      <c r="I17" s="98">
        <f>VLOOKUP(H17,Tableau11[[SOUS TRAITANT]:[PU MARCHE]],3,FALSE)</f>
        <v>1103</v>
      </c>
      <c r="J17" s="91"/>
      <c r="K17" s="91" t="s">
        <v>144</v>
      </c>
      <c r="L17" s="242">
        <v>100000</v>
      </c>
      <c r="M17" s="67">
        <f>Tableau16[[#This Row],[MONTANT BC]]*30%</f>
        <v>30000</v>
      </c>
      <c r="N17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17" s="67">
        <f>Tableau16[MONTANT BC]*5%</f>
        <v>5000</v>
      </c>
      <c r="P17" s="67">
        <f>Tableau16[[#This Row],[MONTANT BC]]*2%</f>
        <v>2000</v>
      </c>
      <c r="Q17" s="67">
        <f>Tableau16[[#This Row],[MONTANT BC]]*5%</f>
        <v>5000</v>
      </c>
      <c r="R17" s="67">
        <f>(Tableau16[[#This Row],[MONTANT BC]]*3%)</f>
        <v>3000</v>
      </c>
      <c r="S17" s="99"/>
      <c r="T17" s="99"/>
      <c r="U17" s="65" t="str">
        <f t="shared" ca="1" si="0"/>
        <v/>
      </c>
      <c r="V17" s="100"/>
      <c r="W17" s="100"/>
      <c r="X17" s="103"/>
      <c r="Y17" s="103"/>
      <c r="Z17" s="101"/>
      <c r="AA17" s="101"/>
      <c r="AB17" s="95"/>
      <c r="AC17" s="96"/>
    </row>
    <row r="18" spans="1:29" s="56" customFormat="1" ht="15.75">
      <c r="A18" s="133" t="str">
        <f>CONCATENATE(Tableau16[[#This Row],[CT]],Tableau16[[#This Row],[CHANTIER]],Tableau16[[#This Row],[SOUS TRAITANT]],Tableau16[[#This Row],[MO]])</f>
        <v>JONATHANCLAMART - LORENADH2O</v>
      </c>
      <c r="B18" s="239" t="s">
        <v>201</v>
      </c>
      <c r="C18" s="104"/>
      <c r="D18" s="232" t="s">
        <v>162</v>
      </c>
      <c r="E18" s="240" t="s">
        <v>79</v>
      </c>
      <c r="F18" s="104"/>
      <c r="G18" s="105"/>
      <c r="H18" s="241" t="s">
        <v>174</v>
      </c>
      <c r="I18" s="106">
        <f>VLOOKUP(H18,Tableau11[[SOUS TRAITANT]:[PU MARCHE]],3,FALSE)</f>
        <v>1103</v>
      </c>
      <c r="J18" s="107" t="s">
        <v>155</v>
      </c>
      <c r="K18" s="91" t="s">
        <v>144</v>
      </c>
      <c r="L18" s="242">
        <v>100000</v>
      </c>
      <c r="M18" s="67">
        <f>Tableau16[[#This Row],[MONTANT BC]]*30%</f>
        <v>30000</v>
      </c>
      <c r="N18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18" s="108">
        <f>Tableau16[MONTANT BC]*5%</f>
        <v>5000</v>
      </c>
      <c r="P18" s="108">
        <f>Tableau16[[#This Row],[MONTANT BC]]*2%</f>
        <v>2000</v>
      </c>
      <c r="Q18" s="108">
        <f>Tableau16[[#This Row],[MONTANT BC]]*5%</f>
        <v>5000</v>
      </c>
      <c r="R18" s="108">
        <f>(Tableau16[[#This Row],[MONTANT BC]]*3%)</f>
        <v>3000</v>
      </c>
      <c r="S18" s="109"/>
      <c r="T18" s="109"/>
      <c r="U18" s="110" t="str">
        <f t="shared" ca="1" si="0"/>
        <v>VALIDER_PAR_DEFFAUT</v>
      </c>
      <c r="V18" s="111"/>
      <c r="W18" s="111">
        <v>44046</v>
      </c>
      <c r="X18" s="112"/>
      <c r="Y18" s="112"/>
      <c r="Z18" s="101"/>
      <c r="AA18" s="101"/>
      <c r="AB18" s="95"/>
      <c r="AC18" s="96"/>
    </row>
    <row r="19" spans="1:29" s="56" customFormat="1" ht="15.75">
      <c r="A19" s="143" t="str">
        <f>CONCATENATE(Tableau16[[#This Row],[CT]],Tableau16[[#This Row],[CHANTIER]],Tableau16[[#This Row],[SOUS TRAITANT]],Tableau16[[#This Row],[MO]])</f>
        <v>JONATHANSAINT PIERRE LES NEMOURSDH2O</v>
      </c>
      <c r="B19" s="239" t="s">
        <v>201</v>
      </c>
      <c r="C19" s="144"/>
      <c r="D19" s="232" t="s">
        <v>162</v>
      </c>
      <c r="E19" s="240" t="s">
        <v>81</v>
      </c>
      <c r="F19" s="144"/>
      <c r="G19" s="145"/>
      <c r="H19" s="241" t="s">
        <v>174</v>
      </c>
      <c r="I19" s="146">
        <f>VLOOKUP(H19,Tableau11[[SOUS TRAITANT]:[PU MARCHE]],3,FALSE)</f>
        <v>1103</v>
      </c>
      <c r="J19" s="147"/>
      <c r="K19" s="91" t="s">
        <v>144</v>
      </c>
      <c r="L19" s="242">
        <v>100000</v>
      </c>
      <c r="M19" s="67">
        <f>Tableau16[[#This Row],[MONTANT BC]]*30%</f>
        <v>30000</v>
      </c>
      <c r="N19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19" s="67">
        <f>Tableau16[MONTANT BC]*5%</f>
        <v>5000</v>
      </c>
      <c r="P19" s="67">
        <f>Tableau16[[#This Row],[MONTANT BC]]*2%</f>
        <v>2000</v>
      </c>
      <c r="Q19" s="67">
        <f>Tableau16[[#This Row],[MONTANT BC]]*5%</f>
        <v>5000</v>
      </c>
      <c r="R19" s="67">
        <f>(Tableau16[[#This Row],[MONTANT BC]]*3%)</f>
        <v>3000</v>
      </c>
      <c r="S19" s="148"/>
      <c r="T19" s="148"/>
      <c r="U19" s="65" t="str">
        <f t="shared" ca="1" si="0"/>
        <v/>
      </c>
      <c r="V19" s="149"/>
      <c r="W19" s="149"/>
      <c r="X19" s="150"/>
      <c r="Y19" s="150"/>
    </row>
    <row r="20" spans="1:29" s="56" customFormat="1" ht="15.75">
      <c r="A20" s="143" t="str">
        <f>CONCATENATE(Tableau16[[#This Row],[CT]],Tableau16[[#This Row],[CHANTIER]],Tableau16[[#This Row],[SOUS TRAITANT]],Tableau16[[#This Row],[MO]])</f>
        <v>JONATHANNANDYDOPALE</v>
      </c>
      <c r="B20" s="239" t="s">
        <v>202</v>
      </c>
      <c r="C20" s="144"/>
      <c r="D20" s="232" t="s">
        <v>162</v>
      </c>
      <c r="E20" s="240" t="s">
        <v>82</v>
      </c>
      <c r="F20" s="144"/>
      <c r="G20" s="145"/>
      <c r="H20" s="241" t="s">
        <v>174</v>
      </c>
      <c r="I20" s="146">
        <f>VLOOKUP(H20,Tableau11[[SOUS TRAITANT]:[PU MARCHE]],3,FALSE)</f>
        <v>1103</v>
      </c>
      <c r="J20" s="147"/>
      <c r="K20" s="91" t="s">
        <v>144</v>
      </c>
      <c r="L20" s="242">
        <v>100000</v>
      </c>
      <c r="M20" s="67">
        <f>Tableau16[[#This Row],[MONTANT BC]]*30%</f>
        <v>30000</v>
      </c>
      <c r="N20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20" s="67">
        <f>Tableau16[MONTANT BC]*5%</f>
        <v>5000</v>
      </c>
      <c r="P20" s="67">
        <f>Tableau16[[#This Row],[MONTANT BC]]*2%</f>
        <v>2000</v>
      </c>
      <c r="Q20" s="67">
        <f>Tableau16[[#This Row],[MONTANT BC]]*5%</f>
        <v>5000</v>
      </c>
      <c r="R20" s="67">
        <f>(Tableau16[[#This Row],[MONTANT BC]]*3%)</f>
        <v>3000</v>
      </c>
      <c r="S20" s="148"/>
      <c r="T20" s="148"/>
      <c r="U20" s="65" t="str">
        <f t="shared" ca="1" si="0"/>
        <v/>
      </c>
      <c r="V20" s="149"/>
      <c r="W20" s="149"/>
      <c r="X20" s="150"/>
      <c r="Y20" s="150"/>
    </row>
    <row r="21" spans="1:29" ht="15.75">
      <c r="A21" s="143" t="str">
        <f>CONCATENATE(Tableau16[[#This Row],[CT]],Tableau16[[#This Row],[CHANTIER]],Tableau16[[#This Row],[SOUS TRAITANT]],Tableau16[[#This Row],[MO]])</f>
        <v>JONATHANNANDYDOPALE</v>
      </c>
      <c r="B21" s="239" t="s">
        <v>202</v>
      </c>
      <c r="C21" s="144"/>
      <c r="D21" s="232" t="s">
        <v>162</v>
      </c>
      <c r="E21" s="240" t="s">
        <v>82</v>
      </c>
      <c r="F21" s="144"/>
      <c r="G21" s="145"/>
      <c r="H21" s="241" t="s">
        <v>174</v>
      </c>
      <c r="I21" s="146">
        <f>VLOOKUP(H21,Tableau11[[SOUS TRAITANT]:[PU MARCHE]],3,FALSE)</f>
        <v>1103</v>
      </c>
      <c r="J21" s="147"/>
      <c r="K21" s="91" t="s">
        <v>144</v>
      </c>
      <c r="L21" s="242">
        <v>100000</v>
      </c>
      <c r="M21" s="67">
        <f>Tableau16[[#This Row],[MONTANT BC]]*30%</f>
        <v>30000</v>
      </c>
      <c r="N21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21" s="67">
        <f>Tableau16[MONTANT BC]*5%</f>
        <v>5000</v>
      </c>
      <c r="P21" s="67">
        <f>Tableau16[[#This Row],[MONTANT BC]]*2%</f>
        <v>2000</v>
      </c>
      <c r="Q21" s="67">
        <f>Tableau16[[#This Row],[MONTANT BC]]*5%</f>
        <v>5000</v>
      </c>
      <c r="R21" s="67">
        <f>(Tableau16[[#This Row],[MONTANT BC]]*3%)</f>
        <v>3000</v>
      </c>
      <c r="S21" s="148"/>
      <c r="T21" s="148"/>
      <c r="U21" s="65" t="str">
        <f t="shared" ca="1" si="0"/>
        <v/>
      </c>
      <c r="V21" s="149"/>
      <c r="W21" s="149"/>
      <c r="X21" s="150"/>
      <c r="Y21" s="150"/>
    </row>
    <row r="22" spans="1:29" ht="15.75">
      <c r="A22" s="143" t="str">
        <f>CONCATENATE(Tableau16[[#This Row],[CT]],Tableau16[[#This Row],[CHANTIER]],Tableau16[[#This Row],[SOUS TRAITANT]],Tableau16[[#This Row],[MO]])</f>
        <v>JONATHANBRETIGNU SUR ORGEIOPALE</v>
      </c>
      <c r="B22" s="239" t="s">
        <v>202</v>
      </c>
      <c r="C22" s="144"/>
      <c r="D22" s="232" t="s">
        <v>162</v>
      </c>
      <c r="E22" s="240" t="s">
        <v>85</v>
      </c>
      <c r="F22" s="144"/>
      <c r="G22" s="145"/>
      <c r="H22" s="241" t="s">
        <v>178</v>
      </c>
      <c r="I22" s="146">
        <f>VLOOKUP(H22,Tableau11[[SOUS TRAITANT]:[PU MARCHE]],3,FALSE)</f>
        <v>1108</v>
      </c>
      <c r="J22" s="147"/>
      <c r="K22" s="91" t="s">
        <v>144</v>
      </c>
      <c r="L22" s="242">
        <v>100000</v>
      </c>
      <c r="M22" s="67">
        <f>Tableau16[[#This Row],[MONTANT BC]]*30%</f>
        <v>30000</v>
      </c>
      <c r="N22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22" s="67">
        <f>Tableau16[MONTANT BC]*5%</f>
        <v>5000</v>
      </c>
      <c r="P22" s="67">
        <f>Tableau16[[#This Row],[MONTANT BC]]*2%</f>
        <v>2000</v>
      </c>
      <c r="Q22" s="67">
        <f>Tableau16[[#This Row],[MONTANT BC]]*5%</f>
        <v>5000</v>
      </c>
      <c r="R22" s="67">
        <f>(Tableau16[[#This Row],[MONTANT BC]]*3%)</f>
        <v>3000</v>
      </c>
      <c r="S22" s="148"/>
      <c r="T22" s="148"/>
      <c r="U22" s="65" t="str">
        <f t="shared" ca="1" si="0"/>
        <v/>
      </c>
      <c r="V22" s="149"/>
      <c r="W22" s="149"/>
      <c r="X22" s="150"/>
      <c r="Y22" s="150"/>
    </row>
    <row r="23" spans="1:29" ht="15.75">
      <c r="A23" s="143" t="str">
        <f>CONCATENATE(Tableau16[[#This Row],[CT]],Tableau16[[#This Row],[CHANTIER]],Tableau16[[#This Row],[SOUS TRAITANT]],Tableau16[[#This Row],[MO]])</f>
        <v>JONATHANBRETIGNU SUR ORGEIOPALE</v>
      </c>
      <c r="B23" s="239" t="s">
        <v>202</v>
      </c>
      <c r="C23" s="144"/>
      <c r="D23" s="232" t="s">
        <v>162</v>
      </c>
      <c r="E23" s="240" t="s">
        <v>85</v>
      </c>
      <c r="F23" s="144"/>
      <c r="G23" s="145"/>
      <c r="H23" s="241" t="s">
        <v>178</v>
      </c>
      <c r="I23" s="146">
        <f>VLOOKUP(H23,Tableau11[[SOUS TRAITANT]:[PU MARCHE]],3,FALSE)</f>
        <v>1108</v>
      </c>
      <c r="J23" s="147"/>
      <c r="K23" s="91" t="s">
        <v>144</v>
      </c>
      <c r="L23" s="242">
        <v>100000</v>
      </c>
      <c r="M23" s="67">
        <f>Tableau16[[#This Row],[MONTANT BC]]*30%</f>
        <v>30000</v>
      </c>
      <c r="N23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23" s="67">
        <f>Tableau16[MONTANT BC]*5%</f>
        <v>5000</v>
      </c>
      <c r="P23" s="67">
        <f>Tableau16[[#This Row],[MONTANT BC]]*2%</f>
        <v>2000</v>
      </c>
      <c r="Q23" s="67">
        <f>Tableau16[[#This Row],[MONTANT BC]]*5%</f>
        <v>5000</v>
      </c>
      <c r="R23" s="67">
        <f>(Tableau16[[#This Row],[MONTANT BC]]*3%)</f>
        <v>3000</v>
      </c>
      <c r="S23" s="148"/>
      <c r="T23" s="148"/>
      <c r="U23" s="65" t="str">
        <f t="shared" ca="1" si="0"/>
        <v/>
      </c>
      <c r="V23" s="149"/>
      <c r="W23" s="149"/>
      <c r="X23" s="150"/>
      <c r="Y23" s="150"/>
    </row>
    <row r="24" spans="1:29" ht="15.75">
      <c r="A24" s="143" t="str">
        <f>CONCATENATE(Tableau16[[#This Row],[CT]],Tableau16[[#This Row],[CHANTIER]],Tableau16[[#This Row],[SOUS TRAITANT]],Tableau16[[#This Row],[MO]])</f>
        <v>JONATHANSAINT FARGEAUIOPALE</v>
      </c>
      <c r="B24" s="239" t="s">
        <v>202</v>
      </c>
      <c r="C24" s="144"/>
      <c r="D24" s="232" t="s">
        <v>162</v>
      </c>
      <c r="E24" s="240" t="s">
        <v>88</v>
      </c>
      <c r="F24" s="144"/>
      <c r="G24" s="145"/>
      <c r="H24" s="241" t="s">
        <v>178</v>
      </c>
      <c r="I24" s="146">
        <f>VLOOKUP(H24,Tableau11[[SOUS TRAITANT]:[PU MARCHE]],3,FALSE)</f>
        <v>1108</v>
      </c>
      <c r="J24" s="147"/>
      <c r="K24" s="91" t="s">
        <v>144</v>
      </c>
      <c r="L24" s="242">
        <v>100000</v>
      </c>
      <c r="M24" s="67">
        <f>Tableau16[[#This Row],[MONTANT BC]]*30%</f>
        <v>30000</v>
      </c>
      <c r="N24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24" s="67">
        <f>Tableau16[MONTANT BC]*5%</f>
        <v>5000</v>
      </c>
      <c r="P24" s="67">
        <f>Tableau16[[#This Row],[MONTANT BC]]*2%</f>
        <v>2000</v>
      </c>
      <c r="Q24" s="67">
        <f>Tableau16[[#This Row],[MONTANT BC]]*5%</f>
        <v>5000</v>
      </c>
      <c r="R24" s="67">
        <f>(Tableau16[[#This Row],[MONTANT BC]]*3%)</f>
        <v>3000</v>
      </c>
      <c r="S24" s="148"/>
      <c r="T24" s="148"/>
      <c r="U24" s="65" t="str">
        <f t="shared" ca="1" si="0"/>
        <v/>
      </c>
      <c r="V24" s="149"/>
      <c r="W24" s="149"/>
      <c r="X24" s="150"/>
      <c r="Y24" s="150"/>
    </row>
    <row r="25" spans="1:29" ht="15.75">
      <c r="A25" s="143" t="str">
        <f>CONCATENATE(Tableau16[[#This Row],[CT]],Tableau16[[#This Row],[CHANTIER]],Tableau16[[#This Row],[SOUS TRAITANT]],Tableau16[[#This Row],[MO]])</f>
        <v>JONATHANSERVONIOPALE</v>
      </c>
      <c r="B25" s="239" t="s">
        <v>202</v>
      </c>
      <c r="C25" s="144"/>
      <c r="D25" s="232" t="s">
        <v>162</v>
      </c>
      <c r="E25" s="240" t="s">
        <v>90</v>
      </c>
      <c r="F25" s="144"/>
      <c r="G25" s="145"/>
      <c r="H25" s="241" t="s">
        <v>178</v>
      </c>
      <c r="I25" s="146">
        <f>VLOOKUP(H25,Tableau11[[SOUS TRAITANT]:[PU MARCHE]],3,FALSE)</f>
        <v>1108</v>
      </c>
      <c r="J25" s="147"/>
      <c r="K25" s="91" t="s">
        <v>144</v>
      </c>
      <c r="L25" s="242">
        <v>100000</v>
      </c>
      <c r="M25" s="67">
        <f>Tableau16[[#This Row],[MONTANT BC]]*30%</f>
        <v>30000</v>
      </c>
      <c r="N25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25" s="67">
        <f>Tableau16[MONTANT BC]*5%</f>
        <v>5000</v>
      </c>
      <c r="P25" s="67">
        <f>Tableau16[[#This Row],[MONTANT BC]]*2%</f>
        <v>2000</v>
      </c>
      <c r="Q25" s="67">
        <f>Tableau16[[#This Row],[MONTANT BC]]*5%</f>
        <v>5000</v>
      </c>
      <c r="R25" s="67">
        <f>(Tableau16[[#This Row],[MONTANT BC]]*3%)</f>
        <v>3000</v>
      </c>
      <c r="S25" s="148"/>
      <c r="T25" s="148"/>
      <c r="U25" s="65" t="str">
        <f t="shared" ca="1" si="0"/>
        <v/>
      </c>
      <c r="V25" s="149"/>
      <c r="W25" s="149"/>
      <c r="X25" s="150"/>
      <c r="Y25" s="150"/>
    </row>
    <row r="26" spans="1:29" ht="15.75">
      <c r="A26" s="143" t="str">
        <f>CONCATENATE(Tableau16[[#This Row],[CT]],Tableau16[[#This Row],[CHANTIER]],Tableau16[[#This Row],[SOUS TRAITANT]],Tableau16[[#This Row],[MO]])</f>
        <v>JONATHANROISSY EN BRIEIOPALE</v>
      </c>
      <c r="B26" s="239" t="s">
        <v>202</v>
      </c>
      <c r="C26" s="144"/>
      <c r="D26" s="232" t="s">
        <v>162</v>
      </c>
      <c r="E26" s="240" t="s">
        <v>92</v>
      </c>
      <c r="F26" s="144"/>
      <c r="G26" s="145"/>
      <c r="H26" s="241" t="s">
        <v>178</v>
      </c>
      <c r="I26" s="146">
        <f>VLOOKUP(H26,Tableau11[[SOUS TRAITANT]:[PU MARCHE]],3,FALSE)</f>
        <v>1108</v>
      </c>
      <c r="J26" s="147"/>
      <c r="K26" s="91" t="s">
        <v>144</v>
      </c>
      <c r="L26" s="242">
        <v>100000</v>
      </c>
      <c r="M26" s="67">
        <f>Tableau16[[#This Row],[MONTANT BC]]*30%</f>
        <v>30000</v>
      </c>
      <c r="N26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26" s="67">
        <f>Tableau16[MONTANT BC]*5%</f>
        <v>5000</v>
      </c>
      <c r="P26" s="67">
        <f>Tableau16[[#This Row],[MONTANT BC]]*2%</f>
        <v>2000</v>
      </c>
      <c r="Q26" s="67">
        <f>Tableau16[[#This Row],[MONTANT BC]]*5%</f>
        <v>5000</v>
      </c>
      <c r="R26" s="67">
        <f>(Tableau16[[#This Row],[MONTANT BC]]*3%)</f>
        <v>3000</v>
      </c>
      <c r="S26" s="148"/>
      <c r="T26" s="148"/>
      <c r="U26" s="65" t="str">
        <f t="shared" ca="1" si="0"/>
        <v/>
      </c>
      <c r="V26" s="149"/>
      <c r="W26" s="149"/>
      <c r="X26" s="150"/>
      <c r="Y26" s="150"/>
    </row>
    <row r="27" spans="1:29" ht="15.75">
      <c r="A27" s="143" t="str">
        <f>CONCATENATE(Tableau16[[#This Row],[CT]],Tableau16[[#This Row],[CHANTIER]],Tableau16[[#This Row],[SOUS TRAITANT]],Tableau16[[#This Row],[MO]])</f>
        <v>JONATHANATHIS MONS F1IOPALE</v>
      </c>
      <c r="B27" s="239" t="s">
        <v>202</v>
      </c>
      <c r="C27" s="144"/>
      <c r="D27" s="232" t="s">
        <v>162</v>
      </c>
      <c r="E27" s="240" t="s">
        <v>94</v>
      </c>
      <c r="F27" s="144"/>
      <c r="G27" s="145"/>
      <c r="H27" s="241" t="s">
        <v>178</v>
      </c>
      <c r="I27" s="146">
        <f>VLOOKUP(H27,Tableau11[[SOUS TRAITANT]:[PU MARCHE]],3,FALSE)</f>
        <v>1108</v>
      </c>
      <c r="J27" s="147"/>
      <c r="K27" s="91" t="s">
        <v>144</v>
      </c>
      <c r="L27" s="242">
        <v>100000</v>
      </c>
      <c r="M27" s="67">
        <f>Tableau16[[#This Row],[MONTANT BC]]*30%</f>
        <v>30000</v>
      </c>
      <c r="N27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27" s="67">
        <f>Tableau16[MONTANT BC]*5%</f>
        <v>5000</v>
      </c>
      <c r="P27" s="67">
        <f>Tableau16[[#This Row],[MONTANT BC]]*2%</f>
        <v>2000</v>
      </c>
      <c r="Q27" s="67">
        <f>Tableau16[[#This Row],[MONTANT BC]]*5%</f>
        <v>5000</v>
      </c>
      <c r="R27" s="67">
        <f>(Tableau16[[#This Row],[MONTANT BC]]*3%)</f>
        <v>3000</v>
      </c>
      <c r="S27" s="148"/>
      <c r="T27" s="148"/>
      <c r="U27" s="65" t="str">
        <f t="shared" ca="1" si="0"/>
        <v/>
      </c>
      <c r="V27" s="149"/>
      <c r="W27" s="149"/>
      <c r="X27" s="150"/>
      <c r="Y27" s="150"/>
    </row>
    <row r="28" spans="1:29" ht="15.75">
      <c r="A28" s="143" t="str">
        <f>CONCATENATE(Tableau16[[#This Row],[CT]],Tableau16[[#This Row],[CHANTIER]],Tableau16[[#This Row],[SOUS TRAITANT]],Tableau16[[#This Row],[MO]])</f>
        <v>JONATHANATHIS MONS E2IOPALE</v>
      </c>
      <c r="B28" s="239" t="s">
        <v>202</v>
      </c>
      <c r="C28" s="144"/>
      <c r="D28" s="232" t="s">
        <v>162</v>
      </c>
      <c r="E28" s="240" t="s">
        <v>97</v>
      </c>
      <c r="F28" s="144"/>
      <c r="G28" s="145"/>
      <c r="H28" s="241" t="s">
        <v>178</v>
      </c>
      <c r="I28" s="146">
        <f>VLOOKUP(H28,Tableau11[[SOUS TRAITANT]:[PU MARCHE]],3,FALSE)</f>
        <v>1108</v>
      </c>
      <c r="J28" s="147"/>
      <c r="K28" s="91" t="s">
        <v>144</v>
      </c>
      <c r="L28" s="242">
        <v>100000</v>
      </c>
      <c r="M28" s="67">
        <f>Tableau16[[#This Row],[MONTANT BC]]*30%</f>
        <v>30000</v>
      </c>
      <c r="N28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28" s="67">
        <f>Tableau16[MONTANT BC]*5%</f>
        <v>5000</v>
      </c>
      <c r="P28" s="67">
        <f>Tableau16[[#This Row],[MONTANT BC]]*2%</f>
        <v>2000</v>
      </c>
      <c r="Q28" s="67">
        <f>Tableau16[[#This Row],[MONTANT BC]]*5%</f>
        <v>5000</v>
      </c>
      <c r="R28" s="67">
        <f>(Tableau16[[#This Row],[MONTANT BC]]*3%)</f>
        <v>3000</v>
      </c>
      <c r="S28" s="148"/>
      <c r="T28" s="148"/>
      <c r="U28" s="65" t="str">
        <f t="shared" ca="1" si="0"/>
        <v/>
      </c>
      <c r="V28" s="149"/>
      <c r="W28" s="149"/>
      <c r="X28" s="150"/>
      <c r="Y28" s="150"/>
    </row>
    <row r="29" spans="1:29" ht="15.75">
      <c r="A29" s="143" t="str">
        <f>CONCATENATE(Tableau16[[#This Row],[CT]],Tableau16[[#This Row],[CHANTIER]],Tableau16[[#This Row],[SOUS TRAITANT]],Tableau16[[#This Row],[MO]])</f>
        <v>JONATHANATHIS MONS E2IOPALE</v>
      </c>
      <c r="B29" s="239" t="s">
        <v>202</v>
      </c>
      <c r="C29" s="144"/>
      <c r="D29" s="232" t="s">
        <v>162</v>
      </c>
      <c r="E29" s="240" t="s">
        <v>97</v>
      </c>
      <c r="F29" s="144"/>
      <c r="G29" s="145"/>
      <c r="H29" s="241" t="s">
        <v>178</v>
      </c>
      <c r="I29" s="146">
        <f>VLOOKUP(H29,Tableau11[[SOUS TRAITANT]:[PU MARCHE]],3,FALSE)</f>
        <v>1108</v>
      </c>
      <c r="J29" s="147"/>
      <c r="K29" s="91" t="s">
        <v>144</v>
      </c>
      <c r="L29" s="242">
        <v>100000</v>
      </c>
      <c r="M29" s="67">
        <f>Tableau16[[#This Row],[MONTANT BC]]*30%</f>
        <v>30000</v>
      </c>
      <c r="N29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29" s="67">
        <f>Tableau16[MONTANT BC]*5%</f>
        <v>5000</v>
      </c>
      <c r="P29" s="67">
        <f>Tableau16[[#This Row],[MONTANT BC]]*2%</f>
        <v>2000</v>
      </c>
      <c r="Q29" s="67">
        <f>Tableau16[[#This Row],[MONTANT BC]]*5%</f>
        <v>5000</v>
      </c>
      <c r="R29" s="67">
        <f>(Tableau16[[#This Row],[MONTANT BC]]*3%)</f>
        <v>3000</v>
      </c>
      <c r="S29" s="148"/>
      <c r="T29" s="148"/>
      <c r="U29" s="65" t="str">
        <f t="shared" ca="1" si="0"/>
        <v/>
      </c>
      <c r="V29" s="149"/>
      <c r="W29" s="149"/>
      <c r="X29" s="150"/>
      <c r="Y29" s="150"/>
    </row>
    <row r="30" spans="1:29" ht="15.75">
      <c r="A30" s="143" t="str">
        <f>CONCATENATE(Tableau16[[#This Row],[CT]],Tableau16[[#This Row],[CHANTIER]],Tableau16[[#This Row],[SOUS TRAITANT]],Tableau16[[#This Row],[MO]])</f>
        <v>LAURENTCLAMARTMOPALE</v>
      </c>
      <c r="B30" s="239" t="s">
        <v>202</v>
      </c>
      <c r="C30" s="144"/>
      <c r="D30" s="232" t="s">
        <v>43</v>
      </c>
      <c r="E30" s="240" t="s">
        <v>100</v>
      </c>
      <c r="F30" s="144"/>
      <c r="G30" s="145"/>
      <c r="H30" s="241" t="s">
        <v>180</v>
      </c>
      <c r="I30" s="146">
        <f>VLOOKUP(H30,Tableau11[[SOUS TRAITANT]:[PU MARCHE]],3,FALSE)</f>
        <v>1112</v>
      </c>
      <c r="J30" s="147"/>
      <c r="K30" s="91" t="s">
        <v>144</v>
      </c>
      <c r="L30" s="242">
        <v>100000</v>
      </c>
      <c r="M30" s="67">
        <f>Tableau16[[#This Row],[MONTANT BC]]*30%</f>
        <v>30000</v>
      </c>
      <c r="N30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30" s="67">
        <f>Tableau16[MONTANT BC]*5%</f>
        <v>5000</v>
      </c>
      <c r="P30" s="67">
        <f>Tableau16[[#This Row],[MONTANT BC]]*2%</f>
        <v>2000</v>
      </c>
      <c r="Q30" s="67">
        <f>Tableau16[[#This Row],[MONTANT BC]]*5%</f>
        <v>5000</v>
      </c>
      <c r="R30" s="67">
        <f>(Tableau16[[#This Row],[MONTANT BC]]*3%)</f>
        <v>3000</v>
      </c>
      <c r="S30" s="148"/>
      <c r="T30" s="148"/>
      <c r="U30" s="65" t="str">
        <f t="shared" ca="1" si="0"/>
        <v/>
      </c>
      <c r="V30" s="149"/>
      <c r="W30" s="149"/>
      <c r="X30" s="150"/>
      <c r="Y30" s="150"/>
    </row>
    <row r="31" spans="1:29" ht="15.75">
      <c r="A31" s="143" t="str">
        <f>CONCATENATE(Tableau16[[#This Row],[CT]],Tableau16[[#This Row],[CHANTIER]],Tableau16[[#This Row],[SOUS TRAITANT]],Tableau16[[#This Row],[MO]])</f>
        <v>LAURENTLOGNESMZORG</v>
      </c>
      <c r="B31" s="239" t="s">
        <v>203</v>
      </c>
      <c r="C31" s="144"/>
      <c r="D31" s="232" t="s">
        <v>43</v>
      </c>
      <c r="E31" s="240" t="s">
        <v>102</v>
      </c>
      <c r="F31" s="144"/>
      <c r="G31" s="145"/>
      <c r="H31" s="241" t="s">
        <v>180</v>
      </c>
      <c r="I31" s="146">
        <f>VLOOKUP(H31,Tableau11[[SOUS TRAITANT]:[PU MARCHE]],3,FALSE)</f>
        <v>1112</v>
      </c>
      <c r="J31" s="147"/>
      <c r="K31" s="91" t="s">
        <v>144</v>
      </c>
      <c r="L31" s="242">
        <v>100000</v>
      </c>
      <c r="M31" s="67">
        <f>Tableau16[[#This Row],[MONTANT BC]]*30%</f>
        <v>30000</v>
      </c>
      <c r="N31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31" s="67">
        <f>Tableau16[MONTANT BC]*5%</f>
        <v>5000</v>
      </c>
      <c r="P31" s="67">
        <f>Tableau16[[#This Row],[MONTANT BC]]*2%</f>
        <v>2000</v>
      </c>
      <c r="Q31" s="67">
        <f>Tableau16[[#This Row],[MONTANT BC]]*5%</f>
        <v>5000</v>
      </c>
      <c r="R31" s="67">
        <f>(Tableau16[[#This Row],[MONTANT BC]]*3%)</f>
        <v>3000</v>
      </c>
      <c r="S31" s="148"/>
      <c r="T31" s="148"/>
      <c r="U31" s="65" t="str">
        <f t="shared" ca="1" si="0"/>
        <v/>
      </c>
      <c r="V31" s="149"/>
      <c r="W31" s="149"/>
      <c r="X31" s="150"/>
      <c r="Y31" s="150"/>
    </row>
    <row r="32" spans="1:29" ht="15.75">
      <c r="A32" s="143" t="str">
        <f>CONCATENATE(Tableau16[[#This Row],[CT]],Tableau16[[#This Row],[CHANTIER]],Tableau16[[#This Row],[SOUS TRAITANT]],Tableau16[[#This Row],[MO]])</f>
        <v>LAURENTSERVONMZORG</v>
      </c>
      <c r="B32" s="239" t="s">
        <v>203</v>
      </c>
      <c r="C32" s="144"/>
      <c r="D32" s="232" t="s">
        <v>43</v>
      </c>
      <c r="E32" s="240" t="s">
        <v>90</v>
      </c>
      <c r="F32" s="144"/>
      <c r="G32" s="145"/>
      <c r="H32" s="241" t="s">
        <v>180</v>
      </c>
      <c r="I32" s="146">
        <f>VLOOKUP(H32,Tableau11[[SOUS TRAITANT]:[PU MARCHE]],3,FALSE)</f>
        <v>1112</v>
      </c>
      <c r="J32" s="147"/>
      <c r="K32" s="91" t="s">
        <v>144</v>
      </c>
      <c r="L32" s="242">
        <v>100000</v>
      </c>
      <c r="M32" s="67">
        <f>Tableau16[[#This Row],[MONTANT BC]]*30%</f>
        <v>30000</v>
      </c>
      <c r="N32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32" s="67">
        <f>Tableau16[MONTANT BC]*5%</f>
        <v>5000</v>
      </c>
      <c r="P32" s="67">
        <f>Tableau16[[#This Row],[MONTANT BC]]*2%</f>
        <v>2000</v>
      </c>
      <c r="Q32" s="67">
        <f>Tableau16[[#This Row],[MONTANT BC]]*5%</f>
        <v>5000</v>
      </c>
      <c r="R32" s="67">
        <f>(Tableau16[[#This Row],[MONTANT BC]]*3%)</f>
        <v>3000</v>
      </c>
      <c r="S32" s="148"/>
      <c r="T32" s="148"/>
      <c r="U32" s="65" t="str">
        <f t="shared" ca="1" si="0"/>
        <v/>
      </c>
      <c r="V32" s="149"/>
      <c r="W32" s="149"/>
      <c r="X32" s="150"/>
      <c r="Y32" s="150"/>
    </row>
    <row r="33" spans="1:25" ht="15.75">
      <c r="A33" s="143" t="str">
        <f>CONCATENATE(Tableau16[[#This Row],[CT]],Tableau16[[#This Row],[CHANTIER]],Tableau16[[#This Row],[SOUS TRAITANT]],Tableau16[[#This Row],[MO]])</f>
        <v>LAURENTMOISSYMZORG</v>
      </c>
      <c r="B33" s="239" t="s">
        <v>203</v>
      </c>
      <c r="C33" s="144"/>
      <c r="D33" s="232" t="s">
        <v>43</v>
      </c>
      <c r="E33" s="240" t="s">
        <v>104</v>
      </c>
      <c r="F33" s="144"/>
      <c r="G33" s="145"/>
      <c r="H33" s="241" t="s">
        <v>180</v>
      </c>
      <c r="I33" s="146">
        <f>VLOOKUP(H33,Tableau11[[SOUS TRAITANT]:[PU MARCHE]],3,FALSE)</f>
        <v>1112</v>
      </c>
      <c r="J33" s="147"/>
      <c r="K33" s="91" t="s">
        <v>144</v>
      </c>
      <c r="L33" s="242">
        <v>100000</v>
      </c>
      <c r="M33" s="67">
        <f>Tableau16[[#This Row],[MONTANT BC]]*30%</f>
        <v>30000</v>
      </c>
      <c r="N33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33" s="67">
        <f>Tableau16[MONTANT BC]*5%</f>
        <v>5000</v>
      </c>
      <c r="P33" s="67">
        <f>Tableau16[[#This Row],[MONTANT BC]]*2%</f>
        <v>2000</v>
      </c>
      <c r="Q33" s="67">
        <f>Tableau16[[#This Row],[MONTANT BC]]*5%</f>
        <v>5000</v>
      </c>
      <c r="R33" s="67">
        <f>(Tableau16[[#This Row],[MONTANT BC]]*3%)</f>
        <v>3000</v>
      </c>
      <c r="S33" s="148"/>
      <c r="T33" s="148"/>
      <c r="U33" s="65" t="str">
        <f t="shared" ca="1" si="0"/>
        <v/>
      </c>
      <c r="V33" s="149"/>
      <c r="W33" s="149"/>
      <c r="X33" s="150"/>
      <c r="Y33" s="150"/>
    </row>
    <row r="34" spans="1:25" ht="15.75">
      <c r="A34" s="143" t="str">
        <f>CONCATENATE(Tableau16[[#This Row],[CT]],Tableau16[[#This Row],[CHANTIER]],Tableau16[[#This Row],[SOUS TRAITANT]],Tableau16[[#This Row],[MO]])</f>
        <v>LAURENTSERVONMZORG</v>
      </c>
      <c r="B34" s="239" t="s">
        <v>203</v>
      </c>
      <c r="C34" s="144"/>
      <c r="D34" s="232" t="s">
        <v>43</v>
      </c>
      <c r="E34" s="240" t="s">
        <v>90</v>
      </c>
      <c r="F34" s="144"/>
      <c r="G34" s="145"/>
      <c r="H34" s="241" t="s">
        <v>180</v>
      </c>
      <c r="I34" s="146">
        <f>VLOOKUP(H34,Tableau11[[SOUS TRAITANT]:[PU MARCHE]],3,FALSE)</f>
        <v>1112</v>
      </c>
      <c r="J34" s="147"/>
      <c r="K34" s="91" t="s">
        <v>144</v>
      </c>
      <c r="L34" s="242">
        <v>100000</v>
      </c>
      <c r="M34" s="67">
        <f>Tableau16[[#This Row],[MONTANT BC]]*30%</f>
        <v>30000</v>
      </c>
      <c r="N34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34" s="67">
        <f>Tableau16[MONTANT BC]*5%</f>
        <v>5000</v>
      </c>
      <c r="P34" s="67">
        <f>Tableau16[[#This Row],[MONTANT BC]]*2%</f>
        <v>2000</v>
      </c>
      <c r="Q34" s="67">
        <f>Tableau16[[#This Row],[MONTANT BC]]*5%</f>
        <v>5000</v>
      </c>
      <c r="R34" s="67">
        <f>(Tableau16[[#This Row],[MONTANT BC]]*3%)</f>
        <v>3000</v>
      </c>
      <c r="S34" s="148"/>
      <c r="T34" s="148"/>
      <c r="U34" s="65" t="str">
        <f t="shared" ca="1" si="0"/>
        <v/>
      </c>
      <c r="V34" s="149"/>
      <c r="W34" s="149"/>
      <c r="X34" s="150"/>
      <c r="Y34" s="150"/>
    </row>
    <row r="35" spans="1:25" ht="15.75">
      <c r="A35" s="143" t="str">
        <f>CONCATENATE(Tableau16[[#This Row],[CT]],Tableau16[[#This Row],[CHANTIER]],Tableau16[[#This Row],[SOUS TRAITANT]],Tableau16[[#This Row],[MO]])</f>
        <v>LAURENTSARCELLESMZORG</v>
      </c>
      <c r="B35" s="239" t="s">
        <v>203</v>
      </c>
      <c r="C35" s="144"/>
      <c r="D35" s="232" t="s">
        <v>43</v>
      </c>
      <c r="E35" s="240" t="s">
        <v>107</v>
      </c>
      <c r="F35" s="144"/>
      <c r="G35" s="145"/>
      <c r="H35" s="241" t="s">
        <v>180</v>
      </c>
      <c r="I35" s="146">
        <f>VLOOKUP(H35,Tableau11[[SOUS TRAITANT]:[PU MARCHE]],3,FALSE)</f>
        <v>1112</v>
      </c>
      <c r="J35" s="147"/>
      <c r="K35" s="91" t="s">
        <v>144</v>
      </c>
      <c r="L35" s="242">
        <v>100000</v>
      </c>
      <c r="M35" s="67">
        <f>Tableau16[[#This Row],[MONTANT BC]]*30%</f>
        <v>30000</v>
      </c>
      <c r="N35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35" s="67">
        <f>Tableau16[MONTANT BC]*5%</f>
        <v>5000</v>
      </c>
      <c r="P35" s="67">
        <f>Tableau16[[#This Row],[MONTANT BC]]*2%</f>
        <v>2000</v>
      </c>
      <c r="Q35" s="67">
        <f>Tableau16[[#This Row],[MONTANT BC]]*5%</f>
        <v>5000</v>
      </c>
      <c r="R35" s="67">
        <f>(Tableau16[[#This Row],[MONTANT BC]]*3%)</f>
        <v>3000</v>
      </c>
      <c r="S35" s="148"/>
      <c r="T35" s="148"/>
      <c r="U35" s="65" t="str">
        <f t="shared" ca="1" si="0"/>
        <v/>
      </c>
      <c r="V35" s="149"/>
      <c r="W35" s="149"/>
      <c r="X35" s="150"/>
      <c r="Y35" s="150"/>
    </row>
    <row r="36" spans="1:25" ht="15.75">
      <c r="A36" s="143" t="str">
        <f>CONCATENATE(Tableau16[[#This Row],[CT]],Tableau16[[#This Row],[CHANTIER]],Tableau16[[#This Row],[SOUS TRAITANT]],Tableau16[[#This Row],[MO]])</f>
        <v>LAURENTLOGNESMZORG</v>
      </c>
      <c r="B36" s="239" t="s">
        <v>203</v>
      </c>
      <c r="C36" s="144"/>
      <c r="D36" s="232" t="s">
        <v>43</v>
      </c>
      <c r="E36" s="240" t="s">
        <v>102</v>
      </c>
      <c r="F36" s="144"/>
      <c r="G36" s="145"/>
      <c r="H36" s="241" t="s">
        <v>180</v>
      </c>
      <c r="I36" s="146">
        <f>VLOOKUP(H36,Tableau11[[SOUS TRAITANT]:[PU MARCHE]],3,FALSE)</f>
        <v>1112</v>
      </c>
      <c r="J36" s="147"/>
      <c r="K36" s="91" t="s">
        <v>144</v>
      </c>
      <c r="L36" s="242">
        <v>100000</v>
      </c>
      <c r="M36" s="67">
        <f>Tableau16[[#This Row],[MONTANT BC]]*30%</f>
        <v>30000</v>
      </c>
      <c r="N36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36" s="67">
        <f>Tableau16[MONTANT BC]*5%</f>
        <v>5000</v>
      </c>
      <c r="P36" s="67">
        <f>Tableau16[[#This Row],[MONTANT BC]]*2%</f>
        <v>2000</v>
      </c>
      <c r="Q36" s="67">
        <f>Tableau16[[#This Row],[MONTANT BC]]*5%</f>
        <v>5000</v>
      </c>
      <c r="R36" s="67">
        <f>(Tableau16[[#This Row],[MONTANT BC]]*3%)</f>
        <v>3000</v>
      </c>
      <c r="S36" s="148"/>
      <c r="T36" s="148"/>
      <c r="U36" s="65" t="str">
        <f t="shared" ca="1" si="0"/>
        <v/>
      </c>
      <c r="V36" s="149"/>
      <c r="W36" s="149"/>
      <c r="X36" s="150"/>
      <c r="Y36" s="150"/>
    </row>
    <row r="37" spans="1:25" ht="15.75">
      <c r="A37" s="143" t="str">
        <f>CONCATENATE(Tableau16[[#This Row],[CT]],Tableau16[[#This Row],[CHANTIER]],Tableau16[[#This Row],[SOUS TRAITANT]],Tableau16[[#This Row],[MO]])</f>
        <v>LAURENTLOGNESMZORG</v>
      </c>
      <c r="B37" s="239" t="s">
        <v>203</v>
      </c>
      <c r="C37" s="144"/>
      <c r="D37" s="232" t="s">
        <v>43</v>
      </c>
      <c r="E37" s="240" t="s">
        <v>102</v>
      </c>
      <c r="F37" s="144"/>
      <c r="G37" s="145"/>
      <c r="H37" s="241" t="s">
        <v>180</v>
      </c>
      <c r="I37" s="146">
        <f>VLOOKUP(H37,Tableau11[[SOUS TRAITANT]:[PU MARCHE]],3,FALSE)</f>
        <v>1112</v>
      </c>
      <c r="J37" s="147"/>
      <c r="K37" s="91" t="s">
        <v>144</v>
      </c>
      <c r="L37" s="242">
        <v>100000</v>
      </c>
      <c r="M37" s="67">
        <f>Tableau16[[#This Row],[MONTANT BC]]*30%</f>
        <v>30000</v>
      </c>
      <c r="N37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37" s="67">
        <f>Tableau16[MONTANT BC]*5%</f>
        <v>5000</v>
      </c>
      <c r="P37" s="67">
        <f>Tableau16[[#This Row],[MONTANT BC]]*2%</f>
        <v>2000</v>
      </c>
      <c r="Q37" s="67">
        <f>Tableau16[[#This Row],[MONTANT BC]]*5%</f>
        <v>5000</v>
      </c>
      <c r="R37" s="67">
        <f>(Tableau16[[#This Row],[MONTANT BC]]*3%)</f>
        <v>3000</v>
      </c>
      <c r="S37" s="148"/>
      <c r="T37" s="148"/>
      <c r="U37" s="65" t="str">
        <f t="shared" ca="1" si="0"/>
        <v/>
      </c>
      <c r="V37" s="149"/>
      <c r="W37" s="149"/>
      <c r="X37" s="150"/>
      <c r="Y37" s="150"/>
    </row>
    <row r="38" spans="1:25" ht="15.75">
      <c r="A38" s="143" t="str">
        <f>CONCATENATE(Tableau16[[#This Row],[CT]],Tableau16[[#This Row],[CHANTIER]],Tableau16[[#This Row],[SOUS TRAITANT]],Tableau16[[#This Row],[MO]])</f>
        <v>SEBMONTFERMEILMZORG</v>
      </c>
      <c r="B38" s="239" t="s">
        <v>203</v>
      </c>
      <c r="C38" s="144"/>
      <c r="D38" s="232" t="s">
        <v>164</v>
      </c>
      <c r="E38" s="240" t="s">
        <v>109</v>
      </c>
      <c r="F38" s="144"/>
      <c r="G38" s="145"/>
      <c r="H38" s="241" t="s">
        <v>180</v>
      </c>
      <c r="I38" s="146">
        <f>VLOOKUP(H38,Tableau11[[SOUS TRAITANT]:[PU MARCHE]],3,FALSE)</f>
        <v>1112</v>
      </c>
      <c r="J38" s="147"/>
      <c r="K38" s="91" t="s">
        <v>144</v>
      </c>
      <c r="L38" s="242">
        <v>100000</v>
      </c>
      <c r="M38" s="67">
        <f>Tableau16[[#This Row],[MONTANT BC]]*30%</f>
        <v>30000</v>
      </c>
      <c r="N38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38" s="67">
        <f>Tableau16[MONTANT BC]*5%</f>
        <v>5000</v>
      </c>
      <c r="P38" s="67">
        <f>Tableau16[[#This Row],[MONTANT BC]]*2%</f>
        <v>2000</v>
      </c>
      <c r="Q38" s="67">
        <f>Tableau16[[#This Row],[MONTANT BC]]*5%</f>
        <v>5000</v>
      </c>
      <c r="R38" s="67">
        <f>(Tableau16[[#This Row],[MONTANT BC]]*3%)</f>
        <v>3000</v>
      </c>
      <c r="S38" s="148"/>
      <c r="T38" s="148"/>
      <c r="U38" s="65" t="str">
        <f t="shared" ca="1" si="0"/>
        <v/>
      </c>
      <c r="V38" s="149"/>
      <c r="W38" s="149"/>
      <c r="X38" s="150"/>
      <c r="Y38" s="150"/>
    </row>
    <row r="39" spans="1:25" ht="15.75">
      <c r="A39" s="143" t="str">
        <f>CONCATENATE(Tableau16[[#This Row],[CT]],Tableau16[[#This Row],[CHANTIER]],Tableau16[[#This Row],[SOUS TRAITANT]],Tableau16[[#This Row],[MO]])</f>
        <v>SEBPUTEAUXMZORG</v>
      </c>
      <c r="B39" s="239" t="s">
        <v>203</v>
      </c>
      <c r="C39" s="144"/>
      <c r="D39" s="232" t="s">
        <v>164</v>
      </c>
      <c r="E39" s="240" t="s">
        <v>20</v>
      </c>
      <c r="F39" s="144"/>
      <c r="G39" s="145"/>
      <c r="H39" s="241" t="s">
        <v>180</v>
      </c>
      <c r="I39" s="146">
        <f>VLOOKUP(H39,Tableau11[[SOUS TRAITANT]:[PU MARCHE]],3,FALSE)</f>
        <v>1112</v>
      </c>
      <c r="J39" s="147"/>
      <c r="K39" s="91" t="s">
        <v>144</v>
      </c>
      <c r="L39" s="242">
        <v>100000</v>
      </c>
      <c r="M39" s="67">
        <f>Tableau16[[#This Row],[MONTANT BC]]*30%</f>
        <v>30000</v>
      </c>
      <c r="N39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39" s="67">
        <f>Tableau16[MONTANT BC]*5%</f>
        <v>5000</v>
      </c>
      <c r="P39" s="67">
        <f>Tableau16[[#This Row],[MONTANT BC]]*2%</f>
        <v>2000</v>
      </c>
      <c r="Q39" s="67">
        <f>Tableau16[[#This Row],[MONTANT BC]]*5%</f>
        <v>5000</v>
      </c>
      <c r="R39" s="67">
        <f>(Tableau16[[#This Row],[MONTANT BC]]*3%)</f>
        <v>3000</v>
      </c>
      <c r="S39" s="148"/>
      <c r="T39" s="148"/>
      <c r="U39" s="65" t="str">
        <f t="shared" ca="1" si="0"/>
        <v/>
      </c>
      <c r="V39" s="149"/>
      <c r="W39" s="149"/>
      <c r="X39" s="150"/>
      <c r="Y39" s="150"/>
    </row>
    <row r="40" spans="1:25" ht="15.75">
      <c r="A40" s="143" t="str">
        <f>CONCATENATE(Tableau16[[#This Row],[CT]],Tableau16[[#This Row],[CHANTIER]],Tableau16[[#This Row],[SOUS TRAITANT]],Tableau16[[#This Row],[MO]])</f>
        <v>SEBBONDOUFLEMZORG</v>
      </c>
      <c r="B40" s="239" t="s">
        <v>203</v>
      </c>
      <c r="C40" s="144"/>
      <c r="D40" s="232" t="s">
        <v>164</v>
      </c>
      <c r="E40" s="240" t="s">
        <v>112</v>
      </c>
      <c r="F40" s="144"/>
      <c r="G40" s="145"/>
      <c r="H40" s="241" t="s">
        <v>180</v>
      </c>
      <c r="I40" s="146">
        <f>VLOOKUP(H40,Tableau11[[SOUS TRAITANT]:[PU MARCHE]],3,FALSE)</f>
        <v>1112</v>
      </c>
      <c r="J40" s="147"/>
      <c r="K40" s="91" t="s">
        <v>144</v>
      </c>
      <c r="L40" s="242">
        <v>100000</v>
      </c>
      <c r="M40" s="67">
        <f>Tableau16[[#This Row],[MONTANT BC]]*30%</f>
        <v>30000</v>
      </c>
      <c r="N40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40" s="67">
        <f>Tableau16[MONTANT BC]*5%</f>
        <v>5000</v>
      </c>
      <c r="P40" s="67">
        <f>Tableau16[[#This Row],[MONTANT BC]]*2%</f>
        <v>2000</v>
      </c>
      <c r="Q40" s="67">
        <f>Tableau16[[#This Row],[MONTANT BC]]*5%</f>
        <v>5000</v>
      </c>
      <c r="R40" s="67">
        <f>(Tableau16[[#This Row],[MONTANT BC]]*3%)</f>
        <v>3000</v>
      </c>
      <c r="S40" s="148"/>
      <c r="T40" s="148"/>
      <c r="U40" s="65" t="str">
        <f t="shared" ca="1" si="0"/>
        <v/>
      </c>
      <c r="V40" s="149"/>
      <c r="W40" s="149"/>
      <c r="X40" s="150"/>
      <c r="Y40" s="150"/>
    </row>
    <row r="41" spans="1:25" ht="15.75">
      <c r="A41" s="143" t="str">
        <f>CONCATENATE(Tableau16[[#This Row],[CT]],Tableau16[[#This Row],[CHANTIER]],Tableau16[[#This Row],[SOUS TRAITANT]],Tableau16[[#This Row],[MO]])</f>
        <v>SEBCOMBS ICADEMZORG</v>
      </c>
      <c r="B41" s="239" t="s">
        <v>203</v>
      </c>
      <c r="C41" s="144"/>
      <c r="D41" s="232" t="s">
        <v>164</v>
      </c>
      <c r="E41" s="240" t="s">
        <v>114</v>
      </c>
      <c r="F41" s="144"/>
      <c r="G41" s="145"/>
      <c r="H41" s="241" t="s">
        <v>180</v>
      </c>
      <c r="I41" s="146">
        <f>VLOOKUP(H41,Tableau11[[SOUS TRAITANT]:[PU MARCHE]],3,FALSE)</f>
        <v>1112</v>
      </c>
      <c r="J41" s="147"/>
      <c r="K41" s="91" t="s">
        <v>144</v>
      </c>
      <c r="L41" s="242">
        <v>100000</v>
      </c>
      <c r="M41" s="67">
        <f>Tableau16[[#This Row],[MONTANT BC]]*30%</f>
        <v>30000</v>
      </c>
      <c r="N41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41" s="67">
        <f>Tableau16[MONTANT BC]*5%</f>
        <v>5000</v>
      </c>
      <c r="P41" s="67">
        <f>Tableau16[[#This Row],[MONTANT BC]]*2%</f>
        <v>2000</v>
      </c>
      <c r="Q41" s="67">
        <f>Tableau16[[#This Row],[MONTANT BC]]*5%</f>
        <v>5000</v>
      </c>
      <c r="R41" s="67">
        <f>(Tableau16[[#This Row],[MONTANT BC]]*3%)</f>
        <v>3000</v>
      </c>
      <c r="S41" s="148"/>
      <c r="T41" s="148"/>
      <c r="U41" s="65" t="str">
        <f t="shared" ca="1" si="0"/>
        <v/>
      </c>
      <c r="V41" s="149"/>
      <c r="W41" s="149"/>
      <c r="X41" s="150"/>
      <c r="Y41" s="150"/>
    </row>
    <row r="42" spans="1:25" ht="15.75">
      <c r="A42" s="143" t="str">
        <f>CONCATENATE(Tableau16[[#This Row],[CT]],Tableau16[[#This Row],[CHANTIER]],Tableau16[[#This Row],[SOUS TRAITANT]],Tableau16[[#This Row],[MO]])</f>
        <v>SEBCOMBS ICADEMZORG</v>
      </c>
      <c r="B42" s="239" t="s">
        <v>203</v>
      </c>
      <c r="C42" s="144"/>
      <c r="D42" s="232" t="s">
        <v>164</v>
      </c>
      <c r="E42" s="240" t="s">
        <v>114</v>
      </c>
      <c r="F42" s="144"/>
      <c r="G42" s="145"/>
      <c r="H42" s="241" t="s">
        <v>180</v>
      </c>
      <c r="I42" s="146">
        <f>VLOOKUP(H42,Tableau11[[SOUS TRAITANT]:[PU MARCHE]],3,FALSE)</f>
        <v>1112</v>
      </c>
      <c r="J42" s="147"/>
      <c r="K42" s="91" t="s">
        <v>144</v>
      </c>
      <c r="L42" s="242">
        <v>100000</v>
      </c>
      <c r="M42" s="67">
        <f>Tableau16[[#This Row],[MONTANT BC]]*30%</f>
        <v>30000</v>
      </c>
      <c r="N42" s="67">
        <f>IF(Tableau16[[#This Row],[MARCHEEXT]]&gt;=1,((Tableau16[[#This Row],[MONTANT BC]]*70%)-(Tableau16[[#This Row],[RG_5%]]+Tableau16[[#This Row],[P_2%]]+Tableau16[[#This Row],[BFT_5%]]+Tableau16[[#This Row],[E 3%]]+Tableau16[[#This Row],[AUTRE]])),(Tableau16[[#This Row],[MONTANT BC]]-(Tableau16[[#This Row],[RG_5%]]+Tableau16[[#This Row],[P_2%]]+Tableau16[[#This Row],[BFT_5%]]+Tableau16[[#This Row],[E 3%]]+Tableau16[[#This Row],[AUTRE]])))</f>
        <v>55000</v>
      </c>
      <c r="O42" s="67">
        <f>Tableau16[MONTANT BC]*5%</f>
        <v>5000</v>
      </c>
      <c r="P42" s="67">
        <f>Tableau16[[#This Row],[MONTANT BC]]*2%</f>
        <v>2000</v>
      </c>
      <c r="Q42" s="67">
        <f>Tableau16[[#This Row],[MONTANT BC]]*5%</f>
        <v>5000</v>
      </c>
      <c r="R42" s="67">
        <f>(Tableau16[[#This Row],[MONTANT BC]]*3%)</f>
        <v>3000</v>
      </c>
      <c r="S42" s="148"/>
      <c r="T42" s="148"/>
      <c r="U42" s="65" t="str">
        <f t="shared" ca="1" si="0"/>
        <v/>
      </c>
      <c r="V42" s="149"/>
      <c r="W42" s="149"/>
      <c r="X42" s="150"/>
      <c r="Y42" s="150"/>
    </row>
    <row r="43" spans="1:25">
      <c r="W43" t="e">
        <f>VLOOKUP(B43,Tableau16[[Ref]:[MONTANT BC]],12,FALSE)</f>
        <v>#N/A</v>
      </c>
    </row>
    <row r="44" spans="1:25">
      <c r="A44" s="243" t="s">
        <v>214</v>
      </c>
    </row>
  </sheetData>
  <mergeCells count="6">
    <mergeCell ref="AC1:AC3"/>
    <mergeCell ref="A2:G2"/>
    <mergeCell ref="Z2:Z3"/>
    <mergeCell ref="AA2:AB2"/>
    <mergeCell ref="U2:Y2"/>
    <mergeCell ref="H2:T2"/>
  </mergeCells>
  <conditionalFormatting sqref="AB5:AB18 Y5:Z10 U5:U18 L4:L42 O4:AB4 O5:R18 N4:N42">
    <cfRule type="expression" dxfId="103" priority="12">
      <formula>($AI4&gt;0)</formula>
    </cfRule>
  </conditionalFormatting>
  <conditionalFormatting sqref="U4:U42">
    <cfRule type="cellIs" dxfId="102" priority="8" operator="equal">
      <formula>"VALIDER_PAR_DEFFAUT"</formula>
    </cfRule>
    <cfRule type="cellIs" dxfId="101" priority="9" operator="equal">
      <formula>"VALIDER"</formula>
    </cfRule>
    <cfRule type="cellIs" dxfId="100" priority="10" operator="equal">
      <formula>"ENVOYER"</formula>
    </cfRule>
    <cfRule type="cellIs" dxfId="99" priority="11" operator="equal">
      <formula>"EN_COURS"</formula>
    </cfRule>
  </conditionalFormatting>
  <conditionalFormatting sqref="E4:E42">
    <cfRule type="expression" dxfId="98" priority="5">
      <formula>($T4&gt;0)</formula>
    </cfRule>
  </conditionalFormatting>
  <conditionalFormatting sqref="H4:H42">
    <cfRule type="expression" dxfId="97" priority="2">
      <formula>($T4&gt;0)</formula>
    </cfRule>
  </conditionalFormatting>
  <conditionalFormatting sqref="D4:D42">
    <cfRule type="expression" dxfId="96" priority="4">
      <formula>($T4&gt;0)</formula>
    </cfRule>
  </conditionalFormatting>
  <conditionalFormatting sqref="B4:B42">
    <cfRule type="expression" dxfId="95" priority="3">
      <formula>($T4&gt;0)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'E:\[SUIVI COMPLET CHANTIER SOUS TRAITANT.xlsx]DONNEES'!#REF!</xm:f>
          </x14:formula1>
          <xm:sqref>AB4:AB18</xm:sqref>
        </x14:dataValidation>
        <x14:dataValidation type="list" allowBlank="1" showInputMessage="1" showErrorMessage="1">
          <x14:formula1>
            <xm:f>DONNEES!$J$2:$J$3</xm:f>
          </x14:formula1>
          <xm:sqref>K4:K42</xm:sqref>
        </x14:dataValidation>
        <x14:dataValidation type="list" allowBlank="1" showInputMessage="1" showErrorMessage="1">
          <x14:formula1>
            <xm:f>DONNEES!$B$2:$B$11</xm:f>
          </x14:formula1>
          <xm:sqref>D4:D42</xm:sqref>
        </x14:dataValidation>
        <x14:dataValidation type="list" allowBlank="1" showInputMessage="1" showErrorMessage="1">
          <x14:formula1>
            <xm:f>DONNEES!$B$15:$AA$15</xm:f>
          </x14:formula1>
          <xm:sqref>H4:H42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4"/>
  <sheetViews>
    <sheetView topLeftCell="O1" zoomScale="80" zoomScaleNormal="80" workbookViewId="0">
      <selection activeCell="P40" sqref="P40"/>
    </sheetView>
  </sheetViews>
  <sheetFormatPr baseColWidth="10" defaultRowHeight="15"/>
  <cols>
    <col min="1" max="1" width="8.140625" style="56" bestFit="1" customWidth="1"/>
    <col min="2" max="2" width="48.42578125" style="123" customWidth="1"/>
    <col min="3" max="3" width="21" style="226" bestFit="1" customWidth="1"/>
    <col min="4" max="4" width="51.28515625" style="122" bestFit="1" customWidth="1"/>
    <col min="5" max="5" width="15" style="56" customWidth="1"/>
    <col min="6" max="6" width="23.42578125" style="122" customWidth="1"/>
    <col min="7" max="7" width="11.42578125" style="123" hidden="1" customWidth="1"/>
    <col min="8" max="8" width="6.140625" style="123" hidden="1" customWidth="1"/>
    <col min="9" max="9" width="11.42578125" style="56" hidden="1" customWidth="1"/>
    <col min="10" max="10" width="11.42578125" style="56" customWidth="1"/>
    <col min="11" max="11" width="15" style="56" customWidth="1"/>
    <col min="12" max="12" width="12.42578125" style="123" bestFit="1" customWidth="1"/>
    <col min="13" max="13" width="19.85546875" style="123" customWidth="1"/>
    <col min="14" max="14" width="17" style="56" bestFit="1" customWidth="1"/>
    <col min="15" max="15" width="16.140625" style="123" bestFit="1" customWidth="1"/>
    <col min="16" max="16" width="18.28515625" style="122" bestFit="1" customWidth="1"/>
    <col min="17" max="17" width="11.42578125" style="115"/>
    <col min="18" max="18" width="12.85546875" style="115" customWidth="1"/>
    <col min="19" max="19" width="43.5703125" style="123" customWidth="1"/>
    <col min="20" max="24" width="16" style="123" customWidth="1"/>
    <col min="25" max="25" width="16" customWidth="1"/>
    <col min="26" max="26" width="13.7109375" bestFit="1" customWidth="1"/>
    <col min="27" max="27" width="12.42578125" bestFit="1" customWidth="1"/>
  </cols>
  <sheetData>
    <row r="1" spans="1:27" ht="33.75">
      <c r="A1" s="255" t="s">
        <v>44</v>
      </c>
      <c r="B1" s="255"/>
      <c r="C1" s="255"/>
      <c r="D1" s="255"/>
      <c r="E1" s="255"/>
      <c r="F1" s="255"/>
      <c r="G1" s="255"/>
      <c r="H1" s="255"/>
      <c r="I1" s="255"/>
      <c r="J1" s="255"/>
      <c r="K1" s="255"/>
      <c r="L1" s="255"/>
      <c r="M1" s="255"/>
      <c r="N1" s="255"/>
      <c r="O1" s="255"/>
      <c r="P1" s="255"/>
      <c r="Q1" s="255"/>
      <c r="R1" s="255"/>
    </row>
    <row r="2" spans="1:27" ht="30">
      <c r="A2" s="256" t="s">
        <v>45</v>
      </c>
      <c r="B2" s="256"/>
      <c r="C2" s="256"/>
      <c r="D2" s="256"/>
      <c r="E2" s="256"/>
      <c r="F2" s="256"/>
      <c r="G2" s="256"/>
      <c r="H2" s="256"/>
      <c r="I2" s="256"/>
      <c r="J2" s="256"/>
      <c r="K2" s="256"/>
      <c r="L2" s="256"/>
      <c r="M2" s="256"/>
      <c r="N2" s="256"/>
      <c r="O2" s="256"/>
      <c r="P2" s="256"/>
      <c r="Q2" s="256"/>
      <c r="R2" s="257"/>
      <c r="S2" s="160"/>
      <c r="T2" s="162"/>
      <c r="U2" s="289"/>
      <c r="V2" s="289"/>
      <c r="W2" s="289"/>
      <c r="X2" s="289"/>
      <c r="Y2" s="289"/>
      <c r="Z2" s="289"/>
      <c r="AA2" s="203"/>
    </row>
    <row r="3" spans="1:27" s="46" customFormat="1" ht="42.75">
      <c r="A3" s="159" t="s">
        <v>46</v>
      </c>
      <c r="B3" s="129" t="s">
        <v>47</v>
      </c>
      <c r="C3" s="224" t="s">
        <v>48</v>
      </c>
      <c r="D3" s="228" t="s">
        <v>211</v>
      </c>
      <c r="E3" s="47" t="s">
        <v>212</v>
      </c>
      <c r="F3" s="229" t="s">
        <v>213</v>
      </c>
      <c r="G3" s="153" t="s">
        <v>49</v>
      </c>
      <c r="H3" s="153" t="s">
        <v>50</v>
      </c>
      <c r="I3" s="51" t="s">
        <v>28</v>
      </c>
      <c r="J3" s="48" t="s">
        <v>51</v>
      </c>
      <c r="K3" s="49" t="s">
        <v>121</v>
      </c>
      <c r="L3" s="50" t="s">
        <v>52</v>
      </c>
      <c r="M3" s="51" t="s">
        <v>148</v>
      </c>
      <c r="N3" s="52" t="s">
        <v>53</v>
      </c>
      <c r="O3" s="140" t="s">
        <v>54</v>
      </c>
      <c r="P3" s="53" t="s">
        <v>55</v>
      </c>
      <c r="Q3" s="126" t="s">
        <v>56</v>
      </c>
      <c r="R3" s="116" t="s">
        <v>57</v>
      </c>
      <c r="S3" s="160" t="s">
        <v>58</v>
      </c>
      <c r="T3" s="163" t="s">
        <v>31</v>
      </c>
      <c r="U3" s="151" t="s">
        <v>215</v>
      </c>
      <c r="V3" s="151" t="s">
        <v>216</v>
      </c>
      <c r="W3" s="151" t="s">
        <v>41</v>
      </c>
      <c r="X3" s="151" t="s">
        <v>42</v>
      </c>
      <c r="Y3" s="152" t="s">
        <v>25</v>
      </c>
      <c r="Z3" s="151" t="s">
        <v>145</v>
      </c>
      <c r="AA3" s="204" t="s">
        <v>149</v>
      </c>
    </row>
    <row r="4" spans="1:27" s="121" customFormat="1" ht="15.75" hidden="1">
      <c r="A4" s="258" t="s">
        <v>60</v>
      </c>
      <c r="B4" s="130" t="str">
        <f>CONCATENATE(Tableau8[[#This Row],[CT
INDIRECT CHANTIER]],Tableau8[[#This Row],[NOM CHANTIER
INDIRECT ST]],Tableau8[[#This Row],[Sous Traitant]],Tableau8[[#This Row],[MO
INDIRECT CT]])</f>
        <v/>
      </c>
      <c r="C4" s="225"/>
      <c r="D4" s="227"/>
      <c r="E4" s="57"/>
      <c r="F4" s="227"/>
      <c r="G4" s="58" t="str">
        <f>IFERROR(IF(B4="","",VLOOKUP(B4,Tableau16[[Ref]:[CP]],6,FALSE)),"")</f>
        <v/>
      </c>
      <c r="H4" s="58" t="str">
        <f>IFERROR(IF(B4="","",VLOOKUP(B4,Tableau16[[Ref]:[CP]],7,FALSE)),"")</f>
        <v/>
      </c>
      <c r="I4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4" s="205">
        <f>COUNTIF($I$4:I4,Tableau8[[#This Row],[REF FACT]])</f>
        <v>1</v>
      </c>
      <c r="K4" s="118"/>
      <c r="L4" s="119"/>
      <c r="M4" s="58" t="str">
        <f>IF(Tableau8[[#This Row],[Sous Traitant]]&gt;1,VLOOKUP(Tableau8[[#This Row],[Sous Traitant]],#REF!,3,FALSE),"")</f>
        <v/>
      </c>
      <c r="N4" s="59"/>
      <c r="O4" s="141"/>
      <c r="P4" s="120"/>
      <c r="Q4" s="60"/>
      <c r="R4" s="113"/>
      <c r="S4" s="117"/>
      <c r="T4" s="161">
        <f>SUMIFS($P$4:P4,$I$4:I4,I4)</f>
        <v>0</v>
      </c>
      <c r="U4" s="65" t="str">
        <f>IF(Tableau8[[#This Row],[marché]]="MARCHEINT",VLOOKUP($B4,Tableau16[[Ref]:[AUTRE]],13,FALSE)-Tableau8[[#This Row],[PAYEE]],"")</f>
        <v/>
      </c>
      <c r="V4" s="65" t="str">
        <f>IF(Tableau8[[#This Row],[marché]]="MARCHEEXT",VLOOKUP($B4,Tableau16[[Ref]:[AUTRE]],14,FALSE)-Tableau8[[#This Row],[PAYEE]],"")</f>
        <v/>
      </c>
      <c r="W4" s="65" t="str">
        <f>IF(Tableau8[[#This Row],[marché]]="RG_5%",VLOOKUP($B4,Tableau16[[Ref]:[AUTRE]],15,FALSE)-Tableau8[[#This Row],[PAYEE]],"")</f>
        <v/>
      </c>
      <c r="X4" s="65" t="str">
        <f>IF(Tableau8[[#This Row],[marché]]="BFT_5%",VLOOKUP($B4,Tableau16[[Ref]:[AUTRE]],17,FALSE)-Tableau8[[#This Row],[PAYEE]],"")</f>
        <v/>
      </c>
      <c r="Y4" s="65" t="str">
        <f>IF(Tableau8[[#This Row],[marché]]="AUTRE",VLOOKUP($B4,Tableau16[[Ref]:[AUTRE]],19,FALSE)-Tableau8[[#This Row],[PAYEE]],"")</f>
        <v/>
      </c>
      <c r="Z4" s="158"/>
      <c r="AA4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5" spans="1:27" s="121" customFormat="1" ht="15.75" hidden="1">
      <c r="A5" s="259"/>
      <c r="B5" s="130" t="str">
        <f>CONCATENATE(Tableau8[[#This Row],[CT
INDIRECT CHANTIER]],Tableau8[[#This Row],[NOM CHANTIER
INDIRECT ST]],Tableau8[[#This Row],[Sous Traitant]],Tableau8[[#This Row],[MO
INDIRECT CT]])</f>
        <v/>
      </c>
      <c r="C5" s="225"/>
      <c r="D5" s="227"/>
      <c r="E5" s="57"/>
      <c r="F5" s="227"/>
      <c r="G5" s="58" t="str">
        <f>IFERROR(IF(B5="","",VLOOKUP(B5,Tableau16[[Ref]:[CP]],6,FALSE)),"")</f>
        <v/>
      </c>
      <c r="H5" s="58" t="str">
        <f>IFERROR(IF(B5="","",VLOOKUP(B5,Tableau16[[Ref]:[CP]],7,FALSE)),"")</f>
        <v/>
      </c>
      <c r="I5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5" s="205">
        <f>COUNTIF($I$4:I5,Tableau8[[#This Row],[REF FACT]])</f>
        <v>2</v>
      </c>
      <c r="K5" s="118"/>
      <c r="L5" s="119"/>
      <c r="M5" s="58" t="str">
        <f>IF(Tableau8[[#This Row],[Sous Traitant]]&gt;1,VLOOKUP(Tableau8[[#This Row],[Sous Traitant]],#REF!,3,FALSE),"")</f>
        <v/>
      </c>
      <c r="N5" s="59"/>
      <c r="O5" s="141"/>
      <c r="P5" s="120"/>
      <c r="Q5" s="60"/>
      <c r="R5" s="113"/>
      <c r="S5" s="117"/>
      <c r="T5" s="65">
        <f>SUMIFS($P$4:P5,$I$4:I5,I5)</f>
        <v>0</v>
      </c>
      <c r="U5" s="65" t="str">
        <f>IF(Tableau8[[#This Row],[marché]]="MARCHEINT",VLOOKUP($B5,Tableau16[[Ref]:[AUTRE]],13,FALSE)-Tableau8[[#This Row],[PAYEE]],"")</f>
        <v/>
      </c>
      <c r="V5" s="65" t="str">
        <f>IF(Tableau8[[#This Row],[marché]]="MARCHEEXT",VLOOKUP($B5,Tableau16[[Ref]:[AUTRE]],14,FALSE)-Tableau8[[#This Row],[PAYEE]],"")</f>
        <v/>
      </c>
      <c r="W5" s="65" t="str">
        <f>IF(Tableau8[[#This Row],[marché]]="RG_5%",VLOOKUP($B5,Tableau16[[Ref]:[AUTRE]],15,FALSE)-Tableau8[[#This Row],[PAYEE]],"")</f>
        <v/>
      </c>
      <c r="X5" s="65" t="str">
        <f>IF(Tableau8[[#This Row],[marché]]="BFT_5%",VLOOKUP($B5,Tableau16[[Ref]:[AUTRE]],17,FALSE)-Tableau8[[#This Row],[PAYEE]],"")</f>
        <v/>
      </c>
      <c r="Y5" s="65" t="str">
        <f>IF(Tableau8[[#This Row],[marché]]="AUTRE",VLOOKUP($B5,Tableau16[[Ref]:[AUTRE]],19,FALSE)-Tableau8[[#This Row],[PAYEE]],"")</f>
        <v/>
      </c>
      <c r="Z5" s="157"/>
      <c r="AA5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6" spans="1:27" s="121" customFormat="1" ht="15.75" hidden="1">
      <c r="A6" s="259"/>
      <c r="B6" s="130" t="str">
        <f>CONCATENATE(Tableau8[[#This Row],[CT
INDIRECT CHANTIER]],Tableau8[[#This Row],[NOM CHANTIER
INDIRECT ST]],Tableau8[[#This Row],[Sous Traitant]],Tableau8[[#This Row],[MO
INDIRECT CT]])</f>
        <v/>
      </c>
      <c r="C6" s="225"/>
      <c r="D6" s="227"/>
      <c r="E6" s="57"/>
      <c r="F6" s="227"/>
      <c r="G6" s="58" t="str">
        <f>IFERROR(IF(B6="","",VLOOKUP(B6,Tableau16[[Ref]:[CP]],6,FALSE)),"")</f>
        <v/>
      </c>
      <c r="H6" s="58" t="str">
        <f>IFERROR(IF(B6="","",VLOOKUP(B6,Tableau16[[Ref]:[CP]],7,FALSE)),"")</f>
        <v/>
      </c>
      <c r="I6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6" s="205">
        <f>COUNTIF($I$4:I6,Tableau8[[#This Row],[REF FACT]])</f>
        <v>3</v>
      </c>
      <c r="K6" s="118"/>
      <c r="L6" s="119"/>
      <c r="M6" s="58" t="str">
        <f>IF(Tableau8[[#This Row],[Sous Traitant]]&gt;1,VLOOKUP(Tableau8[[#This Row],[Sous Traitant]],#REF!,3,FALSE),"")</f>
        <v/>
      </c>
      <c r="N6" s="59"/>
      <c r="O6" s="141"/>
      <c r="P6" s="120"/>
      <c r="Q6" s="60"/>
      <c r="R6" s="113"/>
      <c r="S6" s="117"/>
      <c r="T6" s="65">
        <f>SUMIFS($P$4:P6,$I$4:I6,I6)</f>
        <v>0</v>
      </c>
      <c r="U6" s="65" t="str">
        <f>IF(Tableau8[[#This Row],[marché]]="MARCHEINT",VLOOKUP($B6,Tableau16[[Ref]:[AUTRE]],13,FALSE)-Tableau8[[#This Row],[PAYEE]],"")</f>
        <v/>
      </c>
      <c r="V6" s="65" t="str">
        <f>IF(Tableau8[[#This Row],[marché]]="MARCHEEXT",VLOOKUP($B6,Tableau16[[Ref]:[AUTRE]],14,FALSE)-Tableau8[[#This Row],[PAYEE]],"")</f>
        <v/>
      </c>
      <c r="W6" s="65" t="str">
        <f>IF(Tableau8[[#This Row],[marché]]="RG_5%",VLOOKUP($B6,Tableau16[[Ref]:[AUTRE]],15,FALSE)-Tableau8[[#This Row],[PAYEE]],"")</f>
        <v/>
      </c>
      <c r="X6" s="65" t="str">
        <f>IF(Tableau8[[#This Row],[marché]]="BFT_5%",VLOOKUP($B6,Tableau16[[Ref]:[AUTRE]],17,FALSE)-Tableau8[[#This Row],[PAYEE]],"")</f>
        <v/>
      </c>
      <c r="Y6" s="65" t="str">
        <f>IF(Tableau8[[#This Row],[marché]]="AUTRE",VLOOKUP($B6,Tableau16[[Ref]:[AUTRE]],19,FALSE)-Tableau8[[#This Row],[PAYEE]],"")</f>
        <v/>
      </c>
      <c r="Z6" s="157"/>
      <c r="AA6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7" spans="1:27" s="121" customFormat="1" ht="15.75" hidden="1">
      <c r="A7" s="260"/>
      <c r="B7" s="130" t="str">
        <f>CONCATENATE(Tableau8[[#This Row],[CT
INDIRECT CHANTIER]],Tableau8[[#This Row],[NOM CHANTIER
INDIRECT ST]],Tableau8[[#This Row],[Sous Traitant]],Tableau8[[#This Row],[MO
INDIRECT CT]])</f>
        <v/>
      </c>
      <c r="C7" s="225"/>
      <c r="D7" s="227"/>
      <c r="E7" s="57"/>
      <c r="F7" s="227"/>
      <c r="G7" s="58" t="str">
        <f>IFERROR(IF(B7="","",VLOOKUP(B7,Tableau16[[Ref]:[CP]],6,FALSE)),"")</f>
        <v/>
      </c>
      <c r="H7" s="58" t="str">
        <f>IFERROR(IF(B7="","",VLOOKUP(B7,Tableau16[[Ref]:[CP]],7,FALSE)),"")</f>
        <v/>
      </c>
      <c r="I7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7" s="205">
        <f>COUNTIF($I$4:I7,Tableau8[[#This Row],[REF FACT]])</f>
        <v>4</v>
      </c>
      <c r="K7" s="118"/>
      <c r="L7" s="119"/>
      <c r="M7" s="58" t="str">
        <f>IF(Tableau8[[#This Row],[Sous Traitant]]&gt;1,VLOOKUP(Tableau8[[#This Row],[Sous Traitant]],#REF!,3,FALSE),"")</f>
        <v/>
      </c>
      <c r="N7" s="59"/>
      <c r="O7" s="141"/>
      <c r="P7" s="120"/>
      <c r="Q7" s="60"/>
      <c r="R7" s="113"/>
      <c r="S7" s="117"/>
      <c r="T7" s="65">
        <f>SUMIFS($P$4:P7,$I$4:I7,I7)</f>
        <v>0</v>
      </c>
      <c r="U7" s="65" t="str">
        <f>IF(Tableau8[[#This Row],[marché]]="MARCHEINT",VLOOKUP($B7,Tableau16[[Ref]:[AUTRE]],13,FALSE)-Tableau8[[#This Row],[PAYEE]],"")</f>
        <v/>
      </c>
      <c r="V7" s="65" t="str">
        <f>IF(Tableau8[[#This Row],[marché]]="MARCHEEXT",VLOOKUP($B7,Tableau16[[Ref]:[AUTRE]],14,FALSE)-Tableau8[[#This Row],[PAYEE]],"")</f>
        <v/>
      </c>
      <c r="W7" s="65" t="str">
        <f>IF(Tableau8[[#This Row],[marché]]="RG_5%",VLOOKUP($B7,Tableau16[[Ref]:[AUTRE]],15,FALSE)-Tableau8[[#This Row],[PAYEE]],"")</f>
        <v/>
      </c>
      <c r="X7" s="65" t="str">
        <f>IF(Tableau8[[#This Row],[marché]]="BFT_5%",VLOOKUP($B7,Tableau16[[Ref]:[AUTRE]],17,FALSE)-Tableau8[[#This Row],[PAYEE]],"")</f>
        <v/>
      </c>
      <c r="Y7" s="65" t="str">
        <f>IF(Tableau8[[#This Row],[marché]]="AUTRE",VLOOKUP($B7,Tableau16[[Ref]:[AUTRE]],19,FALSE)-Tableau8[[#This Row],[PAYEE]],"")</f>
        <v/>
      </c>
      <c r="Z7" s="157"/>
      <c r="AA7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8" spans="1:27" s="121" customFormat="1" ht="15.75" hidden="1">
      <c r="A8" s="258" t="s">
        <v>61</v>
      </c>
      <c r="B8" s="130" t="str">
        <f>CONCATENATE(Tableau8[[#This Row],[CT
INDIRECT CHANTIER]],Tableau8[[#This Row],[NOM CHANTIER
INDIRECT ST]],Tableau8[[#This Row],[Sous Traitant]],Tableau8[[#This Row],[MO
INDIRECT CT]])</f>
        <v/>
      </c>
      <c r="C8" s="225"/>
      <c r="D8" s="227"/>
      <c r="E8" s="57"/>
      <c r="F8" s="227"/>
      <c r="G8" s="58" t="str">
        <f>IFERROR(IF(B8="","",VLOOKUP(B8,Tableau16[[Ref]:[CP]],6,FALSE)),"")</f>
        <v/>
      </c>
      <c r="H8" s="58" t="str">
        <f>IFERROR(IF(B8="","",VLOOKUP(B8,Tableau16[[Ref]:[CP]],7,FALSE)),"")</f>
        <v/>
      </c>
      <c r="I8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8" s="205">
        <f>COUNTIF($I$4:I8,Tableau8[[#This Row],[REF FACT]])</f>
        <v>5</v>
      </c>
      <c r="K8" s="118"/>
      <c r="L8" s="119"/>
      <c r="M8" s="58" t="str">
        <f>IF(Tableau8[[#This Row],[Sous Traitant]]&gt;1,VLOOKUP(Tableau8[[#This Row],[Sous Traitant]],#REF!,3,FALSE),"")</f>
        <v/>
      </c>
      <c r="N8" s="59"/>
      <c r="O8" s="141"/>
      <c r="P8" s="120"/>
      <c r="Q8" s="60"/>
      <c r="R8" s="113"/>
      <c r="S8" s="117"/>
      <c r="T8" s="65">
        <f>SUMIFS($P$4:P8,$I$4:I8,I8)</f>
        <v>0</v>
      </c>
      <c r="U8" s="65" t="str">
        <f>IF(Tableau8[[#This Row],[marché]]="MARCHEINT",VLOOKUP($B8,Tableau16[[Ref]:[AUTRE]],13,FALSE)-Tableau8[[#This Row],[PAYEE]],"")</f>
        <v/>
      </c>
      <c r="V8" s="65" t="str">
        <f>IF(Tableau8[[#This Row],[marché]]="MARCHEEXT",VLOOKUP($B8,Tableau16[[Ref]:[AUTRE]],14,FALSE)-Tableau8[[#This Row],[PAYEE]],"")</f>
        <v/>
      </c>
      <c r="W8" s="65" t="str">
        <f>IF(Tableau8[[#This Row],[marché]]="RG_5%",VLOOKUP($B8,Tableau16[[Ref]:[AUTRE]],15,FALSE)-Tableau8[[#This Row],[PAYEE]],"")</f>
        <v/>
      </c>
      <c r="X8" s="65" t="str">
        <f>IF(Tableau8[[#This Row],[marché]]="BFT_5%",VLOOKUP($B8,Tableau16[[Ref]:[AUTRE]],17,FALSE)-Tableau8[[#This Row],[PAYEE]],"")</f>
        <v/>
      </c>
      <c r="Y8" s="65" t="str">
        <f>IF(Tableau8[[#This Row],[marché]]="AUTRE",VLOOKUP($B8,Tableau16[[Ref]:[AUTRE]],19,FALSE)-Tableau8[[#This Row],[PAYEE]],"")</f>
        <v/>
      </c>
      <c r="Z8" s="157"/>
      <c r="AA8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9" spans="1:27" s="121" customFormat="1" ht="15.75" hidden="1">
      <c r="A9" s="259"/>
      <c r="B9" s="130" t="str">
        <f>CONCATENATE(Tableau8[[#This Row],[CT
INDIRECT CHANTIER]],Tableau8[[#This Row],[NOM CHANTIER
INDIRECT ST]],Tableau8[[#This Row],[Sous Traitant]],Tableau8[[#This Row],[MO
INDIRECT CT]])</f>
        <v/>
      </c>
      <c r="C9" s="225"/>
      <c r="D9" s="227"/>
      <c r="E9" s="57"/>
      <c r="F9" s="227"/>
      <c r="G9" s="58" t="str">
        <f>IFERROR(IF(B9="","",VLOOKUP(B9,Tableau16[[Ref]:[CP]],6,FALSE)),"")</f>
        <v/>
      </c>
      <c r="H9" s="58" t="str">
        <f>IFERROR(IF(B9="","",VLOOKUP(B9,Tableau16[[Ref]:[CP]],7,FALSE)),"")</f>
        <v/>
      </c>
      <c r="I9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9" s="205">
        <f>COUNTIF($I$4:I9,Tableau8[[#This Row],[REF FACT]])</f>
        <v>6</v>
      </c>
      <c r="K9" s="118"/>
      <c r="L9" s="119"/>
      <c r="M9" s="58" t="str">
        <f>IF(Tableau8[[#This Row],[Sous Traitant]]&gt;1,VLOOKUP(Tableau8[[#This Row],[Sous Traitant]],#REF!,3,FALSE),"")</f>
        <v/>
      </c>
      <c r="N9" s="59"/>
      <c r="O9" s="141"/>
      <c r="P9" s="120"/>
      <c r="Q9" s="60"/>
      <c r="R9" s="113"/>
      <c r="S9" s="117"/>
      <c r="T9" s="65">
        <f>SUMIFS($P$4:P9,$I$4:I9,I9)</f>
        <v>0</v>
      </c>
      <c r="U9" s="65" t="str">
        <f>IF(Tableau8[[#This Row],[marché]]="MARCHEINT",VLOOKUP($B9,Tableau16[[Ref]:[AUTRE]],13,FALSE)-Tableau8[[#This Row],[PAYEE]],"")</f>
        <v/>
      </c>
      <c r="V9" s="65" t="str">
        <f>IF(Tableau8[[#This Row],[marché]]="MARCHEEXT",VLOOKUP($B9,Tableau16[[Ref]:[AUTRE]],14,FALSE)-Tableau8[[#This Row],[PAYEE]],"")</f>
        <v/>
      </c>
      <c r="W9" s="65" t="str">
        <f>IF(Tableau8[[#This Row],[marché]]="RG_5%",VLOOKUP($B9,Tableau16[[Ref]:[AUTRE]],15,FALSE)-Tableau8[[#This Row],[PAYEE]],"")</f>
        <v/>
      </c>
      <c r="X9" s="65" t="str">
        <f>IF(Tableau8[[#This Row],[marché]]="BFT_5%",VLOOKUP($B9,Tableau16[[Ref]:[AUTRE]],17,FALSE)-Tableau8[[#This Row],[PAYEE]],"")</f>
        <v/>
      </c>
      <c r="Y9" s="65" t="str">
        <f>IF(Tableau8[[#This Row],[marché]]="AUTRE",VLOOKUP($B9,Tableau16[[Ref]:[AUTRE]],19,FALSE)-Tableau8[[#This Row],[PAYEE]],"")</f>
        <v/>
      </c>
      <c r="Z9" s="157"/>
      <c r="AA9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10" spans="1:27" s="121" customFormat="1" ht="15.75" hidden="1">
      <c r="A10" s="259"/>
      <c r="B10" s="130" t="str">
        <f>CONCATENATE(Tableau8[[#This Row],[CT
INDIRECT CHANTIER]],Tableau8[[#This Row],[NOM CHANTIER
INDIRECT ST]],Tableau8[[#This Row],[Sous Traitant]],Tableau8[[#This Row],[MO
INDIRECT CT]])</f>
        <v/>
      </c>
      <c r="C10" s="225"/>
      <c r="D10" s="227"/>
      <c r="E10" s="57"/>
      <c r="F10" s="227"/>
      <c r="G10" s="58" t="str">
        <f>IFERROR(IF(B10="","",VLOOKUP(B10,Tableau16[[Ref]:[CP]],6,FALSE)),"")</f>
        <v/>
      </c>
      <c r="H10" s="58" t="str">
        <f>IFERROR(IF(B10="","",VLOOKUP(B10,Tableau16[[Ref]:[CP]],7,FALSE)),"")</f>
        <v/>
      </c>
      <c r="I10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10" s="205">
        <f>COUNTIF($I$4:I10,Tableau8[[#This Row],[REF FACT]])</f>
        <v>7</v>
      </c>
      <c r="K10" s="118"/>
      <c r="L10" s="119"/>
      <c r="M10" s="58" t="str">
        <f>IF(Tableau8[[#This Row],[Sous Traitant]]&gt;1,VLOOKUP(Tableau8[[#This Row],[Sous Traitant]],#REF!,3,FALSE),"")</f>
        <v/>
      </c>
      <c r="N10" s="59"/>
      <c r="O10" s="141"/>
      <c r="P10" s="120"/>
      <c r="Q10" s="60"/>
      <c r="R10" s="113"/>
      <c r="S10" s="117"/>
      <c r="T10" s="65">
        <f>SUMIFS($P$4:P10,$I$4:I10,I10)</f>
        <v>0</v>
      </c>
      <c r="U10" s="65" t="str">
        <f>IF(Tableau8[[#This Row],[marché]]="MARCHEINT",VLOOKUP($B10,Tableau16[[Ref]:[AUTRE]],13,FALSE)-Tableau8[[#This Row],[PAYEE]],"")</f>
        <v/>
      </c>
      <c r="V10" s="65" t="str">
        <f>IF(Tableau8[[#This Row],[marché]]="MARCHEEXT",VLOOKUP($B10,Tableau16[[Ref]:[AUTRE]],14,FALSE)-Tableau8[[#This Row],[PAYEE]],"")</f>
        <v/>
      </c>
      <c r="W10" s="65" t="str">
        <f>IF(Tableau8[[#This Row],[marché]]="RG_5%",VLOOKUP($B10,Tableau16[[Ref]:[AUTRE]],15,FALSE)-Tableau8[[#This Row],[PAYEE]],"")</f>
        <v/>
      </c>
      <c r="X10" s="65" t="str">
        <f>IF(Tableau8[[#This Row],[marché]]="BFT_5%",VLOOKUP($B10,Tableau16[[Ref]:[AUTRE]],17,FALSE)-Tableau8[[#This Row],[PAYEE]],"")</f>
        <v/>
      </c>
      <c r="Y10" s="65" t="str">
        <f>IF(Tableau8[[#This Row],[marché]]="AUTRE",VLOOKUP($B10,Tableau16[[Ref]:[AUTRE]],19,FALSE)-Tableau8[[#This Row],[PAYEE]],"")</f>
        <v/>
      </c>
      <c r="Z10" s="157"/>
      <c r="AA10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11" spans="1:27" s="121" customFormat="1" ht="15.75" hidden="1">
      <c r="A11" s="260"/>
      <c r="B11" s="130" t="str">
        <f>CONCATENATE(Tableau8[[#This Row],[CT
INDIRECT CHANTIER]],Tableau8[[#This Row],[NOM CHANTIER
INDIRECT ST]],Tableau8[[#This Row],[Sous Traitant]],Tableau8[[#This Row],[MO
INDIRECT CT]])</f>
        <v/>
      </c>
      <c r="C11" s="225"/>
      <c r="D11" s="227"/>
      <c r="E11" s="57"/>
      <c r="F11" s="227"/>
      <c r="G11" s="58" t="str">
        <f>IFERROR(IF(B11="","",VLOOKUP(B11,Tableau16[[Ref]:[CP]],6,FALSE)),"")</f>
        <v/>
      </c>
      <c r="H11" s="58" t="str">
        <f>IFERROR(IF(B11="","",VLOOKUP(B11,Tableau16[[Ref]:[CP]],7,FALSE)),"")</f>
        <v/>
      </c>
      <c r="I11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11" s="205">
        <f>COUNTIF($I$4:I11,Tableau8[[#This Row],[REF FACT]])</f>
        <v>8</v>
      </c>
      <c r="K11" s="118"/>
      <c r="L11" s="119"/>
      <c r="M11" s="58" t="str">
        <f>IF(Tableau8[[#This Row],[Sous Traitant]]&gt;1,VLOOKUP(Tableau8[[#This Row],[Sous Traitant]],#REF!,3,FALSE),"")</f>
        <v/>
      </c>
      <c r="N11" s="59"/>
      <c r="O11" s="141"/>
      <c r="P11" s="120"/>
      <c r="Q11" s="60"/>
      <c r="R11" s="113"/>
      <c r="S11" s="117"/>
      <c r="T11" s="65">
        <f>SUMIFS($P$4:P11,$I$4:I11,I11)</f>
        <v>0</v>
      </c>
      <c r="U11" s="65" t="str">
        <f>IF(Tableau8[[#This Row],[marché]]="MARCHEINT",VLOOKUP($B11,Tableau16[[Ref]:[AUTRE]],13,FALSE)-Tableau8[[#This Row],[PAYEE]],"")</f>
        <v/>
      </c>
      <c r="V11" s="65" t="str">
        <f>IF(Tableau8[[#This Row],[marché]]="MARCHEEXT",VLOOKUP($B11,Tableau16[[Ref]:[AUTRE]],14,FALSE)-Tableau8[[#This Row],[PAYEE]],"")</f>
        <v/>
      </c>
      <c r="W11" s="65" t="str">
        <f>IF(Tableau8[[#This Row],[marché]]="RG_5%",VLOOKUP($B11,Tableau16[[Ref]:[AUTRE]],15,FALSE)-Tableau8[[#This Row],[PAYEE]],"")</f>
        <v/>
      </c>
      <c r="X11" s="65" t="str">
        <f>IF(Tableau8[[#This Row],[marché]]="BFT_5%",VLOOKUP($B11,Tableau16[[Ref]:[AUTRE]],17,FALSE)-Tableau8[[#This Row],[PAYEE]],"")</f>
        <v/>
      </c>
      <c r="Y11" s="65" t="str">
        <f>IF(Tableau8[[#This Row],[marché]]="AUTRE",VLOOKUP($B11,Tableau16[[Ref]:[AUTRE]],19,FALSE)-Tableau8[[#This Row],[PAYEE]],"")</f>
        <v/>
      </c>
      <c r="Z11" s="157"/>
      <c r="AA11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12" spans="1:27" s="121" customFormat="1" ht="15.75" hidden="1">
      <c r="A12" s="258" t="s">
        <v>62</v>
      </c>
      <c r="B12" s="130" t="str">
        <f>CONCATENATE(Tableau8[[#This Row],[CT
INDIRECT CHANTIER]],Tableau8[[#This Row],[NOM CHANTIER
INDIRECT ST]],Tableau8[[#This Row],[Sous Traitant]],Tableau8[[#This Row],[MO
INDIRECT CT]])</f>
        <v/>
      </c>
      <c r="C12" s="225"/>
      <c r="D12" s="227"/>
      <c r="E12" s="57"/>
      <c r="F12" s="227"/>
      <c r="G12" s="58" t="str">
        <f>IFERROR(IF(B12="","",VLOOKUP(B12,Tableau16[[Ref]:[CP]],6,FALSE)),"")</f>
        <v/>
      </c>
      <c r="H12" s="58" t="str">
        <f>IFERROR(IF(B12="","",VLOOKUP(B12,Tableau16[[Ref]:[CP]],7,FALSE)),"")</f>
        <v/>
      </c>
      <c r="I12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12" s="205">
        <f>COUNTIF($I$4:I12,Tableau8[[#This Row],[REF FACT]])</f>
        <v>9</v>
      </c>
      <c r="K12" s="118"/>
      <c r="L12" s="119"/>
      <c r="M12" s="58" t="str">
        <f>IF(Tableau8[[#This Row],[Sous Traitant]]&gt;1,VLOOKUP(Tableau8[[#This Row],[Sous Traitant]],#REF!,3,FALSE),"")</f>
        <v/>
      </c>
      <c r="N12" s="59"/>
      <c r="O12" s="141"/>
      <c r="P12" s="120"/>
      <c r="Q12" s="60"/>
      <c r="R12" s="113"/>
      <c r="S12" s="117"/>
      <c r="T12" s="65">
        <f>SUMIFS($P$4:P12,$I$4:I12,I12)</f>
        <v>0</v>
      </c>
      <c r="U12" s="65" t="str">
        <f>IF(Tableau8[[#This Row],[marché]]="MARCHEINT",VLOOKUP($B12,Tableau16[[Ref]:[AUTRE]],13,FALSE)-Tableau8[[#This Row],[PAYEE]],"")</f>
        <v/>
      </c>
      <c r="V12" s="65" t="str">
        <f>IF(Tableau8[[#This Row],[marché]]="MARCHEEXT",VLOOKUP($B12,Tableau16[[Ref]:[AUTRE]],14,FALSE)-Tableau8[[#This Row],[PAYEE]],"")</f>
        <v/>
      </c>
      <c r="W12" s="65" t="str">
        <f>IF(Tableau8[[#This Row],[marché]]="RG_5%",VLOOKUP($B12,Tableau16[[Ref]:[AUTRE]],15,FALSE)-Tableau8[[#This Row],[PAYEE]],"")</f>
        <v/>
      </c>
      <c r="X12" s="65" t="str">
        <f>IF(Tableau8[[#This Row],[marché]]="BFT_5%",VLOOKUP($B12,Tableau16[[Ref]:[AUTRE]],17,FALSE)-Tableau8[[#This Row],[PAYEE]],"")</f>
        <v/>
      </c>
      <c r="Y12" s="65" t="str">
        <f>IF(Tableau8[[#This Row],[marché]]="AUTRE",VLOOKUP($B12,Tableau16[[Ref]:[AUTRE]],19,FALSE)-Tableau8[[#This Row],[PAYEE]],"")</f>
        <v/>
      </c>
      <c r="Z12" s="157"/>
      <c r="AA12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13" spans="1:27" s="121" customFormat="1" ht="15.75" hidden="1">
      <c r="A13" s="259"/>
      <c r="B13" s="130" t="str">
        <f>CONCATENATE(Tableau8[[#This Row],[CT
INDIRECT CHANTIER]],Tableau8[[#This Row],[NOM CHANTIER
INDIRECT ST]],Tableau8[[#This Row],[Sous Traitant]],Tableau8[[#This Row],[MO
INDIRECT CT]])</f>
        <v/>
      </c>
      <c r="C13" s="225"/>
      <c r="D13" s="227"/>
      <c r="E13" s="57"/>
      <c r="F13" s="227"/>
      <c r="G13" s="58" t="str">
        <f>IFERROR(IF(B13="","",VLOOKUP(B13,Tableau16[[Ref]:[CP]],6,FALSE)),"")</f>
        <v/>
      </c>
      <c r="H13" s="58" t="str">
        <f>IFERROR(IF(B13="","",VLOOKUP(B13,Tableau16[[Ref]:[CP]],7,FALSE)),"")</f>
        <v/>
      </c>
      <c r="I13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13" s="205">
        <f>COUNTIF($I$4:I13,Tableau8[[#This Row],[REF FACT]])</f>
        <v>10</v>
      </c>
      <c r="K13" s="118"/>
      <c r="L13" s="119"/>
      <c r="M13" s="58" t="str">
        <f>IF(Tableau8[[#This Row],[Sous Traitant]]&gt;1,VLOOKUP(Tableau8[[#This Row],[Sous Traitant]],#REF!,3,FALSE),"")</f>
        <v/>
      </c>
      <c r="N13" s="59"/>
      <c r="O13" s="141"/>
      <c r="P13" s="120"/>
      <c r="Q13" s="60"/>
      <c r="R13" s="113"/>
      <c r="S13" s="117"/>
      <c r="T13" s="65">
        <f>SUMIFS($P$4:P13,$I$4:I13,I13)</f>
        <v>0</v>
      </c>
      <c r="U13" s="65" t="str">
        <f>IF(Tableau8[[#This Row],[marché]]="MARCHEINT",VLOOKUP($B13,Tableau16[[Ref]:[AUTRE]],13,FALSE)-Tableau8[[#This Row],[PAYEE]],"")</f>
        <v/>
      </c>
      <c r="V13" s="65" t="str">
        <f>IF(Tableau8[[#This Row],[marché]]="MARCHEEXT",VLOOKUP($B13,Tableau16[[Ref]:[AUTRE]],14,FALSE)-Tableau8[[#This Row],[PAYEE]],"")</f>
        <v/>
      </c>
      <c r="W13" s="65" t="str">
        <f>IF(Tableau8[[#This Row],[marché]]="RG_5%",VLOOKUP($B13,Tableau16[[Ref]:[AUTRE]],15,FALSE)-Tableau8[[#This Row],[PAYEE]],"")</f>
        <v/>
      </c>
      <c r="X13" s="65" t="str">
        <f>IF(Tableau8[[#This Row],[marché]]="BFT_5%",VLOOKUP($B13,Tableau16[[Ref]:[AUTRE]],17,FALSE)-Tableau8[[#This Row],[PAYEE]],"")</f>
        <v/>
      </c>
      <c r="Y13" s="65" t="str">
        <f>IF(Tableau8[[#This Row],[marché]]="AUTRE",VLOOKUP($B13,Tableau16[[Ref]:[AUTRE]],19,FALSE)-Tableau8[[#This Row],[PAYEE]],"")</f>
        <v/>
      </c>
      <c r="Z13" s="157"/>
      <c r="AA13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14" spans="1:27" s="121" customFormat="1" ht="15.75" hidden="1">
      <c r="A14" s="259"/>
      <c r="B14" s="130" t="str">
        <f>CONCATENATE(Tableau8[[#This Row],[CT
INDIRECT CHANTIER]],Tableau8[[#This Row],[NOM CHANTIER
INDIRECT ST]],Tableau8[[#This Row],[Sous Traitant]],Tableau8[[#This Row],[MO
INDIRECT CT]])</f>
        <v/>
      </c>
      <c r="C14" s="225"/>
      <c r="D14" s="227"/>
      <c r="E14" s="57"/>
      <c r="F14" s="227"/>
      <c r="G14" s="58" t="str">
        <f>IFERROR(IF(B14="","",VLOOKUP(B14,Tableau16[[Ref]:[CP]],6,FALSE)),"")</f>
        <v/>
      </c>
      <c r="H14" s="58" t="str">
        <f>IFERROR(IF(B14="","",VLOOKUP(B14,Tableau16[[Ref]:[CP]],7,FALSE)),"")</f>
        <v/>
      </c>
      <c r="I14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14" s="205">
        <f>COUNTIF($I$4:I14,Tableau8[[#This Row],[REF FACT]])</f>
        <v>11</v>
      </c>
      <c r="K14" s="118"/>
      <c r="L14" s="119"/>
      <c r="M14" s="58" t="str">
        <f>IF(Tableau8[[#This Row],[Sous Traitant]]&gt;1,VLOOKUP(Tableau8[[#This Row],[Sous Traitant]],#REF!,3,FALSE),"")</f>
        <v/>
      </c>
      <c r="N14" s="59"/>
      <c r="O14" s="141"/>
      <c r="P14" s="120"/>
      <c r="Q14" s="60"/>
      <c r="R14" s="113"/>
      <c r="S14" s="117"/>
      <c r="T14" s="65">
        <f>SUMIFS($P$4:P14,$I$4:I14,I14)</f>
        <v>0</v>
      </c>
      <c r="U14" s="65" t="str">
        <f>IF(Tableau8[[#This Row],[marché]]="MARCHEINT",VLOOKUP($B14,Tableau16[[Ref]:[AUTRE]],13,FALSE)-Tableau8[[#This Row],[PAYEE]],"")</f>
        <v/>
      </c>
      <c r="V14" s="65" t="str">
        <f>IF(Tableau8[[#This Row],[marché]]="MARCHEEXT",VLOOKUP($B14,Tableau16[[Ref]:[AUTRE]],14,FALSE)-Tableau8[[#This Row],[PAYEE]],"")</f>
        <v/>
      </c>
      <c r="W14" s="65" t="str">
        <f>IF(Tableau8[[#This Row],[marché]]="RG_5%",VLOOKUP($B14,Tableau16[[Ref]:[AUTRE]],15,FALSE)-Tableau8[[#This Row],[PAYEE]],"")</f>
        <v/>
      </c>
      <c r="X14" s="65" t="str">
        <f>IF(Tableau8[[#This Row],[marché]]="BFT_5%",VLOOKUP($B14,Tableau16[[Ref]:[AUTRE]],17,FALSE)-Tableau8[[#This Row],[PAYEE]],"")</f>
        <v/>
      </c>
      <c r="Y14" s="65" t="str">
        <f>IF(Tableau8[[#This Row],[marché]]="AUTRE",VLOOKUP($B14,Tableau16[[Ref]:[AUTRE]],19,FALSE)-Tableau8[[#This Row],[PAYEE]],"")</f>
        <v/>
      </c>
      <c r="Z14" s="157"/>
      <c r="AA14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15" spans="1:27" s="121" customFormat="1" ht="15.75" hidden="1">
      <c r="A15" s="260"/>
      <c r="B15" s="130" t="str">
        <f>CONCATENATE(Tableau8[[#This Row],[CT
INDIRECT CHANTIER]],Tableau8[[#This Row],[NOM CHANTIER
INDIRECT ST]],Tableau8[[#This Row],[Sous Traitant]],Tableau8[[#This Row],[MO
INDIRECT CT]])</f>
        <v/>
      </c>
      <c r="C15" s="225"/>
      <c r="D15" s="227"/>
      <c r="E15" s="57"/>
      <c r="F15" s="227"/>
      <c r="G15" s="58" t="str">
        <f>IFERROR(IF(B15="","",VLOOKUP(B15,Tableau16[[Ref]:[CP]],6,FALSE)),"")</f>
        <v/>
      </c>
      <c r="H15" s="58" t="str">
        <f>IFERROR(IF(B15="","",VLOOKUP(B15,Tableau16[[Ref]:[CP]],7,FALSE)),"")</f>
        <v/>
      </c>
      <c r="I15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15" s="205">
        <f>COUNTIF($I$4:I15,Tableau8[[#This Row],[REF FACT]])</f>
        <v>12</v>
      </c>
      <c r="K15" s="118"/>
      <c r="L15" s="119"/>
      <c r="M15" s="58" t="str">
        <f>IF(Tableau8[[#This Row],[Sous Traitant]]&gt;1,VLOOKUP(Tableau8[[#This Row],[Sous Traitant]],#REF!,3,FALSE),"")</f>
        <v/>
      </c>
      <c r="N15" s="59"/>
      <c r="O15" s="141"/>
      <c r="P15" s="120"/>
      <c r="Q15" s="60"/>
      <c r="R15" s="113"/>
      <c r="S15" s="117"/>
      <c r="T15" s="65">
        <f>SUMIFS($P$4:P15,$I$4:I15,I15)</f>
        <v>0</v>
      </c>
      <c r="U15" s="65" t="str">
        <f>IF(Tableau8[[#This Row],[marché]]="MARCHEINT",VLOOKUP($B15,Tableau16[[Ref]:[AUTRE]],13,FALSE)-Tableau8[[#This Row],[PAYEE]],"")</f>
        <v/>
      </c>
      <c r="V15" s="65" t="str">
        <f>IF(Tableau8[[#This Row],[marché]]="MARCHEEXT",VLOOKUP($B15,Tableau16[[Ref]:[AUTRE]],14,FALSE)-Tableau8[[#This Row],[PAYEE]],"")</f>
        <v/>
      </c>
      <c r="W15" s="65" t="str">
        <f>IF(Tableau8[[#This Row],[marché]]="RG_5%",VLOOKUP($B15,Tableau16[[Ref]:[AUTRE]],15,FALSE)-Tableau8[[#This Row],[PAYEE]],"")</f>
        <v/>
      </c>
      <c r="X15" s="65" t="str">
        <f>IF(Tableau8[[#This Row],[marché]]="BFT_5%",VLOOKUP($B15,Tableau16[[Ref]:[AUTRE]],17,FALSE)-Tableau8[[#This Row],[PAYEE]],"")</f>
        <v/>
      </c>
      <c r="Y15" s="65" t="str">
        <f>IF(Tableau8[[#This Row],[marché]]="AUTRE",VLOOKUP($B15,Tableau16[[Ref]:[AUTRE]],19,FALSE)-Tableau8[[#This Row],[PAYEE]],"")</f>
        <v/>
      </c>
      <c r="Z15" s="157"/>
      <c r="AA15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16" spans="1:27" s="121" customFormat="1" ht="15.75" hidden="1">
      <c r="A16" s="258" t="s">
        <v>63</v>
      </c>
      <c r="B16" s="130" t="str">
        <f>CONCATENATE(Tableau8[[#This Row],[CT
INDIRECT CHANTIER]],Tableau8[[#This Row],[NOM CHANTIER
INDIRECT ST]],Tableau8[[#This Row],[Sous Traitant]],Tableau8[[#This Row],[MO
INDIRECT CT]])</f>
        <v/>
      </c>
      <c r="C16" s="225"/>
      <c r="D16" s="227"/>
      <c r="E16" s="57"/>
      <c r="F16" s="227"/>
      <c r="G16" s="58" t="str">
        <f>IFERROR(IF(B16="","",VLOOKUP(B16,Tableau16[[Ref]:[CP]],6,FALSE)),"")</f>
        <v/>
      </c>
      <c r="H16" s="58" t="str">
        <f>IFERROR(IF(B16="","",VLOOKUP(B16,Tableau16[[Ref]:[CP]],7,FALSE)),"")</f>
        <v/>
      </c>
      <c r="I16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16" s="205">
        <f>COUNTIF($I$4:I16,Tableau8[[#This Row],[REF FACT]])</f>
        <v>13</v>
      </c>
      <c r="K16" s="118"/>
      <c r="L16" s="119"/>
      <c r="M16" s="58" t="str">
        <f>IF(Tableau8[[#This Row],[Sous Traitant]]&gt;1,VLOOKUP(Tableau8[[#This Row],[Sous Traitant]],#REF!,3,FALSE),"")</f>
        <v/>
      </c>
      <c r="N16" s="59"/>
      <c r="O16" s="141"/>
      <c r="P16" s="120"/>
      <c r="Q16" s="60"/>
      <c r="R16" s="113"/>
      <c r="S16" s="117"/>
      <c r="T16" s="65">
        <f>SUMIFS($P$4:P16,$I$4:I16,I16)</f>
        <v>0</v>
      </c>
      <c r="U16" s="65" t="str">
        <f>IF(Tableau8[[#This Row],[marché]]="MARCHEINT",VLOOKUP($B16,Tableau16[[Ref]:[AUTRE]],13,FALSE)-Tableau8[[#This Row],[PAYEE]],"")</f>
        <v/>
      </c>
      <c r="V16" s="65" t="str">
        <f>IF(Tableau8[[#This Row],[marché]]="MARCHEEXT",VLOOKUP($B16,Tableau16[[Ref]:[AUTRE]],14,FALSE)-Tableau8[[#This Row],[PAYEE]],"")</f>
        <v/>
      </c>
      <c r="W16" s="65" t="str">
        <f>IF(Tableau8[[#This Row],[marché]]="RG_5%",VLOOKUP($B16,Tableau16[[Ref]:[AUTRE]],15,FALSE)-Tableau8[[#This Row],[PAYEE]],"")</f>
        <v/>
      </c>
      <c r="X16" s="65" t="str">
        <f>IF(Tableau8[[#This Row],[marché]]="BFT_5%",VLOOKUP($B16,Tableau16[[Ref]:[AUTRE]],17,FALSE)-Tableau8[[#This Row],[PAYEE]],"")</f>
        <v/>
      </c>
      <c r="Y16" s="65" t="str">
        <f>IF(Tableau8[[#This Row],[marché]]="AUTRE",VLOOKUP($B16,Tableau16[[Ref]:[AUTRE]],19,FALSE)-Tableau8[[#This Row],[PAYEE]],"")</f>
        <v/>
      </c>
      <c r="Z16" s="157"/>
      <c r="AA16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17" spans="1:27" s="121" customFormat="1" ht="15.75" hidden="1">
      <c r="A17" s="259"/>
      <c r="B17" s="130" t="str">
        <f>CONCATENATE(Tableau8[[#This Row],[CT
INDIRECT CHANTIER]],Tableau8[[#This Row],[NOM CHANTIER
INDIRECT ST]],Tableau8[[#This Row],[Sous Traitant]],Tableau8[[#This Row],[MO
INDIRECT CT]])</f>
        <v/>
      </c>
      <c r="C17" s="225"/>
      <c r="D17" s="227"/>
      <c r="E17" s="57"/>
      <c r="F17" s="227"/>
      <c r="G17" s="58" t="str">
        <f>IFERROR(IF(B17="","",VLOOKUP(B17,Tableau16[[Ref]:[CP]],6,FALSE)),"")</f>
        <v/>
      </c>
      <c r="H17" s="58" t="str">
        <f>IFERROR(IF(B17="","",VLOOKUP(B17,Tableau16[[Ref]:[CP]],7,FALSE)),"")</f>
        <v/>
      </c>
      <c r="I17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17" s="205">
        <f>COUNTIF($I$4:I17,Tableau8[[#This Row],[REF FACT]])</f>
        <v>14</v>
      </c>
      <c r="K17" s="118"/>
      <c r="L17" s="119"/>
      <c r="M17" s="58" t="str">
        <f>IF(Tableau8[[#This Row],[Sous Traitant]]&gt;1,VLOOKUP(Tableau8[[#This Row],[Sous Traitant]],#REF!,3,FALSE),"")</f>
        <v/>
      </c>
      <c r="N17" s="59"/>
      <c r="O17" s="141"/>
      <c r="P17" s="120"/>
      <c r="Q17" s="60"/>
      <c r="R17" s="113"/>
      <c r="S17" s="117"/>
      <c r="T17" s="65">
        <f>SUMIFS($P$4:P17,$I$4:I17,I17)</f>
        <v>0</v>
      </c>
      <c r="U17" s="65" t="str">
        <f>IF(Tableau8[[#This Row],[marché]]="MARCHEINT",VLOOKUP($B17,Tableau16[[Ref]:[AUTRE]],13,FALSE)-Tableau8[[#This Row],[PAYEE]],"")</f>
        <v/>
      </c>
      <c r="V17" s="65" t="str">
        <f>IF(Tableau8[[#This Row],[marché]]="MARCHEEXT",VLOOKUP($B17,Tableau16[[Ref]:[AUTRE]],14,FALSE)-Tableau8[[#This Row],[PAYEE]],"")</f>
        <v/>
      </c>
      <c r="W17" s="65" t="str">
        <f>IF(Tableau8[[#This Row],[marché]]="RG_5%",VLOOKUP($B17,Tableau16[[Ref]:[AUTRE]],15,FALSE)-Tableau8[[#This Row],[PAYEE]],"")</f>
        <v/>
      </c>
      <c r="X17" s="65" t="str">
        <f>IF(Tableau8[[#This Row],[marché]]="BFT_5%",VLOOKUP($B17,Tableau16[[Ref]:[AUTRE]],17,FALSE)-Tableau8[[#This Row],[PAYEE]],"")</f>
        <v/>
      </c>
      <c r="Y17" s="65" t="str">
        <f>IF(Tableau8[[#This Row],[marché]]="AUTRE",VLOOKUP($B17,Tableau16[[Ref]:[AUTRE]],19,FALSE)-Tableau8[[#This Row],[PAYEE]],"")</f>
        <v/>
      </c>
      <c r="Z17" s="157"/>
      <c r="AA17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18" spans="1:27" s="121" customFormat="1" ht="15.75" hidden="1">
      <c r="A18" s="259"/>
      <c r="B18" s="130" t="str">
        <f>CONCATENATE(Tableau8[[#This Row],[CT
INDIRECT CHANTIER]],Tableau8[[#This Row],[NOM CHANTIER
INDIRECT ST]],Tableau8[[#This Row],[Sous Traitant]],Tableau8[[#This Row],[MO
INDIRECT CT]])</f>
        <v/>
      </c>
      <c r="C18" s="225"/>
      <c r="D18" s="227"/>
      <c r="E18" s="57"/>
      <c r="F18" s="227"/>
      <c r="G18" s="58" t="str">
        <f>IFERROR(IF(B18="","",VLOOKUP(B18,Tableau16[[Ref]:[CP]],6,FALSE)),"")</f>
        <v/>
      </c>
      <c r="H18" s="58" t="str">
        <f>IFERROR(IF(B18="","",VLOOKUP(B18,Tableau16[[Ref]:[CP]],7,FALSE)),"")</f>
        <v/>
      </c>
      <c r="I18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18" s="205">
        <f>COUNTIF($I$4:I18,Tableau8[[#This Row],[REF FACT]])</f>
        <v>15</v>
      </c>
      <c r="K18" s="118"/>
      <c r="L18" s="119"/>
      <c r="M18" s="58" t="str">
        <f>IF(Tableau8[[#This Row],[Sous Traitant]]&gt;1,VLOOKUP(Tableau8[[#This Row],[Sous Traitant]],#REF!,3,FALSE),"")</f>
        <v/>
      </c>
      <c r="N18" s="59"/>
      <c r="O18" s="141"/>
      <c r="P18" s="120"/>
      <c r="Q18" s="60"/>
      <c r="R18" s="113"/>
      <c r="S18" s="117"/>
      <c r="T18" s="65">
        <f>SUMIFS($P$4:P18,$I$4:I18,I18)</f>
        <v>0</v>
      </c>
      <c r="U18" s="65" t="str">
        <f>IF(Tableau8[[#This Row],[marché]]="MARCHEINT",VLOOKUP($B18,Tableau16[[Ref]:[AUTRE]],13,FALSE)-Tableau8[[#This Row],[PAYEE]],"")</f>
        <v/>
      </c>
      <c r="V18" s="65" t="str">
        <f>IF(Tableau8[[#This Row],[marché]]="MARCHEEXT",VLOOKUP($B18,Tableau16[[Ref]:[AUTRE]],14,FALSE)-Tableau8[[#This Row],[PAYEE]],"")</f>
        <v/>
      </c>
      <c r="W18" s="65" t="str">
        <f>IF(Tableau8[[#This Row],[marché]]="RG_5%",VLOOKUP($B18,Tableau16[[Ref]:[AUTRE]],15,FALSE)-Tableau8[[#This Row],[PAYEE]],"")</f>
        <v/>
      </c>
      <c r="X18" s="65" t="str">
        <f>IF(Tableau8[[#This Row],[marché]]="BFT_5%",VLOOKUP($B18,Tableau16[[Ref]:[AUTRE]],17,FALSE)-Tableau8[[#This Row],[PAYEE]],"")</f>
        <v/>
      </c>
      <c r="Y18" s="65" t="str">
        <f>IF(Tableau8[[#This Row],[marché]]="AUTRE",VLOOKUP($B18,Tableau16[[Ref]:[AUTRE]],19,FALSE)-Tableau8[[#This Row],[PAYEE]],"")</f>
        <v/>
      </c>
      <c r="Z18" s="157"/>
      <c r="AA18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19" spans="1:27" s="121" customFormat="1" ht="15.75" hidden="1">
      <c r="A19" s="260"/>
      <c r="B19" s="130" t="str">
        <f>CONCATENATE(Tableau8[[#This Row],[CT
INDIRECT CHANTIER]],Tableau8[[#This Row],[NOM CHANTIER
INDIRECT ST]],Tableau8[[#This Row],[Sous Traitant]],Tableau8[[#This Row],[MO
INDIRECT CT]])</f>
        <v/>
      </c>
      <c r="C19" s="225"/>
      <c r="D19" s="227"/>
      <c r="E19" s="57"/>
      <c r="F19" s="227"/>
      <c r="G19" s="58" t="str">
        <f>IFERROR(IF(B19="","",VLOOKUP(B19,Tableau16[[Ref]:[CP]],6,FALSE)),"")</f>
        <v/>
      </c>
      <c r="H19" s="58" t="str">
        <f>IFERROR(IF(B19="","",VLOOKUP(B19,Tableau16[[Ref]:[CP]],7,FALSE)),"")</f>
        <v/>
      </c>
      <c r="I19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19" s="205">
        <f>COUNTIF($I$4:I19,Tableau8[[#This Row],[REF FACT]])</f>
        <v>16</v>
      </c>
      <c r="K19" s="118"/>
      <c r="L19" s="119"/>
      <c r="M19" s="58" t="str">
        <f>IF(Tableau8[[#This Row],[Sous Traitant]]&gt;1,VLOOKUP(Tableau8[[#This Row],[Sous Traitant]],#REF!,3,FALSE),"")</f>
        <v/>
      </c>
      <c r="N19" s="59"/>
      <c r="O19" s="141"/>
      <c r="P19" s="120"/>
      <c r="Q19" s="60"/>
      <c r="R19" s="113"/>
      <c r="S19" s="117"/>
      <c r="T19" s="65">
        <f>SUMIFS($P$4:P19,$I$4:I19,I19)</f>
        <v>0</v>
      </c>
      <c r="U19" s="65" t="str">
        <f>IF(Tableau8[[#This Row],[marché]]="MARCHEINT",VLOOKUP($B19,Tableau16[[Ref]:[AUTRE]],13,FALSE)-Tableau8[[#This Row],[PAYEE]],"")</f>
        <v/>
      </c>
      <c r="V19" s="65" t="str">
        <f>IF(Tableau8[[#This Row],[marché]]="MARCHEEXT",VLOOKUP($B19,Tableau16[[Ref]:[AUTRE]],14,FALSE)-Tableau8[[#This Row],[PAYEE]],"")</f>
        <v/>
      </c>
      <c r="W19" s="65" t="str">
        <f>IF(Tableau8[[#This Row],[marché]]="RG_5%",VLOOKUP($B19,Tableau16[[Ref]:[AUTRE]],15,FALSE)-Tableau8[[#This Row],[PAYEE]],"")</f>
        <v/>
      </c>
      <c r="X19" s="65" t="str">
        <f>IF(Tableau8[[#This Row],[marché]]="BFT_5%",VLOOKUP($B19,Tableau16[[Ref]:[AUTRE]],17,FALSE)-Tableau8[[#This Row],[PAYEE]],"")</f>
        <v/>
      </c>
      <c r="Y19" s="65" t="str">
        <f>IF(Tableau8[[#This Row],[marché]]="AUTRE",VLOOKUP($B19,Tableau16[[Ref]:[AUTRE]],19,FALSE)-Tableau8[[#This Row],[PAYEE]],"")</f>
        <v/>
      </c>
      <c r="Z19" s="157"/>
      <c r="AA19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20" spans="1:27" s="121" customFormat="1" ht="15.75" hidden="1">
      <c r="A20" s="258" t="s">
        <v>64</v>
      </c>
      <c r="B20" s="130" t="str">
        <f>CONCATENATE(Tableau8[[#This Row],[CT
INDIRECT CHANTIER]],Tableau8[[#This Row],[NOM CHANTIER
INDIRECT ST]],Tableau8[[#This Row],[Sous Traitant]],Tableau8[[#This Row],[MO
INDIRECT CT]])</f>
        <v/>
      </c>
      <c r="C20" s="225"/>
      <c r="D20" s="227"/>
      <c r="E20" s="57"/>
      <c r="F20" s="227"/>
      <c r="G20" s="58" t="str">
        <f>IFERROR(IF(B20="","",VLOOKUP(B20,Tableau16[[Ref]:[CP]],6,FALSE)),"")</f>
        <v/>
      </c>
      <c r="H20" s="58" t="str">
        <f>IFERROR(IF(B20="","",VLOOKUP(B20,Tableau16[[Ref]:[CP]],7,FALSE)),"")</f>
        <v/>
      </c>
      <c r="I20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20" s="205">
        <f>COUNTIF($I$4:I20,Tableau8[[#This Row],[REF FACT]])</f>
        <v>17</v>
      </c>
      <c r="K20" s="118"/>
      <c r="L20" s="119"/>
      <c r="M20" s="58" t="str">
        <f>IF(Tableau8[[#This Row],[Sous Traitant]]&gt;1,VLOOKUP(Tableau8[[#This Row],[Sous Traitant]],#REF!,3,FALSE),"")</f>
        <v/>
      </c>
      <c r="N20" s="59"/>
      <c r="O20" s="141"/>
      <c r="P20" s="120"/>
      <c r="Q20" s="60"/>
      <c r="R20" s="113"/>
      <c r="S20" s="117"/>
      <c r="T20" s="65">
        <f>SUMIFS($P$4:P20,$I$4:I20,I20)</f>
        <v>0</v>
      </c>
      <c r="U20" s="65" t="str">
        <f>IF(Tableau8[[#This Row],[marché]]="MARCHEINT",VLOOKUP($B20,Tableau16[[Ref]:[AUTRE]],13,FALSE)-Tableau8[[#This Row],[PAYEE]],"")</f>
        <v/>
      </c>
      <c r="V20" s="65" t="str">
        <f>IF(Tableau8[[#This Row],[marché]]="MARCHEEXT",VLOOKUP($B20,Tableau16[[Ref]:[AUTRE]],14,FALSE)-Tableau8[[#This Row],[PAYEE]],"")</f>
        <v/>
      </c>
      <c r="W20" s="65" t="str">
        <f>IF(Tableau8[[#This Row],[marché]]="RG_5%",VLOOKUP($B20,Tableau16[[Ref]:[AUTRE]],15,FALSE)-Tableau8[[#This Row],[PAYEE]],"")</f>
        <v/>
      </c>
      <c r="X20" s="65" t="str">
        <f>IF(Tableau8[[#This Row],[marché]]="BFT_5%",VLOOKUP($B20,Tableau16[[Ref]:[AUTRE]],17,FALSE)-Tableau8[[#This Row],[PAYEE]],"")</f>
        <v/>
      </c>
      <c r="Y20" s="65" t="str">
        <f>IF(Tableau8[[#This Row],[marché]]="AUTRE",VLOOKUP($B20,Tableau16[[Ref]:[AUTRE]],19,FALSE)-Tableau8[[#This Row],[PAYEE]],"")</f>
        <v/>
      </c>
      <c r="Z20" s="157"/>
      <c r="AA20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21" spans="1:27" s="121" customFormat="1" ht="15.75" hidden="1">
      <c r="A21" s="259"/>
      <c r="B21" s="130" t="str">
        <f>CONCATENATE(Tableau8[[#This Row],[CT
INDIRECT CHANTIER]],Tableau8[[#This Row],[NOM CHANTIER
INDIRECT ST]],Tableau8[[#This Row],[Sous Traitant]],Tableau8[[#This Row],[MO
INDIRECT CT]])</f>
        <v/>
      </c>
      <c r="C21" s="225"/>
      <c r="D21" s="227"/>
      <c r="E21" s="57"/>
      <c r="F21" s="227"/>
      <c r="G21" s="58" t="str">
        <f>IFERROR(IF(B21="","",VLOOKUP(B21,Tableau16[[Ref]:[CP]],6,FALSE)),"")</f>
        <v/>
      </c>
      <c r="H21" s="58" t="str">
        <f>IFERROR(IF(B21="","",VLOOKUP(B21,Tableau16[[Ref]:[CP]],7,FALSE)),"")</f>
        <v/>
      </c>
      <c r="I21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21" s="205">
        <f>COUNTIF($I$4:I21,Tableau8[[#This Row],[REF FACT]])</f>
        <v>18</v>
      </c>
      <c r="K21" s="118"/>
      <c r="L21" s="119"/>
      <c r="M21" s="58" t="str">
        <f>IF(Tableau8[[#This Row],[Sous Traitant]]&gt;1,VLOOKUP(Tableau8[[#This Row],[Sous Traitant]],#REF!,3,FALSE),"")</f>
        <v/>
      </c>
      <c r="N21" s="59"/>
      <c r="O21" s="141"/>
      <c r="P21" s="120"/>
      <c r="Q21" s="60"/>
      <c r="R21" s="113"/>
      <c r="S21" s="117"/>
      <c r="T21" s="65">
        <f>SUMIFS($P$4:P21,$I$4:I21,I21)</f>
        <v>0</v>
      </c>
      <c r="U21" s="65" t="str">
        <f>IF(Tableau8[[#This Row],[marché]]="MARCHEINT",VLOOKUP($B21,Tableau16[[Ref]:[AUTRE]],13,FALSE)-Tableau8[[#This Row],[PAYEE]],"")</f>
        <v/>
      </c>
      <c r="V21" s="65" t="str">
        <f>IF(Tableau8[[#This Row],[marché]]="MARCHEEXT",VLOOKUP($B21,Tableau16[[Ref]:[AUTRE]],14,FALSE)-Tableau8[[#This Row],[PAYEE]],"")</f>
        <v/>
      </c>
      <c r="W21" s="65" t="str">
        <f>IF(Tableau8[[#This Row],[marché]]="RG_5%",VLOOKUP($B21,Tableau16[[Ref]:[AUTRE]],15,FALSE)-Tableau8[[#This Row],[PAYEE]],"")</f>
        <v/>
      </c>
      <c r="X21" s="65" t="str">
        <f>IF(Tableau8[[#This Row],[marché]]="BFT_5%",VLOOKUP($B21,Tableau16[[Ref]:[AUTRE]],17,FALSE)-Tableau8[[#This Row],[PAYEE]],"")</f>
        <v/>
      </c>
      <c r="Y21" s="65" t="str">
        <f>IF(Tableau8[[#This Row],[marché]]="AUTRE",VLOOKUP($B21,Tableau16[[Ref]:[AUTRE]],19,FALSE)-Tableau8[[#This Row],[PAYEE]],"")</f>
        <v/>
      </c>
      <c r="Z21" s="157"/>
      <c r="AA21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22" spans="1:27" s="121" customFormat="1" ht="15.75" hidden="1">
      <c r="A22" s="259"/>
      <c r="B22" s="130" t="str">
        <f>CONCATENATE(Tableau8[[#This Row],[CT
INDIRECT CHANTIER]],Tableau8[[#This Row],[NOM CHANTIER
INDIRECT ST]],Tableau8[[#This Row],[Sous Traitant]],Tableau8[[#This Row],[MO
INDIRECT CT]])</f>
        <v/>
      </c>
      <c r="C22" s="225"/>
      <c r="D22" s="227"/>
      <c r="E22" s="57"/>
      <c r="F22" s="227"/>
      <c r="G22" s="58" t="str">
        <f>IFERROR(IF(B22="","",VLOOKUP(B22,Tableau16[[Ref]:[CP]],6,FALSE)),"")</f>
        <v/>
      </c>
      <c r="H22" s="58" t="str">
        <f>IFERROR(IF(B22="","",VLOOKUP(B22,Tableau16[[Ref]:[CP]],7,FALSE)),"")</f>
        <v/>
      </c>
      <c r="I22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22" s="205">
        <f>COUNTIF($I$4:I22,Tableau8[[#This Row],[REF FACT]])</f>
        <v>19</v>
      </c>
      <c r="K22" s="118"/>
      <c r="L22" s="119"/>
      <c r="M22" s="58" t="str">
        <f>IF(Tableau8[[#This Row],[Sous Traitant]]&gt;1,VLOOKUP(Tableau8[[#This Row],[Sous Traitant]],#REF!,3,FALSE),"")</f>
        <v/>
      </c>
      <c r="N22" s="59"/>
      <c r="O22" s="141"/>
      <c r="P22" s="120"/>
      <c r="Q22" s="60"/>
      <c r="R22" s="113"/>
      <c r="S22" s="117"/>
      <c r="T22" s="65">
        <f>SUMIFS($P$4:P22,$I$4:I22,I22)</f>
        <v>0</v>
      </c>
      <c r="U22" s="65" t="str">
        <f>IF(Tableau8[[#This Row],[marché]]="MARCHEINT",VLOOKUP($B22,Tableau16[[Ref]:[AUTRE]],13,FALSE)-Tableau8[[#This Row],[PAYEE]],"")</f>
        <v/>
      </c>
      <c r="V22" s="65" t="str">
        <f>IF(Tableau8[[#This Row],[marché]]="MARCHEEXT",VLOOKUP($B22,Tableau16[[Ref]:[AUTRE]],14,FALSE)-Tableau8[[#This Row],[PAYEE]],"")</f>
        <v/>
      </c>
      <c r="W22" s="65" t="str">
        <f>IF(Tableau8[[#This Row],[marché]]="RG_5%",VLOOKUP($B22,Tableau16[[Ref]:[AUTRE]],15,FALSE)-Tableau8[[#This Row],[PAYEE]],"")</f>
        <v/>
      </c>
      <c r="X22" s="65" t="str">
        <f>IF(Tableau8[[#This Row],[marché]]="BFT_5%",VLOOKUP($B22,Tableau16[[Ref]:[AUTRE]],17,FALSE)-Tableau8[[#This Row],[PAYEE]],"")</f>
        <v/>
      </c>
      <c r="Y22" s="65" t="str">
        <f>IF(Tableau8[[#This Row],[marché]]="AUTRE",VLOOKUP($B22,Tableau16[[Ref]:[AUTRE]],19,FALSE)-Tableau8[[#This Row],[PAYEE]],"")</f>
        <v/>
      </c>
      <c r="Z22" s="157"/>
      <c r="AA22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23" spans="1:27" s="121" customFormat="1" ht="15.75" hidden="1">
      <c r="A23" s="260"/>
      <c r="B23" s="130" t="str">
        <f>CONCATENATE(Tableau8[[#This Row],[CT
INDIRECT CHANTIER]],Tableau8[[#This Row],[NOM CHANTIER
INDIRECT ST]],Tableau8[[#This Row],[Sous Traitant]],Tableau8[[#This Row],[MO
INDIRECT CT]])</f>
        <v/>
      </c>
      <c r="C23" s="225"/>
      <c r="D23" s="227"/>
      <c r="E23" s="57"/>
      <c r="F23" s="227"/>
      <c r="G23" s="58" t="str">
        <f>IFERROR(IF(B23="","",VLOOKUP(B23,Tableau16[[Ref]:[CP]],6,FALSE)),"")</f>
        <v/>
      </c>
      <c r="H23" s="58" t="str">
        <f>IFERROR(IF(B23="","",VLOOKUP(B23,Tableau16[[Ref]:[CP]],7,FALSE)),"")</f>
        <v/>
      </c>
      <c r="I23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23" s="205">
        <f>COUNTIF($I$4:I23,Tableau8[[#This Row],[REF FACT]])</f>
        <v>20</v>
      </c>
      <c r="K23" s="118"/>
      <c r="L23" s="119"/>
      <c r="M23" s="58" t="str">
        <f>IF(Tableau8[[#This Row],[Sous Traitant]]&gt;1,VLOOKUP(Tableau8[[#This Row],[Sous Traitant]],#REF!,3,FALSE),"")</f>
        <v/>
      </c>
      <c r="N23" s="59"/>
      <c r="O23" s="141"/>
      <c r="P23" s="120"/>
      <c r="Q23" s="60"/>
      <c r="R23" s="113"/>
      <c r="S23" s="117"/>
      <c r="T23" s="65">
        <f>SUMIFS($P$4:P23,$I$4:I23,I23)</f>
        <v>0</v>
      </c>
      <c r="U23" s="65" t="str">
        <f>IF(Tableau8[[#This Row],[marché]]="MARCHEINT",VLOOKUP($B23,Tableau16[[Ref]:[AUTRE]],13,FALSE)-Tableau8[[#This Row],[PAYEE]],"")</f>
        <v/>
      </c>
      <c r="V23" s="65" t="str">
        <f>IF(Tableau8[[#This Row],[marché]]="MARCHEEXT",VLOOKUP($B23,Tableau16[[Ref]:[AUTRE]],14,FALSE)-Tableau8[[#This Row],[PAYEE]],"")</f>
        <v/>
      </c>
      <c r="W23" s="65" t="str">
        <f>IF(Tableau8[[#This Row],[marché]]="RG_5%",VLOOKUP($B23,Tableau16[[Ref]:[AUTRE]],15,FALSE)-Tableau8[[#This Row],[PAYEE]],"")</f>
        <v/>
      </c>
      <c r="X23" s="65" t="str">
        <f>IF(Tableau8[[#This Row],[marché]]="BFT_5%",VLOOKUP($B23,Tableau16[[Ref]:[AUTRE]],17,FALSE)-Tableau8[[#This Row],[PAYEE]],"")</f>
        <v/>
      </c>
      <c r="Y23" s="65" t="str">
        <f>IF(Tableau8[[#This Row],[marché]]="AUTRE",VLOOKUP($B23,Tableau16[[Ref]:[AUTRE]],19,FALSE)-Tableau8[[#This Row],[PAYEE]],"")</f>
        <v/>
      </c>
      <c r="Z23" s="157"/>
      <c r="AA23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24" spans="1:27" s="121" customFormat="1" ht="15.75" hidden="1">
      <c r="A24" s="258" t="s">
        <v>65</v>
      </c>
      <c r="B24" s="130" t="str">
        <f>CONCATENATE(Tableau8[[#This Row],[CT
INDIRECT CHANTIER]],Tableau8[[#This Row],[NOM CHANTIER
INDIRECT ST]],Tableau8[[#This Row],[Sous Traitant]],Tableau8[[#This Row],[MO
INDIRECT CT]])</f>
        <v/>
      </c>
      <c r="C24" s="225"/>
      <c r="D24" s="227"/>
      <c r="E24" s="57"/>
      <c r="F24" s="227"/>
      <c r="G24" s="58" t="str">
        <f>IFERROR(IF(B24="","",VLOOKUP(B24,Tableau16[[Ref]:[CP]],6,FALSE)),"")</f>
        <v/>
      </c>
      <c r="H24" s="58" t="str">
        <f>IFERROR(IF(B24="","",VLOOKUP(B24,Tableau16[[Ref]:[CP]],7,FALSE)),"")</f>
        <v/>
      </c>
      <c r="I24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24" s="205">
        <f>COUNTIF($I$4:I24,Tableau8[[#This Row],[REF FACT]])</f>
        <v>21</v>
      </c>
      <c r="K24" s="118"/>
      <c r="L24" s="119"/>
      <c r="M24" s="58" t="str">
        <f>IF(Tableau8[[#This Row],[Sous Traitant]]&gt;1,VLOOKUP(Tableau8[[#This Row],[Sous Traitant]],#REF!,3,FALSE),"")</f>
        <v/>
      </c>
      <c r="N24" s="59"/>
      <c r="O24" s="141"/>
      <c r="P24" s="120"/>
      <c r="Q24" s="60"/>
      <c r="R24" s="113"/>
      <c r="S24" s="117"/>
      <c r="T24" s="65">
        <f>SUMIFS($P$4:P24,$I$4:I24,I24)</f>
        <v>0</v>
      </c>
      <c r="U24" s="65" t="str">
        <f>IF(Tableau8[[#This Row],[marché]]="MARCHEINT",VLOOKUP($B24,Tableau16[[Ref]:[AUTRE]],13,FALSE)-Tableau8[[#This Row],[PAYEE]],"")</f>
        <v/>
      </c>
      <c r="V24" s="65" t="str">
        <f>IF(Tableau8[[#This Row],[marché]]="MARCHEEXT",VLOOKUP($B24,Tableau16[[Ref]:[AUTRE]],14,FALSE)-Tableau8[[#This Row],[PAYEE]],"")</f>
        <v/>
      </c>
      <c r="W24" s="65" t="str">
        <f>IF(Tableau8[[#This Row],[marché]]="RG_5%",VLOOKUP($B24,Tableau16[[Ref]:[AUTRE]],15,FALSE)-Tableau8[[#This Row],[PAYEE]],"")</f>
        <v/>
      </c>
      <c r="X24" s="65" t="str">
        <f>IF(Tableau8[[#This Row],[marché]]="BFT_5%",VLOOKUP($B24,Tableau16[[Ref]:[AUTRE]],17,FALSE)-Tableau8[[#This Row],[PAYEE]],"")</f>
        <v/>
      </c>
      <c r="Y24" s="65" t="str">
        <f>IF(Tableau8[[#This Row],[marché]]="AUTRE",VLOOKUP($B24,Tableau16[[Ref]:[AUTRE]],19,FALSE)-Tableau8[[#This Row],[PAYEE]],"")</f>
        <v/>
      </c>
      <c r="Z24" s="157"/>
      <c r="AA24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25" spans="1:27" s="121" customFormat="1" ht="15.75" hidden="1">
      <c r="A25" s="259"/>
      <c r="B25" s="130" t="str">
        <f>CONCATENATE(Tableau8[[#This Row],[CT
INDIRECT CHANTIER]],Tableau8[[#This Row],[NOM CHANTIER
INDIRECT ST]],Tableau8[[#This Row],[Sous Traitant]],Tableau8[[#This Row],[MO
INDIRECT CT]])</f>
        <v/>
      </c>
      <c r="C25" s="225"/>
      <c r="D25" s="227"/>
      <c r="E25" s="57"/>
      <c r="F25" s="227"/>
      <c r="G25" s="58" t="str">
        <f>IFERROR(IF(B25="","",VLOOKUP(B25,Tableau16[[Ref]:[CP]],6,FALSE)),"")</f>
        <v/>
      </c>
      <c r="H25" s="58" t="str">
        <f>IFERROR(IF(B25="","",VLOOKUP(B25,Tableau16[[Ref]:[CP]],7,FALSE)),"")</f>
        <v/>
      </c>
      <c r="I25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25" s="205">
        <f>COUNTIF($I$4:I25,Tableau8[[#This Row],[REF FACT]])</f>
        <v>22</v>
      </c>
      <c r="K25" s="118"/>
      <c r="L25" s="119"/>
      <c r="M25" s="58" t="str">
        <f>IF(Tableau8[[#This Row],[Sous Traitant]]&gt;1,VLOOKUP(Tableau8[[#This Row],[Sous Traitant]],#REF!,3,FALSE),"")</f>
        <v/>
      </c>
      <c r="N25" s="59"/>
      <c r="O25" s="141"/>
      <c r="P25" s="120"/>
      <c r="Q25" s="60"/>
      <c r="R25" s="113"/>
      <c r="S25" s="117"/>
      <c r="T25" s="65">
        <f>SUMIFS($P$4:P25,$I$4:I25,I25)</f>
        <v>0</v>
      </c>
      <c r="U25" s="65" t="str">
        <f>IF(Tableau8[[#This Row],[marché]]="MARCHEINT",VLOOKUP($B25,Tableau16[[Ref]:[AUTRE]],13,FALSE)-Tableau8[[#This Row],[PAYEE]],"")</f>
        <v/>
      </c>
      <c r="V25" s="65" t="str">
        <f>IF(Tableau8[[#This Row],[marché]]="MARCHEEXT",VLOOKUP($B25,Tableau16[[Ref]:[AUTRE]],14,FALSE)-Tableau8[[#This Row],[PAYEE]],"")</f>
        <v/>
      </c>
      <c r="W25" s="65" t="str">
        <f>IF(Tableau8[[#This Row],[marché]]="RG_5%",VLOOKUP($B25,Tableau16[[Ref]:[AUTRE]],15,FALSE)-Tableau8[[#This Row],[PAYEE]],"")</f>
        <v/>
      </c>
      <c r="X25" s="65" t="str">
        <f>IF(Tableau8[[#This Row],[marché]]="BFT_5%",VLOOKUP($B25,Tableau16[[Ref]:[AUTRE]],17,FALSE)-Tableau8[[#This Row],[PAYEE]],"")</f>
        <v/>
      </c>
      <c r="Y25" s="65" t="str">
        <f>IF(Tableau8[[#This Row],[marché]]="AUTRE",VLOOKUP($B25,Tableau16[[Ref]:[AUTRE]],19,FALSE)-Tableau8[[#This Row],[PAYEE]],"")</f>
        <v/>
      </c>
      <c r="Z25" s="157"/>
      <c r="AA25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26" spans="1:27" s="121" customFormat="1" ht="15.75" hidden="1">
      <c r="A26" s="259"/>
      <c r="B26" s="130" t="str">
        <f>CONCATENATE(Tableau8[[#This Row],[CT
INDIRECT CHANTIER]],Tableau8[[#This Row],[NOM CHANTIER
INDIRECT ST]],Tableau8[[#This Row],[Sous Traitant]],Tableau8[[#This Row],[MO
INDIRECT CT]])</f>
        <v/>
      </c>
      <c r="C26" s="225"/>
      <c r="D26" s="227"/>
      <c r="E26" s="57"/>
      <c r="F26" s="227"/>
      <c r="G26" s="58" t="str">
        <f>IFERROR(IF(B26="","",VLOOKUP(B26,Tableau16[[Ref]:[CP]],6,FALSE)),"")</f>
        <v/>
      </c>
      <c r="H26" s="58" t="str">
        <f>IFERROR(IF(B26="","",VLOOKUP(B26,Tableau16[[Ref]:[CP]],7,FALSE)),"")</f>
        <v/>
      </c>
      <c r="I26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26" s="205">
        <f>COUNTIF($I$4:I26,Tableau8[[#This Row],[REF FACT]])</f>
        <v>23</v>
      </c>
      <c r="K26" s="118"/>
      <c r="L26" s="119"/>
      <c r="M26" s="58" t="str">
        <f>IF(Tableau8[[#This Row],[Sous Traitant]]&gt;1,VLOOKUP(Tableau8[[#This Row],[Sous Traitant]],#REF!,3,FALSE),"")</f>
        <v/>
      </c>
      <c r="N26" s="59"/>
      <c r="O26" s="141"/>
      <c r="P26" s="120"/>
      <c r="Q26" s="60"/>
      <c r="R26" s="113"/>
      <c r="S26" s="117"/>
      <c r="T26" s="65">
        <f>SUMIFS($P$4:P26,$I$4:I26,I26)</f>
        <v>0</v>
      </c>
      <c r="U26" s="65" t="str">
        <f>IF(Tableau8[[#This Row],[marché]]="MARCHEINT",VLOOKUP($B26,Tableau16[[Ref]:[AUTRE]],13,FALSE)-Tableau8[[#This Row],[PAYEE]],"")</f>
        <v/>
      </c>
      <c r="V26" s="65" t="str">
        <f>IF(Tableau8[[#This Row],[marché]]="MARCHEEXT",VLOOKUP($B26,Tableau16[[Ref]:[AUTRE]],14,FALSE)-Tableau8[[#This Row],[PAYEE]],"")</f>
        <v/>
      </c>
      <c r="W26" s="65" t="str">
        <f>IF(Tableau8[[#This Row],[marché]]="RG_5%",VLOOKUP($B26,Tableau16[[Ref]:[AUTRE]],15,FALSE)-Tableau8[[#This Row],[PAYEE]],"")</f>
        <v/>
      </c>
      <c r="X26" s="65" t="str">
        <f>IF(Tableau8[[#This Row],[marché]]="BFT_5%",VLOOKUP($B26,Tableau16[[Ref]:[AUTRE]],17,FALSE)-Tableau8[[#This Row],[PAYEE]],"")</f>
        <v/>
      </c>
      <c r="Y26" s="65" t="str">
        <f>IF(Tableau8[[#This Row],[marché]]="AUTRE",VLOOKUP($B26,Tableau16[[Ref]:[AUTRE]],19,FALSE)-Tableau8[[#This Row],[PAYEE]],"")</f>
        <v/>
      </c>
      <c r="Z26" s="157"/>
      <c r="AA26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27" spans="1:27" s="121" customFormat="1" ht="15.75" hidden="1">
      <c r="A27" s="260"/>
      <c r="B27" s="130" t="str">
        <f>CONCATENATE(Tableau8[[#This Row],[CT
INDIRECT CHANTIER]],Tableau8[[#This Row],[NOM CHANTIER
INDIRECT ST]],Tableau8[[#This Row],[Sous Traitant]],Tableau8[[#This Row],[MO
INDIRECT CT]])</f>
        <v/>
      </c>
      <c r="C27" s="225"/>
      <c r="D27" s="227"/>
      <c r="E27" s="57"/>
      <c r="F27" s="227"/>
      <c r="G27" s="58" t="str">
        <f>IFERROR(IF(B27="","",VLOOKUP(B27,Tableau16[[Ref]:[CP]],6,FALSE)),"")</f>
        <v/>
      </c>
      <c r="H27" s="58" t="str">
        <f>IFERROR(IF(B27="","",VLOOKUP(B27,Tableau16[[Ref]:[CP]],7,FALSE)),"")</f>
        <v/>
      </c>
      <c r="I27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27" s="205">
        <f>COUNTIF($I$4:I27,Tableau8[[#This Row],[REF FACT]])</f>
        <v>24</v>
      </c>
      <c r="K27" s="118"/>
      <c r="L27" s="119"/>
      <c r="M27" s="58" t="str">
        <f>IF(Tableau8[[#This Row],[Sous Traitant]]&gt;1,VLOOKUP(Tableau8[[#This Row],[Sous Traitant]],#REF!,3,FALSE),"")</f>
        <v/>
      </c>
      <c r="N27" s="59"/>
      <c r="O27" s="141"/>
      <c r="P27" s="120"/>
      <c r="Q27" s="60"/>
      <c r="R27" s="113"/>
      <c r="S27" s="117"/>
      <c r="T27" s="65">
        <f>SUMIFS($P$4:P27,$I$4:I27,I27)</f>
        <v>0</v>
      </c>
      <c r="U27" s="65" t="str">
        <f>IF(Tableau8[[#This Row],[marché]]="MARCHEINT",VLOOKUP($B27,Tableau16[[Ref]:[AUTRE]],13,FALSE)-Tableau8[[#This Row],[PAYEE]],"")</f>
        <v/>
      </c>
      <c r="V27" s="65" t="str">
        <f>IF(Tableau8[[#This Row],[marché]]="MARCHEEXT",VLOOKUP($B27,Tableau16[[Ref]:[AUTRE]],14,FALSE)-Tableau8[[#This Row],[PAYEE]],"")</f>
        <v/>
      </c>
      <c r="W27" s="65" t="str">
        <f>IF(Tableau8[[#This Row],[marché]]="RG_5%",VLOOKUP($B27,Tableau16[[Ref]:[AUTRE]],15,FALSE)-Tableau8[[#This Row],[PAYEE]],"")</f>
        <v/>
      </c>
      <c r="X27" s="65" t="str">
        <f>IF(Tableau8[[#This Row],[marché]]="BFT_5%",VLOOKUP($B27,Tableau16[[Ref]:[AUTRE]],17,FALSE)-Tableau8[[#This Row],[PAYEE]],"")</f>
        <v/>
      </c>
      <c r="Y27" s="65" t="str">
        <f>IF(Tableau8[[#This Row],[marché]]="AUTRE",VLOOKUP($B27,Tableau16[[Ref]:[AUTRE]],19,FALSE)-Tableau8[[#This Row],[PAYEE]],"")</f>
        <v/>
      </c>
      <c r="Z27" s="157"/>
      <c r="AA27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28" spans="1:27" s="121" customFormat="1" ht="15.75" hidden="1">
      <c r="A28" s="258" t="s">
        <v>66</v>
      </c>
      <c r="B28" s="130" t="str">
        <f>CONCATENATE(Tableau8[[#This Row],[CT
INDIRECT CHANTIER]],Tableau8[[#This Row],[NOM CHANTIER
INDIRECT ST]],Tableau8[[#This Row],[Sous Traitant]],Tableau8[[#This Row],[MO
INDIRECT CT]])</f>
        <v/>
      </c>
      <c r="C28" s="225"/>
      <c r="D28" s="227"/>
      <c r="E28" s="57"/>
      <c r="F28" s="227"/>
      <c r="G28" s="58" t="str">
        <f>IFERROR(IF(B28="","",VLOOKUP(B28,Tableau16[[Ref]:[CP]],6,FALSE)),"")</f>
        <v/>
      </c>
      <c r="H28" s="58" t="str">
        <f>IFERROR(IF(B28="","",VLOOKUP(B28,Tableau16[[Ref]:[CP]],7,FALSE)),"")</f>
        <v/>
      </c>
      <c r="I28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28" s="205">
        <f>COUNTIF($I$4:I28,Tableau8[[#This Row],[REF FACT]])</f>
        <v>25</v>
      </c>
      <c r="K28" s="118"/>
      <c r="L28" s="119"/>
      <c r="M28" s="58" t="str">
        <f>IF(Tableau8[[#This Row],[Sous Traitant]]&gt;1,VLOOKUP(Tableau8[[#This Row],[Sous Traitant]],#REF!,3,FALSE),"")</f>
        <v/>
      </c>
      <c r="N28" s="59"/>
      <c r="O28" s="141"/>
      <c r="P28" s="120"/>
      <c r="Q28" s="60"/>
      <c r="R28" s="113"/>
      <c r="S28" s="117"/>
      <c r="T28" s="65">
        <f>SUMIFS($P$4:P28,$I$4:I28,I28)</f>
        <v>0</v>
      </c>
      <c r="U28" s="65" t="str">
        <f>IF(Tableau8[[#This Row],[marché]]="MARCHEINT",VLOOKUP($B28,Tableau16[[Ref]:[AUTRE]],13,FALSE)-Tableau8[[#This Row],[PAYEE]],"")</f>
        <v/>
      </c>
      <c r="V28" s="65" t="str">
        <f>IF(Tableau8[[#This Row],[marché]]="MARCHEEXT",VLOOKUP($B28,Tableau16[[Ref]:[AUTRE]],14,FALSE)-Tableau8[[#This Row],[PAYEE]],"")</f>
        <v/>
      </c>
      <c r="W28" s="65" t="str">
        <f>IF(Tableau8[[#This Row],[marché]]="RG_5%",VLOOKUP($B28,Tableau16[[Ref]:[AUTRE]],15,FALSE)-Tableau8[[#This Row],[PAYEE]],"")</f>
        <v/>
      </c>
      <c r="X28" s="65" t="str">
        <f>IF(Tableau8[[#This Row],[marché]]="BFT_5%",VLOOKUP($B28,Tableau16[[Ref]:[AUTRE]],17,FALSE)-Tableau8[[#This Row],[PAYEE]],"")</f>
        <v/>
      </c>
      <c r="Y28" s="65" t="str">
        <f>IF(Tableau8[[#This Row],[marché]]="AUTRE",VLOOKUP($B28,Tableau16[[Ref]:[AUTRE]],19,FALSE)-Tableau8[[#This Row],[PAYEE]],"")</f>
        <v/>
      </c>
      <c r="Z28" s="157"/>
      <c r="AA28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29" spans="1:27" s="121" customFormat="1" ht="15.75" hidden="1">
      <c r="A29" s="259"/>
      <c r="B29" s="130" t="str">
        <f>CONCATENATE(Tableau8[[#This Row],[CT
INDIRECT CHANTIER]],Tableau8[[#This Row],[NOM CHANTIER
INDIRECT ST]],Tableau8[[#This Row],[Sous Traitant]],Tableau8[[#This Row],[MO
INDIRECT CT]])</f>
        <v/>
      </c>
      <c r="C29" s="225"/>
      <c r="D29" s="227"/>
      <c r="E29" s="57"/>
      <c r="F29" s="227"/>
      <c r="G29" s="58" t="str">
        <f>IFERROR(IF(B29="","",VLOOKUP(B29,Tableau16[[Ref]:[CP]],6,FALSE)),"")</f>
        <v/>
      </c>
      <c r="H29" s="58" t="str">
        <f>IFERROR(IF(B29="","",VLOOKUP(B29,Tableau16[[Ref]:[CP]],7,FALSE)),"")</f>
        <v/>
      </c>
      <c r="I29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29" s="205">
        <f>COUNTIF($I$4:I29,Tableau8[[#This Row],[REF FACT]])</f>
        <v>26</v>
      </c>
      <c r="K29" s="118"/>
      <c r="L29" s="119"/>
      <c r="M29" s="58" t="str">
        <f>IF(Tableau8[[#This Row],[Sous Traitant]]&gt;1,VLOOKUP(Tableau8[[#This Row],[Sous Traitant]],#REF!,3,FALSE),"")</f>
        <v/>
      </c>
      <c r="N29" s="59"/>
      <c r="O29" s="141"/>
      <c r="P29" s="120"/>
      <c r="Q29" s="60"/>
      <c r="R29" s="113"/>
      <c r="S29" s="117"/>
      <c r="T29" s="65">
        <f>SUMIFS($P$4:P29,$I$4:I29,I29)</f>
        <v>0</v>
      </c>
      <c r="U29" s="65" t="str">
        <f>IF(Tableau8[[#This Row],[marché]]="MARCHEINT",VLOOKUP($B29,Tableau16[[Ref]:[AUTRE]],13,FALSE)-Tableau8[[#This Row],[PAYEE]],"")</f>
        <v/>
      </c>
      <c r="V29" s="65" t="str">
        <f>IF(Tableau8[[#This Row],[marché]]="MARCHEEXT",VLOOKUP($B29,Tableau16[[Ref]:[AUTRE]],14,FALSE)-Tableau8[[#This Row],[PAYEE]],"")</f>
        <v/>
      </c>
      <c r="W29" s="65" t="str">
        <f>IF(Tableau8[[#This Row],[marché]]="RG_5%",VLOOKUP($B29,Tableau16[[Ref]:[AUTRE]],15,FALSE)-Tableau8[[#This Row],[PAYEE]],"")</f>
        <v/>
      </c>
      <c r="X29" s="65" t="str">
        <f>IF(Tableau8[[#This Row],[marché]]="BFT_5%",VLOOKUP($B29,Tableau16[[Ref]:[AUTRE]],17,FALSE)-Tableau8[[#This Row],[PAYEE]],"")</f>
        <v/>
      </c>
      <c r="Y29" s="65" t="str">
        <f>IF(Tableau8[[#This Row],[marché]]="AUTRE",VLOOKUP($B29,Tableau16[[Ref]:[AUTRE]],19,FALSE)-Tableau8[[#This Row],[PAYEE]],"")</f>
        <v/>
      </c>
      <c r="Z29" s="157"/>
      <c r="AA29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30" spans="1:27" s="121" customFormat="1" ht="15.75" hidden="1">
      <c r="A30" s="259"/>
      <c r="B30" s="130" t="str">
        <f>CONCATENATE(Tableau8[[#This Row],[CT
INDIRECT CHANTIER]],Tableau8[[#This Row],[NOM CHANTIER
INDIRECT ST]],Tableau8[[#This Row],[Sous Traitant]],Tableau8[[#This Row],[MO
INDIRECT CT]])</f>
        <v/>
      </c>
      <c r="C30" s="225"/>
      <c r="D30" s="227"/>
      <c r="E30" s="57"/>
      <c r="F30" s="227"/>
      <c r="G30" s="58" t="str">
        <f>IFERROR(IF(B30="","",VLOOKUP(B30,Tableau16[[Ref]:[CP]],6,FALSE)),"")</f>
        <v/>
      </c>
      <c r="H30" s="58" t="str">
        <f>IFERROR(IF(B30="","",VLOOKUP(B30,Tableau16[[Ref]:[CP]],7,FALSE)),"")</f>
        <v/>
      </c>
      <c r="I30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30" s="205">
        <f>COUNTIF($I$4:I30,Tableau8[[#This Row],[REF FACT]])</f>
        <v>27</v>
      </c>
      <c r="K30" s="118"/>
      <c r="L30" s="119"/>
      <c r="M30" s="58" t="str">
        <f>IF(Tableau8[[#This Row],[Sous Traitant]]&gt;1,VLOOKUP(Tableau8[[#This Row],[Sous Traitant]],#REF!,3,FALSE),"")</f>
        <v/>
      </c>
      <c r="N30" s="59"/>
      <c r="O30" s="141"/>
      <c r="P30" s="120"/>
      <c r="Q30" s="60"/>
      <c r="R30" s="113"/>
      <c r="S30" s="117"/>
      <c r="T30" s="65">
        <f>SUMIFS($P$4:P30,$I$4:I30,I30)</f>
        <v>0</v>
      </c>
      <c r="U30" s="65" t="str">
        <f>IF(Tableau8[[#This Row],[marché]]="MARCHEINT",VLOOKUP($B30,Tableau16[[Ref]:[AUTRE]],13,FALSE)-Tableau8[[#This Row],[PAYEE]],"")</f>
        <v/>
      </c>
      <c r="V30" s="65" t="str">
        <f>IF(Tableau8[[#This Row],[marché]]="MARCHEEXT",VLOOKUP($B30,Tableau16[[Ref]:[AUTRE]],14,FALSE)-Tableau8[[#This Row],[PAYEE]],"")</f>
        <v/>
      </c>
      <c r="W30" s="65" t="str">
        <f>IF(Tableau8[[#This Row],[marché]]="RG_5%",VLOOKUP($B30,Tableau16[[Ref]:[AUTRE]],15,FALSE)-Tableau8[[#This Row],[PAYEE]],"")</f>
        <v/>
      </c>
      <c r="X30" s="65" t="str">
        <f>IF(Tableau8[[#This Row],[marché]]="BFT_5%",VLOOKUP($B30,Tableau16[[Ref]:[AUTRE]],17,FALSE)-Tableau8[[#This Row],[PAYEE]],"")</f>
        <v/>
      </c>
      <c r="Y30" s="65" t="str">
        <f>IF(Tableau8[[#This Row],[marché]]="AUTRE",VLOOKUP($B30,Tableau16[[Ref]:[AUTRE]],19,FALSE)-Tableau8[[#This Row],[PAYEE]],"")</f>
        <v/>
      </c>
      <c r="Z30" s="157"/>
      <c r="AA30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31" spans="1:27" s="121" customFormat="1" ht="15.75" hidden="1">
      <c r="A31" s="260"/>
      <c r="B31" s="130" t="str">
        <f>CONCATENATE(Tableau8[[#This Row],[CT
INDIRECT CHANTIER]],Tableau8[[#This Row],[NOM CHANTIER
INDIRECT ST]],Tableau8[[#This Row],[Sous Traitant]],Tableau8[[#This Row],[MO
INDIRECT CT]])</f>
        <v/>
      </c>
      <c r="C31" s="225"/>
      <c r="D31" s="227"/>
      <c r="E31" s="57"/>
      <c r="F31" s="227"/>
      <c r="G31" s="58" t="str">
        <f>IFERROR(IF(B31="","",VLOOKUP(B31,Tableau16[[Ref]:[CP]],6,FALSE)),"")</f>
        <v/>
      </c>
      <c r="H31" s="58" t="str">
        <f>IFERROR(IF(B31="","",VLOOKUP(B31,Tableau16[[Ref]:[CP]],7,FALSE)),"")</f>
        <v/>
      </c>
      <c r="I31" s="127" t="str">
        <f>CONCATENATE(Tableau8[[#This Row],[CT
INDIRECT CHANTIER]],Tableau8[[#This Row],[NOM CHANTIER
INDIRECT ST]],Tableau8[[#This Row],[Sous Traitant]],Tableau8[[#This Row],[MO
INDIRECT CT]],Tableau8[[#This Row],[marché]])</f>
        <v/>
      </c>
      <c r="J31" s="205">
        <f>COUNTIF($I$4:I31,Tableau8[[#This Row],[REF FACT]])</f>
        <v>28</v>
      </c>
      <c r="K31" s="118"/>
      <c r="L31" s="119"/>
      <c r="M31" s="58" t="str">
        <f>IF(Tableau8[[#This Row],[Sous Traitant]]&gt;1,VLOOKUP(Tableau8[[#This Row],[Sous Traitant]],#REF!,3,FALSE),"")</f>
        <v/>
      </c>
      <c r="N31" s="59"/>
      <c r="O31" s="141"/>
      <c r="P31" s="120"/>
      <c r="Q31" s="60"/>
      <c r="R31" s="113"/>
      <c r="S31" s="117"/>
      <c r="T31" s="65">
        <f>SUMIFS($P$4:P31,$I$4:I31,I31)</f>
        <v>0</v>
      </c>
      <c r="U31" s="65" t="str">
        <f>IF(Tableau8[[#This Row],[marché]]="MARCHEINT",VLOOKUP($B31,Tableau16[[Ref]:[AUTRE]],13,FALSE)-Tableau8[[#This Row],[PAYEE]],"")</f>
        <v/>
      </c>
      <c r="V31" s="65" t="str">
        <f>IF(Tableau8[[#This Row],[marché]]="MARCHEEXT",VLOOKUP($B31,Tableau16[[Ref]:[AUTRE]],14,FALSE)-Tableau8[[#This Row],[PAYEE]],"")</f>
        <v/>
      </c>
      <c r="W31" s="65" t="str">
        <f>IF(Tableau8[[#This Row],[marché]]="RG_5%",VLOOKUP($B31,Tableau16[[Ref]:[AUTRE]],15,FALSE)-Tableau8[[#This Row],[PAYEE]],"")</f>
        <v/>
      </c>
      <c r="X31" s="65" t="str">
        <f>IF(Tableau8[[#This Row],[marché]]="BFT_5%",VLOOKUP($B31,Tableau16[[Ref]:[AUTRE]],17,FALSE)-Tableau8[[#This Row],[PAYEE]],"")</f>
        <v/>
      </c>
      <c r="Y31" s="65" t="str">
        <f>IF(Tableau8[[#This Row],[marché]]="AUTRE",VLOOKUP($B31,Tableau16[[Ref]:[AUTRE]],19,FALSE)-Tableau8[[#This Row],[PAYEE]],"")</f>
        <v/>
      </c>
      <c r="Z31" s="157"/>
      <c r="AA31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32" spans="1:27" ht="15.75">
      <c r="A32" s="264" t="s">
        <v>67</v>
      </c>
      <c r="B32" s="130" t="str">
        <f>CONCATENATE(Tableau8[[#This Row],[CT
INDIRECT CHANTIER]],Tableau8[[#This Row],[NOM CHANTIER
INDIRECT ST]],Tableau8[[#This Row],[Sous Traitant]],Tableau8[[#This Row],[MO
INDIRECT CT]])</f>
        <v>ARNAUDBOBIGNYAspirit</v>
      </c>
      <c r="C32" s="231" t="s">
        <v>171</v>
      </c>
      <c r="D32" s="232" t="s">
        <v>68</v>
      </c>
      <c r="E32" s="232" t="s">
        <v>160</v>
      </c>
      <c r="F32" s="233" t="s">
        <v>146</v>
      </c>
      <c r="G32" s="58" t="str">
        <f>IFERROR(IF(B32="","",VLOOKUP(B32,Tableau16[[Ref]:[CP]],6,FALSE)),"")</f>
        <v>13 BIS RUE DU PONT</v>
      </c>
      <c r="H32" s="58">
        <f>IFERROR(IF(B32="","",VLOOKUP(B32,Tableau16[[Ref]:[CP]],7,FALSE)),"")</f>
        <v>77000</v>
      </c>
      <c r="I32" s="127" t="str">
        <f>CONCATENATE(Tableau8[[#This Row],[CT
INDIRECT CHANTIER]],Tableau8[[#This Row],[NOM CHANTIER
INDIRECT ST]],Tableau8[[#This Row],[Sous Traitant]],Tableau8[[#This Row],[MO
INDIRECT CT]],Tableau8[[#This Row],[marché]])</f>
        <v>ARNAUDBOBIGNYAspiritMARCHEINT</v>
      </c>
      <c r="J32" s="205">
        <f>COUNTIF($I$4:I32,Tableau8[[#This Row],[REF FACT]])</f>
        <v>1</v>
      </c>
      <c r="K32" s="61" t="s">
        <v>69</v>
      </c>
      <c r="L32" s="62">
        <v>44041</v>
      </c>
      <c r="M32" s="58" t="str">
        <f>IF(Tableau8[[#This Row],[Sous Traitant]]&gt;1,VLOOKUP(Tableau8[[#This Row],[Sous Traitant]],Tableau11[[SOUS TRAITANT]:[DELAIS PAIEMENT]],4,FALSE),"")</f>
        <v>45J</v>
      </c>
      <c r="N32" s="63">
        <f>IF(M32="15J",EOMONTH(L32,0)+15,IF(M32="45J",EOMONTH(L32+30,0)+15,""))</f>
        <v>44089</v>
      </c>
      <c r="O32" s="141" t="s">
        <v>158</v>
      </c>
      <c r="P32" s="64">
        <v>600</v>
      </c>
      <c r="Q32" s="60" t="s">
        <v>161</v>
      </c>
      <c r="R32" s="113"/>
      <c r="S32" s="66"/>
      <c r="T32" s="65">
        <f>SUMIFS($P$4:P32,$I$4:I32,I32)</f>
        <v>600</v>
      </c>
      <c r="U32" s="65">
        <f ca="1">IF(Tableau8[[#This Row],[marché]]="MARCHEINT",VLOOKUP($B32,Tableau16[[Ref]:[AUTRE]],13,FALSE)-Tableau8[[#This Row],[PAYEE]],"")</f>
        <v>99400</v>
      </c>
      <c r="V32" s="65" t="str">
        <f>IF(Tableau8[[#This Row],[marché]]="MARCHEEXT",VLOOKUP($B32,Tableau16[[Ref]:[AUTRE]],14,FALSE)-Tableau8[[#This Row],[PAYEE]],"")</f>
        <v/>
      </c>
      <c r="W32" s="65" t="str">
        <f>IF(Tableau8[[#This Row],[marché]]="RG_5%",VLOOKUP($B32,Tableau16[[Ref]:[AUTRE]],15,FALSE)-Tableau8[[#This Row],[PAYEE]],"")</f>
        <v/>
      </c>
      <c r="X32" s="65" t="str">
        <f>IF(Tableau8[[#This Row],[marché]]="BFT_5%",VLOOKUP($B32,Tableau16[[Ref]:[AUTRE]],17,FALSE)-Tableau8[[#This Row],[PAYEE]],"")</f>
        <v/>
      </c>
      <c r="Y32" s="65" t="str">
        <f>IF(Tableau8[[#This Row],[marché]]="AUTRE",VLOOKUP($B32,Tableau16[[Ref]:[AUTRE]],19,FALSE)-Tableau8[[#This Row],[PAYEE]],"")</f>
        <v/>
      </c>
      <c r="Z32" s="65"/>
      <c r="AA32" s="164">
        <f ca="1"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100000</v>
      </c>
    </row>
    <row r="33" spans="1:27" ht="15.75">
      <c r="A33" s="265"/>
      <c r="B33" s="130" t="str">
        <f>CONCATENATE(Tableau8[[#This Row],[CT
INDIRECT CHANTIER]],Tableau8[[#This Row],[NOM CHANTIER
INDIRECT ST]],Tableau8[[#This Row],[Sous Traitant]],Tableau8[[#This Row],[MO
INDIRECT CT]])</f>
        <v>ARNAUDST MICHEL SUR ORGEAspirit</v>
      </c>
      <c r="C33" s="231" t="s">
        <v>171</v>
      </c>
      <c r="D33" s="232" t="s">
        <v>70</v>
      </c>
      <c r="E33" s="232" t="s">
        <v>160</v>
      </c>
      <c r="F33" s="233" t="s">
        <v>146</v>
      </c>
      <c r="G33" s="58">
        <f>IFERROR(IF(B33="","",VLOOKUP(B33,Tableau16[[Ref]:[CP]],6,FALSE)),"")</f>
        <v>0</v>
      </c>
      <c r="H33" s="58">
        <f>IFERROR(IF(B33="","",VLOOKUP(B33,Tableau16[[Ref]:[CP]],7,FALSE)),"")</f>
        <v>0</v>
      </c>
      <c r="I33" s="127" t="str">
        <f>CONCATENATE(Tableau8[[#This Row],[CT
INDIRECT CHANTIER]],Tableau8[[#This Row],[NOM CHANTIER
INDIRECT ST]],Tableau8[[#This Row],[Sous Traitant]],Tableau8[[#This Row],[MO
INDIRECT CT]],Tableau8[[#This Row],[marché]])</f>
        <v>ARNAUDST MICHEL SUR ORGEAspiritMARCHEINT</v>
      </c>
      <c r="J33" s="205">
        <f>COUNTIF($I$4:I33,Tableau8[[#This Row],[REF FACT]])</f>
        <v>1</v>
      </c>
      <c r="K33" s="61" t="s">
        <v>71</v>
      </c>
      <c r="L33" s="62">
        <v>44041</v>
      </c>
      <c r="M33" s="58" t="str">
        <f>IF(Tableau8[[#This Row],[Sous Traitant]]&gt;1,VLOOKUP(Tableau8[[#This Row],[Sous Traitant]],Tableau11[[SOUS TRAITANT]:[DELAIS PAIEMENT]],4,FALSE),"")</f>
        <v>45J</v>
      </c>
      <c r="N33" s="63">
        <f t="shared" ref="N33:N70" si="0">IF(M33="15J",EOMONTH(L33,0)+15,IF(M33="45J",EOMONTH(L33+30,0)+15,""))</f>
        <v>44089</v>
      </c>
      <c r="O33" s="141" t="s">
        <v>158</v>
      </c>
      <c r="P33" s="64">
        <v>1400</v>
      </c>
      <c r="Q33" s="60" t="s">
        <v>161</v>
      </c>
      <c r="R33" s="113"/>
      <c r="S33" s="66"/>
      <c r="T33" s="65">
        <f>SUMIFS($P$4:P33,$I$4:I33,I33)</f>
        <v>1400</v>
      </c>
      <c r="U33" s="65">
        <f ca="1">IF(Tableau8[[#This Row],[marché]]="MARCHEINT",VLOOKUP($B33,Tableau16[[Ref]:[AUTRE]],13,FALSE)-Tableau8[[#This Row],[PAYEE]],"")</f>
        <v>28600</v>
      </c>
      <c r="V33" s="65" t="str">
        <f>IF(Tableau8[[#This Row],[marché]]="MARCHEEXT",VLOOKUP($B33,Tableau16[[Ref]:[AUTRE]],14,FALSE)-Tableau8[[#This Row],[PAYEE]],"")</f>
        <v/>
      </c>
      <c r="W33" s="65" t="str">
        <f>IF(Tableau8[[#This Row],[marché]]="RG_5%",VLOOKUP($B33,Tableau16[[Ref]:[AUTRE]],15,FALSE)-Tableau8[[#This Row],[PAYEE]],"")</f>
        <v/>
      </c>
      <c r="X33" s="65" t="str">
        <f>IF(Tableau8[[#This Row],[marché]]="BFT_5%",VLOOKUP($B33,Tableau16[[Ref]:[AUTRE]],17,FALSE)-Tableau8[[#This Row],[PAYEE]],"")</f>
        <v/>
      </c>
      <c r="Y33" s="65" t="str">
        <f>IF(Tableau8[[#This Row],[marché]]="AUTRE",VLOOKUP($B33,Tableau16[[Ref]:[AUTRE]],19,FALSE)-Tableau8[[#This Row],[PAYEE]],"")</f>
        <v/>
      </c>
      <c r="Z33" s="65"/>
      <c r="AA33" s="164">
        <f ca="1"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30000</v>
      </c>
    </row>
    <row r="34" spans="1:27" ht="15.75">
      <c r="A34" s="265"/>
      <c r="B34" s="130" t="str">
        <f>CONCATENATE(Tableau8[[#This Row],[CT
INDIRECT CHANTIER]],Tableau8[[#This Row],[NOM CHANTIER
INDIRECT ST]],Tableau8[[#This Row],[Sous Traitant]],Tableau8[[#This Row],[MO
INDIRECT CT]])</f>
        <v>ARNAUDST MICHEL SUR ORGEAspirit</v>
      </c>
      <c r="C34" s="231" t="s">
        <v>171</v>
      </c>
      <c r="D34" s="232" t="s">
        <v>70</v>
      </c>
      <c r="E34" s="232" t="s">
        <v>160</v>
      </c>
      <c r="F34" s="233" t="s">
        <v>146</v>
      </c>
      <c r="G34" s="58">
        <f>IFERROR(IF(B34="","",VLOOKUP(B34,Tableau16[[Ref]:[CP]],6,FALSE)),"")</f>
        <v>0</v>
      </c>
      <c r="H34" s="58">
        <f>IFERROR(IF(B34="","",VLOOKUP(B34,Tableau16[[Ref]:[CP]],7,FALSE)),"")</f>
        <v>0</v>
      </c>
      <c r="I34" s="127" t="str">
        <f>CONCATENATE(Tableau8[[#This Row],[CT
INDIRECT CHANTIER]],Tableau8[[#This Row],[NOM CHANTIER
INDIRECT ST]],Tableau8[[#This Row],[Sous Traitant]],Tableau8[[#This Row],[MO
INDIRECT CT]],Tableau8[[#This Row],[marché]])</f>
        <v>ARNAUDST MICHEL SUR ORGEAspiritMARCHEINT</v>
      </c>
      <c r="J34" s="205">
        <f>COUNTIF($I$4:I34,Tableau8[[#This Row],[REF FACT]])</f>
        <v>2</v>
      </c>
      <c r="K34" s="61">
        <v>167</v>
      </c>
      <c r="L34" s="62">
        <v>44043</v>
      </c>
      <c r="M34" s="58" t="str">
        <f>IF(Tableau8[[#This Row],[Sous Traitant]]&gt;1,VLOOKUP(Tableau8[[#This Row],[Sous Traitant]],Tableau11[[SOUS TRAITANT]:[DELAIS PAIEMENT]],4,FALSE),"")</f>
        <v>45J</v>
      </c>
      <c r="N34" s="63">
        <f>IF(M34="15J",EOMONTH(L34,0)+15,IF(M34="45J",EOMONTH(L34+30,0)+15,""))</f>
        <v>44089</v>
      </c>
      <c r="O34" s="141" t="s">
        <v>158</v>
      </c>
      <c r="P34" s="64">
        <v>1140</v>
      </c>
      <c r="Q34" s="60" t="s">
        <v>161</v>
      </c>
      <c r="R34" s="113"/>
      <c r="S34" s="66"/>
      <c r="T34" s="65">
        <f>SUMIFS($P$4:P34,$I$4:I34,I34)</f>
        <v>2540</v>
      </c>
      <c r="U34" s="65">
        <f ca="1">IF(Tableau8[[#This Row],[marché]]="MARCHEINT",VLOOKUP($B34,Tableau16[[Ref]:[AUTRE]],13,FALSE)-Tableau8[[#This Row],[PAYEE]],"")</f>
        <v>27460</v>
      </c>
      <c r="V34" s="65" t="str">
        <f>IF(Tableau8[[#This Row],[marché]]="MARCHEEXT",VLOOKUP($B34,Tableau16[[Ref]:[AUTRE]],14,FALSE)-Tableau8[[#This Row],[PAYEE]],"")</f>
        <v/>
      </c>
      <c r="W34" s="65" t="str">
        <f>IF(Tableau8[[#This Row],[marché]]="RG_5%",VLOOKUP($B34,Tableau16[[Ref]:[AUTRE]],15,FALSE)-Tableau8[[#This Row],[PAYEE]],"")</f>
        <v/>
      </c>
      <c r="X34" s="65" t="str">
        <f>IF(Tableau8[[#This Row],[marché]]="BFT_5%",VLOOKUP($B34,Tableau16[[Ref]:[AUTRE]],17,FALSE)-Tableau8[[#This Row],[PAYEE]],"")</f>
        <v/>
      </c>
      <c r="Y34" s="65" t="str">
        <f>IF(Tableau8[[#This Row],[marché]]="AUTRE",VLOOKUP($B34,Tableau16[[Ref]:[AUTRE]],19,FALSE)-Tableau8[[#This Row],[PAYEE]],"")</f>
        <v/>
      </c>
      <c r="Z34" s="65"/>
      <c r="AA34" s="164">
        <f ca="1"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30000</v>
      </c>
    </row>
    <row r="35" spans="1:27" ht="15.75">
      <c r="A35" s="265"/>
      <c r="B35" s="130" t="str">
        <f>CONCATENATE(Tableau8[[#This Row],[CT
INDIRECT CHANTIER]],Tableau8[[#This Row],[NOM CHANTIER
INDIRECT ST]],Tableau8[[#This Row],[Sous Traitant]],Tableau8[[#This Row],[MO
INDIRECT CT]])</f>
        <v>ARNAUDST CYR Aspirit</v>
      </c>
      <c r="C35" s="231" t="s">
        <v>171</v>
      </c>
      <c r="D35" s="232" t="s">
        <v>72</v>
      </c>
      <c r="E35" s="232" t="s">
        <v>160</v>
      </c>
      <c r="F35" s="233" t="s">
        <v>146</v>
      </c>
      <c r="G35" s="58">
        <f>IFERROR(IF(B35="","",VLOOKUP(B35,Tableau16[[Ref]:[CP]],6,FALSE)),"")</f>
        <v>0</v>
      </c>
      <c r="H35" s="58">
        <f>IFERROR(IF(B35="","",VLOOKUP(B35,Tableau16[[Ref]:[CP]],7,FALSE)),"")</f>
        <v>0</v>
      </c>
      <c r="I35" s="127" t="str">
        <f>CONCATENATE(Tableau8[[#This Row],[CT
INDIRECT CHANTIER]],Tableau8[[#This Row],[NOM CHANTIER
INDIRECT ST]],Tableau8[[#This Row],[Sous Traitant]],Tableau8[[#This Row],[MO
INDIRECT CT]],Tableau8[[#This Row],[marché]])</f>
        <v>ARNAUDST CYR AspiritMARCHEEXT</v>
      </c>
      <c r="J35" s="205">
        <f>COUNTIF($I$4:I35,Tableau8[[#This Row],[REF FACT]])</f>
        <v>1</v>
      </c>
      <c r="K35" s="61">
        <v>169</v>
      </c>
      <c r="L35" s="62">
        <v>44043</v>
      </c>
      <c r="M35" s="58" t="str">
        <f>IF(Tableau8[[#This Row],[Sous Traitant]]&gt;1,VLOOKUP(Tableau8[[#This Row],[Sous Traitant]],Tableau11[[SOUS TRAITANT]:[DELAIS PAIEMENT]],4,FALSE),"")</f>
        <v>45J</v>
      </c>
      <c r="N35" s="63">
        <f t="shared" si="0"/>
        <v>44089</v>
      </c>
      <c r="O35" s="141" t="s">
        <v>159</v>
      </c>
      <c r="P35" s="64">
        <v>5453</v>
      </c>
      <c r="Q35" s="60" t="s">
        <v>161</v>
      </c>
      <c r="R35" s="113"/>
      <c r="S35" s="66"/>
      <c r="T35" s="65">
        <f>SUMIFS($P$4:P35,$I$4:I35,I35)</f>
        <v>5453</v>
      </c>
      <c r="U35" s="65" t="str">
        <f>IF(Tableau8[[#This Row],[marché]]="MARCHEINT",VLOOKUP($B35,Tableau16[[Ref]:[AUTRE]],13,FALSE)-Tableau8[[#This Row],[PAYEE]],"")</f>
        <v/>
      </c>
      <c r="V35" s="65">
        <f ca="1">IF(Tableau8[[#This Row],[marché]]="MARCHEEXT",VLOOKUP($B35,Tableau16[[Ref]:[AUTRE]],14,FALSE)-Tableau8[[#This Row],[PAYEE]],"")</f>
        <v>0</v>
      </c>
      <c r="W35" s="65" t="str">
        <f>IF(Tableau8[[#This Row],[marché]]="RG_5%",VLOOKUP($B35,Tableau16[[Ref]:[AUTRE]],15,FALSE)-Tableau8[[#This Row],[PAYEE]],"")</f>
        <v/>
      </c>
      <c r="X35" s="65" t="str">
        <f>IF(Tableau8[[#This Row],[marché]]="BFT_5%",VLOOKUP($B35,Tableau16[[Ref]:[AUTRE]],17,FALSE)-Tableau8[[#This Row],[PAYEE]],"")</f>
        <v/>
      </c>
      <c r="Y35" s="65" t="str">
        <f>IF(Tableau8[[#This Row],[marché]]="AUTRE",VLOOKUP($B35,Tableau16[[Ref]:[AUTRE]],19,FALSE)-Tableau8[[#This Row],[PAYEE]],"")</f>
        <v/>
      </c>
      <c r="Z35" s="65"/>
      <c r="AA35" s="164">
        <f ca="1"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0</v>
      </c>
    </row>
    <row r="36" spans="1:27" ht="15.75">
      <c r="A36" s="265"/>
      <c r="B36" s="130" t="str">
        <f>CONCATENATE(Tableau8[[#This Row],[CT
INDIRECT CHANTIER]],Tableau8[[#This Row],[NOM CHANTIER
INDIRECT ST]],Tableau8[[#This Row],[Sous Traitant]],Tableau8[[#This Row],[MO
INDIRECT CT]])</f>
        <v>ARNAUDPUTEAU CORDELIAAspirit</v>
      </c>
      <c r="C36" s="231" t="s">
        <v>171</v>
      </c>
      <c r="D36" s="232" t="s">
        <v>73</v>
      </c>
      <c r="E36" s="232" t="s">
        <v>160</v>
      </c>
      <c r="F36" s="233" t="s">
        <v>146</v>
      </c>
      <c r="G36" s="58">
        <f>IFERROR(IF(B36="","",VLOOKUP(B36,Tableau16[[Ref]:[CP]],6,FALSE)),"")</f>
        <v>0</v>
      </c>
      <c r="H36" s="58">
        <f>IFERROR(IF(B36="","",VLOOKUP(B36,Tableau16[[Ref]:[CP]],7,FALSE)),"")</f>
        <v>0</v>
      </c>
      <c r="I36" s="127" t="str">
        <f>CONCATENATE(Tableau8[[#This Row],[CT
INDIRECT CHANTIER]],Tableau8[[#This Row],[NOM CHANTIER
INDIRECT ST]],Tableau8[[#This Row],[Sous Traitant]],Tableau8[[#This Row],[MO
INDIRECT CT]],Tableau8[[#This Row],[marché]])</f>
        <v>ARNAUDPUTEAU CORDELIAAspiritMARCHEEXT</v>
      </c>
      <c r="J36" s="205">
        <f>COUNTIF($I$4:I36,Tableau8[[#This Row],[REF FACT]])</f>
        <v>1</v>
      </c>
      <c r="K36" s="61">
        <v>165</v>
      </c>
      <c r="L36" s="62">
        <v>44043</v>
      </c>
      <c r="M36" s="58" t="str">
        <f>IF(Tableau8[[#This Row],[Sous Traitant]]&gt;1,VLOOKUP(Tableau8[[#This Row],[Sous Traitant]],Tableau11[[SOUS TRAITANT]:[DELAIS PAIEMENT]],4,FALSE),"")</f>
        <v>45J</v>
      </c>
      <c r="N36" s="63">
        <f t="shared" si="0"/>
        <v>44089</v>
      </c>
      <c r="O36" s="141" t="s">
        <v>159</v>
      </c>
      <c r="P36" s="64">
        <v>56000</v>
      </c>
      <c r="Q36" s="60" t="s">
        <v>161</v>
      </c>
      <c r="R36" s="113"/>
      <c r="S36" s="66"/>
      <c r="T36" s="65">
        <f>SUMIFS($P$4:P36,$I$4:I36,I36)</f>
        <v>56000</v>
      </c>
      <c r="U36" s="65" t="str">
        <f>IF(Tableau8[[#This Row],[marché]]="MARCHEINT",VLOOKUP($B36,Tableau16[[Ref]:[AUTRE]],13,FALSE)-Tableau8[[#This Row],[PAYEE]],"")</f>
        <v/>
      </c>
      <c r="V36" s="65">
        <f>IF(Tableau8[[#This Row],[marché]]="MARCHEEXT",VLOOKUP($B36,Tableau16[[Ref]:[AUTRE]],14,FALSE)-Tableau8[[#This Row],[PAYEE]],"")</f>
        <v>-1000</v>
      </c>
      <c r="W36" s="65" t="str">
        <f>IF(Tableau8[[#This Row],[marché]]="RG_5%",VLOOKUP($B36,Tableau16[[Ref]:[AUTRE]],15,FALSE)-Tableau8[[#This Row],[PAYEE]],"")</f>
        <v/>
      </c>
      <c r="X36" s="65" t="str">
        <f>IF(Tableau8[[#This Row],[marché]]="BFT_5%",VLOOKUP($B36,Tableau16[[Ref]:[AUTRE]],17,FALSE)-Tableau8[[#This Row],[PAYEE]],"")</f>
        <v/>
      </c>
      <c r="Y36" s="65" t="str">
        <f>IF(Tableau8[[#This Row],[marché]]="AUTRE",VLOOKUP($B36,Tableau16[[Ref]:[AUTRE]],19,FALSE)-Tableau8[[#This Row],[PAYEE]],"")</f>
        <v/>
      </c>
      <c r="Z36" s="65"/>
      <c r="AA36" s="164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55000</v>
      </c>
    </row>
    <row r="37" spans="1:27" ht="15.75">
      <c r="A37" s="265"/>
      <c r="B37" s="130" t="str">
        <f>CONCATENATE(Tableau8[[#This Row],[CT
INDIRECT CHANTIER]],Tableau8[[#This Row],[NOM CHANTIER
INDIRECT ST]],Tableau8[[#This Row],[Sous Traitant]],Tableau8[[#This Row],[MO
INDIRECT CT]])</f>
        <v>ARNAUDPUTEAU CORDELIAAspirit</v>
      </c>
      <c r="C37" s="231" t="s">
        <v>171</v>
      </c>
      <c r="D37" s="232" t="s">
        <v>73</v>
      </c>
      <c r="E37" s="232" t="s">
        <v>160</v>
      </c>
      <c r="F37" s="233" t="s">
        <v>146</v>
      </c>
      <c r="G37" s="58">
        <f>IFERROR(IF(B37="","",VLOOKUP(B37,Tableau16[[Ref]:[CP]],6,FALSE)),"")</f>
        <v>0</v>
      </c>
      <c r="H37" s="58">
        <f>IFERROR(IF(B37="","",VLOOKUP(B37,Tableau16[[Ref]:[CP]],7,FALSE)),"")</f>
        <v>0</v>
      </c>
      <c r="I37" s="127" t="str">
        <f>CONCATENATE(Tableau8[[#This Row],[CT
INDIRECT CHANTIER]],Tableau8[[#This Row],[NOM CHANTIER
INDIRECT ST]],Tableau8[[#This Row],[Sous Traitant]],Tableau8[[#This Row],[MO
INDIRECT CT]],Tableau8[[#This Row],[marché]])</f>
        <v>ARNAUDPUTEAU CORDELIAAspiritRG_5%</v>
      </c>
      <c r="J37" s="205">
        <f>COUNTIF($I$4:I37,Tableau8[[#This Row],[REF FACT]])</f>
        <v>1</v>
      </c>
      <c r="K37" s="61">
        <v>166</v>
      </c>
      <c r="L37" s="62">
        <v>44043</v>
      </c>
      <c r="M37" s="58" t="str">
        <f>IF(Tableau8[[#This Row],[Sous Traitant]]&gt;1,VLOOKUP(Tableau8[[#This Row],[Sous Traitant]],Tableau11[[SOUS TRAITANT]:[DELAIS PAIEMENT]],4,FALSE),"")</f>
        <v>45J</v>
      </c>
      <c r="N37" s="63">
        <f t="shared" si="0"/>
        <v>44089</v>
      </c>
      <c r="O37" s="141" t="s">
        <v>41</v>
      </c>
      <c r="P37" s="64">
        <v>1406</v>
      </c>
      <c r="Q37" s="60" t="s">
        <v>161</v>
      </c>
      <c r="R37" s="113"/>
      <c r="S37" s="66"/>
      <c r="T37" s="65">
        <f>SUMIFS($P$4:P37,$I$4:I37,I37)</f>
        <v>1406</v>
      </c>
      <c r="U37" s="65" t="str">
        <f>IF(Tableau8[[#This Row],[marché]]="MARCHEINT",VLOOKUP($B37,Tableau16[[Ref]:[AUTRE]],13,FALSE)-Tableau8[[#This Row],[PAYEE]],"")</f>
        <v/>
      </c>
      <c r="V37" s="65" t="str">
        <f>IF(Tableau8[[#This Row],[marché]]="MARCHEEXT",VLOOKUP($B37,Tableau16[[Ref]:[AUTRE]],14,FALSE)-Tableau8[[#This Row],[PAYEE]],"")</f>
        <v/>
      </c>
      <c r="W37" s="65">
        <f>IF(Tableau8[[#This Row],[marché]]="RG_5%",VLOOKUP($B37,Tableau16[[Ref]:[AUTRE]],15,FALSE)-Tableau8[[#This Row],[PAYEE]],"")</f>
        <v>3594</v>
      </c>
      <c r="X37" s="65" t="str">
        <f>IF(Tableau8[[#This Row],[marché]]="BFT_5%",VLOOKUP($B37,Tableau16[[Ref]:[AUTRE]],17,FALSE)-Tableau8[[#This Row],[PAYEE]],"")</f>
        <v/>
      </c>
      <c r="Y37" s="65" t="str">
        <f>IF(Tableau8[[#This Row],[marché]]="AUTRE",VLOOKUP($B37,Tableau16[[Ref]:[AUTRE]],19,FALSE)-Tableau8[[#This Row],[PAYEE]],"")</f>
        <v/>
      </c>
      <c r="Z37" s="65"/>
      <c r="AA37" s="164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5000</v>
      </c>
    </row>
    <row r="38" spans="1:27" ht="15.75">
      <c r="A38" s="265"/>
      <c r="B38" s="130" t="str">
        <f>CONCATENATE(Tableau8[[#This Row],[CT
INDIRECT CHANTIER]],Tableau8[[#This Row],[NOM CHANTIER
INDIRECT ST]],Tableau8[[#This Row],[Sous Traitant]],Tableau8[[#This Row],[MO
INDIRECT CT]])</f>
        <v>ARNAUDPUTEAU CORDELIAAspirit</v>
      </c>
      <c r="C38" s="231" t="s">
        <v>171</v>
      </c>
      <c r="D38" s="232" t="s">
        <v>73</v>
      </c>
      <c r="E38" s="232" t="s">
        <v>160</v>
      </c>
      <c r="F38" s="233" t="s">
        <v>146</v>
      </c>
      <c r="G38" s="58">
        <f>IFERROR(IF(B38="","",VLOOKUP(B38,Tableau16[[Ref]:[CP]],6,FALSE)),"")</f>
        <v>0</v>
      </c>
      <c r="H38" s="58">
        <f>IFERROR(IF(B38="","",VLOOKUP(B38,Tableau16[[Ref]:[CP]],7,FALSE)),"")</f>
        <v>0</v>
      </c>
      <c r="I38" s="127" t="str">
        <f>CONCATENATE(Tableau8[[#This Row],[CT
INDIRECT CHANTIER]],Tableau8[[#This Row],[NOM CHANTIER
INDIRECT ST]],Tableau8[[#This Row],[Sous Traitant]],Tableau8[[#This Row],[MO
INDIRECT CT]],Tableau8[[#This Row],[marché]])</f>
        <v>ARNAUDPUTEAU CORDELIAAspiritBFT_5%</v>
      </c>
      <c r="J38" s="205">
        <f>COUNTIF($I$4:I38,Tableau8[[#This Row],[REF FACT]])</f>
        <v>1</v>
      </c>
      <c r="K38" s="61">
        <v>168</v>
      </c>
      <c r="L38" s="62">
        <v>44043</v>
      </c>
      <c r="M38" s="58" t="str">
        <f>IF(Tableau8[[#This Row],[Sous Traitant]]&gt;1,VLOOKUP(Tableau8[[#This Row],[Sous Traitant]],Tableau11[[SOUS TRAITANT]:[DELAIS PAIEMENT]],4,FALSE),"")</f>
        <v>45J</v>
      </c>
      <c r="N38" s="63">
        <f t="shared" si="0"/>
        <v>44089</v>
      </c>
      <c r="O38" s="141" t="s">
        <v>42</v>
      </c>
      <c r="P38" s="64">
        <v>1074.6400000000001</v>
      </c>
      <c r="Q38" s="60" t="s">
        <v>161</v>
      </c>
      <c r="R38" s="113"/>
      <c r="S38" s="66"/>
      <c r="T38" s="65">
        <f>SUMIFS($P$4:P38,$I$4:I38,I38)</f>
        <v>1074.6400000000001</v>
      </c>
      <c r="U38" s="65" t="str">
        <f>IF(Tableau8[[#This Row],[marché]]="MARCHEINT",VLOOKUP($B38,Tableau16[[Ref]:[AUTRE]],13,FALSE)-Tableau8[[#This Row],[PAYEE]],"")</f>
        <v/>
      </c>
      <c r="V38" s="65" t="str">
        <f>IF(Tableau8[[#This Row],[marché]]="MARCHEEXT",VLOOKUP($B38,Tableau16[[Ref]:[AUTRE]],14,FALSE)-Tableau8[[#This Row],[PAYEE]],"")</f>
        <v/>
      </c>
      <c r="W38" s="65" t="str">
        <f>IF(Tableau8[[#This Row],[marché]]="RG_5%",VLOOKUP($B38,Tableau16[[Ref]:[AUTRE]],15,FALSE)-Tableau8[[#This Row],[PAYEE]],"")</f>
        <v/>
      </c>
      <c r="X38" s="65">
        <f>IF(Tableau8[[#This Row],[marché]]="BFT_5%",VLOOKUP($B38,Tableau16[[Ref]:[AUTRE]],17,FALSE)-Tableau8[[#This Row],[PAYEE]],"")</f>
        <v>3925.3599999999997</v>
      </c>
      <c r="Y38" s="65" t="str">
        <f>IF(Tableau8[[#This Row],[marché]]="AUTRE",VLOOKUP($B38,Tableau16[[Ref]:[AUTRE]],19,FALSE)-Tableau8[[#This Row],[PAYEE]],"")</f>
        <v/>
      </c>
      <c r="Z38" s="65"/>
      <c r="AA38" s="164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5000</v>
      </c>
    </row>
    <row r="39" spans="1:27" s="30" customFormat="1" ht="15.75">
      <c r="A39" s="265"/>
      <c r="B39" s="130" t="str">
        <f>CONCATENATE(Tableau8[[#This Row],[CT
INDIRECT CHANTIER]],Tableau8[[#This Row],[NOM CHANTIER
INDIRECT ST]],Tableau8[[#This Row],[Sous Traitant]],Tableau8[[#This Row],[MO
INDIRECT CT]])</f>
        <v>FREDCHATENAY MALABRY - IRENADH2O</v>
      </c>
      <c r="C39" s="231" t="s">
        <v>174</v>
      </c>
      <c r="D39" s="232" t="s">
        <v>74</v>
      </c>
      <c r="E39" s="232" t="s">
        <v>161</v>
      </c>
      <c r="F39" s="233" t="s">
        <v>201</v>
      </c>
      <c r="G39" s="58">
        <f>IFERROR(IF(B39="","",VLOOKUP(B39,Tableau16[[Ref]:[CP]],6,FALSE)),"")</f>
        <v>0</v>
      </c>
      <c r="H39" s="58">
        <f>IFERROR(IF(B39="","",VLOOKUP(B39,Tableau16[[Ref]:[CP]],7,FALSE)),"")</f>
        <v>0</v>
      </c>
      <c r="I39" s="127" t="str">
        <f>CONCATENATE(Tableau8[[#This Row],[CT
INDIRECT CHANTIER]],Tableau8[[#This Row],[NOM CHANTIER
INDIRECT ST]],Tableau8[[#This Row],[Sous Traitant]],Tableau8[[#This Row],[MO
INDIRECT CT]],Tableau8[[#This Row],[marché]])</f>
        <v>FREDCHATENAY MALABRY - IRENADH2OAUTRE</v>
      </c>
      <c r="J39" s="205">
        <f>COUNTIF($I$4:I39,Tableau8[[#This Row],[REF FACT]])</f>
        <v>1</v>
      </c>
      <c r="K39" s="61">
        <v>157</v>
      </c>
      <c r="L39" s="62">
        <v>44043</v>
      </c>
      <c r="M39" s="58" t="str">
        <f>IF(Tableau8[[#This Row],[Sous Traitant]]&gt;1,VLOOKUP(Tableau8[[#This Row],[Sous Traitant]],Tableau11[[SOUS TRAITANT]:[DELAIS PAIEMENT]],4,FALSE),"")</f>
        <v>15J</v>
      </c>
      <c r="N39" s="63">
        <f t="shared" si="0"/>
        <v>44058</v>
      </c>
      <c r="O39" s="141" t="s">
        <v>25</v>
      </c>
      <c r="P39" s="64">
        <v>2000</v>
      </c>
      <c r="Q39" s="60" t="s">
        <v>161</v>
      </c>
      <c r="R39" s="113"/>
      <c r="S39" s="66" t="s">
        <v>217</v>
      </c>
      <c r="T39" s="65">
        <f>SUMIFS($P$4:P39,$I$4:I39,I39)</f>
        <v>2000</v>
      </c>
      <c r="U39" s="65" t="str">
        <f>IF(Tableau8[[#This Row],[marché]]="MARCHEINT",VLOOKUP($B39,Tableau16[[Ref]:[AUTRE]],13,FALSE)-Tableau8[[#This Row],[PAYEE]],"")</f>
        <v/>
      </c>
      <c r="V39" s="65" t="str">
        <f>IF(Tableau8[[#This Row],[marché]]="MARCHEEXT",VLOOKUP($B39,Tableau16[[Ref]:[AUTRE]],14,FALSE)-Tableau8[[#This Row],[PAYEE]],"")</f>
        <v/>
      </c>
      <c r="W39" s="65" t="str">
        <f>IF(Tableau8[[#This Row],[marché]]="RG_5%",VLOOKUP($B39,Tableau16[[Ref]:[AUTRE]],15,FALSE)-Tableau8[[#This Row],[PAYEE]],"")</f>
        <v/>
      </c>
      <c r="X39" s="65" t="str">
        <f>IF(Tableau8[[#This Row],[marché]]="BFT_5%",VLOOKUP($B39,Tableau16[[Ref]:[AUTRE]],17,FALSE)-Tableau8[[#This Row],[PAYEE]],"")</f>
        <v/>
      </c>
      <c r="Y39" s="65">
        <f>IF(Tableau8[[#This Row],[marché]]="AUTRE",VLOOKUP($B39,Tableau16[[Ref]:[AUTRE]],19,FALSE)-Tableau8[[#This Row],[PAYEE]],"")</f>
        <v>-2000</v>
      </c>
      <c r="Z39" s="65"/>
      <c r="AA39" s="164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0</v>
      </c>
    </row>
    <row r="40" spans="1:27" s="30" customFormat="1" ht="15.75">
      <c r="A40" s="265"/>
      <c r="B40" s="130" t="str">
        <f>CONCATENATE(Tableau8[[#This Row],[CT
INDIRECT CHANTIER]],Tableau8[[#This Row],[NOM CHANTIER
INDIRECT ST]],Tableau8[[#This Row],[Sous Traitant]],Tableau8[[#This Row],[MO
INDIRECT CT]])</f>
        <v>FREDCHATENAY MALABRY - IRENADH2O</v>
      </c>
      <c r="C40" s="231" t="s">
        <v>174</v>
      </c>
      <c r="D40" s="232" t="s">
        <v>74</v>
      </c>
      <c r="E40" s="232" t="s">
        <v>161</v>
      </c>
      <c r="F40" s="233" t="s">
        <v>201</v>
      </c>
      <c r="G40" s="58">
        <f>IFERROR(IF(B40="","",VLOOKUP(B40,Tableau16[[Ref]:[CP]],6,FALSE)),"")</f>
        <v>0</v>
      </c>
      <c r="H40" s="58">
        <f>IFERROR(IF(B40="","",VLOOKUP(B40,Tableau16[[Ref]:[CP]],7,FALSE)),"")</f>
        <v>0</v>
      </c>
      <c r="I40" s="127" t="str">
        <f>CONCATENATE(Tableau8[[#This Row],[CT
INDIRECT CHANTIER]],Tableau8[[#This Row],[NOM CHANTIER
INDIRECT ST]],Tableau8[[#This Row],[Sous Traitant]],Tableau8[[#This Row],[MO
INDIRECT CT]],Tableau8[[#This Row],[marché]])</f>
        <v>FREDCHATENAY MALABRY - IRENADH2OTS/TMA/CFA</v>
      </c>
      <c r="J40" s="205">
        <f>COUNTIF($I$4:I40,Tableau8[[#This Row],[REF FACT]])</f>
        <v>1</v>
      </c>
      <c r="K40" s="61">
        <v>161</v>
      </c>
      <c r="L40" s="62">
        <v>44043</v>
      </c>
      <c r="M40" s="58" t="str">
        <f>IF(Tableau8[[#This Row],[Sous Traitant]]&gt;1,VLOOKUP(Tableau8[[#This Row],[Sous Traitant]],Tableau11[[SOUS TRAITANT]:[DELAIS PAIEMENT]],4,FALSE),"")</f>
        <v>15J</v>
      </c>
      <c r="N40" s="63">
        <f t="shared" si="0"/>
        <v>44058</v>
      </c>
      <c r="O40" s="141" t="s">
        <v>145</v>
      </c>
      <c r="P40" s="64">
        <v>950</v>
      </c>
      <c r="Q40" s="60" t="s">
        <v>161</v>
      </c>
      <c r="R40" s="113"/>
      <c r="S40" s="66"/>
      <c r="T40" s="65">
        <f>SUMIFS($P$4:P40,$I$4:I40,I40)</f>
        <v>950</v>
      </c>
      <c r="U40" s="65" t="str">
        <f>IF(Tableau8[[#This Row],[marché]]="MARCHEINT",VLOOKUP($B40,Tableau16[[Ref]:[AUTRE]],13,FALSE)-Tableau8[[#This Row],[PAYEE]],"")</f>
        <v/>
      </c>
      <c r="V40" s="65" t="str">
        <f>IF(Tableau8[[#This Row],[marché]]="MARCHEEXT",VLOOKUP($B40,Tableau16[[Ref]:[AUTRE]],14,FALSE)-Tableau8[[#This Row],[PAYEE]],"")</f>
        <v/>
      </c>
      <c r="W40" s="65" t="str">
        <f>IF(Tableau8[[#This Row],[marché]]="RG_5%",VLOOKUP($B40,Tableau16[[Ref]:[AUTRE]],15,FALSE)-Tableau8[[#This Row],[PAYEE]],"")</f>
        <v/>
      </c>
      <c r="X40" s="65" t="str">
        <f>IF(Tableau8[[#This Row],[marché]]="BFT_5%",VLOOKUP($B40,Tableau16[[Ref]:[AUTRE]],17,FALSE)-Tableau8[[#This Row],[PAYEE]],"")</f>
        <v/>
      </c>
      <c r="Y40" s="65" t="str">
        <f>IF(Tableau8[[#This Row],[marché]]="AUTRE",VLOOKUP($B40,Tableau16[[Ref]:[AUTRE]],19,FALSE)-Tableau8[[#This Row],[PAYEE]],"")</f>
        <v/>
      </c>
      <c r="Z40" s="65"/>
      <c r="AA40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41" spans="1:27" s="30" customFormat="1" ht="15.75">
      <c r="A41" s="265"/>
      <c r="B41" s="130" t="str">
        <f>CONCATENATE(Tableau8[[#This Row],[CT
INDIRECT CHANTIER]],Tableau8[[#This Row],[NOM CHANTIER
INDIRECT ST]],Tableau8[[#This Row],[Sous Traitant]],Tableau8[[#This Row],[MO
INDIRECT CT]])</f>
        <v>FREDCHATENAY MALABRY - IRENADH2O</v>
      </c>
      <c r="C41" s="231" t="s">
        <v>174</v>
      </c>
      <c r="D41" s="232" t="s">
        <v>74</v>
      </c>
      <c r="E41" s="232" t="s">
        <v>161</v>
      </c>
      <c r="F41" s="233" t="s">
        <v>201</v>
      </c>
      <c r="G41" s="58">
        <f>IFERROR(IF(B41="","",VLOOKUP(B41,Tableau16[[Ref]:[CP]],6,FALSE)),"")</f>
        <v>0</v>
      </c>
      <c r="H41" s="58">
        <f>IFERROR(IF(B41="","",VLOOKUP(B41,Tableau16[[Ref]:[CP]],7,FALSE)),"")</f>
        <v>0</v>
      </c>
      <c r="I41" s="127" t="str">
        <f>CONCATENATE(Tableau8[[#This Row],[CT
INDIRECT CHANTIER]],Tableau8[[#This Row],[NOM CHANTIER
INDIRECT ST]],Tableau8[[#This Row],[Sous Traitant]],Tableau8[[#This Row],[MO
INDIRECT CT]],Tableau8[[#This Row],[marché]])</f>
        <v>FREDCHATENAY MALABRY - IRENADH2OMARCHEINT</v>
      </c>
      <c r="J41" s="205">
        <f>COUNTIF($I$4:I41,Tableau8[[#This Row],[REF FACT]])</f>
        <v>1</v>
      </c>
      <c r="K41" s="61">
        <v>162</v>
      </c>
      <c r="L41" s="62">
        <v>44043</v>
      </c>
      <c r="M41" s="58" t="str">
        <f>IF(Tableau8[[#This Row],[Sous Traitant]]&gt;1,VLOOKUP(Tableau8[[#This Row],[Sous Traitant]],Tableau11[[SOUS TRAITANT]:[DELAIS PAIEMENT]],4,FALSE),"")</f>
        <v>15J</v>
      </c>
      <c r="N41" s="63">
        <f>IF(M41="15J",EOMONTH(L41,0)+15,IF(M41="45J",EOMONTH(L41+30,0)+15,""))</f>
        <v>44058</v>
      </c>
      <c r="O41" s="141" t="s">
        <v>158</v>
      </c>
      <c r="P41" s="64">
        <v>1216</v>
      </c>
      <c r="Q41" s="60" t="s">
        <v>161</v>
      </c>
      <c r="R41" s="113"/>
      <c r="S41" s="66"/>
      <c r="T41" s="65">
        <f>SUMIFS($P$4:P41,$I$4:I41,I41)</f>
        <v>1216</v>
      </c>
      <c r="U41" s="65">
        <f>IF(Tableau8[[#This Row],[marché]]="MARCHEINT",VLOOKUP($B41,Tableau16[[Ref]:[AUTRE]],13,FALSE)-Tableau8[[#This Row],[PAYEE]],"")</f>
        <v>28784</v>
      </c>
      <c r="V41" s="65" t="str">
        <f>IF(Tableau8[[#This Row],[marché]]="MARCHEEXT",VLOOKUP($B41,Tableau16[[Ref]:[AUTRE]],14,FALSE)-Tableau8[[#This Row],[PAYEE]],"")</f>
        <v/>
      </c>
      <c r="W41" s="65" t="str">
        <f>IF(Tableau8[[#This Row],[marché]]="RG_5%",VLOOKUP($B41,Tableau16[[Ref]:[AUTRE]],15,FALSE)-Tableau8[[#This Row],[PAYEE]],"")</f>
        <v/>
      </c>
      <c r="X41" s="65" t="str">
        <f>IF(Tableau8[[#This Row],[marché]]="BFT_5%",VLOOKUP($B41,Tableau16[[Ref]:[AUTRE]],17,FALSE)-Tableau8[[#This Row],[PAYEE]],"")</f>
        <v/>
      </c>
      <c r="Y41" s="65" t="str">
        <f>IF(Tableau8[[#This Row],[marché]]="AUTRE",VLOOKUP($B41,Tableau16[[Ref]:[AUTRE]],19,FALSE)-Tableau8[[#This Row],[PAYEE]],"")</f>
        <v/>
      </c>
      <c r="Z41" s="65"/>
      <c r="AA41" s="164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30000</v>
      </c>
    </row>
    <row r="42" spans="1:27" s="30" customFormat="1" ht="15.75">
      <c r="A42" s="265"/>
      <c r="B42" s="130" t="str">
        <f>CONCATENATE(Tableau8[[#This Row],[CT
INDIRECT CHANTIER]],Tableau8[[#This Row],[NOM CHANTIER
INDIRECT ST]],Tableau8[[#This Row],[Sous Traitant]],Tableau8[[#This Row],[MO
INDIRECT CT]])</f>
        <v>FREDCHATENAY MALABRY - IRENADH2O</v>
      </c>
      <c r="C42" s="231" t="s">
        <v>174</v>
      </c>
      <c r="D42" s="232" t="s">
        <v>74</v>
      </c>
      <c r="E42" s="232" t="s">
        <v>161</v>
      </c>
      <c r="F42" s="233" t="s">
        <v>201</v>
      </c>
      <c r="G42" s="58">
        <f>IFERROR(IF(B42="","",VLOOKUP(B42,Tableau16[[Ref]:[CP]],6,FALSE)),"")</f>
        <v>0</v>
      </c>
      <c r="H42" s="58">
        <f>IFERROR(IF(B42="","",VLOOKUP(B42,Tableau16[[Ref]:[CP]],7,FALSE)),"")</f>
        <v>0</v>
      </c>
      <c r="I42" s="127" t="str">
        <f>CONCATENATE(Tableau8[[#This Row],[CT
INDIRECT CHANTIER]],Tableau8[[#This Row],[NOM CHANTIER
INDIRECT ST]],Tableau8[[#This Row],[Sous Traitant]],Tableau8[[#This Row],[MO
INDIRECT CT]],Tableau8[[#This Row],[marché]])</f>
        <v>FREDCHATENAY MALABRY - IRENADH2OMARCHEINT</v>
      </c>
      <c r="J42" s="205">
        <f>COUNTIF($I$4:I42,Tableau8[[#This Row],[REF FACT]])</f>
        <v>2</v>
      </c>
      <c r="K42" s="61">
        <v>163</v>
      </c>
      <c r="L42" s="62">
        <v>44043</v>
      </c>
      <c r="M42" s="58" t="str">
        <f>IF(Tableau8[[#This Row],[Sous Traitant]]&gt;1,VLOOKUP(Tableau8[[#This Row],[Sous Traitant]],Tableau11[[SOUS TRAITANT]:[DELAIS PAIEMENT]],4,FALSE),"")</f>
        <v>15J</v>
      </c>
      <c r="N42" s="63">
        <f t="shared" si="0"/>
        <v>44058</v>
      </c>
      <c r="O42" s="141" t="s">
        <v>158</v>
      </c>
      <c r="P42" s="64">
        <v>4259.25</v>
      </c>
      <c r="Q42" s="60" t="s">
        <v>161</v>
      </c>
      <c r="R42" s="113"/>
      <c r="S42" s="66"/>
      <c r="T42" s="65">
        <f>SUMIFS($P$4:P42,$I$4:I42,I42)</f>
        <v>5475.25</v>
      </c>
      <c r="U42" s="65">
        <f>IF(Tableau8[[#This Row],[marché]]="MARCHEINT",VLOOKUP($B42,Tableau16[[Ref]:[AUTRE]],13,FALSE)-Tableau8[[#This Row],[PAYEE]],"")</f>
        <v>24524.75</v>
      </c>
      <c r="V42" s="65" t="str">
        <f>IF(Tableau8[[#This Row],[marché]]="MARCHEEXT",VLOOKUP($B42,Tableau16[[Ref]:[AUTRE]],14,FALSE)-Tableau8[[#This Row],[PAYEE]],"")</f>
        <v/>
      </c>
      <c r="W42" s="65" t="str">
        <f>IF(Tableau8[[#This Row],[marché]]="RG_5%",VLOOKUP($B42,Tableau16[[Ref]:[AUTRE]],15,FALSE)-Tableau8[[#This Row],[PAYEE]],"")</f>
        <v/>
      </c>
      <c r="X42" s="65" t="str">
        <f>IF(Tableau8[[#This Row],[marché]]="BFT_5%",VLOOKUP($B42,Tableau16[[Ref]:[AUTRE]],17,FALSE)-Tableau8[[#This Row],[PAYEE]],"")</f>
        <v/>
      </c>
      <c r="Y42" s="65" t="str">
        <f>IF(Tableau8[[#This Row],[marché]]="AUTRE",VLOOKUP($B42,Tableau16[[Ref]:[AUTRE]],19,FALSE)-Tableau8[[#This Row],[PAYEE]],"")</f>
        <v/>
      </c>
      <c r="Z42" s="65"/>
      <c r="AA42" s="164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30000</v>
      </c>
    </row>
    <row r="43" spans="1:27" s="30" customFormat="1" ht="15.75">
      <c r="A43" s="265"/>
      <c r="B43" s="130" t="str">
        <f>CONCATENATE(Tableau8[[#This Row],[CT
INDIRECT CHANTIER]],Tableau8[[#This Row],[NOM CHANTIER
INDIRECT ST]],Tableau8[[#This Row],[Sous Traitant]],Tableau8[[#This Row],[MO
INDIRECT CT]])</f>
        <v>FREDCHATENAY MALABRY - IRENADH2O</v>
      </c>
      <c r="C43" s="231" t="s">
        <v>174</v>
      </c>
      <c r="D43" s="232" t="s">
        <v>74</v>
      </c>
      <c r="E43" s="232" t="s">
        <v>161</v>
      </c>
      <c r="F43" s="233" t="s">
        <v>201</v>
      </c>
      <c r="G43" s="58">
        <f>IFERROR(IF(B43="","",VLOOKUP(B43,Tableau16[[Ref]:[CP]],6,FALSE)),"")</f>
        <v>0</v>
      </c>
      <c r="H43" s="58">
        <f>IFERROR(IF(B43="","",VLOOKUP(B43,Tableau16[[Ref]:[CP]],7,FALSE)),"")</f>
        <v>0</v>
      </c>
      <c r="I43" s="127" t="str">
        <f>CONCATENATE(Tableau8[[#This Row],[CT
INDIRECT CHANTIER]],Tableau8[[#This Row],[NOM CHANTIER
INDIRECT ST]],Tableau8[[#This Row],[Sous Traitant]],Tableau8[[#This Row],[MO
INDIRECT CT]],Tableau8[[#This Row],[marché]])</f>
        <v>FREDCHATENAY MALABRY - IRENADH2OMARCHEINT</v>
      </c>
      <c r="J43" s="205">
        <f>COUNTIF($I$4:I43,Tableau8[[#This Row],[REF FACT]])</f>
        <v>3</v>
      </c>
      <c r="K43" s="61">
        <v>170</v>
      </c>
      <c r="L43" s="62">
        <v>44043</v>
      </c>
      <c r="M43" s="58" t="str">
        <f>IF(Tableau8[[#This Row],[Sous Traitant]]&gt;1,VLOOKUP(Tableau8[[#This Row],[Sous Traitant]],Tableau11[[SOUS TRAITANT]:[DELAIS PAIEMENT]],4,FALSE),"")</f>
        <v>15J</v>
      </c>
      <c r="N43" s="63">
        <f t="shared" si="0"/>
        <v>44058</v>
      </c>
      <c r="O43" s="141" t="s">
        <v>158</v>
      </c>
      <c r="P43" s="64">
        <v>4867.8</v>
      </c>
      <c r="Q43" s="60" t="s">
        <v>161</v>
      </c>
      <c r="R43" s="113"/>
      <c r="S43" s="66"/>
      <c r="T43" s="65">
        <f>SUMIFS($P$4:P43,$I$4:I43,I43)</f>
        <v>10343.049999999999</v>
      </c>
      <c r="U43" s="65">
        <f>IF(Tableau8[[#This Row],[marché]]="MARCHEINT",VLOOKUP($B43,Tableau16[[Ref]:[AUTRE]],13,FALSE)-Tableau8[[#This Row],[PAYEE]],"")</f>
        <v>19656.95</v>
      </c>
      <c r="V43" s="65" t="str">
        <f>IF(Tableau8[[#This Row],[marché]]="MARCHEEXT",VLOOKUP($B43,Tableau16[[Ref]:[AUTRE]],14,FALSE)-Tableau8[[#This Row],[PAYEE]],"")</f>
        <v/>
      </c>
      <c r="W43" s="65" t="str">
        <f>IF(Tableau8[[#This Row],[marché]]="RG_5%",VLOOKUP($B43,Tableau16[[Ref]:[AUTRE]],15,FALSE)-Tableau8[[#This Row],[PAYEE]],"")</f>
        <v/>
      </c>
      <c r="X43" s="65" t="str">
        <f>IF(Tableau8[[#This Row],[marché]]="BFT_5%",VLOOKUP($B43,Tableau16[[Ref]:[AUTRE]],17,FALSE)-Tableau8[[#This Row],[PAYEE]],"")</f>
        <v/>
      </c>
      <c r="Y43" s="65" t="str">
        <f>IF(Tableau8[[#This Row],[marché]]="AUTRE",VLOOKUP($B43,Tableau16[[Ref]:[AUTRE]],19,FALSE)-Tableau8[[#This Row],[PAYEE]],"")</f>
        <v/>
      </c>
      <c r="Z43" s="65"/>
      <c r="AA43" s="164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30000</v>
      </c>
    </row>
    <row r="44" spans="1:27" ht="15.75">
      <c r="A44" s="265"/>
      <c r="B44" s="130" t="str">
        <f>CONCATENATE(Tableau8[[#This Row],[CT
INDIRECT CHANTIER]],Tableau8[[#This Row],[NOM CHANTIER
INDIRECT ST]],Tableau8[[#This Row],[Sous Traitant]],Tableau8[[#This Row],[MO
INDIRECT CT]])</f>
        <v>JONATHANST MAURBH2O</v>
      </c>
      <c r="C44" s="231" t="s">
        <v>172</v>
      </c>
      <c r="D44" s="232" t="s">
        <v>75</v>
      </c>
      <c r="E44" s="232" t="s">
        <v>162</v>
      </c>
      <c r="F44" s="233" t="s">
        <v>201</v>
      </c>
      <c r="G44" s="58" t="str">
        <f>IFERROR(IF(B44="","",VLOOKUP(B44,Tableau16[[Ref]:[CP]],6,FALSE)),"")</f>
        <v/>
      </c>
      <c r="H44" s="58" t="str">
        <f>IFERROR(IF(B44="","",VLOOKUP(B44,Tableau16[[Ref]:[CP]],7,FALSE)),"")</f>
        <v/>
      </c>
      <c r="I44" s="127" t="str">
        <f>CONCATENATE(Tableau8[[#This Row],[CT
INDIRECT CHANTIER]],Tableau8[[#This Row],[NOM CHANTIER
INDIRECT ST]],Tableau8[[#This Row],[Sous Traitant]],Tableau8[[#This Row],[MO
INDIRECT CT]],Tableau8[[#This Row],[marché]])</f>
        <v>JONATHANST MAURBH2OMARCHEINT</v>
      </c>
      <c r="J44" s="205">
        <f>COUNTIF($I$4:I44,Tableau8[[#This Row],[REF FACT]])</f>
        <v>1</v>
      </c>
      <c r="K44" s="61" t="s">
        <v>76</v>
      </c>
      <c r="L44" s="62">
        <v>44043</v>
      </c>
      <c r="M44" s="58" t="str">
        <f>IF(Tableau8[[#This Row],[Sous Traitant]]&gt;1,VLOOKUP(Tableau8[[#This Row],[Sous Traitant]],Tableau11[[SOUS TRAITANT]:[DELAIS PAIEMENT]],4,FALSE),"")</f>
        <v>15J</v>
      </c>
      <c r="N44" s="63">
        <f t="shared" si="0"/>
        <v>44058</v>
      </c>
      <c r="O44" s="141" t="s">
        <v>158</v>
      </c>
      <c r="P44" s="64">
        <v>1141.1400000000001</v>
      </c>
      <c r="Q44" s="60" t="s">
        <v>161</v>
      </c>
      <c r="R44" s="113"/>
      <c r="S44" s="66"/>
      <c r="T44" s="65">
        <f>SUMIFS($P$4:P44,$I$4:I44,I44)</f>
        <v>1141.1400000000001</v>
      </c>
      <c r="U44" s="65" t="e">
        <f>IF(Tableau8[[#This Row],[marché]]="MARCHEINT",VLOOKUP($B44,Tableau16[[Ref]:[AUTRE]],13,FALSE)-Tableau8[[#This Row],[PAYEE]],"")</f>
        <v>#N/A</v>
      </c>
      <c r="V44" s="65" t="str">
        <f>IF(Tableau8[[#This Row],[marché]]="MARCHEEXT",VLOOKUP($B44,Tableau16[[Ref]:[AUTRE]],14,FALSE)-Tableau8[[#This Row],[PAYEE]],"")</f>
        <v/>
      </c>
      <c r="W44" s="65" t="str">
        <f>IF(Tableau8[[#This Row],[marché]]="RG_5%",VLOOKUP($B44,Tableau16[[Ref]:[AUTRE]],15,FALSE)-Tableau8[[#This Row],[PAYEE]],"")</f>
        <v/>
      </c>
      <c r="X44" s="65" t="str">
        <f>IF(Tableau8[[#This Row],[marché]]="BFT_5%",VLOOKUP($B44,Tableau16[[Ref]:[AUTRE]],17,FALSE)-Tableau8[[#This Row],[PAYEE]],"")</f>
        <v/>
      </c>
      <c r="Y44" s="65" t="str">
        <f>IF(Tableau8[[#This Row],[marché]]="AUTRE",VLOOKUP($B44,Tableau16[[Ref]:[AUTRE]],19,FALSE)-Tableau8[[#This Row],[PAYEE]],"")</f>
        <v/>
      </c>
      <c r="Z44" s="65"/>
      <c r="AA44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45" spans="1:27" ht="15.75">
      <c r="A45" s="265"/>
      <c r="B45" s="130" t="str">
        <f>CONCATENATE(Tableau8[[#This Row],[CT
INDIRECT CHANTIER]],Tableau8[[#This Row],[NOM CHANTIER
INDIRECT ST]],Tableau8[[#This Row],[Sous Traitant]],Tableau8[[#This Row],[MO
INDIRECT CT]])</f>
        <v>JONATHANCHATENAY MALABRY - ANDREA 2BH2O</v>
      </c>
      <c r="C45" s="231" t="s">
        <v>172</v>
      </c>
      <c r="D45" s="232" t="s">
        <v>77</v>
      </c>
      <c r="E45" s="232" t="s">
        <v>162</v>
      </c>
      <c r="F45" s="233" t="s">
        <v>201</v>
      </c>
      <c r="G45" s="58" t="str">
        <f>IFERROR(IF(B45="","",VLOOKUP(B45,Tableau16[[Ref]:[CP]],6,FALSE)),"")</f>
        <v/>
      </c>
      <c r="H45" s="58" t="str">
        <f>IFERROR(IF(B45="","",VLOOKUP(B45,Tableau16[[Ref]:[CP]],7,FALSE)),"")</f>
        <v/>
      </c>
      <c r="I45" s="127" t="str">
        <f>CONCATENATE(Tableau8[[#This Row],[CT
INDIRECT CHANTIER]],Tableau8[[#This Row],[NOM CHANTIER
INDIRECT ST]],Tableau8[[#This Row],[Sous Traitant]],Tableau8[[#This Row],[MO
INDIRECT CT]],Tableau8[[#This Row],[marché]])</f>
        <v>JONATHANCHATENAY MALABRY - ANDREA 2BH2OMARCHEINT</v>
      </c>
      <c r="J45" s="205">
        <f>COUNTIF($I$4:I45,Tableau8[[#This Row],[REF FACT]])</f>
        <v>1</v>
      </c>
      <c r="K45" s="61" t="s">
        <v>78</v>
      </c>
      <c r="L45" s="62">
        <v>44043</v>
      </c>
      <c r="M45" s="58" t="str">
        <f>IF(Tableau8[[#This Row],[Sous Traitant]]&gt;1,VLOOKUP(Tableau8[[#This Row],[Sous Traitant]],Tableau11[[SOUS TRAITANT]:[DELAIS PAIEMENT]],4,FALSE),"")</f>
        <v>15J</v>
      </c>
      <c r="N45" s="63">
        <f t="shared" si="0"/>
        <v>44058</v>
      </c>
      <c r="O45" s="141" t="s">
        <v>158</v>
      </c>
      <c r="P45" s="64">
        <v>1280</v>
      </c>
      <c r="Q45" s="60" t="s">
        <v>161</v>
      </c>
      <c r="R45" s="113"/>
      <c r="S45" s="66"/>
      <c r="T45" s="65">
        <f>SUMIFS($P$4:P45,$I$4:I45,I45)</f>
        <v>1280</v>
      </c>
      <c r="U45" s="65" t="e">
        <f>IF(Tableau8[[#This Row],[marché]]="MARCHEINT",VLOOKUP($B45,Tableau16[[Ref]:[AUTRE]],13,FALSE)-Tableau8[[#This Row],[PAYEE]],"")</f>
        <v>#N/A</v>
      </c>
      <c r="V45" s="65" t="str">
        <f>IF(Tableau8[[#This Row],[marché]]="MARCHEEXT",VLOOKUP($B45,Tableau16[[Ref]:[AUTRE]],14,FALSE)-Tableau8[[#This Row],[PAYEE]],"")</f>
        <v/>
      </c>
      <c r="W45" s="65" t="str">
        <f>IF(Tableau8[[#This Row],[marché]]="RG_5%",VLOOKUP($B45,Tableau16[[Ref]:[AUTRE]],15,FALSE)-Tableau8[[#This Row],[PAYEE]],"")</f>
        <v/>
      </c>
      <c r="X45" s="65" t="str">
        <f>IF(Tableau8[[#This Row],[marché]]="BFT_5%",VLOOKUP($B45,Tableau16[[Ref]:[AUTRE]],17,FALSE)-Tableau8[[#This Row],[PAYEE]],"")</f>
        <v/>
      </c>
      <c r="Y45" s="65" t="str">
        <f>IF(Tableau8[[#This Row],[marché]]="AUTRE",VLOOKUP($B45,Tableau16[[Ref]:[AUTRE]],19,FALSE)-Tableau8[[#This Row],[PAYEE]],"")</f>
        <v/>
      </c>
      <c r="Z45" s="65"/>
      <c r="AA45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46" spans="1:27" ht="15.75">
      <c r="A46" s="265"/>
      <c r="B46" s="130" t="str">
        <f>CONCATENATE(Tableau8[[#This Row],[CT
INDIRECT CHANTIER]],Tableau8[[#This Row],[NOM CHANTIER
INDIRECT ST]],Tableau8[[#This Row],[Sous Traitant]],Tableau8[[#This Row],[MO
INDIRECT CT]])</f>
        <v>JONATHANCLAMART - LORENABH2O</v>
      </c>
      <c r="C46" s="231" t="s">
        <v>172</v>
      </c>
      <c r="D46" s="232" t="s">
        <v>79</v>
      </c>
      <c r="E46" s="232" t="s">
        <v>162</v>
      </c>
      <c r="F46" s="233" t="s">
        <v>201</v>
      </c>
      <c r="G46" s="58" t="str">
        <f>IFERROR(IF(B46="","",VLOOKUP(B46,Tableau16[[Ref]:[CP]],6,FALSE)),"")</f>
        <v/>
      </c>
      <c r="H46" s="58" t="str">
        <f>IFERROR(IF(B46="","",VLOOKUP(B46,Tableau16[[Ref]:[CP]],7,FALSE)),"")</f>
        <v/>
      </c>
      <c r="I46" s="127" t="str">
        <f>CONCATENATE(Tableau8[[#This Row],[CT
INDIRECT CHANTIER]],Tableau8[[#This Row],[NOM CHANTIER
INDIRECT ST]],Tableau8[[#This Row],[Sous Traitant]],Tableau8[[#This Row],[MO
INDIRECT CT]],Tableau8[[#This Row],[marché]])</f>
        <v>JONATHANCLAMART - LORENABH2OMARCHEINT</v>
      </c>
      <c r="J46" s="205">
        <f>COUNTIF($I$4:I46,Tableau8[[#This Row],[REF FACT]])</f>
        <v>1</v>
      </c>
      <c r="K46" s="61" t="s">
        <v>80</v>
      </c>
      <c r="L46" s="62">
        <v>44042</v>
      </c>
      <c r="M46" s="58" t="str">
        <f>IF(Tableau8[[#This Row],[Sous Traitant]]&gt;1,VLOOKUP(Tableau8[[#This Row],[Sous Traitant]],Tableau11[[SOUS TRAITANT]:[DELAIS PAIEMENT]],4,FALSE),"")</f>
        <v>15J</v>
      </c>
      <c r="N46" s="63">
        <f t="shared" si="0"/>
        <v>44058</v>
      </c>
      <c r="O46" s="141" t="s">
        <v>158</v>
      </c>
      <c r="P46" s="64">
        <v>594.88</v>
      </c>
      <c r="Q46" s="60" t="s">
        <v>161</v>
      </c>
      <c r="R46" s="113"/>
      <c r="S46" s="66"/>
      <c r="T46" s="65">
        <f>SUMIFS($P$4:P46,$I$4:I46,I46)</f>
        <v>594.88</v>
      </c>
      <c r="U46" s="65" t="e">
        <f>IF(Tableau8[[#This Row],[marché]]="MARCHEINT",VLOOKUP($B46,Tableau16[[Ref]:[AUTRE]],13,FALSE)-Tableau8[[#This Row],[PAYEE]],"")</f>
        <v>#N/A</v>
      </c>
      <c r="V46" s="65" t="str">
        <f>IF(Tableau8[[#This Row],[marché]]="MARCHEEXT",VLOOKUP($B46,Tableau16[[Ref]:[AUTRE]],14,FALSE)-Tableau8[[#This Row],[PAYEE]],"")</f>
        <v/>
      </c>
      <c r="W46" s="65" t="str">
        <f>IF(Tableau8[[#This Row],[marché]]="RG_5%",VLOOKUP($B46,Tableau16[[Ref]:[AUTRE]],15,FALSE)-Tableau8[[#This Row],[PAYEE]],"")</f>
        <v/>
      </c>
      <c r="X46" s="65" t="str">
        <f>IF(Tableau8[[#This Row],[marché]]="BFT_5%",VLOOKUP($B46,Tableau16[[Ref]:[AUTRE]],17,FALSE)-Tableau8[[#This Row],[PAYEE]],"")</f>
        <v/>
      </c>
      <c r="Y46" s="65" t="str">
        <f>IF(Tableau8[[#This Row],[marché]]="AUTRE",VLOOKUP($B46,Tableau16[[Ref]:[AUTRE]],19,FALSE)-Tableau8[[#This Row],[PAYEE]],"")</f>
        <v/>
      </c>
      <c r="Z46" s="65"/>
      <c r="AA46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47" spans="1:27" ht="15.75">
      <c r="A47" s="265"/>
      <c r="B47" s="130" t="str">
        <f>CONCATENATE(Tableau8[[#This Row],[CT
INDIRECT CHANTIER]],Tableau8[[#This Row],[NOM CHANTIER
INDIRECT ST]],Tableau8[[#This Row],[Sous Traitant]],Tableau8[[#This Row],[MO
INDIRECT CT]])</f>
        <v>JONATHANSAINT PIERRE LES NEMOURSBH2O</v>
      </c>
      <c r="C47" s="231" t="s">
        <v>172</v>
      </c>
      <c r="D47" s="232" t="s">
        <v>81</v>
      </c>
      <c r="E47" s="232" t="s">
        <v>162</v>
      </c>
      <c r="F47" s="233" t="s">
        <v>201</v>
      </c>
      <c r="G47" s="58" t="str">
        <f>IFERROR(IF(B47="","",VLOOKUP(B47,Tableau16[[Ref]:[CP]],6,FALSE)),"")</f>
        <v/>
      </c>
      <c r="H47" s="58" t="str">
        <f>IFERROR(IF(B47="","",VLOOKUP(B47,Tableau16[[Ref]:[CP]],7,FALSE)),"")</f>
        <v/>
      </c>
      <c r="I47" s="127" t="str">
        <f>CONCATENATE(Tableau8[[#This Row],[CT
INDIRECT CHANTIER]],Tableau8[[#This Row],[NOM CHANTIER
INDIRECT ST]],Tableau8[[#This Row],[Sous Traitant]],Tableau8[[#This Row],[MO
INDIRECT CT]],Tableau8[[#This Row],[marché]])</f>
        <v>JONATHANSAINT PIERRE LES NEMOURSBH2OMARCHEINT</v>
      </c>
      <c r="J47" s="205">
        <f>COUNTIF($I$4:I47,Tableau8[[#This Row],[REF FACT]])</f>
        <v>1</v>
      </c>
      <c r="K47" s="61">
        <v>28</v>
      </c>
      <c r="L47" s="62">
        <v>44043</v>
      </c>
      <c r="M47" s="58" t="str">
        <f>IF(Tableau8[[#This Row],[Sous Traitant]]&gt;1,VLOOKUP(Tableau8[[#This Row],[Sous Traitant]],Tableau11[[SOUS TRAITANT]:[DELAIS PAIEMENT]],4,FALSE),"")</f>
        <v>15J</v>
      </c>
      <c r="N47" s="63">
        <f t="shared" si="0"/>
        <v>44058</v>
      </c>
      <c r="O47" s="141" t="s">
        <v>158</v>
      </c>
      <c r="P47" s="64">
        <v>4998.7299999999996</v>
      </c>
      <c r="Q47" s="60" t="s">
        <v>161</v>
      </c>
      <c r="R47" s="113"/>
      <c r="S47" s="66"/>
      <c r="T47" s="65">
        <f>SUMIFS($P$4:P47,$I$4:I47,I47)</f>
        <v>4998.7299999999996</v>
      </c>
      <c r="U47" s="65" t="e">
        <f>IF(Tableau8[[#This Row],[marché]]="MARCHEINT",VLOOKUP($B47,Tableau16[[Ref]:[AUTRE]],13,FALSE)-Tableau8[[#This Row],[PAYEE]],"")</f>
        <v>#N/A</v>
      </c>
      <c r="V47" s="65" t="str">
        <f>IF(Tableau8[[#This Row],[marché]]="MARCHEEXT",VLOOKUP($B47,Tableau16[[Ref]:[AUTRE]],14,FALSE)-Tableau8[[#This Row],[PAYEE]],"")</f>
        <v/>
      </c>
      <c r="W47" s="65" t="str">
        <f>IF(Tableau8[[#This Row],[marché]]="RG_5%",VLOOKUP($B47,Tableau16[[Ref]:[AUTRE]],15,FALSE)-Tableau8[[#This Row],[PAYEE]],"")</f>
        <v/>
      </c>
      <c r="X47" s="65" t="str">
        <f>IF(Tableau8[[#This Row],[marché]]="BFT_5%",VLOOKUP($B47,Tableau16[[Ref]:[AUTRE]],17,FALSE)-Tableau8[[#This Row],[PAYEE]],"")</f>
        <v/>
      </c>
      <c r="Y47" s="65" t="str">
        <f>IF(Tableau8[[#This Row],[marché]]="AUTRE",VLOOKUP($B47,Tableau16[[Ref]:[AUTRE]],19,FALSE)-Tableau8[[#This Row],[PAYEE]],"")</f>
        <v/>
      </c>
      <c r="Z47" s="65"/>
      <c r="AA47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48" spans="1:27" ht="15.75">
      <c r="A48" s="265"/>
      <c r="B48" s="130" t="str">
        <f>CONCATENATE(Tableau8[[#This Row],[CT
INDIRECT CHANTIER]],Tableau8[[#This Row],[NOM CHANTIER
INDIRECT ST]],Tableau8[[#This Row],[Sous Traitant]],Tableau8[[#This Row],[MO
INDIRECT CT]])</f>
        <v>JONATHANNANDYBOPALE</v>
      </c>
      <c r="C48" s="231" t="s">
        <v>172</v>
      </c>
      <c r="D48" s="232" t="s">
        <v>82</v>
      </c>
      <c r="E48" s="232" t="s">
        <v>162</v>
      </c>
      <c r="F48" s="233" t="s">
        <v>202</v>
      </c>
      <c r="G48" s="58" t="str">
        <f>IFERROR(IF(B48="","",VLOOKUP(B48,Tableau16[[Ref]:[CP]],6,FALSE)),"")</f>
        <v/>
      </c>
      <c r="H48" s="58" t="str">
        <f>IFERROR(IF(B48="","",VLOOKUP(B48,Tableau16[[Ref]:[CP]],7,FALSE)),"")</f>
        <v/>
      </c>
      <c r="I48" s="128" t="str">
        <f>CONCATENATE(Tableau8[[#This Row],[CT
INDIRECT CHANTIER]],Tableau8[[#This Row],[NOM CHANTIER
INDIRECT ST]],Tableau8[[#This Row],[Sous Traitant]],Tableau8[[#This Row],[MO
INDIRECT CT]],Tableau8[[#This Row],[marché]])</f>
        <v>JONATHANNANDYBOPALEMARCHEINT</v>
      </c>
      <c r="J48" s="205">
        <f>COUNTIF($I$4:I48,Tableau8[[#This Row],[REF FACT]])</f>
        <v>1</v>
      </c>
      <c r="K48" s="61" t="s">
        <v>83</v>
      </c>
      <c r="L48" s="62">
        <v>44026</v>
      </c>
      <c r="M48" s="58" t="str">
        <f>IF(Tableau8[[#This Row],[Sous Traitant]]&gt;1,VLOOKUP(Tableau8[[#This Row],[Sous Traitant]],Tableau11[[SOUS TRAITANT]:[DELAIS PAIEMENT]],4,FALSE),"")</f>
        <v>15J</v>
      </c>
      <c r="N48" s="63">
        <f t="shared" si="0"/>
        <v>44058</v>
      </c>
      <c r="O48" s="141" t="s">
        <v>158</v>
      </c>
      <c r="P48" s="54">
        <v>1500</v>
      </c>
      <c r="Q48" s="60" t="s">
        <v>161</v>
      </c>
      <c r="R48" s="114"/>
      <c r="S48" s="68"/>
      <c r="T48" s="65">
        <f>SUMIFS($P$4:P48,$I$4:I48,I48)</f>
        <v>1500</v>
      </c>
      <c r="U48" s="65" t="e">
        <f>IF(Tableau8[[#This Row],[marché]]="MARCHEINT",VLOOKUP($B48,Tableau16[[Ref]:[AUTRE]],13,FALSE)-Tableau8[[#This Row],[PAYEE]],"")</f>
        <v>#N/A</v>
      </c>
      <c r="V48" s="65" t="str">
        <f>IF(Tableau8[[#This Row],[marché]]="MARCHEEXT",VLOOKUP($B48,Tableau16[[Ref]:[AUTRE]],14,FALSE)-Tableau8[[#This Row],[PAYEE]],"")</f>
        <v/>
      </c>
      <c r="W48" s="65" t="str">
        <f>IF(Tableau8[[#This Row],[marché]]="RG_5%",VLOOKUP($B48,Tableau16[[Ref]:[AUTRE]],15,FALSE)-Tableau8[[#This Row],[PAYEE]],"")</f>
        <v/>
      </c>
      <c r="X48" s="65" t="str">
        <f>IF(Tableau8[[#This Row],[marché]]="BFT_5%",VLOOKUP($B48,Tableau16[[Ref]:[AUTRE]],17,FALSE)-Tableau8[[#This Row],[PAYEE]],"")</f>
        <v/>
      </c>
      <c r="Y48" s="65" t="str">
        <f>IF(Tableau8[[#This Row],[marché]]="AUTRE",VLOOKUP($B48,Tableau16[[Ref]:[AUTRE]],19,FALSE)-Tableau8[[#This Row],[PAYEE]],"")</f>
        <v/>
      </c>
      <c r="Z48" s="65"/>
      <c r="AA48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49" spans="1:27" ht="15.75">
      <c r="A49" s="265"/>
      <c r="B49" s="130" t="str">
        <f>CONCATENATE(Tableau8[[#This Row],[CT
INDIRECT CHANTIER]],Tableau8[[#This Row],[NOM CHANTIER
INDIRECT ST]],Tableau8[[#This Row],[Sous Traitant]],Tableau8[[#This Row],[MO
INDIRECT CT]])</f>
        <v>JONATHANNANDYBOPALE</v>
      </c>
      <c r="C49" s="231" t="s">
        <v>172</v>
      </c>
      <c r="D49" s="232" t="s">
        <v>82</v>
      </c>
      <c r="E49" s="232" t="s">
        <v>162</v>
      </c>
      <c r="F49" s="233" t="s">
        <v>202</v>
      </c>
      <c r="G49" s="58" t="str">
        <f>IFERROR(IF(B49="","",VLOOKUP(B49,Tableau16[[Ref]:[CP]],6,FALSE)),"")</f>
        <v/>
      </c>
      <c r="H49" s="58" t="str">
        <f>IFERROR(IF(B49="","",VLOOKUP(B49,Tableau16[[Ref]:[CP]],7,FALSE)),"")</f>
        <v/>
      </c>
      <c r="I49" s="128" t="str">
        <f>CONCATENATE(Tableau8[[#This Row],[CT
INDIRECT CHANTIER]],Tableau8[[#This Row],[NOM CHANTIER
INDIRECT ST]],Tableau8[[#This Row],[Sous Traitant]],Tableau8[[#This Row],[MO
INDIRECT CT]],Tableau8[[#This Row],[marché]])</f>
        <v>JONATHANNANDYBOPALEMARCHEINT</v>
      </c>
      <c r="J49" s="205">
        <f>COUNTIF($I$4:I49,Tableau8[[#This Row],[REF FACT]])</f>
        <v>2</v>
      </c>
      <c r="K49" s="61" t="s">
        <v>84</v>
      </c>
      <c r="L49" s="62">
        <v>44026</v>
      </c>
      <c r="M49" s="58" t="str">
        <f>IF(Tableau8[[#This Row],[Sous Traitant]]&gt;1,VLOOKUP(Tableau8[[#This Row],[Sous Traitant]],Tableau11[[SOUS TRAITANT]:[DELAIS PAIEMENT]],4,FALSE),"")</f>
        <v>15J</v>
      </c>
      <c r="N49" s="63">
        <f t="shared" si="0"/>
        <v>44058</v>
      </c>
      <c r="O49" s="141" t="s">
        <v>158</v>
      </c>
      <c r="P49" s="54">
        <v>825</v>
      </c>
      <c r="Q49" s="60" t="s">
        <v>161</v>
      </c>
      <c r="R49" s="114"/>
      <c r="S49" s="68"/>
      <c r="T49" s="65">
        <f>SUMIFS($P$4:P49,$I$4:I49,I49)</f>
        <v>2325</v>
      </c>
      <c r="U49" s="65" t="e">
        <f>IF(Tableau8[[#This Row],[marché]]="MARCHEINT",VLOOKUP($B49,Tableau16[[Ref]:[AUTRE]],13,FALSE)-Tableau8[[#This Row],[PAYEE]],"")</f>
        <v>#N/A</v>
      </c>
      <c r="V49" s="65" t="str">
        <f>IF(Tableau8[[#This Row],[marché]]="MARCHEEXT",VLOOKUP($B49,Tableau16[[Ref]:[AUTRE]],14,FALSE)-Tableau8[[#This Row],[PAYEE]],"")</f>
        <v/>
      </c>
      <c r="W49" s="65" t="str">
        <f>IF(Tableau8[[#This Row],[marché]]="RG_5%",VLOOKUP($B49,Tableau16[[Ref]:[AUTRE]],15,FALSE)-Tableau8[[#This Row],[PAYEE]],"")</f>
        <v/>
      </c>
      <c r="X49" s="65" t="str">
        <f>IF(Tableau8[[#This Row],[marché]]="BFT_5%",VLOOKUP($B49,Tableau16[[Ref]:[AUTRE]],17,FALSE)-Tableau8[[#This Row],[PAYEE]],"")</f>
        <v/>
      </c>
      <c r="Y49" s="65" t="str">
        <f>IF(Tableau8[[#This Row],[marché]]="AUTRE",VLOOKUP($B49,Tableau16[[Ref]:[AUTRE]],19,FALSE)-Tableau8[[#This Row],[PAYEE]],"")</f>
        <v/>
      </c>
      <c r="Z49" s="65"/>
      <c r="AA49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50" spans="1:27" ht="15.75">
      <c r="A50" s="265"/>
      <c r="B50" s="130" t="str">
        <f>CONCATENATE(Tableau8[[#This Row],[CT
INDIRECT CHANTIER]],Tableau8[[#This Row],[NOM CHANTIER
INDIRECT ST]],Tableau8[[#This Row],[Sous Traitant]],Tableau8[[#This Row],[MO
INDIRECT CT]])</f>
        <v>JONATHANBRETIGNU SUR ORGEBOPALE</v>
      </c>
      <c r="C50" s="231" t="s">
        <v>172</v>
      </c>
      <c r="D50" s="232" t="s">
        <v>85</v>
      </c>
      <c r="E50" s="232" t="s">
        <v>162</v>
      </c>
      <c r="F50" s="233" t="s">
        <v>202</v>
      </c>
      <c r="G50" s="58" t="str">
        <f>IFERROR(IF(B50="","",VLOOKUP(B50,Tableau16[[Ref]:[CP]],6,FALSE)),"")</f>
        <v/>
      </c>
      <c r="H50" s="58" t="str">
        <f>IFERROR(IF(B50="","",VLOOKUP(B50,Tableau16[[Ref]:[CP]],7,FALSE)),"")</f>
        <v/>
      </c>
      <c r="I50" s="124" t="str">
        <f>CONCATENATE(Tableau8[[#This Row],[CT
INDIRECT CHANTIER]],Tableau8[[#This Row],[NOM CHANTIER
INDIRECT ST]],Tableau8[[#This Row],[Sous Traitant]],Tableau8[[#This Row],[MO
INDIRECT CT]],Tableau8[[#This Row],[marché]])</f>
        <v>JONATHANBRETIGNU SUR ORGEBOPALEMARCHEINT</v>
      </c>
      <c r="J50" s="205">
        <f>COUNTIF($I$4:I50,Tableau8[[#This Row],[REF FACT]])</f>
        <v>1</v>
      </c>
      <c r="K50" s="61" t="s">
        <v>86</v>
      </c>
      <c r="L50" s="62">
        <v>44034</v>
      </c>
      <c r="M50" s="58" t="str">
        <f>IF(Tableau8[[#This Row],[Sous Traitant]]&gt;1,VLOOKUP(Tableau8[[#This Row],[Sous Traitant]],Tableau11[[SOUS TRAITANT]:[DELAIS PAIEMENT]],4,FALSE),"")</f>
        <v>15J</v>
      </c>
      <c r="N50" s="63">
        <f t="shared" si="0"/>
        <v>44058</v>
      </c>
      <c r="O50" s="141" t="s">
        <v>158</v>
      </c>
      <c r="P50" s="54">
        <v>1400</v>
      </c>
      <c r="Q50" s="60" t="s">
        <v>161</v>
      </c>
      <c r="R50" s="114"/>
      <c r="S50" s="70"/>
      <c r="T50" s="65">
        <f>SUMIFS($P$4:P50,$I$4:I50,I50)</f>
        <v>1400</v>
      </c>
      <c r="U50" s="65" t="e">
        <f>IF(Tableau8[[#This Row],[marché]]="MARCHEINT",VLOOKUP($B50,Tableau16[[Ref]:[AUTRE]],13,FALSE)-Tableau8[[#This Row],[PAYEE]],"")</f>
        <v>#N/A</v>
      </c>
      <c r="V50" s="65" t="str">
        <f>IF(Tableau8[[#This Row],[marché]]="MARCHEEXT",VLOOKUP($B50,Tableau16[[Ref]:[AUTRE]],14,FALSE)-Tableau8[[#This Row],[PAYEE]],"")</f>
        <v/>
      </c>
      <c r="W50" s="65" t="str">
        <f>IF(Tableau8[[#This Row],[marché]]="RG_5%",VLOOKUP($B50,Tableau16[[Ref]:[AUTRE]],15,FALSE)-Tableau8[[#This Row],[PAYEE]],"")</f>
        <v/>
      </c>
      <c r="X50" s="65" t="str">
        <f>IF(Tableau8[[#This Row],[marché]]="BFT_5%",VLOOKUP($B50,Tableau16[[Ref]:[AUTRE]],17,FALSE)-Tableau8[[#This Row],[PAYEE]],"")</f>
        <v/>
      </c>
      <c r="Y50" s="65" t="str">
        <f>IF(Tableau8[[#This Row],[marché]]="AUTRE",VLOOKUP($B50,Tableau16[[Ref]:[AUTRE]],19,FALSE)-Tableau8[[#This Row],[PAYEE]],"")</f>
        <v/>
      </c>
      <c r="Z50" s="65"/>
      <c r="AA50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51" spans="1:27" ht="15.75">
      <c r="A51" s="265"/>
      <c r="B51" s="130" t="str">
        <f>CONCATENATE(Tableau8[[#This Row],[CT
INDIRECT CHANTIER]],Tableau8[[#This Row],[NOM CHANTIER
INDIRECT ST]],Tableau8[[#This Row],[Sous Traitant]],Tableau8[[#This Row],[MO
INDIRECT CT]])</f>
        <v>JONATHANBRETIGNU SUR ORGEBOPALE</v>
      </c>
      <c r="C51" s="231" t="s">
        <v>172</v>
      </c>
      <c r="D51" s="232" t="s">
        <v>85</v>
      </c>
      <c r="E51" s="232" t="s">
        <v>162</v>
      </c>
      <c r="F51" s="233" t="s">
        <v>202</v>
      </c>
      <c r="G51" s="58" t="str">
        <f>IFERROR(IF(B51="","",VLOOKUP(B51,Tableau16[[Ref]:[CP]],6,FALSE)),"")</f>
        <v/>
      </c>
      <c r="H51" s="58" t="str">
        <f>IFERROR(IF(B51="","",VLOOKUP(B51,Tableau16[[Ref]:[CP]],7,FALSE)),"")</f>
        <v/>
      </c>
      <c r="I51" s="124" t="str">
        <f>CONCATENATE(Tableau8[[#This Row],[CT
INDIRECT CHANTIER]],Tableau8[[#This Row],[NOM CHANTIER
INDIRECT ST]],Tableau8[[#This Row],[Sous Traitant]],Tableau8[[#This Row],[MO
INDIRECT CT]],Tableau8[[#This Row],[marché]])</f>
        <v>JONATHANBRETIGNU SUR ORGEBOPALEMARCHEINT</v>
      </c>
      <c r="J51" s="205">
        <f>COUNTIF($I$4:I51,Tableau8[[#This Row],[REF FACT]])</f>
        <v>2</v>
      </c>
      <c r="K51" s="61" t="s">
        <v>87</v>
      </c>
      <c r="L51" s="62">
        <v>44039</v>
      </c>
      <c r="M51" s="58" t="str">
        <f>IF(Tableau8[[#This Row],[Sous Traitant]]&gt;1,VLOOKUP(Tableau8[[#This Row],[Sous Traitant]],Tableau11[[SOUS TRAITANT]:[DELAIS PAIEMENT]],4,FALSE),"")</f>
        <v>15J</v>
      </c>
      <c r="N51" s="63">
        <f t="shared" si="0"/>
        <v>44058</v>
      </c>
      <c r="O51" s="141" t="s">
        <v>158</v>
      </c>
      <c r="P51" s="54">
        <v>980.5</v>
      </c>
      <c r="Q51" s="60" t="s">
        <v>161</v>
      </c>
      <c r="R51" s="114"/>
      <c r="S51" s="70"/>
      <c r="T51" s="65">
        <f>SUMIFS($P$4:P51,$I$4:I51,I51)</f>
        <v>2380.5</v>
      </c>
      <c r="U51" s="65" t="e">
        <f>IF(Tableau8[[#This Row],[marché]]="MARCHEINT",VLOOKUP($B51,Tableau16[[Ref]:[AUTRE]],13,FALSE)-Tableau8[[#This Row],[PAYEE]],"")</f>
        <v>#N/A</v>
      </c>
      <c r="V51" s="65" t="str">
        <f>IF(Tableau8[[#This Row],[marché]]="MARCHEEXT",VLOOKUP($B51,Tableau16[[Ref]:[AUTRE]],14,FALSE)-Tableau8[[#This Row],[PAYEE]],"")</f>
        <v/>
      </c>
      <c r="W51" s="65" t="str">
        <f>IF(Tableau8[[#This Row],[marché]]="RG_5%",VLOOKUP($B51,Tableau16[[Ref]:[AUTRE]],15,FALSE)-Tableau8[[#This Row],[PAYEE]],"")</f>
        <v/>
      </c>
      <c r="X51" s="65" t="str">
        <f>IF(Tableau8[[#This Row],[marché]]="BFT_5%",VLOOKUP($B51,Tableau16[[Ref]:[AUTRE]],17,FALSE)-Tableau8[[#This Row],[PAYEE]],"")</f>
        <v/>
      </c>
      <c r="Y51" s="65" t="str">
        <f>IF(Tableau8[[#This Row],[marché]]="AUTRE",VLOOKUP($B51,Tableau16[[Ref]:[AUTRE]],19,FALSE)-Tableau8[[#This Row],[PAYEE]],"")</f>
        <v/>
      </c>
      <c r="Z51" s="65"/>
      <c r="AA51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52" spans="1:27" ht="15.75">
      <c r="A52" s="265"/>
      <c r="B52" s="130" t="str">
        <f>CONCATENATE(Tableau8[[#This Row],[CT
INDIRECT CHANTIER]],Tableau8[[#This Row],[NOM CHANTIER
INDIRECT ST]],Tableau8[[#This Row],[Sous Traitant]],Tableau8[[#This Row],[MO
INDIRECT CT]])</f>
        <v>JONATHANSAINT FARGEAUAOPALE</v>
      </c>
      <c r="C52" s="231" t="s">
        <v>171</v>
      </c>
      <c r="D52" s="232" t="s">
        <v>88</v>
      </c>
      <c r="E52" s="232" t="s">
        <v>162</v>
      </c>
      <c r="F52" s="233" t="s">
        <v>202</v>
      </c>
      <c r="G52" s="58" t="str">
        <f>IFERROR(IF(B52="","",VLOOKUP(B52,Tableau16[[Ref]:[CP]],6,FALSE)),"")</f>
        <v/>
      </c>
      <c r="H52" s="58" t="str">
        <f>IFERROR(IF(B52="","",VLOOKUP(B52,Tableau16[[Ref]:[CP]],7,FALSE)),"")</f>
        <v/>
      </c>
      <c r="I52" s="124" t="str">
        <f>CONCATENATE(Tableau8[[#This Row],[CT
INDIRECT CHANTIER]],Tableau8[[#This Row],[NOM CHANTIER
INDIRECT ST]],Tableau8[[#This Row],[Sous Traitant]],Tableau8[[#This Row],[MO
INDIRECT CT]],Tableau8[[#This Row],[marché]])</f>
        <v>JONATHANSAINT FARGEAUAOPALEMARCHEINT</v>
      </c>
      <c r="J52" s="205">
        <f>COUNTIF($I$4:I52,Tableau8[[#This Row],[REF FACT]])</f>
        <v>1</v>
      </c>
      <c r="K52" s="61" t="s">
        <v>89</v>
      </c>
      <c r="L52" s="62">
        <v>44039</v>
      </c>
      <c r="M52" s="58" t="str">
        <f>IF(Tableau8[[#This Row],[Sous Traitant]]&gt;1,VLOOKUP(Tableau8[[#This Row],[Sous Traitant]],Tableau11[[SOUS TRAITANT]:[DELAIS PAIEMENT]],4,FALSE),"")</f>
        <v>45J</v>
      </c>
      <c r="N52" s="63">
        <f t="shared" si="0"/>
        <v>44089</v>
      </c>
      <c r="O52" s="141" t="s">
        <v>158</v>
      </c>
      <c r="P52" s="54">
        <v>300</v>
      </c>
      <c r="Q52" s="60" t="s">
        <v>161</v>
      </c>
      <c r="R52" s="114"/>
      <c r="S52" s="70"/>
      <c r="T52" s="65">
        <f>SUMIFS($P$4:P52,$I$4:I52,I52)</f>
        <v>300</v>
      </c>
      <c r="U52" s="65" t="e">
        <f>IF(Tableau8[[#This Row],[marché]]="MARCHEINT",VLOOKUP($B52,Tableau16[[Ref]:[AUTRE]],13,FALSE)-Tableau8[[#This Row],[PAYEE]],"")</f>
        <v>#N/A</v>
      </c>
      <c r="V52" s="65" t="str">
        <f>IF(Tableau8[[#This Row],[marché]]="MARCHEEXT",VLOOKUP($B52,Tableau16[[Ref]:[AUTRE]],14,FALSE)-Tableau8[[#This Row],[PAYEE]],"")</f>
        <v/>
      </c>
      <c r="W52" s="65" t="str">
        <f>IF(Tableau8[[#This Row],[marché]]="RG_5%",VLOOKUP($B52,Tableau16[[Ref]:[AUTRE]],15,FALSE)-Tableau8[[#This Row],[PAYEE]],"")</f>
        <v/>
      </c>
      <c r="X52" s="65" t="str">
        <f>IF(Tableau8[[#This Row],[marché]]="BFT_5%",VLOOKUP($B52,Tableau16[[Ref]:[AUTRE]],17,FALSE)-Tableau8[[#This Row],[PAYEE]],"")</f>
        <v/>
      </c>
      <c r="Y52" s="65" t="str">
        <f>IF(Tableau8[[#This Row],[marché]]="AUTRE",VLOOKUP($B52,Tableau16[[Ref]:[AUTRE]],19,FALSE)-Tableau8[[#This Row],[PAYEE]],"")</f>
        <v/>
      </c>
      <c r="Z52" s="65"/>
      <c r="AA52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53" spans="1:27" ht="15.75">
      <c r="A53" s="265"/>
      <c r="B53" s="130" t="str">
        <f>CONCATENATE(Tableau8[[#This Row],[CT
INDIRECT CHANTIER]],Tableau8[[#This Row],[NOM CHANTIER
INDIRECT ST]],Tableau8[[#This Row],[Sous Traitant]],Tableau8[[#This Row],[MO
INDIRECT CT]])</f>
        <v>JONATHANSERVONAOPALE</v>
      </c>
      <c r="C53" s="231" t="s">
        <v>171</v>
      </c>
      <c r="D53" s="232" t="s">
        <v>90</v>
      </c>
      <c r="E53" s="232" t="s">
        <v>162</v>
      </c>
      <c r="F53" s="233" t="s">
        <v>202</v>
      </c>
      <c r="G53" s="58" t="str">
        <f>IFERROR(IF(B53="","",VLOOKUP(B53,Tableau16[[Ref]:[CP]],6,FALSE)),"")</f>
        <v/>
      </c>
      <c r="H53" s="58" t="str">
        <f>IFERROR(IF(B53="","",VLOOKUP(B53,Tableau16[[Ref]:[CP]],7,FALSE)),"")</f>
        <v/>
      </c>
      <c r="I53" s="124" t="str">
        <f>CONCATENATE(Tableau8[[#This Row],[CT
INDIRECT CHANTIER]],Tableau8[[#This Row],[NOM CHANTIER
INDIRECT ST]],Tableau8[[#This Row],[Sous Traitant]],Tableau8[[#This Row],[MO
INDIRECT CT]],Tableau8[[#This Row],[marché]])</f>
        <v>JONATHANSERVONAOPALEMARCHEINT</v>
      </c>
      <c r="J53" s="205">
        <f>COUNTIF($I$4:I53,Tableau8[[#This Row],[REF FACT]])</f>
        <v>1</v>
      </c>
      <c r="K53" s="61" t="s">
        <v>91</v>
      </c>
      <c r="L53" s="62">
        <v>44043</v>
      </c>
      <c r="M53" s="58" t="str">
        <f>IF(Tableau8[[#This Row],[Sous Traitant]]&gt;1,VLOOKUP(Tableau8[[#This Row],[Sous Traitant]],Tableau11[[SOUS TRAITANT]:[DELAIS PAIEMENT]],4,FALSE),"")</f>
        <v>45J</v>
      </c>
      <c r="N53" s="63">
        <f t="shared" si="0"/>
        <v>44089</v>
      </c>
      <c r="O53" s="141" t="s">
        <v>158</v>
      </c>
      <c r="P53" s="54">
        <v>1287</v>
      </c>
      <c r="Q53" s="60" t="s">
        <v>161</v>
      </c>
      <c r="R53" s="114"/>
      <c r="S53" s="68"/>
      <c r="T53" s="65">
        <f>SUMIFS($P$4:P53,$I$4:I53,I53)</f>
        <v>1287</v>
      </c>
      <c r="U53" s="65" t="e">
        <f>IF(Tableau8[[#This Row],[marché]]="MARCHEINT",VLOOKUP($B53,Tableau16[[Ref]:[AUTRE]],13,FALSE)-Tableau8[[#This Row],[PAYEE]],"")</f>
        <v>#N/A</v>
      </c>
      <c r="V53" s="65" t="str">
        <f>IF(Tableau8[[#This Row],[marché]]="MARCHEEXT",VLOOKUP($B53,Tableau16[[Ref]:[AUTRE]],14,FALSE)-Tableau8[[#This Row],[PAYEE]],"")</f>
        <v/>
      </c>
      <c r="W53" s="65" t="str">
        <f>IF(Tableau8[[#This Row],[marché]]="RG_5%",VLOOKUP($B53,Tableau16[[Ref]:[AUTRE]],15,FALSE)-Tableau8[[#This Row],[PAYEE]],"")</f>
        <v/>
      </c>
      <c r="X53" s="65" t="str">
        <f>IF(Tableau8[[#This Row],[marché]]="BFT_5%",VLOOKUP($B53,Tableau16[[Ref]:[AUTRE]],17,FALSE)-Tableau8[[#This Row],[PAYEE]],"")</f>
        <v/>
      </c>
      <c r="Y53" s="65" t="str">
        <f>IF(Tableau8[[#This Row],[marché]]="AUTRE",VLOOKUP($B53,Tableau16[[Ref]:[AUTRE]],19,FALSE)-Tableau8[[#This Row],[PAYEE]],"")</f>
        <v/>
      </c>
      <c r="Z53" s="65"/>
      <c r="AA53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54" spans="1:27" ht="15.75">
      <c r="A54" s="265"/>
      <c r="B54" s="130" t="str">
        <f>CONCATENATE(Tableau8[[#This Row],[CT
INDIRECT CHANTIER]],Tableau8[[#This Row],[NOM CHANTIER
INDIRECT ST]],Tableau8[[#This Row],[Sous Traitant]],Tableau8[[#This Row],[MO
INDIRECT CT]])</f>
        <v>JONATHANROISSY EN BRIEAOPALE</v>
      </c>
      <c r="C54" s="231" t="s">
        <v>171</v>
      </c>
      <c r="D54" s="232" t="s">
        <v>92</v>
      </c>
      <c r="E54" s="232" t="s">
        <v>162</v>
      </c>
      <c r="F54" s="233" t="s">
        <v>202</v>
      </c>
      <c r="G54" s="58" t="str">
        <f>IFERROR(IF(B54="","",VLOOKUP(B54,Tableau16[[Ref]:[CP]],6,FALSE)),"")</f>
        <v/>
      </c>
      <c r="H54" s="58" t="str">
        <f>IFERROR(IF(B54="","",VLOOKUP(B54,Tableau16[[Ref]:[CP]],7,FALSE)),"")</f>
        <v/>
      </c>
      <c r="I54" s="128" t="str">
        <f>CONCATENATE(Tableau8[[#This Row],[CT
INDIRECT CHANTIER]],Tableau8[[#This Row],[NOM CHANTIER
INDIRECT ST]],Tableau8[[#This Row],[Sous Traitant]],Tableau8[[#This Row],[MO
INDIRECT CT]],Tableau8[[#This Row],[marché]])</f>
        <v>JONATHANROISSY EN BRIEAOPALEMARCHEINT</v>
      </c>
      <c r="J54" s="205">
        <f>COUNTIF($I$4:I54,Tableau8[[#This Row],[REF FACT]])</f>
        <v>1</v>
      </c>
      <c r="K54" s="61" t="s">
        <v>93</v>
      </c>
      <c r="L54" s="62">
        <v>44042</v>
      </c>
      <c r="M54" s="58" t="str">
        <f>IF(Tableau8[[#This Row],[Sous Traitant]]&gt;1,VLOOKUP(Tableau8[[#This Row],[Sous Traitant]],Tableau11[[SOUS TRAITANT]:[DELAIS PAIEMENT]],4,FALSE),"")</f>
        <v>45J</v>
      </c>
      <c r="N54" s="63">
        <f t="shared" si="0"/>
        <v>44089</v>
      </c>
      <c r="O54" s="141" t="s">
        <v>158</v>
      </c>
      <c r="P54" s="54">
        <v>12062.44</v>
      </c>
      <c r="Q54" s="60" t="s">
        <v>161</v>
      </c>
      <c r="R54" s="114"/>
      <c r="S54" s="68"/>
      <c r="T54" s="65">
        <f>SUMIFS($P$4:P54,$I$4:I54,I54)</f>
        <v>12062.44</v>
      </c>
      <c r="U54" s="65" t="e">
        <f>IF(Tableau8[[#This Row],[marché]]="MARCHEINT",VLOOKUP($B54,Tableau16[[Ref]:[AUTRE]],13,FALSE)-Tableau8[[#This Row],[PAYEE]],"")</f>
        <v>#N/A</v>
      </c>
      <c r="V54" s="65" t="str">
        <f>IF(Tableau8[[#This Row],[marché]]="MARCHEEXT",VLOOKUP($B54,Tableau16[[Ref]:[AUTRE]],14,FALSE)-Tableau8[[#This Row],[PAYEE]],"")</f>
        <v/>
      </c>
      <c r="W54" s="65" t="str">
        <f>IF(Tableau8[[#This Row],[marché]]="RG_5%",VLOOKUP($B54,Tableau16[[Ref]:[AUTRE]],15,FALSE)-Tableau8[[#This Row],[PAYEE]],"")</f>
        <v/>
      </c>
      <c r="X54" s="65" t="str">
        <f>IF(Tableau8[[#This Row],[marché]]="BFT_5%",VLOOKUP($B54,Tableau16[[Ref]:[AUTRE]],17,FALSE)-Tableau8[[#This Row],[PAYEE]],"")</f>
        <v/>
      </c>
      <c r="Y54" s="65" t="str">
        <f>IF(Tableau8[[#This Row],[marché]]="AUTRE",VLOOKUP($B54,Tableau16[[Ref]:[AUTRE]],19,FALSE)-Tableau8[[#This Row],[PAYEE]],"")</f>
        <v/>
      </c>
      <c r="Z54" s="65"/>
      <c r="AA54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55" spans="1:27" ht="15.75">
      <c r="A55" s="265"/>
      <c r="B55" s="130" t="str">
        <f>CONCATENATE(Tableau8[[#This Row],[CT
INDIRECT CHANTIER]],Tableau8[[#This Row],[NOM CHANTIER
INDIRECT ST]],Tableau8[[#This Row],[Sous Traitant]],Tableau8[[#This Row],[MO
INDIRECT CT]])</f>
        <v>JONATHANATHIS MONS F1AOPALE</v>
      </c>
      <c r="C55" s="231" t="s">
        <v>171</v>
      </c>
      <c r="D55" s="232" t="s">
        <v>94</v>
      </c>
      <c r="E55" s="232" t="s">
        <v>162</v>
      </c>
      <c r="F55" s="233" t="s">
        <v>202</v>
      </c>
      <c r="G55" s="58" t="str">
        <f>IFERROR(IF(B55="","",VLOOKUP(B55,Tableau16[[Ref]:[CP]],6,FALSE)),"")</f>
        <v/>
      </c>
      <c r="H55" s="58" t="str">
        <f>IFERROR(IF(B55="","",VLOOKUP(B55,Tableau16[[Ref]:[CP]],7,FALSE)),"")</f>
        <v/>
      </c>
      <c r="I55" s="127" t="str">
        <f>CONCATENATE(Tableau8[[#This Row],[CT
INDIRECT CHANTIER]],Tableau8[[#This Row],[NOM CHANTIER
INDIRECT ST]],Tableau8[[#This Row],[Sous Traitant]],Tableau8[[#This Row],[MO
INDIRECT CT]],Tableau8[[#This Row],[marché]])</f>
        <v>JONATHANATHIS MONS F1AOPALEMARCHEINT</v>
      </c>
      <c r="J55" s="205">
        <f>COUNTIF($I$4:I55,Tableau8[[#This Row],[REF FACT]])</f>
        <v>1</v>
      </c>
      <c r="K55" s="61" t="s">
        <v>95</v>
      </c>
      <c r="L55" s="62">
        <v>44041</v>
      </c>
      <c r="M55" s="58" t="str">
        <f>IF(Tableau8[[#This Row],[Sous Traitant]]&gt;1,VLOOKUP(Tableau8[[#This Row],[Sous Traitant]],Tableau11[[SOUS TRAITANT]:[DELAIS PAIEMENT]],4,FALSE),"")</f>
        <v>45J</v>
      </c>
      <c r="N55" s="63">
        <f t="shared" si="0"/>
        <v>44089</v>
      </c>
      <c r="O55" s="141" t="s">
        <v>158</v>
      </c>
      <c r="P55" s="64">
        <v>3850.2</v>
      </c>
      <c r="Q55" s="60" t="s">
        <v>161</v>
      </c>
      <c r="R55" s="113"/>
      <c r="S55" s="66" t="s">
        <v>96</v>
      </c>
      <c r="T55" s="65">
        <f>SUMIFS($P$4:P55,$I$4:I55,I55)</f>
        <v>3850.2</v>
      </c>
      <c r="U55" s="65" t="e">
        <f>IF(Tableau8[[#This Row],[marché]]="MARCHEINT",VLOOKUP($B55,Tableau16[[Ref]:[AUTRE]],13,FALSE)-Tableau8[[#This Row],[PAYEE]],"")</f>
        <v>#N/A</v>
      </c>
      <c r="V55" s="65" t="str">
        <f>IF(Tableau8[[#This Row],[marché]]="MARCHEEXT",VLOOKUP($B55,Tableau16[[Ref]:[AUTRE]],14,FALSE)-Tableau8[[#This Row],[PAYEE]],"")</f>
        <v/>
      </c>
      <c r="W55" s="65" t="str">
        <f>IF(Tableau8[[#This Row],[marché]]="RG_5%",VLOOKUP($B55,Tableau16[[Ref]:[AUTRE]],15,FALSE)-Tableau8[[#This Row],[PAYEE]],"")</f>
        <v/>
      </c>
      <c r="X55" s="65" t="str">
        <f>IF(Tableau8[[#This Row],[marché]]="BFT_5%",VLOOKUP($B55,Tableau16[[Ref]:[AUTRE]],17,FALSE)-Tableau8[[#This Row],[PAYEE]],"")</f>
        <v/>
      </c>
      <c r="Y55" s="65" t="str">
        <f>IF(Tableau8[[#This Row],[marché]]="AUTRE",VLOOKUP($B55,Tableau16[[Ref]:[AUTRE]],19,FALSE)-Tableau8[[#This Row],[PAYEE]],"")</f>
        <v/>
      </c>
      <c r="Z55" s="65"/>
      <c r="AA55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56" spans="1:27" ht="15.75">
      <c r="A56" s="265"/>
      <c r="B56" s="130" t="str">
        <f>CONCATENATE(Tableau8[[#This Row],[CT
INDIRECT CHANTIER]],Tableau8[[#This Row],[NOM CHANTIER
INDIRECT ST]],Tableau8[[#This Row],[Sous Traitant]],Tableau8[[#This Row],[MO
INDIRECT CT]])</f>
        <v>JONATHANATHIS MONS E2AOPALE</v>
      </c>
      <c r="C56" s="231" t="s">
        <v>171</v>
      </c>
      <c r="D56" s="232" t="s">
        <v>97</v>
      </c>
      <c r="E56" s="232" t="s">
        <v>162</v>
      </c>
      <c r="F56" s="233" t="s">
        <v>202</v>
      </c>
      <c r="G56" s="58" t="str">
        <f>IFERROR(IF(B56="","",VLOOKUP(B56,Tableau16[[Ref]:[CP]],6,FALSE)),"")</f>
        <v/>
      </c>
      <c r="H56" s="58" t="str">
        <f>IFERROR(IF(B56="","",VLOOKUP(B56,Tableau16[[Ref]:[CP]],7,FALSE)),"")</f>
        <v/>
      </c>
      <c r="I56" s="127" t="str">
        <f>CONCATENATE(Tableau8[[#This Row],[CT
INDIRECT CHANTIER]],Tableau8[[#This Row],[NOM CHANTIER
INDIRECT ST]],Tableau8[[#This Row],[Sous Traitant]],Tableau8[[#This Row],[MO
INDIRECT CT]],Tableau8[[#This Row],[marché]])</f>
        <v>JONATHANATHIS MONS E2AOPALEMARCHEINT</v>
      </c>
      <c r="J56" s="205">
        <f>COUNTIF($I$4:I56,Tableau8[[#This Row],[REF FACT]])</f>
        <v>1</v>
      </c>
      <c r="K56" s="61" t="s">
        <v>98</v>
      </c>
      <c r="L56" s="62">
        <v>44041</v>
      </c>
      <c r="M56" s="58" t="str">
        <f>IF(Tableau8[[#This Row],[Sous Traitant]]&gt;1,VLOOKUP(Tableau8[[#This Row],[Sous Traitant]],Tableau11[[SOUS TRAITANT]:[DELAIS PAIEMENT]],4,FALSE),"")</f>
        <v>45J</v>
      </c>
      <c r="N56" s="63">
        <f t="shared" si="0"/>
        <v>44089</v>
      </c>
      <c r="O56" s="141" t="s">
        <v>158</v>
      </c>
      <c r="P56" s="64">
        <v>2197.13</v>
      </c>
      <c r="Q56" s="60" t="s">
        <v>161</v>
      </c>
      <c r="R56" s="113"/>
      <c r="S56" s="66" t="s">
        <v>96</v>
      </c>
      <c r="T56" s="65">
        <f>SUMIFS($P$4:P56,$I$4:I56,I56)</f>
        <v>2197.13</v>
      </c>
      <c r="U56" s="65" t="e">
        <f>IF(Tableau8[[#This Row],[marché]]="MARCHEINT",VLOOKUP($B56,Tableau16[[Ref]:[AUTRE]],13,FALSE)-Tableau8[[#This Row],[PAYEE]],"")</f>
        <v>#N/A</v>
      </c>
      <c r="V56" s="65" t="str">
        <f>IF(Tableau8[[#This Row],[marché]]="MARCHEEXT",VLOOKUP($B56,Tableau16[[Ref]:[AUTRE]],14,FALSE)-Tableau8[[#This Row],[PAYEE]],"")</f>
        <v/>
      </c>
      <c r="W56" s="65" t="str">
        <f>IF(Tableau8[[#This Row],[marché]]="RG_5%",VLOOKUP($B56,Tableau16[[Ref]:[AUTRE]],15,FALSE)-Tableau8[[#This Row],[PAYEE]],"")</f>
        <v/>
      </c>
      <c r="X56" s="65" t="str">
        <f>IF(Tableau8[[#This Row],[marché]]="BFT_5%",VLOOKUP($B56,Tableau16[[Ref]:[AUTRE]],17,FALSE)-Tableau8[[#This Row],[PAYEE]],"")</f>
        <v/>
      </c>
      <c r="Y56" s="65" t="str">
        <f>IF(Tableau8[[#This Row],[marché]]="AUTRE",VLOOKUP($B56,Tableau16[[Ref]:[AUTRE]],19,FALSE)-Tableau8[[#This Row],[PAYEE]],"")</f>
        <v/>
      </c>
      <c r="Z56" s="65"/>
      <c r="AA56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57" spans="1:27" ht="15.75">
      <c r="A57" s="265"/>
      <c r="B57" s="130" t="str">
        <f>CONCATENATE(Tableau8[[#This Row],[CT
INDIRECT CHANTIER]],Tableau8[[#This Row],[NOM CHANTIER
INDIRECT ST]],Tableau8[[#This Row],[Sous Traitant]],Tableau8[[#This Row],[MO
INDIRECT CT]])</f>
        <v>JONATHANATHIS MONS E2AOPALE</v>
      </c>
      <c r="C57" s="231" t="s">
        <v>171</v>
      </c>
      <c r="D57" s="232" t="s">
        <v>97</v>
      </c>
      <c r="E57" s="232" t="s">
        <v>162</v>
      </c>
      <c r="F57" s="233" t="s">
        <v>202</v>
      </c>
      <c r="G57" s="58" t="str">
        <f>IFERROR(IF(B57="","",VLOOKUP(B57,Tableau16[[Ref]:[CP]],6,FALSE)),"")</f>
        <v/>
      </c>
      <c r="H57" s="58" t="str">
        <f>IFERROR(IF(B57="","",VLOOKUP(B57,Tableau16[[Ref]:[CP]],7,FALSE)),"")</f>
        <v/>
      </c>
      <c r="I57" s="127" t="str">
        <f>CONCATENATE(Tableau8[[#This Row],[CT
INDIRECT CHANTIER]],Tableau8[[#This Row],[NOM CHANTIER
INDIRECT ST]],Tableau8[[#This Row],[Sous Traitant]],Tableau8[[#This Row],[MO
INDIRECT CT]],Tableau8[[#This Row],[marché]])</f>
        <v>JONATHANATHIS MONS E2AOPALEMARCHEINT</v>
      </c>
      <c r="J57" s="205">
        <f>COUNTIF($I$4:I57,Tableau8[[#This Row],[REF FACT]])</f>
        <v>2</v>
      </c>
      <c r="K57" s="61" t="s">
        <v>99</v>
      </c>
      <c r="L57" s="62">
        <v>43999</v>
      </c>
      <c r="M57" s="58" t="str">
        <f>IF(Tableau8[[#This Row],[Sous Traitant]]&gt;1,VLOOKUP(Tableau8[[#This Row],[Sous Traitant]],Tableau11[[SOUS TRAITANT]:[DELAIS PAIEMENT]],4,FALSE),"")</f>
        <v>45J</v>
      </c>
      <c r="N57" s="63">
        <f t="shared" si="0"/>
        <v>44058</v>
      </c>
      <c r="O57" s="141" t="s">
        <v>158</v>
      </c>
      <c r="P57" s="64">
        <v>400</v>
      </c>
      <c r="Q57" s="60" t="s">
        <v>161</v>
      </c>
      <c r="R57" s="113"/>
      <c r="S57" s="66"/>
      <c r="T57" s="65">
        <f>SUMIFS($P$4:P57,$I$4:I57,I57)</f>
        <v>2597.13</v>
      </c>
      <c r="U57" s="65" t="e">
        <f>IF(Tableau8[[#This Row],[marché]]="MARCHEINT",VLOOKUP($B57,Tableau16[[Ref]:[AUTRE]],13,FALSE)-Tableau8[[#This Row],[PAYEE]],"")</f>
        <v>#N/A</v>
      </c>
      <c r="V57" s="65" t="str">
        <f>IF(Tableau8[[#This Row],[marché]]="MARCHEEXT",VLOOKUP($B57,Tableau16[[Ref]:[AUTRE]],14,FALSE)-Tableau8[[#This Row],[PAYEE]],"")</f>
        <v/>
      </c>
      <c r="W57" s="65" t="str">
        <f>IF(Tableau8[[#This Row],[marché]]="RG_5%",VLOOKUP($B57,Tableau16[[Ref]:[AUTRE]],15,FALSE)-Tableau8[[#This Row],[PAYEE]],"")</f>
        <v/>
      </c>
      <c r="X57" s="65" t="str">
        <f>IF(Tableau8[[#This Row],[marché]]="BFT_5%",VLOOKUP($B57,Tableau16[[Ref]:[AUTRE]],17,FALSE)-Tableau8[[#This Row],[PAYEE]],"")</f>
        <v/>
      </c>
      <c r="Y57" s="65" t="str">
        <f>IF(Tableau8[[#This Row],[marché]]="AUTRE",VLOOKUP($B57,Tableau16[[Ref]:[AUTRE]],19,FALSE)-Tableau8[[#This Row],[PAYEE]],"")</f>
        <v/>
      </c>
      <c r="Z57" s="65"/>
      <c r="AA57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58" spans="1:27" ht="15.75">
      <c r="A58" s="265"/>
      <c r="B58" s="130" t="str">
        <f>CONCATENATE(Tableau8[[#This Row],[CT
INDIRECT CHANTIER]],Tableau8[[#This Row],[NOM CHANTIER
INDIRECT ST]],Tableau8[[#This Row],[Sous Traitant]],Tableau8[[#This Row],[MO
INDIRECT CT]])</f>
        <v>LAURENTCLAMARTAOPALE</v>
      </c>
      <c r="C58" s="231" t="s">
        <v>171</v>
      </c>
      <c r="D58" s="232" t="s">
        <v>100</v>
      </c>
      <c r="E58" s="232" t="s">
        <v>43</v>
      </c>
      <c r="F58" s="233" t="s">
        <v>202</v>
      </c>
      <c r="G58" s="58" t="str">
        <f>IFERROR(IF(B58="","",VLOOKUP(B58,Tableau16[[Ref]:[CP]],6,FALSE)),"")</f>
        <v/>
      </c>
      <c r="H58" s="58" t="str">
        <f>IFERROR(IF(B58="","",VLOOKUP(B58,Tableau16[[Ref]:[CP]],7,FALSE)),"")</f>
        <v/>
      </c>
      <c r="I58" s="127" t="str">
        <f>CONCATENATE(Tableau8[[#This Row],[CT
INDIRECT CHANTIER]],Tableau8[[#This Row],[NOM CHANTIER
INDIRECT ST]],Tableau8[[#This Row],[Sous Traitant]],Tableau8[[#This Row],[MO
INDIRECT CT]],Tableau8[[#This Row],[marché]])</f>
        <v>LAURENTCLAMARTAOPALEMARCHEINT</v>
      </c>
      <c r="J58" s="205">
        <f>COUNTIF($I$4:I58,Tableau8[[#This Row],[REF FACT]])</f>
        <v>1</v>
      </c>
      <c r="K58" s="61" t="s">
        <v>101</v>
      </c>
      <c r="L58" s="62">
        <v>44049</v>
      </c>
      <c r="M58" s="58" t="str">
        <f>IF(Tableau8[[#This Row],[Sous Traitant]]&gt;1,VLOOKUP(Tableau8[[#This Row],[Sous Traitant]],Tableau11[[SOUS TRAITANT]:[DELAIS PAIEMENT]],4,FALSE),"")</f>
        <v>45J</v>
      </c>
      <c r="N58" s="63">
        <f t="shared" si="0"/>
        <v>44119</v>
      </c>
      <c r="O58" s="141" t="s">
        <v>158</v>
      </c>
      <c r="P58" s="64">
        <v>1081.43</v>
      </c>
      <c r="Q58" s="60" t="s">
        <v>161</v>
      </c>
      <c r="R58" s="113"/>
      <c r="S58" s="66"/>
      <c r="T58" s="65">
        <f>SUMIFS($P$4:P58,$I$4:I58,I58)</f>
        <v>1081.43</v>
      </c>
      <c r="U58" s="65" t="e">
        <f>IF(Tableau8[[#This Row],[marché]]="MARCHEINT",VLOOKUP($B58,Tableau16[[Ref]:[AUTRE]],13,FALSE)-Tableau8[[#This Row],[PAYEE]],"")</f>
        <v>#N/A</v>
      </c>
      <c r="V58" s="65" t="str">
        <f>IF(Tableau8[[#This Row],[marché]]="MARCHEEXT",VLOOKUP($B58,Tableau16[[Ref]:[AUTRE]],14,FALSE)-Tableau8[[#This Row],[PAYEE]],"")</f>
        <v/>
      </c>
      <c r="W58" s="65" t="str">
        <f>IF(Tableau8[[#This Row],[marché]]="RG_5%",VLOOKUP($B58,Tableau16[[Ref]:[AUTRE]],15,FALSE)-Tableau8[[#This Row],[PAYEE]],"")</f>
        <v/>
      </c>
      <c r="X58" s="65" t="str">
        <f>IF(Tableau8[[#This Row],[marché]]="BFT_5%",VLOOKUP($B58,Tableau16[[Ref]:[AUTRE]],17,FALSE)-Tableau8[[#This Row],[PAYEE]],"")</f>
        <v/>
      </c>
      <c r="Y58" s="65" t="str">
        <f>IF(Tableau8[[#This Row],[marché]]="AUTRE",VLOOKUP($B58,Tableau16[[Ref]:[AUTRE]],19,FALSE)-Tableau8[[#This Row],[PAYEE]],"")</f>
        <v/>
      </c>
      <c r="Z58" s="65"/>
      <c r="AA58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59" spans="1:27" ht="15.75">
      <c r="A59" s="265"/>
      <c r="B59" s="130" t="str">
        <f>CONCATENATE(Tableau8[[#This Row],[CT
INDIRECT CHANTIER]],Tableau8[[#This Row],[NOM CHANTIER
INDIRECT ST]],Tableau8[[#This Row],[Sous Traitant]],Tableau8[[#This Row],[MO
INDIRECT CT]])</f>
        <v>LAURENTLOGNESAZORG</v>
      </c>
      <c r="C59" s="231" t="s">
        <v>171</v>
      </c>
      <c r="D59" s="232" t="s">
        <v>102</v>
      </c>
      <c r="E59" s="232" t="s">
        <v>43</v>
      </c>
      <c r="F59" s="233" t="s">
        <v>203</v>
      </c>
      <c r="G59" s="58" t="str">
        <f>IFERROR(IF(B59="","",VLOOKUP(B59,Tableau16[[Ref]:[CP]],6,FALSE)),"")</f>
        <v/>
      </c>
      <c r="H59" s="58" t="str">
        <f>IFERROR(IF(B59="","",VLOOKUP(B59,Tableau16[[Ref]:[CP]],7,FALSE)),"")</f>
        <v/>
      </c>
      <c r="I59" s="127" t="str">
        <f>CONCATENATE(Tableau8[[#This Row],[CT
INDIRECT CHANTIER]],Tableau8[[#This Row],[NOM CHANTIER
INDIRECT ST]],Tableau8[[#This Row],[Sous Traitant]],Tableau8[[#This Row],[MO
INDIRECT CT]],Tableau8[[#This Row],[marché]])</f>
        <v>LAURENTLOGNESAZORGMARCHEINT</v>
      </c>
      <c r="J59" s="205">
        <f>COUNTIF($I$4:I59,Tableau8[[#This Row],[REF FACT]])</f>
        <v>1</v>
      </c>
      <c r="K59" s="61">
        <v>167</v>
      </c>
      <c r="L59" s="62">
        <v>44048</v>
      </c>
      <c r="M59" s="58" t="str">
        <f>IF(Tableau8[[#This Row],[Sous Traitant]]&gt;1,VLOOKUP(Tableau8[[#This Row],[Sous Traitant]],Tableau11[[SOUS TRAITANT]:[DELAIS PAIEMENT]],4,FALSE),"")</f>
        <v>45J</v>
      </c>
      <c r="N59" s="63">
        <f t="shared" si="0"/>
        <v>44119</v>
      </c>
      <c r="O59" s="141" t="s">
        <v>158</v>
      </c>
      <c r="P59" s="64">
        <v>1905</v>
      </c>
      <c r="Q59" s="60" t="s">
        <v>161</v>
      </c>
      <c r="R59" s="113"/>
      <c r="S59" s="66"/>
      <c r="T59" s="65">
        <f>SUMIFS($P$4:P59,$I$4:I59,I59)</f>
        <v>1905</v>
      </c>
      <c r="U59" s="65" t="e">
        <f>IF(Tableau8[[#This Row],[marché]]="MARCHEINT",VLOOKUP($B59,Tableau16[[Ref]:[AUTRE]],13,FALSE)-Tableau8[[#This Row],[PAYEE]],"")</f>
        <v>#N/A</v>
      </c>
      <c r="V59" s="65" t="str">
        <f>IF(Tableau8[[#This Row],[marché]]="MARCHEEXT",VLOOKUP($B59,Tableau16[[Ref]:[AUTRE]],14,FALSE)-Tableau8[[#This Row],[PAYEE]],"")</f>
        <v/>
      </c>
      <c r="W59" s="65" t="str">
        <f>IF(Tableau8[[#This Row],[marché]]="RG_5%",VLOOKUP($B59,Tableau16[[Ref]:[AUTRE]],15,FALSE)-Tableau8[[#This Row],[PAYEE]],"")</f>
        <v/>
      </c>
      <c r="X59" s="65" t="str">
        <f>IF(Tableau8[[#This Row],[marché]]="BFT_5%",VLOOKUP($B59,Tableau16[[Ref]:[AUTRE]],17,FALSE)-Tableau8[[#This Row],[PAYEE]],"")</f>
        <v/>
      </c>
      <c r="Y59" s="65" t="str">
        <f>IF(Tableau8[[#This Row],[marché]]="AUTRE",VLOOKUP($B59,Tableau16[[Ref]:[AUTRE]],19,FALSE)-Tableau8[[#This Row],[PAYEE]],"")</f>
        <v/>
      </c>
      <c r="Z59" s="65"/>
      <c r="AA59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60" spans="1:27" ht="15.75">
      <c r="A60" s="265"/>
      <c r="B60" s="130" t="str">
        <f>CONCATENATE(Tableau8[[#This Row],[CT
INDIRECT CHANTIER]],Tableau8[[#This Row],[NOM CHANTIER
INDIRECT ST]],Tableau8[[#This Row],[Sous Traitant]],Tableau8[[#This Row],[MO
INDIRECT CT]])</f>
        <v>LAURENTSERVONAZORG</v>
      </c>
      <c r="C60" s="231" t="s">
        <v>171</v>
      </c>
      <c r="D60" s="232" t="s">
        <v>90</v>
      </c>
      <c r="E60" s="232" t="s">
        <v>43</v>
      </c>
      <c r="F60" s="233" t="s">
        <v>203</v>
      </c>
      <c r="G60" s="58" t="str">
        <f>IFERROR(IF(B60="","",VLOOKUP(B60,Tableau16[[Ref]:[CP]],6,FALSE)),"")</f>
        <v/>
      </c>
      <c r="H60" s="58" t="str">
        <f>IFERROR(IF(B60="","",VLOOKUP(B60,Tableau16[[Ref]:[CP]],7,FALSE)),"")</f>
        <v/>
      </c>
      <c r="I60" s="128" t="str">
        <f>CONCATENATE(Tableau8[[#This Row],[CT
INDIRECT CHANTIER]],Tableau8[[#This Row],[NOM CHANTIER
INDIRECT ST]],Tableau8[[#This Row],[Sous Traitant]],Tableau8[[#This Row],[MO
INDIRECT CT]],Tableau8[[#This Row],[marché]])</f>
        <v>LAURENTSERVONAZORGMARCHEINT</v>
      </c>
      <c r="J60" s="205">
        <f>COUNTIF($I$4:I60,Tableau8[[#This Row],[REF FACT]])</f>
        <v>1</v>
      </c>
      <c r="K60" s="61" t="s">
        <v>103</v>
      </c>
      <c r="L60" s="62">
        <v>44035</v>
      </c>
      <c r="M60" s="58" t="str">
        <f>IF(Tableau8[[#This Row],[Sous Traitant]]&gt;1,VLOOKUP(Tableau8[[#This Row],[Sous Traitant]],Tableau11[[SOUS TRAITANT]:[DELAIS PAIEMENT]],4,FALSE),"")</f>
        <v>45J</v>
      </c>
      <c r="N60" s="63">
        <f t="shared" si="0"/>
        <v>44089</v>
      </c>
      <c r="O60" s="141" t="s">
        <v>158</v>
      </c>
      <c r="P60" s="54">
        <v>1075</v>
      </c>
      <c r="Q60" s="60" t="s">
        <v>161</v>
      </c>
      <c r="R60" s="114"/>
      <c r="S60" s="68" t="s">
        <v>96</v>
      </c>
      <c r="T60" s="65">
        <f>SUMIFS($P$4:P60,$I$4:I60,I60)</f>
        <v>1075</v>
      </c>
      <c r="U60" s="65" t="e">
        <f>IF(Tableau8[[#This Row],[marché]]="MARCHEINT",VLOOKUP($B60,Tableau16[[Ref]:[AUTRE]],13,FALSE)-Tableau8[[#This Row],[PAYEE]],"")</f>
        <v>#N/A</v>
      </c>
      <c r="V60" s="65" t="str">
        <f>IF(Tableau8[[#This Row],[marché]]="MARCHEEXT",VLOOKUP($B60,Tableau16[[Ref]:[AUTRE]],14,FALSE)-Tableau8[[#This Row],[PAYEE]],"")</f>
        <v/>
      </c>
      <c r="W60" s="65" t="str">
        <f>IF(Tableau8[[#This Row],[marché]]="RG_5%",VLOOKUP($B60,Tableau16[[Ref]:[AUTRE]],15,FALSE)-Tableau8[[#This Row],[PAYEE]],"")</f>
        <v/>
      </c>
      <c r="X60" s="65" t="str">
        <f>IF(Tableau8[[#This Row],[marché]]="BFT_5%",VLOOKUP($B60,Tableau16[[Ref]:[AUTRE]],17,FALSE)-Tableau8[[#This Row],[PAYEE]],"")</f>
        <v/>
      </c>
      <c r="Y60" s="65" t="str">
        <f>IF(Tableau8[[#This Row],[marché]]="AUTRE",VLOOKUP($B60,Tableau16[[Ref]:[AUTRE]],19,FALSE)-Tableau8[[#This Row],[PAYEE]],"")</f>
        <v/>
      </c>
      <c r="Z60" s="65"/>
      <c r="AA60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61" spans="1:27" ht="15.75">
      <c r="A61" s="265"/>
      <c r="B61" s="130" t="str">
        <f>CONCATENATE(Tableau8[[#This Row],[CT
INDIRECT CHANTIER]],Tableau8[[#This Row],[NOM CHANTIER
INDIRECT ST]],Tableau8[[#This Row],[Sous Traitant]],Tableau8[[#This Row],[MO
INDIRECT CT]])</f>
        <v>LAURENTMOISSYAZORG</v>
      </c>
      <c r="C61" s="231" t="s">
        <v>171</v>
      </c>
      <c r="D61" s="232" t="s">
        <v>104</v>
      </c>
      <c r="E61" s="232" t="s">
        <v>43</v>
      </c>
      <c r="F61" s="233" t="s">
        <v>203</v>
      </c>
      <c r="G61" s="58" t="str">
        <f>IFERROR(IF(B61="","",VLOOKUP(B61,Tableau16[[Ref]:[CP]],6,FALSE)),"")</f>
        <v/>
      </c>
      <c r="H61" s="58" t="str">
        <f>IFERROR(IF(B61="","",VLOOKUP(B61,Tableau16[[Ref]:[CP]],7,FALSE)),"")</f>
        <v/>
      </c>
      <c r="I61" s="128" t="str">
        <f>CONCATENATE(Tableau8[[#This Row],[CT
INDIRECT CHANTIER]],Tableau8[[#This Row],[NOM CHANTIER
INDIRECT ST]],Tableau8[[#This Row],[Sous Traitant]],Tableau8[[#This Row],[MO
INDIRECT CT]],Tableau8[[#This Row],[marché]])</f>
        <v>LAURENTMOISSYAZORGMARCHEINT</v>
      </c>
      <c r="J61" s="205">
        <f>COUNTIF($I$4:I61,Tableau8[[#This Row],[REF FACT]])</f>
        <v>1</v>
      </c>
      <c r="K61" s="61" t="s">
        <v>105</v>
      </c>
      <c r="L61" s="62">
        <v>43982</v>
      </c>
      <c r="M61" s="58" t="str">
        <f>IF(Tableau8[[#This Row],[Sous Traitant]]&gt;1,VLOOKUP(Tableau8[[#This Row],[Sous Traitant]],Tableau11[[SOUS TRAITANT]:[DELAIS PAIEMENT]],4,FALSE),"")</f>
        <v>45J</v>
      </c>
      <c r="N61" s="63">
        <f t="shared" si="0"/>
        <v>44027</v>
      </c>
      <c r="O61" s="141" t="s">
        <v>158</v>
      </c>
      <c r="P61" s="71">
        <v>770</v>
      </c>
      <c r="Q61" s="60" t="s">
        <v>161</v>
      </c>
      <c r="R61" s="114"/>
      <c r="S61" s="68" t="s">
        <v>96</v>
      </c>
      <c r="T61" s="65">
        <f>SUMIFS($P$4:P61,$I$4:I61,I61)</f>
        <v>770</v>
      </c>
      <c r="U61" s="65" t="e">
        <f>IF(Tableau8[[#This Row],[marché]]="MARCHEINT",VLOOKUP($B61,Tableau16[[Ref]:[AUTRE]],13,FALSE)-Tableau8[[#This Row],[PAYEE]],"")</f>
        <v>#N/A</v>
      </c>
      <c r="V61" s="65" t="str">
        <f>IF(Tableau8[[#This Row],[marché]]="MARCHEEXT",VLOOKUP($B61,Tableau16[[Ref]:[AUTRE]],14,FALSE)-Tableau8[[#This Row],[PAYEE]],"")</f>
        <v/>
      </c>
      <c r="W61" s="65" t="str">
        <f>IF(Tableau8[[#This Row],[marché]]="RG_5%",VLOOKUP($B61,Tableau16[[Ref]:[AUTRE]],15,FALSE)-Tableau8[[#This Row],[PAYEE]],"")</f>
        <v/>
      </c>
      <c r="X61" s="65" t="str">
        <f>IF(Tableau8[[#This Row],[marché]]="BFT_5%",VLOOKUP($B61,Tableau16[[Ref]:[AUTRE]],17,FALSE)-Tableau8[[#This Row],[PAYEE]],"")</f>
        <v/>
      </c>
      <c r="Y61" s="65" t="str">
        <f>IF(Tableau8[[#This Row],[marché]]="AUTRE",VLOOKUP($B61,Tableau16[[Ref]:[AUTRE]],19,FALSE)-Tableau8[[#This Row],[PAYEE]],"")</f>
        <v/>
      </c>
      <c r="Z61" s="65"/>
      <c r="AA61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62" spans="1:27" ht="15.75">
      <c r="A62" s="265"/>
      <c r="B62" s="130" t="str">
        <f>CONCATENATE(Tableau8[[#This Row],[CT
INDIRECT CHANTIER]],Tableau8[[#This Row],[NOM CHANTIER
INDIRECT ST]],Tableau8[[#This Row],[Sous Traitant]],Tableau8[[#This Row],[MO
INDIRECT CT]])</f>
        <v>LAURENTSERVONAZORG</v>
      </c>
      <c r="C62" s="231" t="s">
        <v>171</v>
      </c>
      <c r="D62" s="232" t="s">
        <v>90</v>
      </c>
      <c r="E62" s="232" t="s">
        <v>43</v>
      </c>
      <c r="F62" s="233" t="s">
        <v>203</v>
      </c>
      <c r="G62" s="58" t="str">
        <f>IFERROR(IF(B62="","",VLOOKUP(B62,Tableau16[[Ref]:[CP]],6,FALSE)),"")</f>
        <v/>
      </c>
      <c r="H62" s="58" t="str">
        <f>IFERROR(IF(B62="","",VLOOKUP(B62,Tableau16[[Ref]:[CP]],7,FALSE)),"")</f>
        <v/>
      </c>
      <c r="I62" s="128" t="str">
        <f>CONCATENATE(Tableau8[[#This Row],[CT
INDIRECT CHANTIER]],Tableau8[[#This Row],[NOM CHANTIER
INDIRECT ST]],Tableau8[[#This Row],[Sous Traitant]],Tableau8[[#This Row],[MO
INDIRECT CT]],Tableau8[[#This Row],[marché]])</f>
        <v>LAURENTSERVONAZORGMARCHEINT</v>
      </c>
      <c r="J62" s="205">
        <f>COUNTIF($I$4:I62,Tableau8[[#This Row],[REF FACT]])</f>
        <v>2</v>
      </c>
      <c r="K62" s="61" t="s">
        <v>106</v>
      </c>
      <c r="L62" s="62">
        <v>44012</v>
      </c>
      <c r="M62" s="58" t="str">
        <f>IF(Tableau8[[#This Row],[Sous Traitant]]&gt;1,VLOOKUP(Tableau8[[#This Row],[Sous Traitant]],Tableau11[[SOUS TRAITANT]:[DELAIS PAIEMENT]],4,FALSE),"")</f>
        <v>45J</v>
      </c>
      <c r="N62" s="63">
        <f t="shared" si="0"/>
        <v>44058</v>
      </c>
      <c r="O62" s="141" t="s">
        <v>158</v>
      </c>
      <c r="P62" s="71">
        <v>1572.12</v>
      </c>
      <c r="Q62" s="60" t="s">
        <v>161</v>
      </c>
      <c r="R62" s="114"/>
      <c r="S62" s="68" t="s">
        <v>96</v>
      </c>
      <c r="T62" s="65">
        <f>SUMIFS($P$4:P62,$I$4:I62,I62)</f>
        <v>2647.12</v>
      </c>
      <c r="U62" s="65" t="e">
        <f>IF(Tableau8[[#This Row],[marché]]="MARCHEINT",VLOOKUP($B62,Tableau16[[Ref]:[AUTRE]],13,FALSE)-Tableau8[[#This Row],[PAYEE]],"")</f>
        <v>#N/A</v>
      </c>
      <c r="V62" s="65" t="str">
        <f>IF(Tableau8[[#This Row],[marché]]="MARCHEEXT",VLOOKUP($B62,Tableau16[[Ref]:[AUTRE]],14,FALSE)-Tableau8[[#This Row],[PAYEE]],"")</f>
        <v/>
      </c>
      <c r="W62" s="65" t="str">
        <f>IF(Tableau8[[#This Row],[marché]]="RG_5%",VLOOKUP($B62,Tableau16[[Ref]:[AUTRE]],15,FALSE)-Tableau8[[#This Row],[PAYEE]],"")</f>
        <v/>
      </c>
      <c r="X62" s="65" t="str">
        <f>IF(Tableau8[[#This Row],[marché]]="BFT_5%",VLOOKUP($B62,Tableau16[[Ref]:[AUTRE]],17,FALSE)-Tableau8[[#This Row],[PAYEE]],"")</f>
        <v/>
      </c>
      <c r="Y62" s="65" t="str">
        <f>IF(Tableau8[[#This Row],[marché]]="AUTRE",VLOOKUP($B62,Tableau16[[Ref]:[AUTRE]],19,FALSE)-Tableau8[[#This Row],[PAYEE]],"")</f>
        <v/>
      </c>
      <c r="Z62" s="65"/>
      <c r="AA62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63" spans="1:27" ht="15.75">
      <c r="A63" s="265"/>
      <c r="B63" s="130" t="str">
        <f>CONCATENATE(Tableau8[[#This Row],[CT
INDIRECT CHANTIER]],Tableau8[[#This Row],[NOM CHANTIER
INDIRECT ST]],Tableau8[[#This Row],[Sous Traitant]],Tableau8[[#This Row],[MO
INDIRECT CT]])</f>
        <v>LAURENTSARCELLESAZORG</v>
      </c>
      <c r="C63" s="231" t="s">
        <v>171</v>
      </c>
      <c r="D63" s="232" t="s">
        <v>107</v>
      </c>
      <c r="E63" s="232" t="s">
        <v>43</v>
      </c>
      <c r="F63" s="233" t="s">
        <v>203</v>
      </c>
      <c r="G63" s="58" t="str">
        <f>IFERROR(IF(B63="","",VLOOKUP(B63,Tableau16[[Ref]:[CP]],6,FALSE)),"")</f>
        <v/>
      </c>
      <c r="H63" s="58" t="str">
        <f>IFERROR(IF(B63="","",VLOOKUP(B63,Tableau16[[Ref]:[CP]],7,FALSE)),"")</f>
        <v/>
      </c>
      <c r="I63" s="128" t="str">
        <f>CONCATENATE(Tableau8[[#This Row],[CT
INDIRECT CHANTIER]],Tableau8[[#This Row],[NOM CHANTIER
INDIRECT ST]],Tableau8[[#This Row],[Sous Traitant]],Tableau8[[#This Row],[MO
INDIRECT CT]],Tableau8[[#This Row],[marché]])</f>
        <v>LAURENTSARCELLESAZORGMARCHEINT</v>
      </c>
      <c r="J63" s="205">
        <f>COUNTIF($I$4:I63,Tableau8[[#This Row],[REF FACT]])</f>
        <v>1</v>
      </c>
      <c r="K63" s="61" t="s">
        <v>108</v>
      </c>
      <c r="L63" s="62">
        <v>44047</v>
      </c>
      <c r="M63" s="58" t="str">
        <f>IF(Tableau8[[#This Row],[Sous Traitant]]&gt;1,VLOOKUP(Tableau8[[#This Row],[Sous Traitant]],Tableau11[[SOUS TRAITANT]:[DELAIS PAIEMENT]],4,FALSE),"")</f>
        <v>45J</v>
      </c>
      <c r="N63" s="63">
        <f t="shared" si="0"/>
        <v>44119</v>
      </c>
      <c r="O63" s="141" t="s">
        <v>158</v>
      </c>
      <c r="P63" s="54">
        <v>1160</v>
      </c>
      <c r="Q63" s="60" t="s">
        <v>161</v>
      </c>
      <c r="R63" s="114"/>
      <c r="S63" s="68"/>
      <c r="T63" s="65">
        <f>SUMIFS($P$4:P63,$I$4:I63,I63)</f>
        <v>1160</v>
      </c>
      <c r="U63" s="65" t="e">
        <f>IF(Tableau8[[#This Row],[marché]]="MARCHEINT",VLOOKUP($B63,Tableau16[[Ref]:[AUTRE]],13,FALSE)-Tableau8[[#This Row],[PAYEE]],"")</f>
        <v>#N/A</v>
      </c>
      <c r="V63" s="65" t="str">
        <f>IF(Tableau8[[#This Row],[marché]]="MARCHEEXT",VLOOKUP($B63,Tableau16[[Ref]:[AUTRE]],14,FALSE)-Tableau8[[#This Row],[PAYEE]],"")</f>
        <v/>
      </c>
      <c r="W63" s="65" t="str">
        <f>IF(Tableau8[[#This Row],[marché]]="RG_5%",VLOOKUP($B63,Tableau16[[Ref]:[AUTRE]],15,FALSE)-Tableau8[[#This Row],[PAYEE]],"")</f>
        <v/>
      </c>
      <c r="X63" s="65" t="str">
        <f>IF(Tableau8[[#This Row],[marché]]="BFT_5%",VLOOKUP($B63,Tableau16[[Ref]:[AUTRE]],17,FALSE)-Tableau8[[#This Row],[PAYEE]],"")</f>
        <v/>
      </c>
      <c r="Y63" s="65" t="str">
        <f>IF(Tableau8[[#This Row],[marché]]="AUTRE",VLOOKUP($B63,Tableau16[[Ref]:[AUTRE]],19,FALSE)-Tableau8[[#This Row],[PAYEE]],"")</f>
        <v/>
      </c>
      <c r="Z63" s="65"/>
      <c r="AA63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64" spans="1:27" ht="15.75">
      <c r="A64" s="265"/>
      <c r="B64" s="130" t="str">
        <f>CONCATENATE(Tableau8[[#This Row],[CT
INDIRECT CHANTIER]],Tableau8[[#This Row],[NOM CHANTIER
INDIRECT ST]],Tableau8[[#This Row],[Sous Traitant]],Tableau8[[#This Row],[MO
INDIRECT CT]])</f>
        <v>LAURENTLOGNESAZORG</v>
      </c>
      <c r="C64" s="231" t="s">
        <v>171</v>
      </c>
      <c r="D64" s="232" t="s">
        <v>102</v>
      </c>
      <c r="E64" s="232" t="s">
        <v>43</v>
      </c>
      <c r="F64" s="233" t="s">
        <v>203</v>
      </c>
      <c r="G64" s="58" t="str">
        <f>IFERROR(IF(B64="","",VLOOKUP(B64,Tableau16[[Ref]:[CP]],6,FALSE)),"")</f>
        <v/>
      </c>
      <c r="H64" s="58" t="str">
        <f>IFERROR(IF(B64="","",VLOOKUP(B64,Tableau16[[Ref]:[CP]],7,FALSE)),"")</f>
        <v/>
      </c>
      <c r="I64" s="127" t="str">
        <f>CONCATENATE(Tableau8[[#This Row],[CT
INDIRECT CHANTIER]],Tableau8[[#This Row],[NOM CHANTIER
INDIRECT ST]],Tableau8[[#This Row],[Sous Traitant]],Tableau8[[#This Row],[MO
INDIRECT CT]],Tableau8[[#This Row],[marché]])</f>
        <v>LAURENTLOGNESAZORGMARCHEINT</v>
      </c>
      <c r="J64" s="205">
        <f>COUNTIF($I$4:I64,Tableau8[[#This Row],[REF FACT]])</f>
        <v>2</v>
      </c>
      <c r="K64" s="61">
        <v>139</v>
      </c>
      <c r="L64" s="62">
        <v>44012</v>
      </c>
      <c r="M64" s="58" t="str">
        <f>IF(Tableau8[[#This Row],[Sous Traitant]]&gt;1,VLOOKUP(Tableau8[[#This Row],[Sous Traitant]],Tableau11[[SOUS TRAITANT]:[DELAIS PAIEMENT]],4,FALSE),"")</f>
        <v>45J</v>
      </c>
      <c r="N64" s="63">
        <f t="shared" si="0"/>
        <v>44058</v>
      </c>
      <c r="O64" s="141" t="s">
        <v>158</v>
      </c>
      <c r="P64" s="54">
        <v>6583.5</v>
      </c>
      <c r="Q64" s="60" t="s">
        <v>161</v>
      </c>
      <c r="R64" s="113">
        <v>43981</v>
      </c>
      <c r="S64" s="68"/>
      <c r="T64" s="65">
        <f>SUMIFS($P$4:P64,$I$4:I64,I64)</f>
        <v>8488.5</v>
      </c>
      <c r="U64" s="65" t="e">
        <f>IF(Tableau8[[#This Row],[marché]]="MARCHEINT",VLOOKUP($B64,Tableau16[[Ref]:[AUTRE]],13,FALSE)-Tableau8[[#This Row],[PAYEE]],"")</f>
        <v>#N/A</v>
      </c>
      <c r="V64" s="65" t="str">
        <f>IF(Tableau8[[#This Row],[marché]]="MARCHEEXT",VLOOKUP($B64,Tableau16[[Ref]:[AUTRE]],14,FALSE)-Tableau8[[#This Row],[PAYEE]],"")</f>
        <v/>
      </c>
      <c r="W64" s="65" t="str">
        <f>IF(Tableau8[[#This Row],[marché]]="RG_5%",VLOOKUP($B64,Tableau16[[Ref]:[AUTRE]],15,FALSE)-Tableau8[[#This Row],[PAYEE]],"")</f>
        <v/>
      </c>
      <c r="X64" s="65" t="str">
        <f>IF(Tableau8[[#This Row],[marché]]="BFT_5%",VLOOKUP($B64,Tableau16[[Ref]:[AUTRE]],17,FALSE)-Tableau8[[#This Row],[PAYEE]],"")</f>
        <v/>
      </c>
      <c r="Y64" s="65" t="str">
        <f>IF(Tableau8[[#This Row],[marché]]="AUTRE",VLOOKUP($B64,Tableau16[[Ref]:[AUTRE]],19,FALSE)-Tableau8[[#This Row],[PAYEE]],"")</f>
        <v/>
      </c>
      <c r="Z64" s="65"/>
      <c r="AA64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65" spans="1:27" ht="15.75">
      <c r="A65" s="265"/>
      <c r="B65" s="130" t="str">
        <f>CONCATENATE(Tableau8[[#This Row],[CT
INDIRECT CHANTIER]],Tableau8[[#This Row],[NOM CHANTIER
INDIRECT ST]],Tableau8[[#This Row],[Sous Traitant]],Tableau8[[#This Row],[MO
INDIRECT CT]])</f>
        <v>LAURENTLOGNESAZORG</v>
      </c>
      <c r="C65" s="231" t="s">
        <v>171</v>
      </c>
      <c r="D65" s="232" t="s">
        <v>102</v>
      </c>
      <c r="E65" s="232" t="s">
        <v>43</v>
      </c>
      <c r="F65" s="233" t="s">
        <v>203</v>
      </c>
      <c r="G65" s="58" t="str">
        <f>IFERROR(IF(B65="","",VLOOKUP(B65,Tableau16[[Ref]:[CP]],6,FALSE)),"")</f>
        <v/>
      </c>
      <c r="H65" s="58" t="str">
        <f>IFERROR(IF(B65="","",VLOOKUP(B65,Tableau16[[Ref]:[CP]],7,FALSE)),"")</f>
        <v/>
      </c>
      <c r="I65" s="127" t="str">
        <f>CONCATENATE(Tableau8[[#This Row],[CT
INDIRECT CHANTIER]],Tableau8[[#This Row],[NOM CHANTIER
INDIRECT ST]],Tableau8[[#This Row],[Sous Traitant]],Tableau8[[#This Row],[MO
INDIRECT CT]],Tableau8[[#This Row],[marché]])</f>
        <v>LAURENTLOGNESAZORGMARCHEINT</v>
      </c>
      <c r="J65" s="205">
        <f>COUNTIF($I$4:I65,Tableau8[[#This Row],[REF FACT]])</f>
        <v>3</v>
      </c>
      <c r="K65" s="61">
        <v>140</v>
      </c>
      <c r="L65" s="62">
        <v>44042</v>
      </c>
      <c r="M65" s="58" t="str">
        <f>IF(Tableau8[[#This Row],[Sous Traitant]]&gt;1,VLOOKUP(Tableau8[[#This Row],[Sous Traitant]],Tableau11[[SOUS TRAITANT]:[DELAIS PAIEMENT]],4,FALSE),"")</f>
        <v>45J</v>
      </c>
      <c r="N65" s="63">
        <f t="shared" si="0"/>
        <v>44089</v>
      </c>
      <c r="O65" s="141" t="s">
        <v>158</v>
      </c>
      <c r="P65" s="54">
        <v>2824.45</v>
      </c>
      <c r="Q65" s="60" t="s">
        <v>161</v>
      </c>
      <c r="R65" s="113">
        <v>43982</v>
      </c>
      <c r="S65" s="68"/>
      <c r="T65" s="65">
        <f>SUMIFS($P$4:P65,$I$4:I65,I65)</f>
        <v>11312.95</v>
      </c>
      <c r="U65" s="65" t="e">
        <f>IF(Tableau8[[#This Row],[marché]]="MARCHEINT",VLOOKUP($B65,Tableau16[[Ref]:[AUTRE]],13,FALSE)-Tableau8[[#This Row],[PAYEE]],"")</f>
        <v>#N/A</v>
      </c>
      <c r="V65" s="65" t="str">
        <f>IF(Tableau8[[#This Row],[marché]]="MARCHEEXT",VLOOKUP($B65,Tableau16[[Ref]:[AUTRE]],14,FALSE)-Tableau8[[#This Row],[PAYEE]],"")</f>
        <v/>
      </c>
      <c r="W65" s="65" t="str">
        <f>IF(Tableau8[[#This Row],[marché]]="RG_5%",VLOOKUP($B65,Tableau16[[Ref]:[AUTRE]],15,FALSE)-Tableau8[[#This Row],[PAYEE]],"")</f>
        <v/>
      </c>
      <c r="X65" s="65" t="str">
        <f>IF(Tableau8[[#This Row],[marché]]="BFT_5%",VLOOKUP($B65,Tableau16[[Ref]:[AUTRE]],17,FALSE)-Tableau8[[#This Row],[PAYEE]],"")</f>
        <v/>
      </c>
      <c r="Y65" s="65" t="str">
        <f>IF(Tableau8[[#This Row],[marché]]="AUTRE",VLOOKUP($B65,Tableau16[[Ref]:[AUTRE]],19,FALSE)-Tableau8[[#This Row],[PAYEE]],"")</f>
        <v/>
      </c>
      <c r="Z65" s="65"/>
      <c r="AA65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66" spans="1:27" ht="15.75">
      <c r="A66" s="265"/>
      <c r="B66" s="130" t="str">
        <f>CONCATENATE(Tableau8[[#This Row],[CT
INDIRECT CHANTIER]],Tableau8[[#This Row],[NOM CHANTIER
INDIRECT ST]],Tableau8[[#This Row],[Sous Traitant]],Tableau8[[#This Row],[MO
INDIRECT CT]])</f>
        <v>SEBMONTFERMEILAZORG</v>
      </c>
      <c r="C66" s="231" t="s">
        <v>171</v>
      </c>
      <c r="D66" s="232" t="s">
        <v>109</v>
      </c>
      <c r="E66" s="232" t="s">
        <v>164</v>
      </c>
      <c r="F66" s="233" t="s">
        <v>203</v>
      </c>
      <c r="G66" s="58" t="str">
        <f>IFERROR(IF(B66="","",VLOOKUP(B66,Tableau16[[Ref]:[CP]],6,FALSE)),"")</f>
        <v/>
      </c>
      <c r="H66" s="58" t="str">
        <f>IFERROR(IF(B66="","",VLOOKUP(B66,Tableau16[[Ref]:[CP]],7,FALSE)),"")</f>
        <v/>
      </c>
      <c r="I66" s="128" t="str">
        <f>CONCATENATE(Tableau8[[#This Row],[CT
INDIRECT CHANTIER]],Tableau8[[#This Row],[NOM CHANTIER
INDIRECT ST]],Tableau8[[#This Row],[Sous Traitant]],Tableau8[[#This Row],[MO
INDIRECT CT]],Tableau8[[#This Row],[marché]])</f>
        <v>SEBMONTFERMEILAZORGMARCHEINT</v>
      </c>
      <c r="J66" s="205">
        <f>COUNTIF($I$4:I66,Tableau8[[#This Row],[REF FACT]])</f>
        <v>1</v>
      </c>
      <c r="K66" s="61" t="s">
        <v>110</v>
      </c>
      <c r="L66" s="62">
        <v>44008</v>
      </c>
      <c r="M66" s="58" t="str">
        <f>IF(Tableau8[[#This Row],[Sous Traitant]]&gt;1,VLOOKUP(Tableau8[[#This Row],[Sous Traitant]],Tableau11[[SOUS TRAITANT]:[DELAIS PAIEMENT]],4,FALSE),"")</f>
        <v>45J</v>
      </c>
      <c r="N66" s="63">
        <f t="shared" si="0"/>
        <v>44058</v>
      </c>
      <c r="O66" s="141" t="s">
        <v>158</v>
      </c>
      <c r="P66" s="71">
        <v>3558.22</v>
      </c>
      <c r="Q66" s="60" t="s">
        <v>161</v>
      </c>
      <c r="R66" s="114"/>
      <c r="S66" s="68" t="s">
        <v>96</v>
      </c>
      <c r="T66" s="65">
        <f>SUMIFS($P$4:P66,$I$4:I66,I66)</f>
        <v>3558.22</v>
      </c>
      <c r="U66" s="65" t="e">
        <f>IF(Tableau8[[#This Row],[marché]]="MARCHEINT",VLOOKUP($B66,Tableau16[[Ref]:[AUTRE]],13,FALSE)-Tableau8[[#This Row],[PAYEE]],"")</f>
        <v>#N/A</v>
      </c>
      <c r="V66" s="65" t="str">
        <f>IF(Tableau8[[#This Row],[marché]]="MARCHEEXT",VLOOKUP($B66,Tableau16[[Ref]:[AUTRE]],14,FALSE)-Tableau8[[#This Row],[PAYEE]],"")</f>
        <v/>
      </c>
      <c r="W66" s="65" t="str">
        <f>IF(Tableau8[[#This Row],[marché]]="RG_5%",VLOOKUP($B66,Tableau16[[Ref]:[AUTRE]],15,FALSE)-Tableau8[[#This Row],[PAYEE]],"")</f>
        <v/>
      </c>
      <c r="X66" s="65" t="str">
        <f>IF(Tableau8[[#This Row],[marché]]="BFT_5%",VLOOKUP($B66,Tableau16[[Ref]:[AUTRE]],17,FALSE)-Tableau8[[#This Row],[PAYEE]],"")</f>
        <v/>
      </c>
      <c r="Y66" s="65" t="str">
        <f>IF(Tableau8[[#This Row],[marché]]="AUTRE",VLOOKUP($B66,Tableau16[[Ref]:[AUTRE]],19,FALSE)-Tableau8[[#This Row],[PAYEE]],"")</f>
        <v/>
      </c>
      <c r="Z66" s="65"/>
      <c r="AA66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67" spans="1:27" ht="15.75">
      <c r="A67" s="265"/>
      <c r="B67" s="130" t="str">
        <f>CONCATENATE(Tableau8[[#This Row],[CT
INDIRECT CHANTIER]],Tableau8[[#This Row],[NOM CHANTIER
INDIRECT ST]],Tableau8[[#This Row],[Sous Traitant]],Tableau8[[#This Row],[MO
INDIRECT CT]])</f>
        <v>SEBPUTEAUXAZORG</v>
      </c>
      <c r="C67" s="231" t="s">
        <v>171</v>
      </c>
      <c r="D67" s="232" t="s">
        <v>20</v>
      </c>
      <c r="E67" s="232" t="s">
        <v>164</v>
      </c>
      <c r="F67" s="233" t="s">
        <v>203</v>
      </c>
      <c r="G67" s="58" t="str">
        <f>IFERROR(IF(B67="","",VLOOKUP(B67,Tableau16[[Ref]:[CP]],6,FALSE)),"")</f>
        <v/>
      </c>
      <c r="H67" s="58" t="str">
        <f>IFERROR(IF(B67="","",VLOOKUP(B67,Tableau16[[Ref]:[CP]],7,FALSE)),"")</f>
        <v/>
      </c>
      <c r="I67" s="127" t="str">
        <f>CONCATENATE(Tableau8[[#This Row],[CT
INDIRECT CHANTIER]],Tableau8[[#This Row],[NOM CHANTIER
INDIRECT ST]],Tableau8[[#This Row],[Sous Traitant]],Tableau8[[#This Row],[MO
INDIRECT CT]],Tableau8[[#This Row],[marché]])</f>
        <v>SEBPUTEAUXAZORGMARCHEINT</v>
      </c>
      <c r="J67" s="205">
        <f>COUNTIF($I$4:I67,Tableau8[[#This Row],[REF FACT]])</f>
        <v>1</v>
      </c>
      <c r="K67" s="61" t="s">
        <v>111</v>
      </c>
      <c r="L67" s="62">
        <v>43951</v>
      </c>
      <c r="M67" s="58" t="str">
        <f>IF(Tableau8[[#This Row],[Sous Traitant]]&gt;1,VLOOKUP(Tableau8[[#This Row],[Sous Traitant]],Tableau11[[SOUS TRAITANT]:[DELAIS PAIEMENT]],4,FALSE),"")</f>
        <v>45J</v>
      </c>
      <c r="N67" s="63">
        <f t="shared" si="0"/>
        <v>43997</v>
      </c>
      <c r="O67" s="141" t="s">
        <v>158</v>
      </c>
      <c r="P67" s="64">
        <v>6200</v>
      </c>
      <c r="Q67" s="60" t="s">
        <v>161</v>
      </c>
      <c r="R67" s="113"/>
      <c r="S67" s="66" t="s">
        <v>96</v>
      </c>
      <c r="T67" s="65">
        <f>SUMIFS($P$4:P67,$I$4:I67,I67)</f>
        <v>6200</v>
      </c>
      <c r="U67" s="65" t="e">
        <f>IF(Tableau8[[#This Row],[marché]]="MARCHEINT",VLOOKUP($B67,Tableau16[[Ref]:[AUTRE]],13,FALSE)-Tableau8[[#This Row],[PAYEE]],"")</f>
        <v>#N/A</v>
      </c>
      <c r="V67" s="65" t="str">
        <f>IF(Tableau8[[#This Row],[marché]]="MARCHEEXT",VLOOKUP($B67,Tableau16[[Ref]:[AUTRE]],14,FALSE)-Tableau8[[#This Row],[PAYEE]],"")</f>
        <v/>
      </c>
      <c r="W67" s="65" t="str">
        <f>IF(Tableau8[[#This Row],[marché]]="RG_5%",VLOOKUP($B67,Tableau16[[Ref]:[AUTRE]],15,FALSE)-Tableau8[[#This Row],[PAYEE]],"")</f>
        <v/>
      </c>
      <c r="X67" s="65" t="str">
        <f>IF(Tableau8[[#This Row],[marché]]="BFT_5%",VLOOKUP($B67,Tableau16[[Ref]:[AUTRE]],17,FALSE)-Tableau8[[#This Row],[PAYEE]],"")</f>
        <v/>
      </c>
      <c r="Y67" s="65" t="str">
        <f>IF(Tableau8[[#This Row],[marché]]="AUTRE",VLOOKUP($B67,Tableau16[[Ref]:[AUTRE]],19,FALSE)-Tableau8[[#This Row],[PAYEE]],"")</f>
        <v/>
      </c>
      <c r="Z67" s="65"/>
      <c r="AA67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68" spans="1:27" ht="15.75">
      <c r="A68" s="265"/>
      <c r="B68" s="130" t="str">
        <f>CONCATENATE(Tableau8[[#This Row],[CT
INDIRECT CHANTIER]],Tableau8[[#This Row],[NOM CHANTIER
INDIRECT ST]],Tableau8[[#This Row],[Sous Traitant]],Tableau8[[#This Row],[MO
INDIRECT CT]])</f>
        <v>SEBBONDOUFLEAZORG</v>
      </c>
      <c r="C68" s="231" t="s">
        <v>171</v>
      </c>
      <c r="D68" s="232" t="s">
        <v>112</v>
      </c>
      <c r="E68" s="232" t="s">
        <v>164</v>
      </c>
      <c r="F68" s="233" t="s">
        <v>203</v>
      </c>
      <c r="G68" s="58" t="str">
        <f>IFERROR(IF(B68="","",VLOOKUP(B68,Tableau16[[Ref]:[CP]],6,FALSE)),"")</f>
        <v/>
      </c>
      <c r="H68" s="58" t="str">
        <f>IFERROR(IF(B68="","",VLOOKUP(B68,Tableau16[[Ref]:[CP]],7,FALSE)),"")</f>
        <v/>
      </c>
      <c r="I68" s="127" t="str">
        <f>CONCATENATE(Tableau8[[#This Row],[CT
INDIRECT CHANTIER]],Tableau8[[#This Row],[NOM CHANTIER
INDIRECT ST]],Tableau8[[#This Row],[Sous Traitant]],Tableau8[[#This Row],[MO
INDIRECT CT]],Tableau8[[#This Row],[marché]])</f>
        <v>SEBBONDOUFLEAZORGMARCHEINT</v>
      </c>
      <c r="J68" s="205">
        <f>COUNTIF($I$4:I68,Tableau8[[#This Row],[REF FACT]])</f>
        <v>1</v>
      </c>
      <c r="K68" s="72" t="s">
        <v>113</v>
      </c>
      <c r="L68" s="62">
        <v>43644</v>
      </c>
      <c r="M68" s="58" t="str">
        <f>IF(Tableau8[[#This Row],[Sous Traitant]]&gt;1,VLOOKUP(Tableau8[[#This Row],[Sous Traitant]],Tableau11[[SOUS TRAITANT]:[DELAIS PAIEMENT]],4,FALSE),"")</f>
        <v>45J</v>
      </c>
      <c r="N68" s="63">
        <f t="shared" si="0"/>
        <v>43692</v>
      </c>
      <c r="O68" s="141" t="s">
        <v>158</v>
      </c>
      <c r="P68" s="71">
        <v>6925</v>
      </c>
      <c r="Q68" s="60" t="s">
        <v>161</v>
      </c>
      <c r="R68" s="113"/>
      <c r="S68" s="68" t="s">
        <v>96</v>
      </c>
      <c r="T68" s="65">
        <f>SUMIFS($P$4:P68,$I$4:I68,I68)</f>
        <v>6925</v>
      </c>
      <c r="U68" s="65" t="e">
        <f>IF(Tableau8[[#This Row],[marché]]="MARCHEINT",VLOOKUP($B68,Tableau16[[Ref]:[AUTRE]],13,FALSE)-Tableau8[[#This Row],[PAYEE]],"")</f>
        <v>#N/A</v>
      </c>
      <c r="V68" s="65" t="str">
        <f>IF(Tableau8[[#This Row],[marché]]="MARCHEEXT",VLOOKUP($B68,Tableau16[[Ref]:[AUTRE]],14,FALSE)-Tableau8[[#This Row],[PAYEE]],"")</f>
        <v/>
      </c>
      <c r="W68" s="65" t="str">
        <f>IF(Tableau8[[#This Row],[marché]]="RG_5%",VLOOKUP($B68,Tableau16[[Ref]:[AUTRE]],15,FALSE)-Tableau8[[#This Row],[PAYEE]],"")</f>
        <v/>
      </c>
      <c r="X68" s="65" t="str">
        <f>IF(Tableau8[[#This Row],[marché]]="BFT_5%",VLOOKUP($B68,Tableau16[[Ref]:[AUTRE]],17,FALSE)-Tableau8[[#This Row],[PAYEE]],"")</f>
        <v/>
      </c>
      <c r="Y68" s="65" t="str">
        <f>IF(Tableau8[[#This Row],[marché]]="AUTRE",VLOOKUP($B68,Tableau16[[Ref]:[AUTRE]],19,FALSE)-Tableau8[[#This Row],[PAYEE]],"")</f>
        <v/>
      </c>
      <c r="Z68" s="65"/>
      <c r="AA68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69" spans="1:27" ht="15.75">
      <c r="A69" s="265"/>
      <c r="B69" s="130" t="str">
        <f>CONCATENATE(Tableau8[[#This Row],[CT
INDIRECT CHANTIER]],Tableau8[[#This Row],[NOM CHANTIER
INDIRECT ST]],Tableau8[[#This Row],[Sous Traitant]],Tableau8[[#This Row],[MO
INDIRECT CT]])</f>
        <v>SEBCOMBS ICADEAZORG</v>
      </c>
      <c r="C69" s="231" t="s">
        <v>171</v>
      </c>
      <c r="D69" s="232" t="s">
        <v>114</v>
      </c>
      <c r="E69" s="232" t="s">
        <v>164</v>
      </c>
      <c r="F69" s="233" t="s">
        <v>203</v>
      </c>
      <c r="G69" s="58" t="str">
        <f>IFERROR(IF(B69="","",VLOOKUP(B69,Tableau16[[Ref]:[CP]],6,FALSE)),"")</f>
        <v/>
      </c>
      <c r="H69" s="58" t="str">
        <f>IFERROR(IF(B69="","",VLOOKUP(B69,Tableau16[[Ref]:[CP]],7,FALSE)),"")</f>
        <v/>
      </c>
      <c r="I69" s="128" t="str">
        <f>CONCATENATE(Tableau8[[#This Row],[CT
INDIRECT CHANTIER]],Tableau8[[#This Row],[NOM CHANTIER
INDIRECT ST]],Tableau8[[#This Row],[Sous Traitant]],Tableau8[[#This Row],[MO
INDIRECT CT]],Tableau8[[#This Row],[marché]])</f>
        <v>SEBCOMBS ICADEAZORGMARCHEINT</v>
      </c>
      <c r="J69" s="205">
        <f>COUNTIF($I$4:I69,Tableau8[[#This Row],[REF FACT]])</f>
        <v>1</v>
      </c>
      <c r="K69" s="61" t="s">
        <v>115</v>
      </c>
      <c r="L69" s="62">
        <v>44043</v>
      </c>
      <c r="M69" s="58" t="str">
        <f>IF(Tableau8[[#This Row],[Sous Traitant]]&gt;1,VLOOKUP(Tableau8[[#This Row],[Sous Traitant]],Tableau11[[SOUS TRAITANT]:[DELAIS PAIEMENT]],4,FALSE),"")</f>
        <v>45J</v>
      </c>
      <c r="N69" s="63">
        <f t="shared" si="0"/>
        <v>44089</v>
      </c>
      <c r="O69" s="141" t="s">
        <v>158</v>
      </c>
      <c r="P69" s="71">
        <v>10979.72</v>
      </c>
      <c r="Q69" s="60" t="s">
        <v>161</v>
      </c>
      <c r="R69" s="114"/>
      <c r="S69" s="68" t="s">
        <v>96</v>
      </c>
      <c r="T69" s="65">
        <f>SUMIFS($P$4:P69,$I$4:I69,I69)</f>
        <v>10979.72</v>
      </c>
      <c r="U69" s="65" t="e">
        <f>IF(Tableau8[[#This Row],[marché]]="MARCHEINT",VLOOKUP($B69,Tableau16[[Ref]:[AUTRE]],13,FALSE)-Tableau8[[#This Row],[PAYEE]],"")</f>
        <v>#N/A</v>
      </c>
      <c r="V69" s="65" t="str">
        <f>IF(Tableau8[[#This Row],[marché]]="MARCHEEXT",VLOOKUP($B69,Tableau16[[Ref]:[AUTRE]],14,FALSE)-Tableau8[[#This Row],[PAYEE]],"")</f>
        <v/>
      </c>
      <c r="W69" s="65" t="str">
        <f>IF(Tableau8[[#This Row],[marché]]="RG_5%",VLOOKUP($B69,Tableau16[[Ref]:[AUTRE]],15,FALSE)-Tableau8[[#This Row],[PAYEE]],"")</f>
        <v/>
      </c>
      <c r="X69" s="65" t="str">
        <f>IF(Tableau8[[#This Row],[marché]]="BFT_5%",VLOOKUP($B69,Tableau16[[Ref]:[AUTRE]],17,FALSE)-Tableau8[[#This Row],[PAYEE]],"")</f>
        <v/>
      </c>
      <c r="Y69" s="65" t="str">
        <f>IF(Tableau8[[#This Row],[marché]]="AUTRE",VLOOKUP($B69,Tableau16[[Ref]:[AUTRE]],19,FALSE)-Tableau8[[#This Row],[PAYEE]],"")</f>
        <v/>
      </c>
      <c r="Z69" s="65"/>
      <c r="AA69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70" spans="1:27" ht="15.75">
      <c r="A70" s="265"/>
      <c r="B70" s="130" t="str">
        <f>CONCATENATE(Tableau8[[#This Row],[CT
INDIRECT CHANTIER]],Tableau8[[#This Row],[NOM CHANTIER
INDIRECT ST]],Tableau8[[#This Row],[Sous Traitant]],Tableau8[[#This Row],[MO
INDIRECT CT]])</f>
        <v>SEBCOMBS ICADEAZORG</v>
      </c>
      <c r="C70" s="231" t="s">
        <v>171</v>
      </c>
      <c r="D70" s="232" t="s">
        <v>114</v>
      </c>
      <c r="E70" s="232" t="s">
        <v>164</v>
      </c>
      <c r="F70" s="233" t="s">
        <v>203</v>
      </c>
      <c r="G70" s="58" t="str">
        <f>IFERROR(IF(B70="","",VLOOKUP(B70,Tableau16[[Ref]:[CP]],6,FALSE)),"")</f>
        <v/>
      </c>
      <c r="H70" s="58" t="str">
        <f>IFERROR(IF(B70="","",VLOOKUP(B70,Tableau16[[Ref]:[CP]],7,FALSE)),"")</f>
        <v/>
      </c>
      <c r="I70" s="128" t="str">
        <f>CONCATENATE(Tableau8[[#This Row],[CT
INDIRECT CHANTIER]],Tableau8[[#This Row],[NOM CHANTIER
INDIRECT ST]],Tableau8[[#This Row],[Sous Traitant]],Tableau8[[#This Row],[MO
INDIRECT CT]],Tableau8[[#This Row],[marché]])</f>
        <v>SEBCOMBS ICADEAZORGMARCHEINT</v>
      </c>
      <c r="J70" s="205">
        <f>COUNTIF($I$4:I70,Tableau8[[#This Row],[REF FACT]])</f>
        <v>2</v>
      </c>
      <c r="K70" s="61" t="s">
        <v>116</v>
      </c>
      <c r="L70" s="62">
        <v>44043</v>
      </c>
      <c r="M70" s="58" t="str">
        <f>IF(Tableau8[[#This Row],[Sous Traitant]]&gt;1,VLOOKUP(Tableau8[[#This Row],[Sous Traitant]],Tableau11[[SOUS TRAITANT]:[DELAIS PAIEMENT]],4,FALSE),"")</f>
        <v>45J</v>
      </c>
      <c r="N70" s="63">
        <f t="shared" si="0"/>
        <v>44089</v>
      </c>
      <c r="O70" s="141" t="s">
        <v>158</v>
      </c>
      <c r="P70" s="71">
        <v>5347.45</v>
      </c>
      <c r="Q70" s="60" t="s">
        <v>161</v>
      </c>
      <c r="R70" s="114"/>
      <c r="S70" s="68" t="s">
        <v>96</v>
      </c>
      <c r="T70" s="65">
        <f>SUMIFS($P$4:P70,$I$4:I70,I70)</f>
        <v>16327.169999999998</v>
      </c>
      <c r="U70" s="65" t="e">
        <f>IF(Tableau8[[#This Row],[marché]]="MARCHEINT",VLOOKUP($B70,Tableau16[[Ref]:[AUTRE]],13,FALSE)-Tableau8[[#This Row],[PAYEE]],"")</f>
        <v>#N/A</v>
      </c>
      <c r="V70" s="65" t="str">
        <f>IF(Tableau8[[#This Row],[marché]]="MARCHEEXT",VLOOKUP($B70,Tableau16[[Ref]:[AUTRE]],14,FALSE)-Tableau8[[#This Row],[PAYEE]],"")</f>
        <v/>
      </c>
      <c r="W70" s="65" t="str">
        <f>IF(Tableau8[[#This Row],[marché]]="RG_5%",VLOOKUP($B70,Tableau16[[Ref]:[AUTRE]],15,FALSE)-Tableau8[[#This Row],[PAYEE]],"")</f>
        <v/>
      </c>
      <c r="X70" s="65" t="str">
        <f>IF(Tableau8[[#This Row],[marché]]="BFT_5%",VLOOKUP($B70,Tableau16[[Ref]:[AUTRE]],17,FALSE)-Tableau8[[#This Row],[PAYEE]],"")</f>
        <v/>
      </c>
      <c r="Y70" s="65" t="str">
        <f>IF(Tableau8[[#This Row],[marché]]="AUTRE",VLOOKUP($B70,Tableau16[[Ref]:[AUTRE]],19,FALSE)-Tableau8[[#This Row],[PAYEE]],"")</f>
        <v/>
      </c>
      <c r="Z70" s="65"/>
      <c r="AA70" s="164" t="e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>#N/A</v>
      </c>
    </row>
    <row r="71" spans="1:27" ht="15.75">
      <c r="A71" s="265"/>
      <c r="B71" s="130" t="str">
        <f>CONCATENATE(Tableau8[[#This Row],[CT
INDIRECT CHANTIER]],Tableau8[[#This Row],[NOM CHANTIER
INDIRECT ST]],Tableau8[[#This Row],[Sous Traitant]],Tableau8[[#This Row],[MO
INDIRECT CT]])</f>
        <v/>
      </c>
      <c r="C71" s="231"/>
      <c r="D71" s="232"/>
      <c r="E71" s="232"/>
      <c r="F71" s="233"/>
      <c r="G71" s="58"/>
      <c r="H71" s="58"/>
      <c r="I71" s="128"/>
      <c r="J71" s="205">
        <f>COUNTIF($I$4:I71,Tableau8[[#This Row],[REF FACT]])</f>
        <v>0</v>
      </c>
      <c r="K71" s="61"/>
      <c r="L71" s="62"/>
      <c r="M71" s="58" t="str">
        <f>IF(Tableau8[[#This Row],[Sous Traitant]]&gt;1,VLOOKUP(Tableau8[[#This Row],[Sous Traitant]],Tableau11[[SOUS TRAITANT]:[DELAIS PAIEMENT]],4,FALSE),"")</f>
        <v/>
      </c>
      <c r="N71" s="63"/>
      <c r="O71" s="141"/>
      <c r="P71" s="71"/>
      <c r="Q71" s="60"/>
      <c r="R71" s="114"/>
      <c r="S71" s="68"/>
      <c r="T71" s="65">
        <f>SUMIFS($P$4:P71,$I$4:I71,I71)</f>
        <v>0</v>
      </c>
      <c r="U71" s="65" t="str">
        <f>IF(Tableau8[[#This Row],[marché]]="MARCHEINT",VLOOKUP($B71,Tableau16[[Ref]:[AUTRE]],13,FALSE)-Tableau8[[#This Row],[PAYEE]],"")</f>
        <v/>
      </c>
      <c r="V71" s="65" t="str">
        <f>IF(Tableau8[[#This Row],[marché]]="MARCHEEXT",VLOOKUP($B71,Tableau16[[Ref]:[AUTRE]],14,FALSE)-Tableau8[[#This Row],[PAYEE]],"")</f>
        <v/>
      </c>
      <c r="W71" s="65" t="str">
        <f>IF(Tableau8[[#This Row],[marché]]="RG_5%",VLOOKUP($B71,Tableau16[[Ref]:[AUTRE]],15,FALSE)-Tableau8[[#This Row],[PAYEE]],"")</f>
        <v/>
      </c>
      <c r="X71" s="65" t="str">
        <f>IF(Tableau8[[#This Row],[marché]]="BFT_5%",VLOOKUP($B71,Tableau16[[Ref]:[AUTRE]],17,FALSE)-Tableau8[[#This Row],[PAYEE]],"")</f>
        <v/>
      </c>
      <c r="Y71" s="65" t="str">
        <f>IF(Tableau8[[#This Row],[marché]]="AUTRE",VLOOKUP($B71,Tableau16[[Ref]:[AUTRE]],19,FALSE)-Tableau8[[#This Row],[PAYEE]],"")</f>
        <v/>
      </c>
      <c r="Z71" s="65"/>
      <c r="AA71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72" spans="1:27" ht="15.75">
      <c r="A72" s="265"/>
      <c r="B72" s="130" t="str">
        <f>CONCATENATE(Tableau8[[#This Row],[CT
INDIRECT CHANTIER]],Tableau8[[#This Row],[NOM CHANTIER
INDIRECT ST]],Tableau8[[#This Row],[Sous Traitant]],Tableau8[[#This Row],[MO
INDIRECT CT]])</f>
        <v/>
      </c>
      <c r="C72" s="231"/>
      <c r="D72" s="232"/>
      <c r="E72" s="232"/>
      <c r="F72" s="233"/>
      <c r="G72" s="58"/>
      <c r="H72" s="58"/>
      <c r="I72" s="128"/>
      <c r="J72" s="205">
        <f>COUNTIF($I$4:I72,Tableau8[[#This Row],[REF FACT]])</f>
        <v>0</v>
      </c>
      <c r="K72" s="61"/>
      <c r="L72" s="62"/>
      <c r="M72" s="58" t="str">
        <f>IF(Tableau8[[#This Row],[Sous Traitant]]&gt;1,VLOOKUP(Tableau8[[#This Row],[Sous Traitant]],Tableau11[[SOUS TRAITANT]:[DELAIS PAIEMENT]],4,FALSE),"")</f>
        <v/>
      </c>
      <c r="N72" s="63"/>
      <c r="O72" s="141"/>
      <c r="P72" s="71"/>
      <c r="Q72" s="60"/>
      <c r="R72" s="114"/>
      <c r="S72" s="68"/>
      <c r="T72" s="65">
        <f>SUMIFS($P$4:P72,$I$4:I72,I72)</f>
        <v>0</v>
      </c>
      <c r="U72" s="65" t="str">
        <f>IF(Tableau8[[#This Row],[marché]]="MARCHEINT",VLOOKUP($B72,Tableau16[[Ref]:[AUTRE]],13,FALSE)-Tableau8[[#This Row],[PAYEE]],"")</f>
        <v/>
      </c>
      <c r="V72" s="65" t="str">
        <f>IF(Tableau8[[#This Row],[marché]]="MARCHEEXT",VLOOKUP($B72,Tableau16[[Ref]:[AUTRE]],14,FALSE)-Tableau8[[#This Row],[PAYEE]],"")</f>
        <v/>
      </c>
      <c r="W72" s="65" t="str">
        <f>IF(Tableau8[[#This Row],[marché]]="RG_5%",VLOOKUP($B72,Tableau16[[Ref]:[AUTRE]],15,FALSE)-Tableau8[[#This Row],[PAYEE]],"")</f>
        <v/>
      </c>
      <c r="X72" s="65" t="str">
        <f>IF(Tableau8[[#This Row],[marché]]="BFT_5%",VLOOKUP($B72,Tableau16[[Ref]:[AUTRE]],17,FALSE)-Tableau8[[#This Row],[PAYEE]],"")</f>
        <v/>
      </c>
      <c r="Y72" s="65" t="str">
        <f>IF(Tableau8[[#This Row],[marché]]="AUTRE",VLOOKUP($B72,Tableau16[[Ref]:[AUTRE]],19,FALSE)-Tableau8[[#This Row],[PAYEE]],"")</f>
        <v/>
      </c>
      <c r="Z72" s="65"/>
      <c r="AA72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73" spans="1:27" ht="15.75">
      <c r="A73" s="265"/>
      <c r="B73" s="130" t="str">
        <f>CONCATENATE(Tableau8[[#This Row],[CT
INDIRECT CHANTIER]],Tableau8[[#This Row],[NOM CHANTIER
INDIRECT ST]],Tableau8[[#This Row],[Sous Traitant]],Tableau8[[#This Row],[MO
INDIRECT CT]])</f>
        <v/>
      </c>
      <c r="C73" s="231"/>
      <c r="D73" s="232"/>
      <c r="E73" s="232"/>
      <c r="F73" s="233"/>
      <c r="G73" s="58"/>
      <c r="H73" s="58"/>
      <c r="I73" s="127"/>
      <c r="J73" s="205">
        <f>COUNTIF($I$4:I73,Tableau8[[#This Row],[REF FACT]])</f>
        <v>0</v>
      </c>
      <c r="K73" s="61"/>
      <c r="L73" s="62"/>
      <c r="M73" s="58" t="str">
        <f>IF(Tableau8[[#This Row],[Sous Traitant]]&gt;1,VLOOKUP(Tableau8[[#This Row],[Sous Traitant]],Tableau11[[SOUS TRAITANT]:[DELAIS PAIEMENT]],4,FALSE),"")</f>
        <v/>
      </c>
      <c r="N73" s="63"/>
      <c r="O73" s="141"/>
      <c r="P73" s="64"/>
      <c r="Q73" s="60"/>
      <c r="R73" s="114"/>
      <c r="S73" s="68"/>
      <c r="T73" s="65">
        <f>SUMIFS($P$4:P73,$I$4:I73,I73)</f>
        <v>0</v>
      </c>
      <c r="U73" s="65" t="str">
        <f>IF(Tableau8[[#This Row],[marché]]="MARCHEINT",VLOOKUP($B73,Tableau16[[Ref]:[AUTRE]],13,FALSE)-Tableau8[[#This Row],[PAYEE]],"")</f>
        <v/>
      </c>
      <c r="V73" s="65" t="str">
        <f>IF(Tableau8[[#This Row],[marché]]="MARCHEEXT",VLOOKUP($B73,Tableau16[[Ref]:[AUTRE]],14,FALSE)-Tableau8[[#This Row],[PAYEE]],"")</f>
        <v/>
      </c>
      <c r="W73" s="65" t="str">
        <f>IF(Tableau8[[#This Row],[marché]]="RG_5%",VLOOKUP($B73,Tableau16[[Ref]:[AUTRE]],15,FALSE)-Tableau8[[#This Row],[PAYEE]],"")</f>
        <v/>
      </c>
      <c r="X73" s="65" t="str">
        <f>IF(Tableau8[[#This Row],[marché]]="BFT_5%",VLOOKUP($B73,Tableau16[[Ref]:[AUTRE]],17,FALSE)-Tableau8[[#This Row],[PAYEE]],"")</f>
        <v/>
      </c>
      <c r="Y73" s="65" t="str">
        <f>IF(Tableau8[[#This Row],[marché]]="AUTRE",VLOOKUP($B73,Tableau16[[Ref]:[AUTRE]],19,FALSE)-Tableau8[[#This Row],[PAYEE]],"")</f>
        <v/>
      </c>
      <c r="Z73" s="65"/>
      <c r="AA73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74" spans="1:27" ht="15.75">
      <c r="A74" s="265"/>
      <c r="B74" s="130" t="str">
        <f>CONCATENATE(Tableau8[[#This Row],[CT
INDIRECT CHANTIER]],Tableau8[[#This Row],[NOM CHANTIER
INDIRECT ST]],Tableau8[[#This Row],[Sous Traitant]],Tableau8[[#This Row],[MO
INDIRECT CT]])</f>
        <v/>
      </c>
      <c r="C74" s="231"/>
      <c r="D74" s="232"/>
      <c r="E74" s="232"/>
      <c r="F74" s="233"/>
      <c r="G74" s="58"/>
      <c r="H74" s="58"/>
      <c r="I74" s="128"/>
      <c r="J74" s="205">
        <f>COUNTIF($I$4:I74,Tableau8[[#This Row],[REF FACT]])</f>
        <v>0</v>
      </c>
      <c r="K74" s="61"/>
      <c r="L74" s="62"/>
      <c r="M74" s="58" t="str">
        <f>IF(Tableau8[[#This Row],[Sous Traitant]]&gt;1,VLOOKUP(Tableau8[[#This Row],[Sous Traitant]],Tableau11[[SOUS TRAITANT]:[DELAIS PAIEMENT]],4,FALSE),"")</f>
        <v/>
      </c>
      <c r="N74" s="63"/>
      <c r="O74" s="141"/>
      <c r="P74" s="71"/>
      <c r="Q74" s="60"/>
      <c r="R74" s="114"/>
      <c r="S74" s="68"/>
      <c r="T74" s="65">
        <f>SUMIFS($P$4:P74,$I$4:I74,I74)</f>
        <v>0</v>
      </c>
      <c r="U74" s="65" t="str">
        <f>IF(Tableau8[[#This Row],[marché]]="MARCHEINT",VLOOKUP($B74,Tableau16[[Ref]:[AUTRE]],13,FALSE)-Tableau8[[#This Row],[PAYEE]],"")</f>
        <v/>
      </c>
      <c r="V74" s="65" t="str">
        <f>IF(Tableau8[[#This Row],[marché]]="MARCHEEXT",VLOOKUP($B74,Tableau16[[Ref]:[AUTRE]],14,FALSE)-Tableau8[[#This Row],[PAYEE]],"")</f>
        <v/>
      </c>
      <c r="W74" s="65" t="str">
        <f>IF(Tableau8[[#This Row],[marché]]="RG_5%",VLOOKUP($B74,Tableau16[[Ref]:[AUTRE]],15,FALSE)-Tableau8[[#This Row],[PAYEE]],"")</f>
        <v/>
      </c>
      <c r="X74" s="65" t="str">
        <f>IF(Tableau8[[#This Row],[marché]]="BFT_5%",VLOOKUP($B74,Tableau16[[Ref]:[AUTRE]],17,FALSE)-Tableau8[[#This Row],[PAYEE]],"")</f>
        <v/>
      </c>
      <c r="Y74" s="65" t="str">
        <f>IF(Tableau8[[#This Row],[marché]]="AUTRE",VLOOKUP($B74,Tableau16[[Ref]:[AUTRE]],19,FALSE)-Tableau8[[#This Row],[PAYEE]],"")</f>
        <v/>
      </c>
      <c r="Z74" s="65"/>
      <c r="AA74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75" spans="1:27" ht="15.75">
      <c r="A75" s="266"/>
      <c r="B75" s="130" t="str">
        <f>CONCATENATE(Tableau8[[#This Row],[CT
INDIRECT CHANTIER]],Tableau8[[#This Row],[NOM CHANTIER
INDIRECT ST]],Tableau8[[#This Row],[Sous Traitant]],Tableau8[[#This Row],[MO
INDIRECT CT]])</f>
        <v/>
      </c>
      <c r="C75" s="231"/>
      <c r="D75" s="232"/>
      <c r="E75" s="232"/>
      <c r="F75" s="233"/>
      <c r="G75" s="58"/>
      <c r="H75" s="58"/>
      <c r="I75" s="128"/>
      <c r="J75" s="205">
        <f>COUNTIF($I$4:I75,Tableau8[[#This Row],[REF FACT]])</f>
        <v>0</v>
      </c>
      <c r="K75" s="61"/>
      <c r="L75" s="62"/>
      <c r="M75" s="58" t="str">
        <f>IF(Tableau8[[#This Row],[Sous Traitant]]&gt;1,VLOOKUP(Tableau8[[#This Row],[Sous Traitant]],Tableau11[[SOUS TRAITANT]:[DELAIS PAIEMENT]],4,FALSE),"")</f>
        <v/>
      </c>
      <c r="N75" s="63"/>
      <c r="O75" s="141"/>
      <c r="P75" s="71"/>
      <c r="Q75" s="60"/>
      <c r="R75" s="114"/>
      <c r="S75" s="68"/>
      <c r="T75" s="65">
        <f>SUMIFS($P$4:P75,$I$4:I75,I75)</f>
        <v>0</v>
      </c>
      <c r="U75" s="65" t="str">
        <f>IF(Tableau8[[#This Row],[marché]]="MARCHEINT",VLOOKUP($B75,Tableau16[[Ref]:[AUTRE]],13,FALSE)-Tableau8[[#This Row],[PAYEE]],"")</f>
        <v/>
      </c>
      <c r="V75" s="65" t="str">
        <f>IF(Tableau8[[#This Row],[marché]]="MARCHEEXT",VLOOKUP($B75,Tableau16[[Ref]:[AUTRE]],14,FALSE)-Tableau8[[#This Row],[PAYEE]],"")</f>
        <v/>
      </c>
      <c r="W75" s="65" t="str">
        <f>IF(Tableau8[[#This Row],[marché]]="RG_5%",VLOOKUP($B75,Tableau16[[Ref]:[AUTRE]],15,FALSE)-Tableau8[[#This Row],[PAYEE]],"")</f>
        <v/>
      </c>
      <c r="X75" s="65" t="str">
        <f>IF(Tableau8[[#This Row],[marché]]="BFT_5%",VLOOKUP($B75,Tableau16[[Ref]:[AUTRE]],17,FALSE)-Tableau8[[#This Row],[PAYEE]],"")</f>
        <v/>
      </c>
      <c r="Y75" s="65" t="str">
        <f>IF(Tableau8[[#This Row],[marché]]="AUTRE",VLOOKUP($B75,Tableau16[[Ref]:[AUTRE]],19,FALSE)-Tableau8[[#This Row],[PAYEE]],"")</f>
        <v/>
      </c>
      <c r="Z75" s="65"/>
      <c r="AA75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76" spans="1:27" ht="15.75">
      <c r="A76" s="261" t="s">
        <v>117</v>
      </c>
      <c r="B76" s="130" t="str">
        <f>CONCATENATE(Tableau8[[#This Row],[CT
INDIRECT CHANTIER]],Tableau8[[#This Row],[NOM CHANTIER
INDIRECT ST]],Tableau8[[#This Row],[Sous Traitant]],Tableau8[[#This Row],[MO
INDIRECT CT]])</f>
        <v/>
      </c>
      <c r="C76" s="234"/>
      <c r="D76" s="235"/>
      <c r="E76" s="232"/>
      <c r="F76" s="233"/>
      <c r="G76" s="58"/>
      <c r="H76" s="58"/>
      <c r="I76" s="124"/>
      <c r="J76" s="205">
        <f>COUNTIF($I$4:I76,Tableau8[[#This Row],[REF FACT]])</f>
        <v>0</v>
      </c>
      <c r="K76" s="73"/>
      <c r="L76" s="69"/>
      <c r="M76" s="58" t="str">
        <f>IF(Tableau8[[#This Row],[Sous Traitant]]&gt;1,VLOOKUP(Tableau8[[#This Row],[Sous Traitant]],Tableau11[[SOUS TRAITANT]:[DELAIS PAIEMENT]],4,FALSE),"")</f>
        <v/>
      </c>
      <c r="N76" s="74"/>
      <c r="O76" s="141"/>
      <c r="P76" s="38"/>
      <c r="Q76" s="60"/>
      <c r="R76" s="114"/>
      <c r="S76" s="154"/>
      <c r="T76" s="65">
        <f>SUMIFS($P$4:P76,$I$4:I76,I76)</f>
        <v>0</v>
      </c>
      <c r="U76" s="65" t="str">
        <f>IF(Tableau8[[#This Row],[marché]]="MARCHEINT",VLOOKUP($B76,Tableau16[[Ref]:[AUTRE]],13,FALSE)-Tableau8[[#This Row],[PAYEE]],"")</f>
        <v/>
      </c>
      <c r="V76" s="65" t="str">
        <f>IF(Tableau8[[#This Row],[marché]]="MARCHEEXT",VLOOKUP($B76,Tableau16[[Ref]:[AUTRE]],14,FALSE)-Tableau8[[#This Row],[PAYEE]],"")</f>
        <v/>
      </c>
      <c r="W76" s="65" t="str">
        <f>IF(Tableau8[[#This Row],[marché]]="RG_5%",VLOOKUP($B76,Tableau16[[Ref]:[AUTRE]],15,FALSE)-Tableau8[[#This Row],[PAYEE]],"")</f>
        <v/>
      </c>
      <c r="X76" s="65" t="str">
        <f>IF(Tableau8[[#This Row],[marché]]="BFT_5%",VLOOKUP($B76,Tableau16[[Ref]:[AUTRE]],17,FALSE)-Tableau8[[#This Row],[PAYEE]],"")</f>
        <v/>
      </c>
      <c r="Y76" s="65" t="str">
        <f>IF(Tableau8[[#This Row],[marché]]="AUTRE",VLOOKUP($B76,Tableau16[[Ref]:[AUTRE]],19,FALSE)-Tableau8[[#This Row],[PAYEE]],"")</f>
        <v/>
      </c>
      <c r="Z76" s="65"/>
      <c r="AA76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77" spans="1:27" ht="15.75">
      <c r="A77" s="262"/>
      <c r="B77" s="130" t="str">
        <f>CONCATENATE(Tableau8[[#This Row],[CT
INDIRECT CHANTIER]],Tableau8[[#This Row],[NOM CHANTIER
INDIRECT ST]],Tableau8[[#This Row],[Sous Traitant]],Tableau8[[#This Row],[MO
INDIRECT CT]])</f>
        <v/>
      </c>
      <c r="C77" s="234"/>
      <c r="D77" s="235"/>
      <c r="E77" s="232"/>
      <c r="F77" s="233"/>
      <c r="G77" s="58"/>
      <c r="H77" s="58"/>
      <c r="I77" s="124"/>
      <c r="J77" s="205">
        <f>COUNTIF($I$4:I77,Tableau8[[#This Row],[REF FACT]])</f>
        <v>0</v>
      </c>
      <c r="K77" s="73"/>
      <c r="L77" s="69"/>
      <c r="M77" s="58" t="str">
        <f>IF(Tableau8[[#This Row],[Sous Traitant]]&gt;1,VLOOKUP(Tableau8[[#This Row],[Sous Traitant]],Tableau11[[SOUS TRAITANT]:[DELAIS PAIEMENT]],4,FALSE),"")</f>
        <v/>
      </c>
      <c r="N77" s="74"/>
      <c r="O77" s="141"/>
      <c r="P77" s="38"/>
      <c r="Q77" s="60"/>
      <c r="R77" s="114"/>
      <c r="S77" s="154"/>
      <c r="T77" s="65">
        <f>SUMIFS($P$4:P77,$I$4:I77,I77)</f>
        <v>0</v>
      </c>
      <c r="U77" s="65" t="str">
        <f>IF(Tableau8[[#This Row],[marché]]="MARCHEINT",VLOOKUP($B77,Tableau16[[Ref]:[AUTRE]],13,FALSE)-Tableau8[[#This Row],[PAYEE]],"")</f>
        <v/>
      </c>
      <c r="V77" s="65" t="str">
        <f>IF(Tableau8[[#This Row],[marché]]="MARCHEEXT",VLOOKUP($B77,Tableau16[[Ref]:[AUTRE]],14,FALSE)-Tableau8[[#This Row],[PAYEE]],"")</f>
        <v/>
      </c>
      <c r="W77" s="65" t="str">
        <f>IF(Tableau8[[#This Row],[marché]]="RG_5%",VLOOKUP($B77,Tableau16[[Ref]:[AUTRE]],15,FALSE)-Tableau8[[#This Row],[PAYEE]],"")</f>
        <v/>
      </c>
      <c r="X77" s="65" t="str">
        <f>IF(Tableau8[[#This Row],[marché]]="BFT_5%",VLOOKUP($B77,Tableau16[[Ref]:[AUTRE]],17,FALSE)-Tableau8[[#This Row],[PAYEE]],"")</f>
        <v/>
      </c>
      <c r="Y77" s="65" t="str">
        <f>IF(Tableau8[[#This Row],[marché]]="AUTRE",VLOOKUP($B77,Tableau16[[Ref]:[AUTRE]],19,FALSE)-Tableau8[[#This Row],[PAYEE]],"")</f>
        <v/>
      </c>
      <c r="Z77" s="65"/>
      <c r="AA77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78" spans="1:27" ht="15.75">
      <c r="A78" s="262"/>
      <c r="B78" s="130" t="str">
        <f>CONCATENATE(Tableau8[[#This Row],[CT
INDIRECT CHANTIER]],Tableau8[[#This Row],[NOM CHANTIER
INDIRECT ST]],Tableau8[[#This Row],[Sous Traitant]],Tableau8[[#This Row],[MO
INDIRECT CT]])</f>
        <v/>
      </c>
      <c r="C78" s="234"/>
      <c r="D78" s="235"/>
      <c r="E78" s="232"/>
      <c r="F78" s="233"/>
      <c r="G78" s="58"/>
      <c r="H78" s="58"/>
      <c r="I78" s="124"/>
      <c r="J78" s="205">
        <f>COUNTIF($I$4:I78,Tableau8[[#This Row],[REF FACT]])</f>
        <v>0</v>
      </c>
      <c r="K78" s="73"/>
      <c r="L78" s="69"/>
      <c r="M78" s="58" t="str">
        <f>IF(Tableau8[[#This Row],[Sous Traitant]]&gt;1,VLOOKUP(Tableau8[[#This Row],[Sous Traitant]],Tableau11[[SOUS TRAITANT]:[DELAIS PAIEMENT]],4,FALSE),"")</f>
        <v/>
      </c>
      <c r="N78" s="74"/>
      <c r="O78" s="141"/>
      <c r="P78" s="38"/>
      <c r="Q78" s="60"/>
      <c r="R78" s="114"/>
      <c r="S78" s="154"/>
      <c r="T78" s="65">
        <f>SUMIFS($P$4:P78,$I$4:I78,I78)</f>
        <v>0</v>
      </c>
      <c r="U78" s="65" t="str">
        <f>IF(Tableau8[[#This Row],[marché]]="MARCHEINT",VLOOKUP($B78,Tableau16[[Ref]:[AUTRE]],13,FALSE)-Tableau8[[#This Row],[PAYEE]],"")</f>
        <v/>
      </c>
      <c r="V78" s="65" t="str">
        <f>IF(Tableau8[[#This Row],[marché]]="MARCHEEXT",VLOOKUP($B78,Tableau16[[Ref]:[AUTRE]],14,FALSE)-Tableau8[[#This Row],[PAYEE]],"")</f>
        <v/>
      </c>
      <c r="W78" s="65" t="str">
        <f>IF(Tableau8[[#This Row],[marché]]="RG_5%",VLOOKUP($B78,Tableau16[[Ref]:[AUTRE]],15,FALSE)-Tableau8[[#This Row],[PAYEE]],"")</f>
        <v/>
      </c>
      <c r="X78" s="65" t="str">
        <f>IF(Tableau8[[#This Row],[marché]]="BFT_5%",VLOOKUP($B78,Tableau16[[Ref]:[AUTRE]],17,FALSE)-Tableau8[[#This Row],[PAYEE]],"")</f>
        <v/>
      </c>
      <c r="Y78" s="65" t="str">
        <f>IF(Tableau8[[#This Row],[marché]]="AUTRE",VLOOKUP($B78,Tableau16[[Ref]:[AUTRE]],19,FALSE)-Tableau8[[#This Row],[PAYEE]],"")</f>
        <v/>
      </c>
      <c r="Z78" s="65"/>
      <c r="AA78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79" spans="1:27" ht="15.75">
      <c r="A79" s="263"/>
      <c r="B79" s="130" t="str">
        <f>CONCATENATE(Tableau8[[#This Row],[CT
INDIRECT CHANTIER]],Tableau8[[#This Row],[NOM CHANTIER
INDIRECT ST]],Tableau8[[#This Row],[Sous Traitant]],Tableau8[[#This Row],[MO
INDIRECT CT]])</f>
        <v/>
      </c>
      <c r="C79" s="234"/>
      <c r="D79" s="235"/>
      <c r="E79" s="232"/>
      <c r="F79" s="233"/>
      <c r="G79" s="58"/>
      <c r="H79" s="58"/>
      <c r="I79" s="124"/>
      <c r="J79" s="205">
        <f>COUNTIF($I$4:I79,Tableau8[[#This Row],[REF FACT]])</f>
        <v>0</v>
      </c>
      <c r="K79" s="73"/>
      <c r="L79" s="69"/>
      <c r="M79" s="58" t="str">
        <f>IF(Tableau8[[#This Row],[Sous Traitant]]&gt;1,VLOOKUP(Tableau8[[#This Row],[Sous Traitant]],Tableau11[[SOUS TRAITANT]:[DELAIS PAIEMENT]],4,FALSE),"")</f>
        <v/>
      </c>
      <c r="N79" s="74"/>
      <c r="O79" s="141"/>
      <c r="P79" s="38"/>
      <c r="Q79" s="60"/>
      <c r="R79" s="114"/>
      <c r="S79" s="154"/>
      <c r="T79" s="65">
        <f>SUMIFS($P$4:P79,$I$4:I79,I79)</f>
        <v>0</v>
      </c>
      <c r="U79" s="65" t="str">
        <f>IF(Tableau8[[#This Row],[marché]]="MARCHEINT",VLOOKUP($B79,Tableau16[[Ref]:[AUTRE]],13,FALSE)-Tableau8[[#This Row],[PAYEE]],"")</f>
        <v/>
      </c>
      <c r="V79" s="65" t="str">
        <f>IF(Tableau8[[#This Row],[marché]]="MARCHEEXT",VLOOKUP($B79,Tableau16[[Ref]:[AUTRE]],14,FALSE)-Tableau8[[#This Row],[PAYEE]],"")</f>
        <v/>
      </c>
      <c r="W79" s="65" t="str">
        <f>IF(Tableau8[[#This Row],[marché]]="RG_5%",VLOOKUP($B79,Tableau16[[Ref]:[AUTRE]],15,FALSE)-Tableau8[[#This Row],[PAYEE]],"")</f>
        <v/>
      </c>
      <c r="X79" s="65" t="str">
        <f>IF(Tableau8[[#This Row],[marché]]="BFT_5%",VLOOKUP($B79,Tableau16[[Ref]:[AUTRE]],17,FALSE)-Tableau8[[#This Row],[PAYEE]],"")</f>
        <v/>
      </c>
      <c r="Y79" s="65" t="str">
        <f>IF(Tableau8[[#This Row],[marché]]="AUTRE",VLOOKUP($B79,Tableau16[[Ref]:[AUTRE]],19,FALSE)-Tableau8[[#This Row],[PAYEE]],"")</f>
        <v/>
      </c>
      <c r="Z79" s="65"/>
      <c r="AA79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80" spans="1:27" ht="15.75">
      <c r="A80" s="261" t="s">
        <v>118</v>
      </c>
      <c r="B80" s="130" t="str">
        <f>CONCATENATE(Tableau8[[#This Row],[CT
INDIRECT CHANTIER]],Tableau8[[#This Row],[NOM CHANTIER
INDIRECT ST]],Tableau8[[#This Row],[Sous Traitant]],Tableau8[[#This Row],[MO
INDIRECT CT]])</f>
        <v/>
      </c>
      <c r="C80" s="234"/>
      <c r="D80" s="235"/>
      <c r="E80" s="232"/>
      <c r="F80" s="233"/>
      <c r="G80" s="58"/>
      <c r="H80" s="58"/>
      <c r="I80" s="124"/>
      <c r="J80" s="205">
        <f>COUNTIF($I$4:I80,Tableau8[[#This Row],[REF FACT]])</f>
        <v>0</v>
      </c>
      <c r="K80" s="73"/>
      <c r="L80" s="69"/>
      <c r="M80" s="58" t="str">
        <f>IF(Tableau8[[#This Row],[Sous Traitant]]&gt;1,VLOOKUP(Tableau8[[#This Row],[Sous Traitant]],Tableau11[[SOUS TRAITANT]:[DELAIS PAIEMENT]],4,FALSE),"")</f>
        <v/>
      </c>
      <c r="N80" s="74"/>
      <c r="O80" s="141"/>
      <c r="P80" s="38"/>
      <c r="Q80" s="60"/>
      <c r="R80" s="114"/>
      <c r="S80" s="154"/>
      <c r="T80" s="65">
        <f>SUMIFS($P$4:P80,$I$4:I80,I80)</f>
        <v>0</v>
      </c>
      <c r="U80" s="65" t="str">
        <f>IF(Tableau8[[#This Row],[marché]]="MARCHEINT",VLOOKUP($B80,Tableau16[[Ref]:[AUTRE]],13,FALSE)-Tableau8[[#This Row],[PAYEE]],"")</f>
        <v/>
      </c>
      <c r="V80" s="65" t="str">
        <f>IF(Tableau8[[#This Row],[marché]]="MARCHEEXT",VLOOKUP($B80,Tableau16[[Ref]:[AUTRE]],14,FALSE)-Tableau8[[#This Row],[PAYEE]],"")</f>
        <v/>
      </c>
      <c r="W80" s="65" t="str">
        <f>IF(Tableau8[[#This Row],[marché]]="RG_5%",VLOOKUP($B80,Tableau16[[Ref]:[AUTRE]],15,FALSE)-Tableau8[[#This Row],[PAYEE]],"")</f>
        <v/>
      </c>
      <c r="X80" s="65" t="str">
        <f>IF(Tableau8[[#This Row],[marché]]="BFT_5%",VLOOKUP($B80,Tableau16[[Ref]:[AUTRE]],17,FALSE)-Tableau8[[#This Row],[PAYEE]],"")</f>
        <v/>
      </c>
      <c r="Y80" s="65" t="str">
        <f>IF(Tableau8[[#This Row],[marché]]="AUTRE",VLOOKUP($B80,Tableau16[[Ref]:[AUTRE]],19,FALSE)-Tableau8[[#This Row],[PAYEE]],"")</f>
        <v/>
      </c>
      <c r="Z80" s="65"/>
      <c r="AA80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81" spans="1:27" ht="15.75">
      <c r="A81" s="262"/>
      <c r="B81" s="130" t="str">
        <f>CONCATENATE(Tableau8[[#This Row],[CT
INDIRECT CHANTIER]],Tableau8[[#This Row],[NOM CHANTIER
INDIRECT ST]],Tableau8[[#This Row],[Sous Traitant]],Tableau8[[#This Row],[MO
INDIRECT CT]])</f>
        <v/>
      </c>
      <c r="C81" s="234"/>
      <c r="D81" s="235"/>
      <c r="E81" s="232"/>
      <c r="F81" s="233"/>
      <c r="G81" s="58"/>
      <c r="H81" s="58"/>
      <c r="I81" s="124"/>
      <c r="J81" s="205">
        <f>COUNTIF($I$4:I81,Tableau8[[#This Row],[REF FACT]])</f>
        <v>0</v>
      </c>
      <c r="K81" s="73"/>
      <c r="L81" s="69"/>
      <c r="M81" s="58" t="str">
        <f>IF(Tableau8[[#This Row],[Sous Traitant]]&gt;1,VLOOKUP(Tableau8[[#This Row],[Sous Traitant]],Tableau11[[SOUS TRAITANT]:[DELAIS PAIEMENT]],4,FALSE),"")</f>
        <v/>
      </c>
      <c r="N81" s="74"/>
      <c r="O81" s="141"/>
      <c r="P81" s="38"/>
      <c r="Q81" s="60"/>
      <c r="R81" s="114"/>
      <c r="S81" s="154"/>
      <c r="T81" s="65">
        <f>SUMIFS($P$4:P81,$I$4:I81,I81)</f>
        <v>0</v>
      </c>
      <c r="U81" s="65" t="str">
        <f>IF(Tableau8[[#This Row],[marché]]="MARCHEINT",VLOOKUP($B81,Tableau16[[Ref]:[AUTRE]],13,FALSE)-Tableau8[[#This Row],[PAYEE]],"")</f>
        <v/>
      </c>
      <c r="V81" s="65" t="str">
        <f>IF(Tableau8[[#This Row],[marché]]="MARCHEEXT",VLOOKUP($B81,Tableau16[[Ref]:[AUTRE]],14,FALSE)-Tableau8[[#This Row],[PAYEE]],"")</f>
        <v/>
      </c>
      <c r="W81" s="65" t="str">
        <f>IF(Tableau8[[#This Row],[marché]]="RG_5%",VLOOKUP($B81,Tableau16[[Ref]:[AUTRE]],15,FALSE)-Tableau8[[#This Row],[PAYEE]],"")</f>
        <v/>
      </c>
      <c r="X81" s="65" t="str">
        <f>IF(Tableau8[[#This Row],[marché]]="BFT_5%",VLOOKUP($B81,Tableau16[[Ref]:[AUTRE]],17,FALSE)-Tableau8[[#This Row],[PAYEE]],"")</f>
        <v/>
      </c>
      <c r="Y81" s="65" t="str">
        <f>IF(Tableau8[[#This Row],[marché]]="AUTRE",VLOOKUP($B81,Tableau16[[Ref]:[AUTRE]],19,FALSE)-Tableau8[[#This Row],[PAYEE]],"")</f>
        <v/>
      </c>
      <c r="Z81" s="65"/>
      <c r="AA81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82" spans="1:27" ht="15.75">
      <c r="A82" s="262"/>
      <c r="B82" s="130" t="str">
        <f>CONCATENATE(Tableau8[[#This Row],[CT
INDIRECT CHANTIER]],Tableau8[[#This Row],[NOM CHANTIER
INDIRECT ST]],Tableau8[[#This Row],[Sous Traitant]],Tableau8[[#This Row],[MO
INDIRECT CT]])</f>
        <v/>
      </c>
      <c r="C82" s="234"/>
      <c r="D82" s="235"/>
      <c r="E82" s="232"/>
      <c r="F82" s="233"/>
      <c r="G82" s="58"/>
      <c r="H82" s="58"/>
      <c r="I82" s="124"/>
      <c r="J82" s="205">
        <f>COUNTIF($I$4:I82,Tableau8[[#This Row],[REF FACT]])</f>
        <v>0</v>
      </c>
      <c r="K82" s="73"/>
      <c r="L82" s="69"/>
      <c r="M82" s="58" t="str">
        <f>IF(Tableau8[[#This Row],[Sous Traitant]]&gt;1,VLOOKUP(Tableau8[[#This Row],[Sous Traitant]],Tableau11[[SOUS TRAITANT]:[DELAIS PAIEMENT]],4,FALSE),"")</f>
        <v/>
      </c>
      <c r="N82" s="74"/>
      <c r="O82" s="141"/>
      <c r="P82" s="38"/>
      <c r="Q82" s="60"/>
      <c r="R82" s="114"/>
      <c r="S82" s="154"/>
      <c r="T82" s="65">
        <f>SUMIFS($P$4:P82,$I$4:I82,I82)</f>
        <v>0</v>
      </c>
      <c r="U82" s="65" t="str">
        <f>IF(Tableau8[[#This Row],[marché]]="MARCHEINT",VLOOKUP($B82,Tableau16[[Ref]:[AUTRE]],13,FALSE)-Tableau8[[#This Row],[PAYEE]],"")</f>
        <v/>
      </c>
      <c r="V82" s="65" t="str">
        <f>IF(Tableau8[[#This Row],[marché]]="MARCHEEXT",VLOOKUP($B82,Tableau16[[Ref]:[AUTRE]],14,FALSE)-Tableau8[[#This Row],[PAYEE]],"")</f>
        <v/>
      </c>
      <c r="W82" s="65" t="str">
        <f>IF(Tableau8[[#This Row],[marché]]="RG_5%",VLOOKUP($B82,Tableau16[[Ref]:[AUTRE]],15,FALSE)-Tableau8[[#This Row],[PAYEE]],"")</f>
        <v/>
      </c>
      <c r="X82" s="65" t="str">
        <f>IF(Tableau8[[#This Row],[marché]]="BFT_5%",VLOOKUP($B82,Tableau16[[Ref]:[AUTRE]],17,FALSE)-Tableau8[[#This Row],[PAYEE]],"")</f>
        <v/>
      </c>
      <c r="Y82" s="65" t="str">
        <f>IF(Tableau8[[#This Row],[marché]]="AUTRE",VLOOKUP($B82,Tableau16[[Ref]:[AUTRE]],19,FALSE)-Tableau8[[#This Row],[PAYEE]],"")</f>
        <v/>
      </c>
      <c r="Z82" s="65"/>
      <c r="AA82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83" spans="1:27" ht="15.75">
      <c r="A83" s="263"/>
      <c r="B83" s="130" t="str">
        <f>CONCATENATE(Tableau8[[#This Row],[CT
INDIRECT CHANTIER]],Tableau8[[#This Row],[NOM CHANTIER
INDIRECT ST]],Tableau8[[#This Row],[Sous Traitant]],Tableau8[[#This Row],[MO
INDIRECT CT]])</f>
        <v/>
      </c>
      <c r="C83" s="234"/>
      <c r="D83" s="235"/>
      <c r="E83" s="232"/>
      <c r="F83" s="233"/>
      <c r="G83" s="58"/>
      <c r="H83" s="58"/>
      <c r="I83" s="124"/>
      <c r="J83" s="205">
        <f>COUNTIF($I$4:I83,Tableau8[[#This Row],[REF FACT]])</f>
        <v>0</v>
      </c>
      <c r="K83" s="73"/>
      <c r="L83" s="69"/>
      <c r="M83" s="58" t="str">
        <f>IF(Tableau8[[#This Row],[Sous Traitant]]&gt;1,VLOOKUP(Tableau8[[#This Row],[Sous Traitant]],Tableau11[[SOUS TRAITANT]:[DELAIS PAIEMENT]],4,FALSE),"")</f>
        <v/>
      </c>
      <c r="N83" s="74"/>
      <c r="O83" s="141"/>
      <c r="P83" s="38"/>
      <c r="Q83" s="60"/>
      <c r="R83" s="114"/>
      <c r="S83" s="154"/>
      <c r="T83" s="65">
        <f>SUMIFS($P$4:P83,$I$4:I83,I83)</f>
        <v>0</v>
      </c>
      <c r="U83" s="65" t="str">
        <f>IF(Tableau8[[#This Row],[marché]]="MARCHEINT",VLOOKUP($B83,Tableau16[[Ref]:[AUTRE]],13,FALSE)-Tableau8[[#This Row],[PAYEE]],"")</f>
        <v/>
      </c>
      <c r="V83" s="65" t="str">
        <f>IF(Tableau8[[#This Row],[marché]]="MARCHEEXT",VLOOKUP($B83,Tableau16[[Ref]:[AUTRE]],14,FALSE)-Tableau8[[#This Row],[PAYEE]],"")</f>
        <v/>
      </c>
      <c r="W83" s="65" t="str">
        <f>IF(Tableau8[[#This Row],[marché]]="RG_5%",VLOOKUP($B83,Tableau16[[Ref]:[AUTRE]],15,FALSE)-Tableau8[[#This Row],[PAYEE]],"")</f>
        <v/>
      </c>
      <c r="X83" s="65" t="str">
        <f>IF(Tableau8[[#This Row],[marché]]="BFT_5%",VLOOKUP($B83,Tableau16[[Ref]:[AUTRE]],17,FALSE)-Tableau8[[#This Row],[PAYEE]],"")</f>
        <v/>
      </c>
      <c r="Y83" s="65" t="str">
        <f>IF(Tableau8[[#This Row],[marché]]="AUTRE",VLOOKUP($B83,Tableau16[[Ref]:[AUTRE]],19,FALSE)-Tableau8[[#This Row],[PAYEE]],"")</f>
        <v/>
      </c>
      <c r="Z83" s="65"/>
      <c r="AA83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84" spans="1:27" ht="15.75">
      <c r="A84" s="261" t="s">
        <v>119</v>
      </c>
      <c r="B84" s="130" t="str">
        <f>CONCATENATE(Tableau8[[#This Row],[CT
INDIRECT CHANTIER]],Tableau8[[#This Row],[NOM CHANTIER
INDIRECT ST]],Tableau8[[#This Row],[Sous Traitant]],Tableau8[[#This Row],[MO
INDIRECT CT]])</f>
        <v/>
      </c>
      <c r="C84" s="234"/>
      <c r="D84" s="235"/>
      <c r="E84" s="232"/>
      <c r="F84" s="233"/>
      <c r="G84" s="58"/>
      <c r="H84" s="58"/>
      <c r="I84" s="124"/>
      <c r="J84" s="205">
        <f>COUNTIF($I$4:I84,Tableau8[[#This Row],[REF FACT]])</f>
        <v>0</v>
      </c>
      <c r="K84" s="73"/>
      <c r="L84" s="69"/>
      <c r="M84" s="58" t="str">
        <f>IF(Tableau8[[#This Row],[Sous Traitant]]&gt;1,VLOOKUP(Tableau8[[#This Row],[Sous Traitant]],Tableau11[[SOUS TRAITANT]:[DELAIS PAIEMENT]],4,FALSE),"")</f>
        <v/>
      </c>
      <c r="N84" s="74"/>
      <c r="O84" s="141"/>
      <c r="P84" s="38"/>
      <c r="Q84" s="60"/>
      <c r="R84" s="114"/>
      <c r="S84" s="154"/>
      <c r="T84" s="65">
        <f>SUMIFS($P$4:P84,$I$4:I84,I84)</f>
        <v>0</v>
      </c>
      <c r="U84" s="65" t="str">
        <f>IF(Tableau8[[#This Row],[marché]]="MARCHEINT",VLOOKUP($B84,Tableau16[[Ref]:[AUTRE]],13,FALSE)-Tableau8[[#This Row],[PAYEE]],"")</f>
        <v/>
      </c>
      <c r="V84" s="65" t="str">
        <f>IF(Tableau8[[#This Row],[marché]]="MARCHEEXT",VLOOKUP($B84,Tableau16[[Ref]:[AUTRE]],14,FALSE)-Tableau8[[#This Row],[PAYEE]],"")</f>
        <v/>
      </c>
      <c r="W84" s="65" t="str">
        <f>IF(Tableau8[[#This Row],[marché]]="RG_5%",VLOOKUP($B84,Tableau16[[Ref]:[AUTRE]],15,FALSE)-Tableau8[[#This Row],[PAYEE]],"")</f>
        <v/>
      </c>
      <c r="X84" s="65" t="str">
        <f>IF(Tableau8[[#This Row],[marché]]="BFT_5%",VLOOKUP($B84,Tableau16[[Ref]:[AUTRE]],17,FALSE)-Tableau8[[#This Row],[PAYEE]],"")</f>
        <v/>
      </c>
      <c r="Y84" s="65" t="str">
        <f>IF(Tableau8[[#This Row],[marché]]="AUTRE",VLOOKUP($B84,Tableau16[[Ref]:[AUTRE]],19,FALSE)-Tableau8[[#This Row],[PAYEE]],"")</f>
        <v/>
      </c>
      <c r="Z84" s="65"/>
      <c r="AA84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85" spans="1:27" ht="15.75">
      <c r="A85" s="262"/>
      <c r="B85" s="130" t="str">
        <f>CONCATENATE(Tableau8[[#This Row],[CT
INDIRECT CHANTIER]],Tableau8[[#This Row],[NOM CHANTIER
INDIRECT ST]],Tableau8[[#This Row],[Sous Traitant]],Tableau8[[#This Row],[MO
INDIRECT CT]])</f>
        <v/>
      </c>
      <c r="C85" s="234"/>
      <c r="D85" s="235"/>
      <c r="E85" s="232"/>
      <c r="F85" s="233"/>
      <c r="G85" s="58"/>
      <c r="H85" s="58"/>
      <c r="I85" s="124"/>
      <c r="J85" s="205">
        <f>COUNTIF($I$4:I85,Tableau8[[#This Row],[REF FACT]])</f>
        <v>0</v>
      </c>
      <c r="K85" s="73"/>
      <c r="L85" s="69"/>
      <c r="M85" s="58" t="str">
        <f>IF(Tableau8[[#This Row],[Sous Traitant]]&gt;1,VLOOKUP(Tableau8[[#This Row],[Sous Traitant]],Tableau11[[SOUS TRAITANT]:[DELAIS PAIEMENT]],4,FALSE),"")</f>
        <v/>
      </c>
      <c r="N85" s="74"/>
      <c r="O85" s="141"/>
      <c r="P85" s="38"/>
      <c r="Q85" s="60"/>
      <c r="R85" s="114"/>
      <c r="S85" s="154"/>
      <c r="T85" s="65">
        <f>SUMIFS($P$4:P85,$I$4:I85,I85)</f>
        <v>0</v>
      </c>
      <c r="U85" s="65" t="str">
        <f>IF(Tableau8[[#This Row],[marché]]="MARCHEINT",VLOOKUP($B85,Tableau16[[Ref]:[AUTRE]],13,FALSE)-Tableau8[[#This Row],[PAYEE]],"")</f>
        <v/>
      </c>
      <c r="V85" s="65" t="str">
        <f>IF(Tableau8[[#This Row],[marché]]="MARCHEEXT",VLOOKUP($B85,Tableau16[[Ref]:[AUTRE]],14,FALSE)-Tableau8[[#This Row],[PAYEE]],"")</f>
        <v/>
      </c>
      <c r="W85" s="65" t="str">
        <f>IF(Tableau8[[#This Row],[marché]]="RG_5%",VLOOKUP($B85,Tableau16[[Ref]:[AUTRE]],15,FALSE)-Tableau8[[#This Row],[PAYEE]],"")</f>
        <v/>
      </c>
      <c r="X85" s="65" t="str">
        <f>IF(Tableau8[[#This Row],[marché]]="BFT_5%",VLOOKUP($B85,Tableau16[[Ref]:[AUTRE]],17,FALSE)-Tableau8[[#This Row],[PAYEE]],"")</f>
        <v/>
      </c>
      <c r="Y85" s="65" t="str">
        <f>IF(Tableau8[[#This Row],[marché]]="AUTRE",VLOOKUP($B85,Tableau16[[Ref]:[AUTRE]],19,FALSE)-Tableau8[[#This Row],[PAYEE]],"")</f>
        <v/>
      </c>
      <c r="Z85" s="65"/>
      <c r="AA85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86" spans="1:27" ht="15.75">
      <c r="A86" s="262"/>
      <c r="B86" s="130" t="str">
        <f>CONCATENATE(Tableau8[[#This Row],[CT
INDIRECT CHANTIER]],Tableau8[[#This Row],[NOM CHANTIER
INDIRECT ST]],Tableau8[[#This Row],[Sous Traitant]],Tableau8[[#This Row],[MO
INDIRECT CT]])</f>
        <v/>
      </c>
      <c r="C86" s="234"/>
      <c r="D86" s="235"/>
      <c r="E86" s="232"/>
      <c r="F86" s="233"/>
      <c r="G86" s="58"/>
      <c r="H86" s="58"/>
      <c r="I86" s="124"/>
      <c r="J86" s="205">
        <f>COUNTIF($I$4:I86,Tableau8[[#This Row],[REF FACT]])</f>
        <v>0</v>
      </c>
      <c r="K86" s="73"/>
      <c r="L86" s="69"/>
      <c r="M86" s="58" t="str">
        <f>IF(Tableau8[[#This Row],[Sous Traitant]]&gt;1,VLOOKUP(Tableau8[[#This Row],[Sous Traitant]],Tableau11[[SOUS TRAITANT]:[DELAIS PAIEMENT]],4,FALSE),"")</f>
        <v/>
      </c>
      <c r="N86" s="74"/>
      <c r="O86" s="141"/>
      <c r="P86" s="38"/>
      <c r="Q86" s="60"/>
      <c r="R86" s="114"/>
      <c r="S86" s="154"/>
      <c r="T86" s="65">
        <f>SUMIFS($P$4:P86,$I$4:I86,I86)</f>
        <v>0</v>
      </c>
      <c r="U86" s="65" t="str">
        <f>IF(Tableau8[[#This Row],[marché]]="MARCHEINT",VLOOKUP($B86,Tableau16[[Ref]:[AUTRE]],13,FALSE)-Tableau8[[#This Row],[PAYEE]],"")</f>
        <v/>
      </c>
      <c r="V86" s="65" t="str">
        <f>IF(Tableau8[[#This Row],[marché]]="MARCHEEXT",VLOOKUP($B86,Tableau16[[Ref]:[AUTRE]],14,FALSE)-Tableau8[[#This Row],[PAYEE]],"")</f>
        <v/>
      </c>
      <c r="W86" s="65" t="str">
        <f>IF(Tableau8[[#This Row],[marché]]="RG_5%",VLOOKUP($B86,Tableau16[[Ref]:[AUTRE]],15,FALSE)-Tableau8[[#This Row],[PAYEE]],"")</f>
        <v/>
      </c>
      <c r="X86" s="65" t="str">
        <f>IF(Tableau8[[#This Row],[marché]]="BFT_5%",VLOOKUP($B86,Tableau16[[Ref]:[AUTRE]],17,FALSE)-Tableau8[[#This Row],[PAYEE]],"")</f>
        <v/>
      </c>
      <c r="Y86" s="65" t="str">
        <f>IF(Tableau8[[#This Row],[marché]]="AUTRE",VLOOKUP($B86,Tableau16[[Ref]:[AUTRE]],19,FALSE)-Tableau8[[#This Row],[PAYEE]],"")</f>
        <v/>
      </c>
      <c r="Z86" s="65"/>
      <c r="AA86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87" spans="1:27" ht="15.75">
      <c r="A87" s="263"/>
      <c r="B87" s="130" t="str">
        <f>CONCATENATE(Tableau8[[#This Row],[CT
INDIRECT CHANTIER]],Tableau8[[#This Row],[NOM CHANTIER
INDIRECT ST]],Tableau8[[#This Row],[Sous Traitant]],Tableau8[[#This Row],[MO
INDIRECT CT]])</f>
        <v/>
      </c>
      <c r="C87" s="234"/>
      <c r="D87" s="235"/>
      <c r="E87" s="232"/>
      <c r="F87" s="233"/>
      <c r="G87" s="58"/>
      <c r="H87" s="58"/>
      <c r="I87" s="124"/>
      <c r="J87" s="205">
        <f>COUNTIF($I$4:I87,Tableau8[[#This Row],[REF FACT]])</f>
        <v>0</v>
      </c>
      <c r="K87" s="73"/>
      <c r="L87" s="69"/>
      <c r="M87" s="58" t="str">
        <f>IF(Tableau8[[#This Row],[Sous Traitant]]&gt;1,VLOOKUP(Tableau8[[#This Row],[Sous Traitant]],Tableau11[[SOUS TRAITANT]:[DELAIS PAIEMENT]],4,FALSE),"")</f>
        <v/>
      </c>
      <c r="N87" s="74"/>
      <c r="O87" s="141"/>
      <c r="P87" s="38"/>
      <c r="Q87" s="60"/>
      <c r="R87" s="114"/>
      <c r="S87" s="154"/>
      <c r="T87" s="65">
        <f>SUMIFS($P$4:P87,$I$4:I87,I87)</f>
        <v>0</v>
      </c>
      <c r="U87" s="65" t="str">
        <f>IF(Tableau8[[#This Row],[marché]]="MARCHEINT",VLOOKUP($B87,Tableau16[[Ref]:[AUTRE]],13,FALSE)-Tableau8[[#This Row],[PAYEE]],"")</f>
        <v/>
      </c>
      <c r="V87" s="65" t="str">
        <f>IF(Tableau8[[#This Row],[marché]]="MARCHEEXT",VLOOKUP($B87,Tableau16[[Ref]:[AUTRE]],14,FALSE)-Tableau8[[#This Row],[PAYEE]],"")</f>
        <v/>
      </c>
      <c r="W87" s="65" t="str">
        <f>IF(Tableau8[[#This Row],[marché]]="RG_5%",VLOOKUP($B87,Tableau16[[Ref]:[AUTRE]],15,FALSE)-Tableau8[[#This Row],[PAYEE]],"")</f>
        <v/>
      </c>
      <c r="X87" s="65" t="str">
        <f>IF(Tableau8[[#This Row],[marché]]="BFT_5%",VLOOKUP($B87,Tableau16[[Ref]:[AUTRE]],17,FALSE)-Tableau8[[#This Row],[PAYEE]],"")</f>
        <v/>
      </c>
      <c r="Y87" s="65" t="str">
        <f>IF(Tableau8[[#This Row],[marché]]="AUTRE",VLOOKUP($B87,Tableau16[[Ref]:[AUTRE]],19,FALSE)-Tableau8[[#This Row],[PAYEE]],"")</f>
        <v/>
      </c>
      <c r="Z87" s="65"/>
      <c r="AA87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88" spans="1:27" ht="15.75">
      <c r="A88" s="261" t="s">
        <v>120</v>
      </c>
      <c r="B88" s="130" t="str">
        <f>CONCATENATE(Tableau8[[#This Row],[CT
INDIRECT CHANTIER]],Tableau8[[#This Row],[NOM CHANTIER
INDIRECT ST]],Tableau8[[#This Row],[Sous Traitant]],Tableau8[[#This Row],[MO
INDIRECT CT]])</f>
        <v/>
      </c>
      <c r="C88" s="234"/>
      <c r="D88" s="235"/>
      <c r="E88" s="232"/>
      <c r="F88" s="233"/>
      <c r="G88" s="58"/>
      <c r="H88" s="58"/>
      <c r="I88" s="124"/>
      <c r="J88" s="205">
        <f>COUNTIF($I$4:I88,Tableau8[[#This Row],[REF FACT]])</f>
        <v>0</v>
      </c>
      <c r="K88" s="73"/>
      <c r="L88" s="69"/>
      <c r="M88" s="58" t="str">
        <f>IF(Tableau8[[#This Row],[Sous Traitant]]&gt;1,VLOOKUP(Tableau8[[#This Row],[Sous Traitant]],Tableau11[[SOUS TRAITANT]:[DELAIS PAIEMENT]],4,FALSE),"")</f>
        <v/>
      </c>
      <c r="N88" s="74"/>
      <c r="O88" s="141"/>
      <c r="P88" s="38"/>
      <c r="Q88" s="60"/>
      <c r="R88" s="114"/>
      <c r="S88" s="154"/>
      <c r="T88" s="65">
        <f>SUMIFS($P$4:P88,$I$4:I88,I88)</f>
        <v>0</v>
      </c>
      <c r="U88" s="65" t="str">
        <f>IF(Tableau8[[#This Row],[marché]]="MARCHEINT",VLOOKUP($B88,Tableau16[[Ref]:[AUTRE]],13,FALSE)-Tableau8[[#This Row],[PAYEE]],"")</f>
        <v/>
      </c>
      <c r="V88" s="65" t="str">
        <f>IF(Tableau8[[#This Row],[marché]]="MARCHEEXT",VLOOKUP($B88,Tableau16[[Ref]:[AUTRE]],14,FALSE)-Tableau8[[#This Row],[PAYEE]],"")</f>
        <v/>
      </c>
      <c r="W88" s="65" t="str">
        <f>IF(Tableau8[[#This Row],[marché]]="RG_5%",VLOOKUP($B88,Tableau16[[Ref]:[AUTRE]],15,FALSE)-Tableau8[[#This Row],[PAYEE]],"")</f>
        <v/>
      </c>
      <c r="X88" s="65" t="str">
        <f>IF(Tableau8[[#This Row],[marché]]="BFT_5%",VLOOKUP($B88,Tableau16[[Ref]:[AUTRE]],17,FALSE)-Tableau8[[#This Row],[PAYEE]],"")</f>
        <v/>
      </c>
      <c r="Y88" s="65" t="str">
        <f>IF(Tableau8[[#This Row],[marché]]="AUTRE",VLOOKUP($B88,Tableau16[[Ref]:[AUTRE]],19,FALSE)-Tableau8[[#This Row],[PAYEE]],"")</f>
        <v/>
      </c>
      <c r="Z88" s="65"/>
      <c r="AA88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89" spans="1:27" ht="15.75">
      <c r="A89" s="262"/>
      <c r="B89" s="130" t="str">
        <f>CONCATENATE(Tableau8[[#This Row],[CT
INDIRECT CHANTIER]],Tableau8[[#This Row],[NOM CHANTIER
INDIRECT ST]],Tableau8[[#This Row],[Sous Traitant]],Tableau8[[#This Row],[MO
INDIRECT CT]])</f>
        <v/>
      </c>
      <c r="C89" s="234"/>
      <c r="D89" s="235"/>
      <c r="E89" s="232"/>
      <c r="F89" s="233"/>
      <c r="G89" s="58"/>
      <c r="H89" s="58"/>
      <c r="I89" s="124"/>
      <c r="J89" s="205">
        <f>COUNTIF($I$4:I89,Tableau8[[#This Row],[REF FACT]])</f>
        <v>0</v>
      </c>
      <c r="K89" s="73"/>
      <c r="L89" s="69"/>
      <c r="M89" s="58" t="str">
        <f>IF(Tableau8[[#This Row],[Sous Traitant]]&gt;1,VLOOKUP(Tableau8[[#This Row],[Sous Traitant]],Tableau11[[SOUS TRAITANT]:[DELAIS PAIEMENT]],4,FALSE),"")</f>
        <v/>
      </c>
      <c r="N89" s="74"/>
      <c r="O89" s="141"/>
      <c r="P89" s="38"/>
      <c r="Q89" s="60"/>
      <c r="R89" s="114"/>
      <c r="S89" s="154"/>
      <c r="T89" s="65">
        <f>SUMIFS($P$4:P89,$I$4:I89,I89)</f>
        <v>0</v>
      </c>
      <c r="U89" s="65" t="str">
        <f>IF(Tableau8[[#This Row],[marché]]="MARCHEINT",VLOOKUP($B89,Tableau16[[Ref]:[AUTRE]],13,FALSE)-Tableau8[[#This Row],[PAYEE]],"")</f>
        <v/>
      </c>
      <c r="V89" s="65" t="str">
        <f>IF(Tableau8[[#This Row],[marché]]="MARCHEEXT",VLOOKUP($B89,Tableau16[[Ref]:[AUTRE]],14,FALSE)-Tableau8[[#This Row],[PAYEE]],"")</f>
        <v/>
      </c>
      <c r="W89" s="65" t="str">
        <f>IF(Tableau8[[#This Row],[marché]]="RG_5%",VLOOKUP($B89,Tableau16[[Ref]:[AUTRE]],15,FALSE)-Tableau8[[#This Row],[PAYEE]],"")</f>
        <v/>
      </c>
      <c r="X89" s="65" t="str">
        <f>IF(Tableau8[[#This Row],[marché]]="BFT_5%",VLOOKUP($B89,Tableau16[[Ref]:[AUTRE]],17,FALSE)-Tableau8[[#This Row],[PAYEE]],"")</f>
        <v/>
      </c>
      <c r="Y89" s="65" t="str">
        <f>IF(Tableau8[[#This Row],[marché]]="AUTRE",VLOOKUP($B89,Tableau16[[Ref]:[AUTRE]],19,FALSE)-Tableau8[[#This Row],[PAYEE]],"")</f>
        <v/>
      </c>
      <c r="Z89" s="65"/>
      <c r="AA89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90" spans="1:27" ht="15.75">
      <c r="A90" s="262"/>
      <c r="B90" s="130" t="str">
        <f>CONCATENATE(Tableau8[[#This Row],[CT
INDIRECT CHANTIER]],Tableau8[[#This Row],[NOM CHANTIER
INDIRECT ST]],Tableau8[[#This Row],[Sous Traitant]],Tableau8[[#This Row],[MO
INDIRECT CT]])</f>
        <v/>
      </c>
      <c r="C90" s="234"/>
      <c r="D90" s="235"/>
      <c r="E90" s="232"/>
      <c r="F90" s="233"/>
      <c r="G90" s="58"/>
      <c r="H90" s="58"/>
      <c r="I90" s="124"/>
      <c r="J90" s="205">
        <f>COUNTIF($I$4:I90,Tableau8[[#This Row],[REF FACT]])</f>
        <v>0</v>
      </c>
      <c r="K90" s="73"/>
      <c r="L90" s="69"/>
      <c r="M90" s="58" t="str">
        <f>IF(Tableau8[[#This Row],[Sous Traitant]]&gt;1,VLOOKUP(Tableau8[[#This Row],[Sous Traitant]],Tableau11[[SOUS TRAITANT]:[DELAIS PAIEMENT]],4,FALSE),"")</f>
        <v/>
      </c>
      <c r="N90" s="74"/>
      <c r="O90" s="141"/>
      <c r="P90" s="38"/>
      <c r="Q90" s="60"/>
      <c r="R90" s="114"/>
      <c r="S90" s="154"/>
      <c r="T90" s="65">
        <f>SUMIFS($P$4:P90,$I$4:I90,I90)</f>
        <v>0</v>
      </c>
      <c r="U90" s="65" t="str">
        <f>IF(Tableau8[[#This Row],[marché]]="MARCHEINT",VLOOKUP($B90,Tableau16[[Ref]:[AUTRE]],13,FALSE)-Tableau8[[#This Row],[PAYEE]],"")</f>
        <v/>
      </c>
      <c r="V90" s="65" t="str">
        <f>IF(Tableau8[[#This Row],[marché]]="MARCHEEXT",VLOOKUP($B90,Tableau16[[Ref]:[AUTRE]],14,FALSE)-Tableau8[[#This Row],[PAYEE]],"")</f>
        <v/>
      </c>
      <c r="W90" s="65" t="str">
        <f>IF(Tableau8[[#This Row],[marché]]="RG_5%",VLOOKUP($B90,Tableau16[[Ref]:[AUTRE]],15,FALSE)-Tableau8[[#This Row],[PAYEE]],"")</f>
        <v/>
      </c>
      <c r="X90" s="65" t="str">
        <f>IF(Tableau8[[#This Row],[marché]]="BFT_5%",VLOOKUP($B90,Tableau16[[Ref]:[AUTRE]],17,FALSE)-Tableau8[[#This Row],[PAYEE]],"")</f>
        <v/>
      </c>
      <c r="Y90" s="65" t="str">
        <f>IF(Tableau8[[#This Row],[marché]]="AUTRE",VLOOKUP($B90,Tableau16[[Ref]:[AUTRE]],19,FALSE)-Tableau8[[#This Row],[PAYEE]],"")</f>
        <v/>
      </c>
      <c r="Z90" s="65"/>
      <c r="AA90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91" spans="1:27" ht="15.75">
      <c r="A91" s="263"/>
      <c r="B91" s="130" t="str">
        <f>CONCATENATE(Tableau8[[#This Row],[CT
INDIRECT CHANTIER]],Tableau8[[#This Row],[NOM CHANTIER
INDIRECT ST]],Tableau8[[#This Row],[Sous Traitant]],Tableau8[[#This Row],[MO
INDIRECT CT]])</f>
        <v/>
      </c>
      <c r="C91" s="236"/>
      <c r="D91" s="237"/>
      <c r="E91" s="232"/>
      <c r="F91" s="233"/>
      <c r="G91" s="58" t="str">
        <f>IFERROR(IF(B91="","",VLOOKUP(B91,Tableau16[[Ref]:[CP]],6,FALSE)),"")</f>
        <v/>
      </c>
      <c r="H91" s="58" t="str">
        <f>IFERROR(IF(B91="","",VLOOKUP(B91,Tableau16[[Ref]:[CP]],7,FALSE)),"")</f>
        <v/>
      </c>
      <c r="I91" s="125" t="str">
        <f>CONCATENATE(Tableau8[[#This Row],[CT
INDIRECT CHANTIER]],Tableau8[[#This Row],[NOM CHANTIER
INDIRECT ST]],Tableau8[[#This Row],[Sous Traitant]],Tableau8[[#This Row],[MO
INDIRECT CT]],Tableau8[[#This Row],[marché]])</f>
        <v/>
      </c>
      <c r="J91" s="205">
        <f>COUNTIF($I$4:I91,Tableau8[[#This Row],[REF FACT]])</f>
        <v>49</v>
      </c>
      <c r="K91" s="75"/>
      <c r="L91" s="76"/>
      <c r="M91" s="58" t="str">
        <f>IF(Tableau8[[#This Row],[Sous Traitant]]&gt;1,VLOOKUP(Tableau8[[#This Row],[Sous Traitant]],Tableau11[[SOUS TRAITANT]:[DELAIS PAIEMENT]],4,FALSE),"")</f>
        <v/>
      </c>
      <c r="N91" s="77"/>
      <c r="O91" s="141"/>
      <c r="P91" s="55"/>
      <c r="Q91" s="60"/>
      <c r="R91" s="155"/>
      <c r="S91" s="156"/>
      <c r="T91" s="65">
        <f>SUMIFS($P$4:P91,$I$4:I91,I91)</f>
        <v>0</v>
      </c>
      <c r="U91" s="65" t="str">
        <f>IF(Tableau8[[#This Row],[marché]]="MARCHEINT",VLOOKUP($B91,Tableau16[[Ref]:[AUTRE]],13,FALSE)-Tableau8[[#This Row],[PAYEE]],"")</f>
        <v/>
      </c>
      <c r="V91" s="65" t="str">
        <f>IF(Tableau8[[#This Row],[marché]]="MARCHEEXT",VLOOKUP($B91,Tableau16[[Ref]:[AUTRE]],14,FALSE)-Tableau8[[#This Row],[PAYEE]],"")</f>
        <v/>
      </c>
      <c r="W91" s="65" t="str">
        <f>IF(Tableau8[[#This Row],[marché]]="RG_5%",VLOOKUP($B91,Tableau16[[Ref]:[AUTRE]],15,FALSE)-Tableau8[[#This Row],[PAYEE]],"")</f>
        <v/>
      </c>
      <c r="X91" s="65" t="str">
        <f>IF(Tableau8[[#This Row],[marché]]="BFT_5%",VLOOKUP($B91,Tableau16[[Ref]:[AUTRE]],17,FALSE)-Tableau8[[#This Row],[PAYEE]],"")</f>
        <v/>
      </c>
      <c r="Y91" s="65" t="str">
        <f>IF(Tableau8[[#This Row],[marché]]="AUTRE",VLOOKUP($B91,Tableau16[[Ref]:[AUTRE]],19,FALSE)-Tableau8[[#This Row],[PAYEE]],"")</f>
        <v/>
      </c>
      <c r="Z91" s="65"/>
      <c r="AA91" s="164" t="str">
        <f>IF(Tableau8[[#This Row],[marché]]="MARCHEINT",Tableau8[[#This Row],[MARCHE INT]]+Tableau8[[#This Row],[PAYEE]],IF(Tableau8[[#This Row],[marché]]="MARCHEEXT",Tableau8[[#This Row],[MARCHE EXT]]+Tableau8[[#This Row],[PAYEE]],IF(Tableau8[[#This Row],[marché]]="RG_5%",Tableau8[[#This Row],[RG_5%]]+Tableau8[[#This Row],[PAYEE]],IF(Tableau8[[#This Row],[marché]]="BFT_5%",Tableau8[[#This Row],[BFT_5%]]+Tableau8[[#This Row],[PAYEE]],IF(Tableau8[[#This Row],[marché]]="AUTRE",Tableau8[[#This Row],[AUTRE]]+Tableau8[[#This Row],[PAYEE]],"")))))</f>
        <v/>
      </c>
    </row>
    <row r="94" spans="1:27">
      <c r="D94" s="238" t="s">
        <v>214</v>
      </c>
    </row>
  </sheetData>
  <mergeCells count="14">
    <mergeCell ref="A80:A83"/>
    <mergeCell ref="A84:A87"/>
    <mergeCell ref="A88:A91"/>
    <mergeCell ref="A16:A19"/>
    <mergeCell ref="A20:A23"/>
    <mergeCell ref="A24:A27"/>
    <mergeCell ref="A28:A31"/>
    <mergeCell ref="A32:A75"/>
    <mergeCell ref="A76:A79"/>
    <mergeCell ref="A1:R1"/>
    <mergeCell ref="A2:R2"/>
    <mergeCell ref="A4:A7"/>
    <mergeCell ref="A8:A11"/>
    <mergeCell ref="A12:A15"/>
  </mergeCells>
  <conditionalFormatting sqref="U32:Z91">
    <cfRule type="expression" dxfId="64" priority="1">
      <formula>U32&lt;0</formula>
    </cfRule>
  </conditionalFormatting>
  <conditionalFormatting sqref="C4:Z91">
    <cfRule type="expression" dxfId="63" priority="18">
      <formula>($R4&gt;0)</formula>
    </cfRule>
  </conditionalFormatting>
  <dataValidations count="1">
    <dataValidation operator="greaterThan" allowBlank="1" showInputMessage="1" showErrorMessage="1" sqref="K73:L73 Q3 J3:L3 K4:L56 O3 P3:P75"/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operator="greaterThan" allowBlank="1" showInputMessage="1" showErrorMessage="1">
          <x14:formula1>
            <xm:f>'E:\[SUIVI COMPLET CHANTIER SOUS TRAITANT.xlsx]DONNEES'!#REF!</xm:f>
          </x14:formula1>
          <xm:sqref>Q4:Q31</xm:sqref>
        </x14:dataValidation>
        <x14:dataValidation type="list" operator="greaterThan" allowBlank="1" showInputMessage="1" showErrorMessage="1">
          <x14:formula1>
            <xm:f>DONNEES!$D$2:$D$11</xm:f>
          </x14:formula1>
          <xm:sqref>O4:O91</xm:sqref>
        </x14:dataValidation>
        <x14:dataValidation type="list" allowBlank="1" showInputMessage="1" showErrorMessage="1">
          <x14:formula1>
            <xm:f>DONNEES!$B$2:$B$10</xm:f>
          </x14:formula1>
          <xm:sqref>Q32:Q91 E32:E91</xm:sqref>
        </x14:dataValidation>
        <x14:dataValidation type="list" allowBlank="1" showInputMessage="1" showErrorMessage="1">
          <x14:formula1>
            <xm:f>DONNEES!$B$15:$AA$15</xm:f>
          </x14:formula1>
          <xm:sqref>C32:C70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4"/>
  <sheetViews>
    <sheetView zoomScale="90" zoomScaleNormal="90" workbookViewId="0">
      <selection activeCell="D13" sqref="D13"/>
    </sheetView>
  </sheetViews>
  <sheetFormatPr baseColWidth="10" defaultRowHeight="15"/>
  <cols>
    <col min="1" max="1" width="9" style="134" customWidth="1"/>
    <col min="2" max="2" width="14.85546875" bestFit="1" customWidth="1"/>
    <col min="3" max="3" width="11.42578125" style="26"/>
    <col min="4" max="4" width="20.5703125" style="174" customWidth="1"/>
    <col min="5" max="5" width="12.42578125" style="142" bestFit="1" customWidth="1"/>
    <col min="6" max="6" width="20.5703125" style="174" bestFit="1" customWidth="1"/>
    <col min="7" max="7" width="12.5703125" bestFit="1" customWidth="1"/>
    <col min="8" max="8" width="19" customWidth="1"/>
    <col min="9" max="11" width="16.140625" customWidth="1"/>
    <col min="12" max="12" width="57.42578125" bestFit="1" customWidth="1"/>
  </cols>
  <sheetData>
    <row r="1" spans="1:12" ht="23.25">
      <c r="B1" s="15" t="s">
        <v>1</v>
      </c>
      <c r="C1" s="202" t="s">
        <v>174</v>
      </c>
      <c r="D1" s="174" t="s">
        <v>210</v>
      </c>
      <c r="F1" s="180" t="s">
        <v>13</v>
      </c>
      <c r="G1" s="187" t="s">
        <v>14</v>
      </c>
      <c r="H1" s="187" t="s">
        <v>15</v>
      </c>
      <c r="I1" s="187" t="s">
        <v>16</v>
      </c>
      <c r="J1" s="16" t="s">
        <v>151</v>
      </c>
      <c r="K1" s="16" t="s">
        <v>152</v>
      </c>
      <c r="L1" s="187" t="s">
        <v>126</v>
      </c>
    </row>
    <row r="2" spans="1:12">
      <c r="B2" s="15" t="s">
        <v>19</v>
      </c>
      <c r="C2" s="202" t="s">
        <v>74</v>
      </c>
      <c r="D2" s="174" t="s">
        <v>200</v>
      </c>
      <c r="F2" s="181" t="s">
        <v>157</v>
      </c>
      <c r="G2" s="183">
        <f>VLOOKUP($C$6,'MARCHE CONTRAT PV'!$A$4:R41,12,FALSE)</f>
        <v>100000</v>
      </c>
      <c r="H2" s="184"/>
      <c r="I2" s="185"/>
      <c r="J2" s="19"/>
      <c r="K2" s="18"/>
      <c r="L2" s="183"/>
    </row>
    <row r="3" spans="1:12">
      <c r="B3" s="15" t="s">
        <v>21</v>
      </c>
      <c r="C3" s="202" t="s">
        <v>161</v>
      </c>
      <c r="D3" s="174" t="s">
        <v>198</v>
      </c>
      <c r="F3" s="181" t="s">
        <v>41</v>
      </c>
      <c r="G3" s="183">
        <f>IFERROR(VLOOKUP($C$6,'MARCHE CONTRAT PV'!$A$4:R42,15,FALSE),0)</f>
        <v>5000</v>
      </c>
      <c r="H3" s="20">
        <f>SUMIFS(Tableau8[PAYEE],Tableau8[REF FACT],'RECAP FACT'!$L3)</f>
        <v>0</v>
      </c>
      <c r="I3" s="20">
        <f>(G3-H3)</f>
        <v>5000</v>
      </c>
      <c r="J3" s="21"/>
      <c r="K3" s="22"/>
      <c r="L3" s="20" t="str">
        <f>CONCATENATE($C$3,$C$2,$C$1,$C$4,$F3)</f>
        <v>FREDCHATENAY MALABRY - IRENADH2ORG_5%</v>
      </c>
    </row>
    <row r="4" spans="1:12">
      <c r="B4" s="23" t="s">
        <v>23</v>
      </c>
      <c r="C4" s="202" t="s">
        <v>201</v>
      </c>
      <c r="D4" s="174" t="s">
        <v>199</v>
      </c>
      <c r="F4" s="181" t="s">
        <v>147</v>
      </c>
      <c r="G4" s="183">
        <f>IFERROR(VLOOKUP($C$6,'MARCHE CONTRAT PV'!$A$4:R43,16,FALSE),0)</f>
        <v>2000</v>
      </c>
      <c r="H4" s="20">
        <f>SUMIFS(Tableau8[PAYEE],Tableau8[REF FACT],'RECAP FACT'!$L4)</f>
        <v>0</v>
      </c>
      <c r="I4" s="186"/>
      <c r="J4" s="24"/>
      <c r="K4" s="25"/>
      <c r="L4" s="20" t="str">
        <f t="shared" ref="L4:L7" si="0">CONCATENATE($C$3,$C$2,$C$1,$C$4,$F4)</f>
        <v>FREDCHATENAY MALABRY - IRENADH2OP_2%</v>
      </c>
    </row>
    <row r="5" spans="1:12">
      <c r="B5" s="26"/>
      <c r="C5" s="166"/>
      <c r="D5" s="175"/>
      <c r="F5" s="181" t="s">
        <v>42</v>
      </c>
      <c r="G5" s="183">
        <f>IFERROR(VLOOKUP($C$6,'MARCHE CONTRAT PV'!$A$4:R44,17,FALSE),0)</f>
        <v>5000</v>
      </c>
      <c r="H5" s="20">
        <f>SUMIFS(Tableau8[PAYEE],Tableau8[REF FACT],'RECAP FACT'!$L5)</f>
        <v>0</v>
      </c>
      <c r="I5" s="20">
        <f>(G5-H5)</f>
        <v>5000</v>
      </c>
      <c r="J5" s="21"/>
      <c r="K5" s="22"/>
      <c r="L5" s="20" t="str">
        <f t="shared" si="0"/>
        <v>FREDCHATENAY MALABRY - IRENADH2OBFT_5%</v>
      </c>
    </row>
    <row r="6" spans="1:12">
      <c r="B6" s="166" t="s">
        <v>126</v>
      </c>
      <c r="C6" s="39" t="str">
        <f>CONCATENATE($C$3,$C$2,$C$1,$C$4)</f>
        <v>FREDCHATENAY MALABRY - IRENADH2O</v>
      </c>
      <c r="D6" s="175"/>
      <c r="F6" s="181" t="s">
        <v>150</v>
      </c>
      <c r="G6" s="183">
        <f>IFERROR(VLOOKUP($C$6,'MARCHE CONTRAT PV'!$A$4:R45,18,FALSE),0)</f>
        <v>3000</v>
      </c>
      <c r="H6" s="20">
        <f>SUMIFS(Tableau8[PAYEE],Tableau8[REF FACT],'RECAP FACT'!$L6)</f>
        <v>0</v>
      </c>
      <c r="I6" s="20">
        <f>(G6-H6)</f>
        <v>3000</v>
      </c>
      <c r="J6" s="21"/>
      <c r="K6" s="22"/>
      <c r="L6" s="20" t="str">
        <f t="shared" si="0"/>
        <v>FREDCHATENAY MALABRY - IRENADH2OE_3%</v>
      </c>
    </row>
    <row r="7" spans="1:12">
      <c r="B7" s="26"/>
      <c r="F7" s="182" t="s">
        <v>25</v>
      </c>
      <c r="G7" s="183">
        <f>IFERROR(VLOOKUP($C$6,'MARCHE CONTRAT PV'!$A$4:R46,19,FALSE),0)</f>
        <v>0</v>
      </c>
      <c r="H7" s="20">
        <f>SUMIFS(Tableau8[PAYEE],Tableau8[REF FACT],'RECAP FACT'!$L7)</f>
        <v>2000</v>
      </c>
      <c r="I7" s="20">
        <f>(G7-H7)</f>
        <v>-2000</v>
      </c>
      <c r="J7" s="28"/>
      <c r="K7" s="29"/>
      <c r="L7" s="20" t="str">
        <f t="shared" si="0"/>
        <v>FREDCHATENAY MALABRY - IRENADH2OAUTRE</v>
      </c>
    </row>
    <row r="8" spans="1:12" ht="15.75" thickBot="1">
      <c r="B8" s="26"/>
    </row>
    <row r="9" spans="1:12" ht="24" thickBot="1">
      <c r="B9" s="40" t="s">
        <v>158</v>
      </c>
      <c r="C9" s="41"/>
      <c r="D9" s="176"/>
      <c r="E9" s="168"/>
      <c r="F9" s="267">
        <f>VLOOKUP(C6,'MARCHE CONTRAT PV'!$A$4:R42,13,FALSE)</f>
        <v>30000</v>
      </c>
      <c r="G9" s="268"/>
      <c r="I9" s="30"/>
      <c r="J9" s="31"/>
      <c r="K9" s="30"/>
    </row>
    <row r="10" spans="1:12">
      <c r="B10" s="32" t="s">
        <v>27</v>
      </c>
      <c r="C10" s="199" t="s">
        <v>28</v>
      </c>
      <c r="D10" s="200" t="s">
        <v>29</v>
      </c>
      <c r="E10" s="201" t="s">
        <v>15</v>
      </c>
      <c r="F10" s="200" t="s">
        <v>18</v>
      </c>
      <c r="G10" s="32" t="s">
        <v>30</v>
      </c>
      <c r="H10" s="33"/>
      <c r="I10" s="33"/>
      <c r="J10" s="31"/>
      <c r="K10" s="33"/>
    </row>
    <row r="11" spans="1:12">
      <c r="A11" s="207" t="str">
        <f t="shared" ref="A11:A31" si="1">CONCATENATE($C$3,$C$2,$C$1,$C$4,$B$9)</f>
        <v>FREDCHATENAY MALABRY - IRENADH2OMARCHEINT</v>
      </c>
      <c r="B11" s="23">
        <v>1</v>
      </c>
      <c r="C11" s="191">
        <f t="array" ref="C11">IFERROR(INDEX(Tableau8[[ref fact2]:[payé / présenté le]],MATCH(1,(Tableau8[REF FACT]='RECAP FACT'!$A11)*(Tableau8[fact n°]='RECAP FACT'!$B11),0),1),"")</f>
        <v>162</v>
      </c>
      <c r="D11" s="192">
        <f t="array" ref="D11">IFERROR(INDEX(Tableau8[[ref fact2]:[payé / présenté le]],MATCH(1,(Tableau8[REF FACT]='RECAP FACT'!$A11)*(Tableau8[fact n°]='RECAP FACT'!$B11),0),2),"")</f>
        <v>44043</v>
      </c>
      <c r="E11" s="193">
        <f t="array" ref="E11">IFERROR(INDEX(Tableau8[[ref fact2]:[payé / présenté le]],MATCH(1,(Tableau8[REF FACT]='RECAP FACT'!$A11)*(Tableau8[fact n°]='RECAP FACT'!$B11),0),6),"")</f>
        <v>1216</v>
      </c>
      <c r="F11" s="192">
        <f t="array" ref="F11">IFERROR(INDEX(Tableau8[[ref fact2]:[payé / présenté le]],MATCH(1,(Tableau8[REF FACT]='RECAP FACT'!$A11)*(Tableau8[fact n°]='RECAP FACT'!$B11),0),8),"")</f>
        <v>0</v>
      </c>
      <c r="G11" s="23" t="str">
        <f t="array" ref="G11">IFERROR(INDEX(Tableau8[ref fact2],MATCH(1,(Tableau8[REF FACT]='RECAP FACT'!$A$11)*(Tableau8[fact n°]='RECAP FACT'!F11),0),1),"")</f>
        <v/>
      </c>
      <c r="H11" s="30"/>
      <c r="I11" s="30"/>
      <c r="J11" s="35"/>
      <c r="K11" s="30"/>
    </row>
    <row r="12" spans="1:12" ht="15.75" thickBot="1">
      <c r="A12" s="207" t="str">
        <f t="shared" si="1"/>
        <v>FREDCHATENAY MALABRY - IRENADH2OMARCHEINT</v>
      </c>
      <c r="B12" s="23">
        <v>2</v>
      </c>
      <c r="C12" s="191">
        <f t="array" ref="C12">IFERROR(INDEX(Tableau8[[ref fact2]:[payé / présenté le]],MATCH(1,(Tableau8[REF FACT]='RECAP FACT'!$A12)*(Tableau8[fact n°]='RECAP FACT'!$B12),0),1),"")</f>
        <v>163</v>
      </c>
      <c r="D12" s="192">
        <f t="array" ref="D12">IFERROR(INDEX(Tableau8[[ref fact2]:[payé / présenté le]],MATCH(1,(Tableau8[REF FACT]='RECAP FACT'!$A12)*(Tableau8[fact n°]='RECAP FACT'!$B12),0),2),"")</f>
        <v>44043</v>
      </c>
      <c r="E12" s="193">
        <f t="array" ref="E12">IFERROR(INDEX(Tableau8[[ref fact2]:[payé / présenté le]],MATCH(1,(Tableau8[REF FACT]='RECAP FACT'!$A12)*(Tableau8[fact n°]='RECAP FACT'!$B12),0),6),"")</f>
        <v>4259.25</v>
      </c>
      <c r="F12" s="192">
        <f t="array" ref="F12">IFERROR(INDEX(Tableau8[[ref fact2]:[payé / présenté le]],MATCH(1,(Tableau8[REF FACT]='RECAP FACT'!$A12)*(Tableau8[fact n°]='RECAP FACT'!$B12),0),8),"")</f>
        <v>0</v>
      </c>
      <c r="G12" s="23" t="str">
        <f t="array" ref="G12">IFERROR(INDEX(Tableau8[ref fact2],MATCH(1,(Tableau8[REF FACT]='RECAP FACT'!$A$11)*(Tableau8[fact n°]='RECAP FACT'!F12),0),1),"")</f>
        <v/>
      </c>
      <c r="H12" s="30"/>
      <c r="I12" s="30"/>
      <c r="J12" s="35"/>
      <c r="K12" s="30"/>
    </row>
    <row r="13" spans="1:12" ht="15" customHeight="1">
      <c r="A13" s="207" t="str">
        <f t="shared" si="1"/>
        <v>FREDCHATENAY MALABRY - IRENADH2OMARCHEINT</v>
      </c>
      <c r="B13" s="23">
        <v>3</v>
      </c>
      <c r="C13" s="191">
        <f t="array" ref="C13">IFERROR(INDEX(Tableau8[[ref fact2]:[payé / présenté le]],MATCH(1,(Tableau8[REF FACT]='RECAP FACT'!$A13)*(Tableau8[fact n°]='RECAP FACT'!$B13),0),1),"")</f>
        <v>170</v>
      </c>
      <c r="D13" s="192">
        <f t="array" ref="D13">IFERROR(INDEX(Tableau8[[ref fact2]:[payé / présenté le]],MATCH(1,(Tableau8[REF FACT]='RECAP FACT'!$A13)*(Tableau8[fact n°]='RECAP FACT'!$B13),0),2),"")</f>
        <v>44043</v>
      </c>
      <c r="E13" s="193">
        <f t="array" ref="E13">IFERROR(INDEX(Tableau8[[ref fact2]:[payé / présenté le]],MATCH(1,(Tableau8[REF FACT]='RECAP FACT'!$A13)*(Tableau8[fact n°]='RECAP FACT'!$B13),0),6),"")</f>
        <v>4867.8</v>
      </c>
      <c r="F13" s="192">
        <f t="array" ref="F13">IFERROR(INDEX(Tableau8[[ref fact2]:[payé / présenté le]],MATCH(1,(Tableau8[REF FACT]='RECAP FACT'!$A13)*(Tableau8[fact n°]='RECAP FACT'!$B13),0),8),"")</f>
        <v>0</v>
      </c>
      <c r="G13" s="23" t="str">
        <f t="array" ref="G13">IFERROR(INDEX(Tableau8[ref fact2],MATCH(1,(Tableau8[REF FACT]='RECAP FACT'!$A$11)*(Tableau8[fact n°]='RECAP FACT'!F13),0),1),"")</f>
        <v/>
      </c>
      <c r="H13" s="30"/>
      <c r="I13" s="278" t="s">
        <v>26</v>
      </c>
      <c r="J13" s="274">
        <f>F9</f>
        <v>30000</v>
      </c>
      <c r="K13" s="274"/>
    </row>
    <row r="14" spans="1:12" ht="15" customHeight="1">
      <c r="A14" s="207" t="str">
        <f t="shared" si="1"/>
        <v>FREDCHATENAY MALABRY - IRENADH2OMARCHEINT</v>
      </c>
      <c r="B14" s="23">
        <v>4</v>
      </c>
      <c r="C14" s="191" t="str">
        <f t="array" ref="C14">IFERROR(INDEX(Tableau8[[ref fact2]:[payé / présenté le]],MATCH(1,(Tableau8[REF FACT]='RECAP FACT'!$A14)*(Tableau8[fact n°]='RECAP FACT'!$B14),0),1),"")</f>
        <v/>
      </c>
      <c r="D14" s="192" t="str">
        <f t="array" ref="D14">IFERROR(INDEX(Tableau8[[ref fact2]:[payé / présenté le]],MATCH(1,(Tableau8[REF FACT]='RECAP FACT'!$A14)*(Tableau8[fact n°]='RECAP FACT'!$B14),0),2),"")</f>
        <v/>
      </c>
      <c r="E14" s="193" t="str">
        <f t="array" ref="E14">IFERROR(INDEX(Tableau8[[ref fact2]:[payé / présenté le]],MATCH(1,(Tableau8[REF FACT]='RECAP FACT'!$A14)*(Tableau8[fact n°]='RECAP FACT'!$B14),0),6),"")</f>
        <v/>
      </c>
      <c r="F14" s="192" t="str">
        <f t="array" ref="F14">IFERROR(INDEX(Tableau8[[ref fact2]:[payé / présenté le]],MATCH(1,(Tableau8[REF FACT]='RECAP FACT'!$A14)*(Tableau8[fact n°]='RECAP FACT'!$B14),0),8),"")</f>
        <v/>
      </c>
      <c r="G14" s="23" t="str">
        <f t="array" ref="G14">IFERROR(INDEX(Tableau8[ref fact2],MATCH(1,(Tableau8[REF FACT]='RECAP FACT'!$A$11)*(Tableau8[fact n°]='RECAP FACT'!F14),0),1),"")</f>
        <v/>
      </c>
      <c r="H14" s="30"/>
      <c r="I14" s="269"/>
      <c r="J14" s="274"/>
      <c r="K14" s="274"/>
    </row>
    <row r="15" spans="1:12" ht="15" customHeight="1">
      <c r="A15" s="207" t="str">
        <f t="shared" si="1"/>
        <v>FREDCHATENAY MALABRY - IRENADH2OMARCHEINT</v>
      </c>
      <c r="B15" s="23">
        <v>5</v>
      </c>
      <c r="C15" s="191" t="str">
        <f t="array" ref="C15">IFERROR(INDEX(Tableau8[[ref fact2]:[payé / présenté le]],MATCH(1,(Tableau8[REF FACT]='RECAP FACT'!$A15)*(Tableau8[fact n°]='RECAP FACT'!$B15),0),1),"")</f>
        <v/>
      </c>
      <c r="D15" s="192" t="str">
        <f t="array" ref="D15">IFERROR(INDEX(Tableau8[[ref fact2]:[payé / présenté le]],MATCH(1,(Tableau8[REF FACT]='RECAP FACT'!$A15)*(Tableau8[fact n°]='RECAP FACT'!$B15),0),2),"")</f>
        <v/>
      </c>
      <c r="E15" s="193" t="str">
        <f t="array" ref="E15">IFERROR(INDEX(Tableau8[[ref fact2]:[payé / présenté le]],MATCH(1,(Tableau8[REF FACT]='RECAP FACT'!$A15)*(Tableau8[fact n°]='RECAP FACT'!$B15),0),6),"")</f>
        <v/>
      </c>
      <c r="F15" s="192" t="str">
        <f t="array" ref="F15">IFERROR(INDEX(Tableau8[[ref fact2]:[payé / présenté le]],MATCH(1,(Tableau8[REF FACT]='RECAP FACT'!$A15)*(Tableau8[fact n°]='RECAP FACT'!$B15),0),8),"")</f>
        <v/>
      </c>
      <c r="G15" s="23" t="str">
        <f t="array" ref="G15">IFERROR(INDEX(Tableau8[ref fact2],MATCH(1,(Tableau8[REF FACT]='RECAP FACT'!$A$11)*(Tableau8[fact n°]='RECAP FACT'!F15),0),1),"")</f>
        <v/>
      </c>
      <c r="H15" s="30"/>
      <c r="I15" s="269" t="s">
        <v>35</v>
      </c>
      <c r="J15" s="274">
        <f>(E32)</f>
        <v>10343.049999999999</v>
      </c>
      <c r="K15" s="274"/>
    </row>
    <row r="16" spans="1:12" ht="15" customHeight="1">
      <c r="A16" s="207" t="str">
        <f t="shared" si="1"/>
        <v>FREDCHATENAY MALABRY - IRENADH2OMARCHEINT</v>
      </c>
      <c r="B16" s="23">
        <v>6</v>
      </c>
      <c r="C16" s="191" t="str">
        <f t="array" ref="C16">IFERROR(INDEX(Tableau8[[ref fact2]:[payé / présenté le]],MATCH(1,(Tableau8[REF FACT]='RECAP FACT'!$A16)*(Tableau8[fact n°]='RECAP FACT'!$B16),0),1),"")</f>
        <v/>
      </c>
      <c r="D16" s="192" t="str">
        <f t="array" ref="D16">IFERROR(INDEX(Tableau8[[ref fact2]:[payé / présenté le]],MATCH(1,(Tableau8[REF FACT]='RECAP FACT'!$A16)*(Tableau8[fact n°]='RECAP FACT'!$B16),0),2),"")</f>
        <v/>
      </c>
      <c r="E16" s="193" t="str">
        <f t="array" ref="E16">IFERROR(INDEX(Tableau8[[ref fact2]:[payé / présenté le]],MATCH(1,(Tableau8[REF FACT]='RECAP FACT'!$A16)*(Tableau8[fact n°]='RECAP FACT'!$B16),0),6),"")</f>
        <v/>
      </c>
      <c r="F16" s="192" t="str">
        <f t="array" ref="F16">IFERROR(INDEX(Tableau8[[ref fact2]:[payé / présenté le]],MATCH(1,(Tableau8[REF FACT]='RECAP FACT'!$A16)*(Tableau8[fact n°]='RECAP FACT'!$B16),0),8),"")</f>
        <v/>
      </c>
      <c r="G16" s="23" t="str">
        <f t="array" ref="G16">IFERROR(INDEX(Tableau8[ref fact2],MATCH(1,(Tableau8[REF FACT]='RECAP FACT'!$A$11)*(Tableau8[fact n°]='RECAP FACT'!F16),0),1),"")</f>
        <v/>
      </c>
      <c r="H16" s="30"/>
      <c r="I16" s="269"/>
      <c r="J16" s="274"/>
      <c r="K16" s="274"/>
    </row>
    <row r="17" spans="1:11" ht="15" customHeight="1">
      <c r="A17" s="207" t="str">
        <f t="shared" si="1"/>
        <v>FREDCHATENAY MALABRY - IRENADH2OMARCHEINT</v>
      </c>
      <c r="B17" s="23">
        <v>7</v>
      </c>
      <c r="C17" s="191" t="str">
        <f t="array" ref="C17">IFERROR(INDEX(Tableau8[[ref fact2]:[payé / présenté le]],MATCH(1,(Tableau8[REF FACT]='RECAP FACT'!$A17)*(Tableau8[fact n°]='RECAP FACT'!$B17),0),1),"")</f>
        <v/>
      </c>
      <c r="D17" s="192" t="str">
        <f t="array" ref="D17">IFERROR(INDEX(Tableau8[[ref fact2]:[payé / présenté le]],MATCH(1,(Tableau8[REF FACT]='RECAP FACT'!$A17)*(Tableau8[fact n°]='RECAP FACT'!$B17),0),2),"")</f>
        <v/>
      </c>
      <c r="E17" s="193" t="str">
        <f t="array" ref="E17">IFERROR(INDEX(Tableau8[[ref fact2]:[payé / présenté le]],MATCH(1,(Tableau8[REF FACT]='RECAP FACT'!$A17)*(Tableau8[fact n°]='RECAP FACT'!$B17),0),6),"")</f>
        <v/>
      </c>
      <c r="F17" s="192" t="str">
        <f t="array" ref="F17">IFERROR(INDEX(Tableau8[[ref fact2]:[payé / présenté le]],MATCH(1,(Tableau8[REF FACT]='RECAP FACT'!$A17)*(Tableau8[fact n°]='RECAP FACT'!$B17),0),8),"")</f>
        <v/>
      </c>
      <c r="G17" s="23" t="str">
        <f t="array" ref="G17">IFERROR(INDEX(Tableau8[ref fact2],MATCH(1,(Tableau8[REF FACT]='RECAP FACT'!$A$11)*(Tableau8[fact n°]='RECAP FACT'!F17),0),1),"")</f>
        <v/>
      </c>
      <c r="H17" s="30"/>
      <c r="I17" s="269" t="s">
        <v>36</v>
      </c>
      <c r="J17" s="274">
        <f>(J13-J15)</f>
        <v>19656.95</v>
      </c>
      <c r="K17" s="274"/>
    </row>
    <row r="18" spans="1:11" ht="15.75" customHeight="1" thickBot="1">
      <c r="A18" s="207" t="str">
        <f t="shared" si="1"/>
        <v>FREDCHATENAY MALABRY - IRENADH2OMARCHEINT</v>
      </c>
      <c r="B18" s="23">
        <v>8</v>
      </c>
      <c r="C18" s="191" t="str">
        <f t="array" ref="C18">IFERROR(INDEX(Tableau8[[ref fact2]:[payé / présenté le]],MATCH(1,(Tableau8[REF FACT]='RECAP FACT'!$A18)*(Tableau8[fact n°]='RECAP FACT'!$B18),0),1),"")</f>
        <v/>
      </c>
      <c r="D18" s="192" t="str">
        <f t="array" ref="D18">IFERROR(INDEX(Tableau8[[ref fact2]:[payé / présenté le]],MATCH(1,(Tableau8[REF FACT]='RECAP FACT'!$A18)*(Tableau8[fact n°]='RECAP FACT'!$B18),0),2),"")</f>
        <v/>
      </c>
      <c r="E18" s="193" t="str">
        <f t="array" ref="E18">IFERROR(INDEX(Tableau8[[ref fact2]:[payé / présenté le]],MATCH(1,(Tableau8[REF FACT]='RECAP FACT'!$A18)*(Tableau8[fact n°]='RECAP FACT'!$B18),0),6),"")</f>
        <v/>
      </c>
      <c r="F18" s="192" t="str">
        <f t="array" ref="F18">IFERROR(INDEX(Tableau8[[ref fact2]:[payé / présenté le]],MATCH(1,(Tableau8[REF FACT]='RECAP FACT'!$A18)*(Tableau8[fact n°]='RECAP FACT'!$B18),0),8),"")</f>
        <v/>
      </c>
      <c r="G18" s="23" t="str">
        <f t="array" ref="G18">IFERROR(INDEX(Tableau8[ref fact2],MATCH(1,(Tableau8[REF FACT]='RECAP FACT'!$A$11)*(Tableau8[fact n°]='RECAP FACT'!F18),0),1),"")</f>
        <v/>
      </c>
      <c r="H18" s="30"/>
      <c r="I18" s="270"/>
      <c r="J18" s="274"/>
      <c r="K18" s="274"/>
    </row>
    <row r="19" spans="1:11">
      <c r="A19" s="207" t="str">
        <f t="shared" si="1"/>
        <v>FREDCHATENAY MALABRY - IRENADH2OMARCHEINT</v>
      </c>
      <c r="B19" s="23">
        <v>9</v>
      </c>
      <c r="C19" s="191" t="str">
        <f t="array" ref="C19">IFERROR(INDEX(Tableau8[[ref fact2]:[payé / présenté le]],MATCH(1,(Tableau8[REF FACT]='RECAP FACT'!$A19)*(Tableau8[fact n°]='RECAP FACT'!$B19),0),1),"")</f>
        <v/>
      </c>
      <c r="D19" s="192" t="str">
        <f t="array" ref="D19">IFERROR(INDEX(Tableau8[[ref fact2]:[payé / présenté le]],MATCH(1,(Tableau8[REF FACT]='RECAP FACT'!$A19)*(Tableau8[fact n°]='RECAP FACT'!$B19),0),2),"")</f>
        <v/>
      </c>
      <c r="E19" s="193" t="str">
        <f t="array" ref="E19">IFERROR(INDEX(Tableau8[[ref fact2]:[payé / présenté le]],MATCH(1,(Tableau8[REF FACT]='RECAP FACT'!$A19)*(Tableau8[fact n°]='RECAP FACT'!$B19),0),6),"")</f>
        <v/>
      </c>
      <c r="F19" s="192" t="str">
        <f t="array" ref="F19">IFERROR(INDEX(Tableau8[[ref fact2]:[payé / présenté le]],MATCH(1,(Tableau8[REF FACT]='RECAP FACT'!$A19)*(Tableau8[fact n°]='RECAP FACT'!$B19),0),8),"")</f>
        <v/>
      </c>
      <c r="G19" s="23" t="str">
        <f t="array" ref="G19">IFERROR(INDEX(Tableau8[ref fact2],MATCH(1,(Tableau8[REF FACT]='RECAP FACT'!$A$11)*(Tableau8[fact n°]='RECAP FACT'!F19),0),1),"")</f>
        <v/>
      </c>
      <c r="H19" s="30"/>
      <c r="I19" s="30"/>
      <c r="J19" s="35"/>
      <c r="K19" s="30"/>
    </row>
    <row r="20" spans="1:11">
      <c r="A20" s="207" t="str">
        <f t="shared" si="1"/>
        <v>FREDCHATENAY MALABRY - IRENADH2OMARCHEINT</v>
      </c>
      <c r="B20" s="23">
        <v>10</v>
      </c>
      <c r="C20" s="191" t="str">
        <f t="array" ref="C20">IFERROR(INDEX(Tableau8[[ref fact2]:[payé / présenté le]],MATCH(1,(Tableau8[REF FACT]='RECAP FACT'!$A20)*(Tableau8[fact n°]='RECAP FACT'!$B20),0),1),"")</f>
        <v/>
      </c>
      <c r="D20" s="192" t="str">
        <f t="array" ref="D20">IFERROR(INDEX(Tableau8[[ref fact2]:[payé / présenté le]],MATCH(1,(Tableau8[REF FACT]='RECAP FACT'!$A20)*(Tableau8[fact n°]='RECAP FACT'!$B20),0),2),"")</f>
        <v/>
      </c>
      <c r="E20" s="193" t="str">
        <f t="array" ref="E20">IFERROR(INDEX(Tableau8[[ref fact2]:[payé / présenté le]],MATCH(1,(Tableau8[REF FACT]='RECAP FACT'!$A20)*(Tableau8[fact n°]='RECAP FACT'!$B20),0),6),"")</f>
        <v/>
      </c>
      <c r="F20" s="192" t="str">
        <f t="array" ref="F20">IFERROR(INDEX(Tableau8[[ref fact2]:[payé / présenté le]],MATCH(1,(Tableau8[REF FACT]='RECAP FACT'!$A20)*(Tableau8[fact n°]='RECAP FACT'!$B20),0),8),"")</f>
        <v/>
      </c>
      <c r="G20" s="23" t="str">
        <f t="array" ref="G20">IFERROR(INDEX(Tableau8[ref fact2],MATCH(1,(Tableau8[REF FACT]='RECAP FACT'!$A$11)*(Tableau8[fact n°]='RECAP FACT'!F20),0),1),"")</f>
        <v/>
      </c>
      <c r="H20" s="30"/>
      <c r="I20" s="30"/>
      <c r="J20" s="35"/>
      <c r="K20" s="30"/>
    </row>
    <row r="21" spans="1:11">
      <c r="A21" s="207" t="str">
        <f t="shared" si="1"/>
        <v>FREDCHATENAY MALABRY - IRENADH2OMARCHEINT</v>
      </c>
      <c r="B21" s="23">
        <v>11</v>
      </c>
      <c r="C21" s="191" t="str">
        <f t="array" ref="C21">IFERROR(INDEX(Tableau8[[ref fact2]:[payé / présenté le]],MATCH(1,(Tableau8[REF FACT]='RECAP FACT'!$A21)*(Tableau8[fact n°]='RECAP FACT'!$B21),0),1),"")</f>
        <v/>
      </c>
      <c r="D21" s="192" t="str">
        <f t="array" ref="D21">IFERROR(INDEX(Tableau8[[ref fact2]:[payé / présenté le]],MATCH(1,(Tableau8[REF FACT]='RECAP FACT'!$A21)*(Tableau8[fact n°]='RECAP FACT'!$B21),0),2),"")</f>
        <v/>
      </c>
      <c r="E21" s="193" t="str">
        <f t="array" ref="E21">IFERROR(INDEX(Tableau8[[ref fact2]:[payé / présenté le]],MATCH(1,(Tableau8[REF FACT]='RECAP FACT'!$A21)*(Tableau8[fact n°]='RECAP FACT'!$B21),0),6),"")</f>
        <v/>
      </c>
      <c r="F21" s="192" t="str">
        <f t="array" ref="F21">IFERROR(INDEX(Tableau8[[ref fact2]:[payé / présenté le]],MATCH(1,(Tableau8[REF FACT]='RECAP FACT'!$A21)*(Tableau8[fact n°]='RECAP FACT'!$B21),0),8),"")</f>
        <v/>
      </c>
      <c r="G21" s="23" t="str">
        <f t="array" ref="G21">IFERROR(INDEX(Tableau8[ref fact2],MATCH(1,(Tableau8[REF FACT]='RECAP FACT'!$A$11)*(Tableau8[fact n°]='RECAP FACT'!F21),0),1),"")</f>
        <v/>
      </c>
      <c r="H21" s="30"/>
      <c r="I21" s="30"/>
      <c r="J21" s="35"/>
      <c r="K21" s="30"/>
    </row>
    <row r="22" spans="1:11">
      <c r="A22" s="207" t="str">
        <f t="shared" si="1"/>
        <v>FREDCHATENAY MALABRY - IRENADH2OMARCHEINT</v>
      </c>
      <c r="B22" s="23">
        <v>12</v>
      </c>
      <c r="C22" s="191" t="str">
        <f t="array" ref="C22">IFERROR(INDEX(Tableau8[[ref fact2]:[payé / présenté le]],MATCH(1,(Tableau8[REF FACT]='RECAP FACT'!$A22)*(Tableau8[fact n°]='RECAP FACT'!$B22),0),1),"")</f>
        <v/>
      </c>
      <c r="D22" s="192" t="str">
        <f t="array" ref="D22">IFERROR(INDEX(Tableau8[[ref fact2]:[payé / présenté le]],MATCH(1,(Tableau8[REF FACT]='RECAP FACT'!$A22)*(Tableau8[fact n°]='RECAP FACT'!$B22),0),2),"")</f>
        <v/>
      </c>
      <c r="E22" s="193" t="str">
        <f t="array" ref="E22">IFERROR(INDEX(Tableau8[[ref fact2]:[payé / présenté le]],MATCH(1,(Tableau8[REF FACT]='RECAP FACT'!$A22)*(Tableau8[fact n°]='RECAP FACT'!$B22),0),6),"")</f>
        <v/>
      </c>
      <c r="F22" s="192" t="str">
        <f t="array" ref="F22">IFERROR(INDEX(Tableau8[[ref fact2]:[payé / présenté le]],MATCH(1,(Tableau8[REF FACT]='RECAP FACT'!$A22)*(Tableau8[fact n°]='RECAP FACT'!$B22),0),8),"")</f>
        <v/>
      </c>
      <c r="G22" s="23" t="str">
        <f t="array" ref="G22">IFERROR(INDEX(Tableau8[ref fact2],MATCH(1,(Tableau8[REF FACT]='RECAP FACT'!$A$11)*(Tableau8[fact n°]='RECAP FACT'!F22),0),1),"")</f>
        <v/>
      </c>
      <c r="H22" s="30"/>
      <c r="I22" s="30"/>
      <c r="J22" s="35"/>
      <c r="K22" s="30"/>
    </row>
    <row r="23" spans="1:11">
      <c r="A23" s="207" t="str">
        <f t="shared" si="1"/>
        <v>FREDCHATENAY MALABRY - IRENADH2OMARCHEINT</v>
      </c>
      <c r="B23" s="23">
        <v>13</v>
      </c>
      <c r="C23" s="191" t="str">
        <f t="array" ref="C23">IFERROR(INDEX(Tableau8[[ref fact2]:[payé / présenté le]],MATCH(1,(Tableau8[REF FACT]='RECAP FACT'!$A23)*(Tableau8[fact n°]='RECAP FACT'!$B23),0),1),"")</f>
        <v/>
      </c>
      <c r="D23" s="192" t="str">
        <f t="array" ref="D23">IFERROR(INDEX(Tableau8[[ref fact2]:[payé / présenté le]],MATCH(1,(Tableau8[REF FACT]='RECAP FACT'!$A23)*(Tableau8[fact n°]='RECAP FACT'!$B23),0),2),"")</f>
        <v/>
      </c>
      <c r="E23" s="193" t="str">
        <f t="array" ref="E23">IFERROR(INDEX(Tableau8[[ref fact2]:[payé / présenté le]],MATCH(1,(Tableau8[REF FACT]='RECAP FACT'!$A23)*(Tableau8[fact n°]='RECAP FACT'!$B23),0),6),"")</f>
        <v/>
      </c>
      <c r="F23" s="192" t="str">
        <f t="array" ref="F23">IFERROR(INDEX(Tableau8[[ref fact2]:[payé / présenté le]],MATCH(1,(Tableau8[REF FACT]='RECAP FACT'!$A23)*(Tableau8[fact n°]='RECAP FACT'!$B23),0),8),"")</f>
        <v/>
      </c>
      <c r="G23" s="23" t="str">
        <f t="array" ref="G23">IFERROR(INDEX(Tableau8[ref fact2],MATCH(1,(Tableau8[REF FACT]='RECAP FACT'!$A$11)*(Tableau8[fact n°]='RECAP FACT'!F23),0),1),"")</f>
        <v/>
      </c>
      <c r="H23" s="30"/>
      <c r="I23" s="30"/>
      <c r="J23" s="35"/>
      <c r="K23" s="30"/>
    </row>
    <row r="24" spans="1:11">
      <c r="A24" s="207" t="str">
        <f t="shared" si="1"/>
        <v>FREDCHATENAY MALABRY - IRENADH2OMARCHEINT</v>
      </c>
      <c r="B24" s="23">
        <v>14</v>
      </c>
      <c r="C24" s="191" t="str">
        <f t="array" ref="C24">IFERROR(INDEX(Tableau8[[ref fact2]:[payé / présenté le]],MATCH(1,(Tableau8[REF FACT]='RECAP FACT'!$A24)*(Tableau8[fact n°]='RECAP FACT'!$B24),0),1),"")</f>
        <v/>
      </c>
      <c r="D24" s="192" t="str">
        <f t="array" ref="D24">IFERROR(INDEX(Tableau8[[ref fact2]:[payé / présenté le]],MATCH(1,(Tableau8[REF FACT]='RECAP FACT'!$A24)*(Tableau8[fact n°]='RECAP FACT'!$B24),0),2),"")</f>
        <v/>
      </c>
      <c r="E24" s="193" t="str">
        <f t="array" ref="E24">IFERROR(INDEX(Tableau8[[ref fact2]:[payé / présenté le]],MATCH(1,(Tableau8[REF FACT]='RECAP FACT'!$A24)*(Tableau8[fact n°]='RECAP FACT'!$B24),0),6),"")</f>
        <v/>
      </c>
      <c r="F24" s="192" t="str">
        <f t="array" ref="F24">IFERROR(INDEX(Tableau8[[ref fact2]:[payé / présenté le]],MATCH(1,(Tableau8[REF FACT]='RECAP FACT'!$A24)*(Tableau8[fact n°]='RECAP FACT'!$B24),0),8),"")</f>
        <v/>
      </c>
      <c r="G24" s="23" t="str">
        <f t="array" ref="G24">IFERROR(INDEX(Tableau8[ref fact2],MATCH(1,(Tableau8[REF FACT]='RECAP FACT'!$A$11)*(Tableau8[fact n°]='RECAP FACT'!F24),0),1),"")</f>
        <v/>
      </c>
      <c r="H24" s="30"/>
      <c r="I24" s="30"/>
      <c r="J24" s="35"/>
      <c r="K24" s="30"/>
    </row>
    <row r="25" spans="1:11">
      <c r="A25" s="207" t="str">
        <f t="shared" si="1"/>
        <v>FREDCHATENAY MALABRY - IRENADH2OMARCHEINT</v>
      </c>
      <c r="B25" s="23">
        <v>15</v>
      </c>
      <c r="C25" s="191" t="str">
        <f t="array" ref="C25">IFERROR(INDEX(Tableau8[[ref fact2]:[payé / présenté le]],MATCH(1,(Tableau8[REF FACT]='RECAP FACT'!$A25)*(Tableau8[fact n°]='RECAP FACT'!$B25),0),1),"")</f>
        <v/>
      </c>
      <c r="D25" s="192" t="str">
        <f t="array" ref="D25">IFERROR(INDEX(Tableau8[[ref fact2]:[payé / présenté le]],MATCH(1,(Tableau8[REF FACT]='RECAP FACT'!$A25)*(Tableau8[fact n°]='RECAP FACT'!$B25),0),2),"")</f>
        <v/>
      </c>
      <c r="E25" s="193" t="str">
        <f t="array" ref="E25">IFERROR(INDEX(Tableau8[[ref fact2]:[payé / présenté le]],MATCH(1,(Tableau8[REF FACT]='RECAP FACT'!$A25)*(Tableau8[fact n°]='RECAP FACT'!$B25),0),6),"")</f>
        <v/>
      </c>
      <c r="F25" s="192" t="str">
        <f t="array" ref="F25">IFERROR(INDEX(Tableau8[[ref fact2]:[payé / présenté le]],MATCH(1,(Tableau8[REF FACT]='RECAP FACT'!$A25)*(Tableau8[fact n°]='RECAP FACT'!$B25),0),8),"")</f>
        <v/>
      </c>
      <c r="G25" s="23" t="str">
        <f t="array" ref="G25">IFERROR(INDEX(Tableau8[ref fact2],MATCH(1,(Tableau8[REF FACT]='RECAP FACT'!$A$11)*(Tableau8[fact n°]='RECAP FACT'!F25),0),1),"")</f>
        <v/>
      </c>
      <c r="J25" s="27"/>
    </row>
    <row r="26" spans="1:11">
      <c r="A26" s="207" t="str">
        <f t="shared" si="1"/>
        <v>FREDCHATENAY MALABRY - IRENADH2OMARCHEINT</v>
      </c>
      <c r="B26" s="23">
        <v>16</v>
      </c>
      <c r="C26" s="191" t="str">
        <f t="array" ref="C26">IFERROR(INDEX(Tableau8[[ref fact2]:[payé / présenté le]],MATCH(1,(Tableau8[REF FACT]='RECAP FACT'!$A26)*(Tableau8[fact n°]='RECAP FACT'!$B26),0),1),"")</f>
        <v/>
      </c>
      <c r="D26" s="192" t="str">
        <f t="array" ref="D26">IFERROR(INDEX(Tableau8[[ref fact2]:[payé / présenté le]],MATCH(1,(Tableau8[REF FACT]='RECAP FACT'!$A26)*(Tableau8[fact n°]='RECAP FACT'!$B26),0),2),"")</f>
        <v/>
      </c>
      <c r="E26" s="193" t="str">
        <f t="array" ref="E26">IFERROR(INDEX(Tableau8[[ref fact2]:[payé / présenté le]],MATCH(1,(Tableau8[REF FACT]='RECAP FACT'!$A26)*(Tableau8[fact n°]='RECAP FACT'!$B26),0),6),"")</f>
        <v/>
      </c>
      <c r="F26" s="192" t="str">
        <f t="array" ref="F26">IFERROR(INDEX(Tableau8[[ref fact2]:[payé / présenté le]],MATCH(1,(Tableau8[REF FACT]='RECAP FACT'!$A26)*(Tableau8[fact n°]='RECAP FACT'!$B26),0),8),"")</f>
        <v/>
      </c>
      <c r="G26" s="23" t="str">
        <f t="array" ref="G26">IFERROR(INDEX(Tableau8[ref fact2],MATCH(1,(Tableau8[REF FACT]='RECAP FACT'!$A$11)*(Tableau8[fact n°]='RECAP FACT'!F26),0),1),"")</f>
        <v/>
      </c>
      <c r="J26" s="27"/>
    </row>
    <row r="27" spans="1:11">
      <c r="A27" s="207" t="str">
        <f t="shared" si="1"/>
        <v>FREDCHATENAY MALABRY - IRENADH2OMARCHEINT</v>
      </c>
      <c r="B27" s="23">
        <v>17</v>
      </c>
      <c r="C27" s="191" t="str">
        <f t="array" ref="C27">IFERROR(INDEX(Tableau8[[ref fact2]:[payé / présenté le]],MATCH(1,(Tableau8[REF FACT]='RECAP FACT'!$A27)*(Tableau8[fact n°]='RECAP FACT'!$B27),0),1),"")</f>
        <v/>
      </c>
      <c r="D27" s="192" t="str">
        <f t="array" ref="D27">IFERROR(INDEX(Tableau8[[ref fact2]:[payé / présenté le]],MATCH(1,(Tableau8[REF FACT]='RECAP FACT'!$A27)*(Tableau8[fact n°]='RECAP FACT'!$B27),0),2),"")</f>
        <v/>
      </c>
      <c r="E27" s="193" t="str">
        <f t="array" ref="E27">IFERROR(INDEX(Tableau8[[ref fact2]:[payé / présenté le]],MATCH(1,(Tableau8[REF FACT]='RECAP FACT'!$A27)*(Tableau8[fact n°]='RECAP FACT'!$B27),0),6),"")</f>
        <v/>
      </c>
      <c r="F27" s="192" t="str">
        <f t="array" ref="F27">IFERROR(INDEX(Tableau8[[ref fact2]:[payé / présenté le]],MATCH(1,(Tableau8[REF FACT]='RECAP FACT'!$A27)*(Tableau8[fact n°]='RECAP FACT'!$B27),0),8),"")</f>
        <v/>
      </c>
      <c r="G27" s="23" t="str">
        <f t="array" ref="G27">IFERROR(INDEX(Tableau8[ref fact2],MATCH(1,(Tableau8[REF FACT]='RECAP FACT'!$A$11)*(Tableau8[fact n°]='RECAP FACT'!F27),0),1),"")</f>
        <v/>
      </c>
      <c r="J27" s="27"/>
    </row>
    <row r="28" spans="1:11">
      <c r="A28" s="207" t="str">
        <f t="shared" si="1"/>
        <v>FREDCHATENAY MALABRY - IRENADH2OMARCHEINT</v>
      </c>
      <c r="B28" s="23">
        <v>18</v>
      </c>
      <c r="C28" s="191" t="str">
        <f t="array" ref="C28">IFERROR(INDEX(Tableau8[[ref fact2]:[payé / présenté le]],MATCH(1,(Tableau8[REF FACT]='RECAP FACT'!$A28)*(Tableau8[fact n°]='RECAP FACT'!$B28),0),1),"")</f>
        <v/>
      </c>
      <c r="D28" s="192" t="str">
        <f t="array" ref="D28">IFERROR(INDEX(Tableau8[[ref fact2]:[payé / présenté le]],MATCH(1,(Tableau8[REF FACT]='RECAP FACT'!$A28)*(Tableau8[fact n°]='RECAP FACT'!$B28),0),2),"")</f>
        <v/>
      </c>
      <c r="E28" s="193" t="str">
        <f t="array" ref="E28">IFERROR(INDEX(Tableau8[[ref fact2]:[payé / présenté le]],MATCH(1,(Tableau8[REF FACT]='RECAP FACT'!$A28)*(Tableau8[fact n°]='RECAP FACT'!$B28),0),6),"")</f>
        <v/>
      </c>
      <c r="F28" s="192" t="str">
        <f t="array" ref="F28">IFERROR(INDEX(Tableau8[[ref fact2]:[payé / présenté le]],MATCH(1,(Tableau8[REF FACT]='RECAP FACT'!$A28)*(Tableau8[fact n°]='RECAP FACT'!$B28),0),8),"")</f>
        <v/>
      </c>
      <c r="G28" s="23" t="str">
        <f t="array" ref="G28">IFERROR(INDEX(Tableau8[ref fact2],MATCH(1,(Tableau8[REF FACT]='RECAP FACT'!$A$11)*(Tableau8[fact n°]='RECAP FACT'!F28),0),1),"")</f>
        <v/>
      </c>
      <c r="J28" s="27"/>
    </row>
    <row r="29" spans="1:11">
      <c r="A29" s="207" t="str">
        <f t="shared" si="1"/>
        <v>FREDCHATENAY MALABRY - IRENADH2OMARCHEINT</v>
      </c>
      <c r="B29" s="23">
        <v>19</v>
      </c>
      <c r="C29" s="191" t="str">
        <f t="array" ref="C29">IFERROR(INDEX(Tableau8[[ref fact2]:[payé / présenté le]],MATCH(1,(Tableau8[REF FACT]='RECAP FACT'!$A29)*(Tableau8[fact n°]='RECAP FACT'!$B29),0),1),"")</f>
        <v/>
      </c>
      <c r="D29" s="192" t="str">
        <f t="array" ref="D29">IFERROR(INDEX(Tableau8[[ref fact2]:[payé / présenté le]],MATCH(1,(Tableau8[REF FACT]='RECAP FACT'!$A29)*(Tableau8[fact n°]='RECAP FACT'!$B29),0),2),"")</f>
        <v/>
      </c>
      <c r="E29" s="193" t="str">
        <f t="array" ref="E29">IFERROR(INDEX(Tableau8[[ref fact2]:[payé / présenté le]],MATCH(1,(Tableau8[REF FACT]='RECAP FACT'!$A29)*(Tableau8[fact n°]='RECAP FACT'!$B29),0),6),"")</f>
        <v/>
      </c>
      <c r="F29" s="192" t="str">
        <f t="array" ref="F29">IFERROR(INDEX(Tableau8[[ref fact2]:[payé / présenté le]],MATCH(1,(Tableau8[REF FACT]='RECAP FACT'!$A29)*(Tableau8[fact n°]='RECAP FACT'!$B29),0),8),"")</f>
        <v/>
      </c>
      <c r="G29" s="23" t="str">
        <f t="array" ref="G29">IFERROR(INDEX(Tableau8[ref fact2],MATCH(1,(Tableau8[REF FACT]='RECAP FACT'!$A$11)*(Tableau8[fact n°]='RECAP FACT'!F29),0),1),"")</f>
        <v/>
      </c>
      <c r="J29" s="27"/>
    </row>
    <row r="30" spans="1:11">
      <c r="A30" s="207" t="str">
        <f t="shared" si="1"/>
        <v>FREDCHATENAY MALABRY - IRENADH2OMARCHEINT</v>
      </c>
      <c r="B30" s="23">
        <v>20</v>
      </c>
      <c r="C30" s="191" t="str">
        <f t="array" ref="C30">IFERROR(INDEX(Tableau8[[ref fact2]:[payé / présenté le]],MATCH(1,(Tableau8[REF FACT]='RECAP FACT'!$A30)*(Tableau8[fact n°]='RECAP FACT'!$B30),0),1),"")</f>
        <v/>
      </c>
      <c r="D30" s="192" t="str">
        <f t="array" ref="D30">IFERROR(INDEX(Tableau8[[ref fact2]:[payé / présenté le]],MATCH(1,(Tableau8[REF FACT]='RECAP FACT'!$A30)*(Tableau8[fact n°]='RECAP FACT'!$B30),0),2),"")</f>
        <v/>
      </c>
      <c r="E30" s="193" t="str">
        <f t="array" ref="E30">IFERROR(INDEX(Tableau8[[ref fact2]:[payé / présenté le]],MATCH(1,(Tableau8[REF FACT]='RECAP FACT'!$A30)*(Tableau8[fact n°]='RECAP FACT'!$B30),0),6),"")</f>
        <v/>
      </c>
      <c r="F30" s="192" t="str">
        <f t="array" ref="F30">IFERROR(INDEX(Tableau8[[ref fact2]:[payé / présenté le]],MATCH(1,(Tableau8[REF FACT]='RECAP FACT'!$A30)*(Tableau8[fact n°]='RECAP FACT'!$B30),0),8),"")</f>
        <v/>
      </c>
      <c r="G30" s="23" t="str">
        <f t="array" ref="G30">IFERROR(INDEX(Tableau8[ref fact2],MATCH(1,(Tableau8[REF FACT]='RECAP FACT'!$A$11)*(Tableau8[fact n°]='RECAP FACT'!F30),0),1),"")</f>
        <v/>
      </c>
      <c r="J30" s="27"/>
    </row>
    <row r="31" spans="1:11">
      <c r="A31" s="207" t="str">
        <f t="shared" si="1"/>
        <v>FREDCHATENAY MALABRY - IRENADH2OMARCHEINT</v>
      </c>
      <c r="B31" s="23">
        <v>21</v>
      </c>
      <c r="C31" s="191" t="str">
        <f>IFERROR(INDEX(Tableau8[[ref fact2]:[payé / présenté le]],MATCH(1,(Tableau8[REF FACT]='RECAP FACT'!$A31)*(Tableau8[fact n°]='RECAP FACT'!$B31),0),1),"")</f>
        <v/>
      </c>
      <c r="D31" s="192" t="str">
        <f t="array" ref="D31">IFERROR(INDEX(Tableau8[[ref fact2]:[payé / présenté le]],MATCH(1,(Tableau8[REF FACT]='RECAP FACT'!$A31)*(Tableau8[fact n°]='RECAP FACT'!$B31),0),2),"")</f>
        <v/>
      </c>
      <c r="E31" s="193" t="str">
        <f t="array" ref="E31">IFERROR(INDEX(Tableau8[[ref fact2]:[payé / présenté le]],MATCH(1,(Tableau8[REF FACT]='RECAP FACT'!$A31)*(Tableau8[fact n°]='RECAP FACT'!$B31),0),6),"")</f>
        <v/>
      </c>
      <c r="F31" s="192" t="str">
        <f t="array" ref="F31">IFERROR(INDEX(Tableau8[[ref fact2]:[payé / présenté le]],MATCH(1,(Tableau8[REF FACT]='RECAP FACT'!$A31)*(Tableau8[fact n°]='RECAP FACT'!$B31),0),8),"")</f>
        <v/>
      </c>
      <c r="G31" s="23" t="str">
        <f t="array" ref="G31">IFERROR(INDEX(Tableau8[ref fact2],MATCH(1,(Tableau8[REF FACT]='RECAP FACT'!$A$11)*(Tableau8[fact n°]='RECAP FACT'!F31),0),1),"")</f>
        <v/>
      </c>
      <c r="J31" s="27"/>
    </row>
    <row r="32" spans="1:11">
      <c r="A32" s="207"/>
      <c r="B32" s="23"/>
      <c r="C32" s="271" t="s">
        <v>32</v>
      </c>
      <c r="D32" s="271"/>
      <c r="E32" s="183">
        <f>SUM(E11:E31)</f>
        <v>10343.049999999999</v>
      </c>
      <c r="F32" s="177"/>
      <c r="G32" s="7"/>
      <c r="J32" s="27"/>
    </row>
    <row r="33" spans="1:11">
      <c r="A33" s="207"/>
      <c r="B33" s="26"/>
    </row>
    <row r="34" spans="1:11">
      <c r="A34" s="207"/>
      <c r="B34" s="26"/>
    </row>
    <row r="35" spans="1:11" ht="23.25">
      <c r="A35" s="207"/>
      <c r="B35" s="165" t="s">
        <v>159</v>
      </c>
      <c r="C35" s="173"/>
      <c r="D35" s="178"/>
      <c r="E35" s="169"/>
      <c r="F35" s="276">
        <f>VLOOKUP(C6,'MARCHE CONTRAT PV'!$A$4:R42,14,FALSE)</f>
        <v>55000</v>
      </c>
      <c r="G35" s="277"/>
    </row>
    <row r="36" spans="1:11">
      <c r="A36" s="207"/>
      <c r="B36" s="36" t="s">
        <v>27</v>
      </c>
      <c r="C36" s="36" t="s">
        <v>28</v>
      </c>
      <c r="D36" s="167" t="s">
        <v>29</v>
      </c>
      <c r="E36" s="170" t="s">
        <v>15</v>
      </c>
      <c r="F36" s="167" t="s">
        <v>33</v>
      </c>
      <c r="G36" s="36" t="s">
        <v>30</v>
      </c>
      <c r="H36" s="26"/>
      <c r="I36" s="26"/>
      <c r="J36" s="26"/>
      <c r="K36" s="26"/>
    </row>
    <row r="37" spans="1:11">
      <c r="A37" s="207" t="str">
        <f>IFERROR(CONCATENATE($C$3,$C$2,$C$1,$C$4,$B$35),"")</f>
        <v>FREDCHATENAY MALABRY - IRENADH2OMARCHEEXT</v>
      </c>
      <c r="B37" s="23">
        <v>1</v>
      </c>
      <c r="C37" s="191" t="str">
        <f t="array" ref="C37">IFERROR(INDEX(Tableau8[[ref fact2]:[payé / présenté le]],MATCH(1,(Tableau8[REF FACT]='RECAP FACT'!$A37)*(Tableau8[fact n°]='RECAP FACT'!$B37),0),1),"")</f>
        <v/>
      </c>
      <c r="D37" s="192" t="str">
        <f t="array" ref="D37">IFERROR(INDEX(Tableau8[[ref fact2]:[payé / présenté le]],MATCH(1,(Tableau8[REF FACT]='RECAP FACT'!$A37)*(Tableau8[fact n°]='RECAP FACT'!$B37),0),2),"")</f>
        <v/>
      </c>
      <c r="E37" s="193" t="str">
        <f t="array" ref="E37">IFERROR(INDEX(Tableau8[[ref fact2]:[payé / présenté le]],MATCH(1,(Tableau8[REF FACT]='RECAP FACT'!$A37)*(Tableau8[fact n°]='RECAP FACT'!$B37),0),6),"")</f>
        <v/>
      </c>
      <c r="F37" s="177" t="str">
        <f t="array" ref="F37">IFERROR(INDEX(Tableau8[[ref fact2]:[payé / présenté le]],MATCH(1,(Tableau8[REF FACT]='RECAP FACT'!$A37)*(Tableau8[fact n°]='RECAP FACT'!$B37),0),8),"")</f>
        <v/>
      </c>
      <c r="G37" s="23" t="str">
        <f t="array" ref="G37">IFERROR(INDEX(Tableau8[ref fact2],MATCH(1,(Tableau8[REF FACT]='RECAP FACT'!$A$11)*(Tableau8[fact n°]='RECAP FACT'!F37),0),1),"")</f>
        <v/>
      </c>
    </row>
    <row r="38" spans="1:11" ht="15.75" thickBot="1">
      <c r="A38" s="207" t="str">
        <f t="shared" ref="A38:A57" si="2">CONCATENATE($C$3,$C$2,$C$1,$C$4,$B$35)</f>
        <v>FREDCHATENAY MALABRY - IRENADH2OMARCHEEXT</v>
      </c>
      <c r="B38" s="23">
        <v>2</v>
      </c>
      <c r="C38" s="191" t="str">
        <f t="array" ref="C38">IFERROR(INDEX(Tableau8[[ref fact2]:[payé / présenté le]],MATCH(1,(Tableau8[REF FACT]='RECAP FACT'!$A38)*(Tableau8[fact n°]='RECAP FACT'!$B38),0),1),"")</f>
        <v/>
      </c>
      <c r="D38" s="192" t="str">
        <f t="array" ref="D38">IFERROR(INDEX(Tableau8[[ref fact2]:[payé / présenté le]],MATCH(1,(Tableau8[REF FACT]='RECAP FACT'!$A38)*(Tableau8[fact n°]='RECAP FACT'!$B38),0),2),"")</f>
        <v/>
      </c>
      <c r="E38" s="193" t="str">
        <f t="array" ref="E38">IFERROR(INDEX(Tableau8[[ref fact2]:[payé / présenté le]],MATCH(1,(Tableau8[REF FACT]='RECAP FACT'!$A38)*(Tableau8[fact n°]='RECAP FACT'!$B38),0),6),"")</f>
        <v/>
      </c>
      <c r="F38" s="177" t="str">
        <f t="array" ref="F38">IFERROR(INDEX(Tableau8[[ref fact2]:[payé / présenté le]],MATCH(1,(Tableau8[REF FACT]='RECAP FACT'!$A38)*(Tableau8[fact n°]='RECAP FACT'!$B38),0),8),"")</f>
        <v/>
      </c>
      <c r="G38" s="34"/>
    </row>
    <row r="39" spans="1:11" ht="15" customHeight="1">
      <c r="A39" s="207" t="str">
        <f t="shared" si="2"/>
        <v>FREDCHATENAY MALABRY - IRENADH2OMARCHEEXT</v>
      </c>
      <c r="B39" s="23">
        <v>3</v>
      </c>
      <c r="C39" s="191" t="str">
        <f t="array" ref="C39">IFERROR(INDEX(Tableau8[[ref fact2]:[payé / présenté le]],MATCH(1,(Tableau8[REF FACT]='RECAP FACT'!$A39)*(Tableau8[fact n°]='RECAP FACT'!$B39),0),1),"")</f>
        <v/>
      </c>
      <c r="D39" s="192" t="str">
        <f t="array" ref="D39">IFERROR(INDEX(Tableau8[[ref fact2]:[payé / présenté le]],MATCH(1,(Tableau8[REF FACT]='RECAP FACT'!$A39)*(Tableau8[fact n°]='RECAP FACT'!$B39),0),2),"")</f>
        <v/>
      </c>
      <c r="E39" s="193" t="str">
        <f t="array" ref="E39">IFERROR(INDEX(Tableau8[[ref fact2]:[payé / présenté le]],MATCH(1,(Tableau8[REF FACT]='RECAP FACT'!$A39)*(Tableau8[fact n°]='RECAP FACT'!$B39),0),6),"")</f>
        <v/>
      </c>
      <c r="F39" s="177" t="str">
        <f t="array" ref="F39">IFERROR(INDEX(Tableau8[[ref fact2]:[payé / présenté le]],MATCH(1,(Tableau8[REF FACT]='RECAP FACT'!$A39)*(Tableau8[fact n°]='RECAP FACT'!$B39),0),8),"")</f>
        <v/>
      </c>
      <c r="G39" s="7"/>
      <c r="I39" s="272" t="s">
        <v>26</v>
      </c>
      <c r="J39" s="275">
        <f>F35</f>
        <v>55000</v>
      </c>
      <c r="K39" s="275"/>
    </row>
    <row r="40" spans="1:11" ht="15" customHeight="1">
      <c r="A40" s="207" t="str">
        <f t="shared" si="2"/>
        <v>FREDCHATENAY MALABRY - IRENADH2OMARCHEEXT</v>
      </c>
      <c r="B40" s="23">
        <v>4</v>
      </c>
      <c r="C40" s="191" t="str">
        <f t="array" ref="C40">IFERROR(INDEX(Tableau8[[ref fact2]:[payé / présenté le]],MATCH(1,(Tableau8[REF FACT]='RECAP FACT'!$A40)*(Tableau8[fact n°]='RECAP FACT'!$B40),0),1),"")</f>
        <v/>
      </c>
      <c r="D40" s="192" t="str">
        <f t="array" ref="D40">IFERROR(INDEX(Tableau8[[ref fact2]:[payé / présenté le]],MATCH(1,(Tableau8[REF FACT]='RECAP FACT'!$A40)*(Tableau8[fact n°]='RECAP FACT'!$B40),0),2),"")</f>
        <v/>
      </c>
      <c r="E40" s="193" t="str">
        <f t="array" ref="E40">IFERROR(INDEX(Tableau8[[ref fact2]:[payé / présenté le]],MATCH(1,(Tableau8[REF FACT]='RECAP FACT'!$A40)*(Tableau8[fact n°]='RECAP FACT'!$B40),0),6),"")</f>
        <v/>
      </c>
      <c r="F40" s="177" t="str">
        <f t="array" ref="F40">IFERROR(INDEX(Tableau8[[ref fact2]:[payé / présenté le]],MATCH(1,(Tableau8[REF FACT]='RECAP FACT'!$A40)*(Tableau8[fact n°]='RECAP FACT'!$B40),0),8),"")</f>
        <v/>
      </c>
      <c r="G40" s="34"/>
      <c r="I40" s="273"/>
      <c r="J40" s="275"/>
      <c r="K40" s="275"/>
    </row>
    <row r="41" spans="1:11" ht="15" customHeight="1">
      <c r="A41" s="207" t="str">
        <f t="shared" si="2"/>
        <v>FREDCHATENAY MALABRY - IRENADH2OMARCHEEXT</v>
      </c>
      <c r="B41" s="23">
        <v>5</v>
      </c>
      <c r="C41" s="191" t="str">
        <f t="array" ref="C41">IFERROR(INDEX(Tableau8[[ref fact2]:[payé / présenté le]],MATCH(1,(Tableau8[REF FACT]='RECAP FACT'!$A41)*(Tableau8[fact n°]='RECAP FACT'!$B41),0),1),"")</f>
        <v/>
      </c>
      <c r="D41" s="192" t="str">
        <f t="array" ref="D41">IFERROR(INDEX(Tableau8[[ref fact2]:[payé / présenté le]],MATCH(1,(Tableau8[REF FACT]='RECAP FACT'!$A41)*(Tableau8[fact n°]='RECAP FACT'!$B41),0),2),"")</f>
        <v/>
      </c>
      <c r="E41" s="193" t="str">
        <f t="array" ref="E41">IFERROR(INDEX(Tableau8[[ref fact2]:[payé / présenté le]],MATCH(1,(Tableau8[REF FACT]='RECAP FACT'!$A41)*(Tableau8[fact n°]='RECAP FACT'!$B41),0),6),"")</f>
        <v/>
      </c>
      <c r="F41" s="177" t="str">
        <f t="array" ref="F41">IFERROR(INDEX(Tableau8[[ref fact2]:[payé / présenté le]],MATCH(1,(Tableau8[REF FACT]='RECAP FACT'!$A41)*(Tableau8[fact n°]='RECAP FACT'!$B41),0),8),"")</f>
        <v/>
      </c>
      <c r="G41" s="7"/>
      <c r="I41" s="273" t="s">
        <v>35</v>
      </c>
      <c r="J41" s="275">
        <f>(E58)</f>
        <v>0</v>
      </c>
      <c r="K41" s="275"/>
    </row>
    <row r="42" spans="1:11" ht="15" customHeight="1">
      <c r="A42" s="207" t="str">
        <f t="shared" si="2"/>
        <v>FREDCHATENAY MALABRY - IRENADH2OMARCHEEXT</v>
      </c>
      <c r="B42" s="23">
        <v>6</v>
      </c>
      <c r="C42" s="191" t="str">
        <f t="array" ref="C42">IFERROR(INDEX(Tableau8[[ref fact2]:[payé / présenté le]],MATCH(1,(Tableau8[REF FACT]='RECAP FACT'!$A42)*(Tableau8[fact n°]='RECAP FACT'!$B42),0),1),"")</f>
        <v/>
      </c>
      <c r="D42" s="192" t="str">
        <f t="array" ref="D42">IFERROR(INDEX(Tableau8[[ref fact2]:[payé / présenté le]],MATCH(1,(Tableau8[REF FACT]='RECAP FACT'!$A42)*(Tableau8[fact n°]='RECAP FACT'!$B42),0),2),"")</f>
        <v/>
      </c>
      <c r="E42" s="193" t="str">
        <f t="array" ref="E42">IFERROR(INDEX(Tableau8[[ref fact2]:[payé / présenté le]],MATCH(1,(Tableau8[REF FACT]='RECAP FACT'!$A42)*(Tableau8[fact n°]='RECAP FACT'!$B42),0),6),"")</f>
        <v/>
      </c>
      <c r="F42" s="177" t="str">
        <f t="array" ref="F42">IFERROR(INDEX(Tableau8[[ref fact2]:[payé / présenté le]],MATCH(1,(Tableau8[REF FACT]='RECAP FACT'!$A42)*(Tableau8[fact n°]='RECAP FACT'!$B42),0),8),"")</f>
        <v/>
      </c>
      <c r="G42" s="34"/>
      <c r="I42" s="273"/>
      <c r="J42" s="275"/>
      <c r="K42" s="275"/>
    </row>
    <row r="43" spans="1:11" ht="15" customHeight="1">
      <c r="A43" s="207" t="str">
        <f t="shared" si="2"/>
        <v>FREDCHATENAY MALABRY - IRENADH2OMARCHEEXT</v>
      </c>
      <c r="B43" s="23">
        <v>7</v>
      </c>
      <c r="C43" s="191" t="str">
        <f t="array" ref="C43">IFERROR(INDEX(Tableau8[[ref fact2]:[payé / présenté le]],MATCH(1,(Tableau8[REF FACT]='RECAP FACT'!$A43)*(Tableau8[fact n°]='RECAP FACT'!$B43),0),1),"")</f>
        <v/>
      </c>
      <c r="D43" s="192" t="str">
        <f t="array" ref="D43">IFERROR(INDEX(Tableau8[[ref fact2]:[payé / présenté le]],MATCH(1,(Tableau8[REF FACT]='RECAP FACT'!$A43)*(Tableau8[fact n°]='RECAP FACT'!$B43),0),2),"")</f>
        <v/>
      </c>
      <c r="E43" s="193" t="str">
        <f t="array" ref="E43">IFERROR(INDEX(Tableau8[[ref fact2]:[payé / présenté le]],MATCH(1,(Tableau8[REF FACT]='RECAP FACT'!$A43)*(Tableau8[fact n°]='RECAP FACT'!$B43),0),6),"")</f>
        <v/>
      </c>
      <c r="F43" s="177" t="str">
        <f t="array" ref="F43">IFERROR(INDEX(Tableau8[[ref fact2]:[payé / présenté le]],MATCH(1,(Tableau8[REF FACT]='RECAP FACT'!$A43)*(Tableau8[fact n°]='RECAP FACT'!$B43),0),8),"")</f>
        <v/>
      </c>
      <c r="G43" s="7"/>
      <c r="I43" s="273" t="s">
        <v>36</v>
      </c>
      <c r="J43" s="275">
        <f>(J39-J41)</f>
        <v>55000</v>
      </c>
      <c r="K43" s="275"/>
    </row>
    <row r="44" spans="1:11" ht="15.75" customHeight="1" thickBot="1">
      <c r="A44" s="207" t="str">
        <f>CONCATENATE($C$3,$C$2,$C$1,$C$4,$B$35)</f>
        <v>FREDCHATENAY MALABRY - IRENADH2OMARCHEEXT</v>
      </c>
      <c r="B44" s="23">
        <v>8</v>
      </c>
      <c r="C44" s="191" t="str">
        <f t="array" ref="C44">IFERROR(INDEX(Tableau8[[ref fact2]:[payé / présenté le]],MATCH(1,(Tableau8[REF FACT]='RECAP FACT'!$A44)*(Tableau8[fact n°]='RECAP FACT'!$B44),0),1),"")</f>
        <v/>
      </c>
      <c r="D44" s="192" t="str">
        <f t="array" ref="D44">IFERROR(INDEX(Tableau8[[ref fact2]:[payé / présenté le]],MATCH(1,(Tableau8[REF FACT]='RECAP FACT'!$A44)*(Tableau8[fact n°]='RECAP FACT'!$B44),0),2),"")</f>
        <v/>
      </c>
      <c r="E44" s="193" t="str">
        <f t="array" ref="E44">IFERROR(INDEX(Tableau8[[ref fact2]:[payé / présenté le]],MATCH(1,(Tableau8[REF FACT]='RECAP FACT'!$A44)*(Tableau8[fact n°]='RECAP FACT'!$B44),0),6),"")</f>
        <v/>
      </c>
      <c r="F44" s="177" t="str">
        <f t="array" ref="F44">IFERROR(INDEX(Tableau8[[ref fact2]:[payé / présenté le]],MATCH(1,(Tableau8[REF FACT]='RECAP FACT'!$A44)*(Tableau8[fact n°]='RECAP FACT'!$B44),0),8),"")</f>
        <v/>
      </c>
      <c r="G44" s="7"/>
      <c r="I44" s="279"/>
      <c r="J44" s="275"/>
      <c r="K44" s="275"/>
    </row>
    <row r="45" spans="1:11">
      <c r="A45" s="207" t="str">
        <f t="shared" si="2"/>
        <v>FREDCHATENAY MALABRY - IRENADH2OMARCHEEXT</v>
      </c>
      <c r="B45" s="23">
        <v>9</v>
      </c>
      <c r="C45" s="191" t="str">
        <f t="array" ref="C45">IFERROR(INDEX(Tableau8[[ref fact2]:[payé / présenté le]],MATCH(1,(Tableau8[REF FACT]='RECAP FACT'!$A45)*(Tableau8[fact n°]='RECAP FACT'!$B45),0),1),"")</f>
        <v/>
      </c>
      <c r="D45" s="192" t="str">
        <f t="array" ref="D45">IFERROR(INDEX(Tableau8[[ref fact2]:[payé / présenté le]],MATCH(1,(Tableau8[REF FACT]='RECAP FACT'!$A45)*(Tableau8[fact n°]='RECAP FACT'!$B45),0),2),"")</f>
        <v/>
      </c>
      <c r="E45" s="193" t="str">
        <f t="array" ref="E45">IFERROR(INDEX(Tableau8[[ref fact2]:[payé / présenté le]],MATCH(1,(Tableau8[REF FACT]='RECAP FACT'!$A45)*(Tableau8[fact n°]='RECAP FACT'!$B45),0),6),"")</f>
        <v/>
      </c>
      <c r="F45" s="177" t="str">
        <f t="array" ref="F45">IFERROR(INDEX(Tableau8[[ref fact2]:[payé / présenté le]],MATCH(1,(Tableau8[REF FACT]='RECAP FACT'!$A45)*(Tableau8[fact n°]='RECAP FACT'!$B45),0),8),"")</f>
        <v/>
      </c>
      <c r="G45" s="7"/>
    </row>
    <row r="46" spans="1:11">
      <c r="A46" s="207" t="str">
        <f t="shared" si="2"/>
        <v>FREDCHATENAY MALABRY - IRENADH2OMARCHEEXT</v>
      </c>
      <c r="B46" s="23">
        <v>10</v>
      </c>
      <c r="C46" s="191" t="str">
        <f t="array" ref="C46">IFERROR(INDEX(Tableau8[[ref fact2]:[payé / présenté le]],MATCH(1,(Tableau8[REF FACT]='RECAP FACT'!$A46)*(Tableau8[fact n°]='RECAP FACT'!$B46),0),1),"")</f>
        <v/>
      </c>
      <c r="D46" s="192" t="str">
        <f t="array" ref="D46">IFERROR(INDEX(Tableau8[[ref fact2]:[payé / présenté le]],MATCH(1,(Tableau8[REF FACT]='RECAP FACT'!$A46)*(Tableau8[fact n°]='RECAP FACT'!$B46),0),2),"")</f>
        <v/>
      </c>
      <c r="E46" s="193" t="str">
        <f t="array" ref="E46">IFERROR(INDEX(Tableau8[[ref fact2]:[payé / présenté le]],MATCH(1,(Tableau8[REF FACT]='RECAP FACT'!$A46)*(Tableau8[fact n°]='RECAP FACT'!$B46),0),6),"")</f>
        <v/>
      </c>
      <c r="F46" s="177" t="str">
        <f t="array" ref="F46">IFERROR(INDEX(Tableau8[[ref fact2]:[payé / présenté le]],MATCH(1,(Tableau8[REF FACT]='RECAP FACT'!$A46)*(Tableau8[fact n°]='RECAP FACT'!$B46),0),8),"")</f>
        <v/>
      </c>
      <c r="G46" s="7"/>
    </row>
    <row r="47" spans="1:11">
      <c r="A47" s="207" t="str">
        <f t="shared" si="2"/>
        <v>FREDCHATENAY MALABRY - IRENADH2OMARCHEEXT</v>
      </c>
      <c r="B47" s="23">
        <v>11</v>
      </c>
      <c r="C47" s="191" t="str">
        <f t="array" ref="C47">IFERROR(INDEX(Tableau8[[ref fact2]:[payé / présenté le]],MATCH(1,(Tableau8[REF FACT]='RECAP FACT'!$A47)*(Tableau8[fact n°]='RECAP FACT'!$B47),0),1),"")</f>
        <v/>
      </c>
      <c r="D47" s="192" t="str">
        <f t="array" ref="D47">IFERROR(INDEX(Tableau8[[ref fact2]:[payé / présenté le]],MATCH(1,(Tableau8[REF FACT]='RECAP FACT'!$A47)*(Tableau8[fact n°]='RECAP FACT'!$B47),0),2),"")</f>
        <v/>
      </c>
      <c r="E47" s="193" t="str">
        <f t="array" ref="E47">IFERROR(INDEX(Tableau8[[ref fact2]:[payé / présenté le]],MATCH(1,(Tableau8[REF FACT]='RECAP FACT'!$A47)*(Tableau8[fact n°]='RECAP FACT'!$B47),0),6),"")</f>
        <v/>
      </c>
      <c r="F47" s="177" t="str">
        <f t="array" ref="F47">IFERROR(INDEX(Tableau8[[ref fact2]:[payé / présenté le]],MATCH(1,(Tableau8[REF FACT]='RECAP FACT'!$A47)*(Tableau8[fact n°]='RECAP FACT'!$B47),0),8),"")</f>
        <v/>
      </c>
      <c r="G47" s="7"/>
    </row>
    <row r="48" spans="1:11">
      <c r="A48" s="207" t="str">
        <f t="shared" si="2"/>
        <v>FREDCHATENAY MALABRY - IRENADH2OMARCHEEXT</v>
      </c>
      <c r="B48" s="23">
        <v>12</v>
      </c>
      <c r="C48" s="191" t="str">
        <f t="array" ref="C48">IFERROR(INDEX(Tableau8[[ref fact2]:[payé / présenté le]],MATCH(1,(Tableau8[REF FACT]='RECAP FACT'!$A48)*(Tableau8[fact n°]='RECAP FACT'!$B48),0),1),"")</f>
        <v/>
      </c>
      <c r="D48" s="192" t="str">
        <f t="array" ref="D48">IFERROR(INDEX(Tableau8[[ref fact2]:[payé / présenté le]],MATCH(1,(Tableau8[REF FACT]='RECAP FACT'!$A48)*(Tableau8[fact n°]='RECAP FACT'!$B48),0),2),"")</f>
        <v/>
      </c>
      <c r="E48" s="193" t="str">
        <f t="array" ref="E48">IFERROR(INDEX(Tableau8[[ref fact2]:[payé / présenté le]],MATCH(1,(Tableau8[REF FACT]='RECAP FACT'!$A48)*(Tableau8[fact n°]='RECAP FACT'!$B48),0),6),"")</f>
        <v/>
      </c>
      <c r="F48" s="177" t="str">
        <f t="array" ref="F48">IFERROR(INDEX(Tableau8[[ref fact2]:[payé / présenté le]],MATCH(1,(Tableau8[REF FACT]='RECAP FACT'!$A48)*(Tableau8[fact n°]='RECAP FACT'!$B48),0),8),"")</f>
        <v/>
      </c>
      <c r="G48" s="7"/>
    </row>
    <row r="49" spans="1:11">
      <c r="A49" s="207" t="str">
        <f>CONCATENATE($C$3,$C$2,$C$1,$C$4,$B$35)</f>
        <v>FREDCHATENAY MALABRY - IRENADH2OMARCHEEXT</v>
      </c>
      <c r="B49" s="23">
        <v>13</v>
      </c>
      <c r="C49" s="191" t="str">
        <f t="array" ref="C49">IFERROR(INDEX(Tableau8[[ref fact2]:[payé / présenté le]],MATCH(1,(Tableau8[REF FACT]='RECAP FACT'!$A49)*(Tableau8[fact n°]='RECAP FACT'!$B49),0),1),"")</f>
        <v/>
      </c>
      <c r="D49" s="192" t="str">
        <f t="array" ref="D49">IFERROR(INDEX(Tableau8[[ref fact2]:[payé / présenté le]],MATCH(1,(Tableau8[REF FACT]='RECAP FACT'!$A49)*(Tableau8[fact n°]='RECAP FACT'!$B49),0),2),"")</f>
        <v/>
      </c>
      <c r="E49" s="193" t="str">
        <f t="array" ref="E49">IFERROR(INDEX(Tableau8[[ref fact2]:[payé / présenté le]],MATCH(1,(Tableau8[REF FACT]='RECAP FACT'!$A49)*(Tableau8[fact n°]='RECAP FACT'!$B49),0),6),"")</f>
        <v/>
      </c>
      <c r="F49" s="177" t="str">
        <f t="array" ref="F49">IFERROR(INDEX(Tableau8[[ref fact2]:[payé / présenté le]],MATCH(1,(Tableau8[REF FACT]='RECAP FACT'!$A49)*(Tableau8[fact n°]='RECAP FACT'!$B49),0),8),"")</f>
        <v/>
      </c>
      <c r="G49" s="7"/>
    </row>
    <row r="50" spans="1:11">
      <c r="A50" s="207" t="str">
        <f t="shared" si="2"/>
        <v>FREDCHATENAY MALABRY - IRENADH2OMARCHEEXT</v>
      </c>
      <c r="B50" s="23">
        <v>14</v>
      </c>
      <c r="C50" s="191" t="str">
        <f t="array" ref="C50">IFERROR(INDEX(Tableau8[[ref fact2]:[payé / présenté le]],MATCH(1,(Tableau8[REF FACT]='RECAP FACT'!$A50)*(Tableau8[fact n°]='RECAP FACT'!$B50),0),1),"")</f>
        <v/>
      </c>
      <c r="D50" s="192" t="str">
        <f t="array" ref="D50">IFERROR(INDEX(Tableau8[[ref fact2]:[payé / présenté le]],MATCH(1,(Tableau8[REF FACT]='RECAP FACT'!$A50)*(Tableau8[fact n°]='RECAP FACT'!$B50),0),2),"")</f>
        <v/>
      </c>
      <c r="E50" s="193" t="str">
        <f t="array" ref="E50">IFERROR(INDEX(Tableau8[[ref fact2]:[payé / présenté le]],MATCH(1,(Tableau8[REF FACT]='RECAP FACT'!$A50)*(Tableau8[fact n°]='RECAP FACT'!$B50),0),6),"")</f>
        <v/>
      </c>
      <c r="F50" s="177" t="str">
        <f t="array" ref="F50">IFERROR(INDEX(Tableau8[[ref fact2]:[payé / présenté le]],MATCH(1,(Tableau8[REF FACT]='RECAP FACT'!$A50)*(Tableau8[fact n°]='RECAP FACT'!$B50),0),8),"")</f>
        <v/>
      </c>
      <c r="G50" s="7"/>
    </row>
    <row r="51" spans="1:11">
      <c r="A51" s="207" t="str">
        <f t="shared" si="2"/>
        <v>FREDCHATENAY MALABRY - IRENADH2OMARCHEEXT</v>
      </c>
      <c r="B51" s="23">
        <v>15</v>
      </c>
      <c r="C51" s="191" t="str">
        <f t="array" ref="C51">IFERROR(INDEX(Tableau8[[ref fact2]:[payé / présenté le]],MATCH(1,(Tableau8[REF FACT]='RECAP FACT'!$A51)*(Tableau8[fact n°]='RECAP FACT'!$B51),0),1),"")</f>
        <v/>
      </c>
      <c r="D51" s="192" t="str">
        <f t="array" ref="D51">IFERROR(INDEX(Tableau8[[ref fact2]:[payé / présenté le]],MATCH(1,(Tableau8[REF FACT]='RECAP FACT'!$A51)*(Tableau8[fact n°]='RECAP FACT'!$B51),0),2),"")</f>
        <v/>
      </c>
      <c r="E51" s="193" t="str">
        <f t="array" ref="E51">IFERROR(INDEX(Tableau8[[ref fact2]:[payé / présenté le]],MATCH(1,(Tableau8[REF FACT]='RECAP FACT'!$A51)*(Tableau8[fact n°]='RECAP FACT'!$B51),0),6),"")</f>
        <v/>
      </c>
      <c r="F51" s="177" t="str">
        <f t="array" ref="F51">IFERROR(INDEX(Tableau8[[ref fact2]:[payé / présenté le]],MATCH(1,(Tableau8[REF FACT]='RECAP FACT'!$A51)*(Tableau8[fact n°]='RECAP FACT'!$B51),0),8),"")</f>
        <v/>
      </c>
      <c r="G51" s="7"/>
    </row>
    <row r="52" spans="1:11">
      <c r="A52" s="207" t="str">
        <f t="shared" si="2"/>
        <v>FREDCHATENAY MALABRY - IRENADH2OMARCHEEXT</v>
      </c>
      <c r="B52" s="23">
        <v>16</v>
      </c>
      <c r="C52" s="191" t="str">
        <f t="array" ref="C52">IFERROR(INDEX(Tableau8[[ref fact2]:[payé / présenté le]],MATCH(1,(Tableau8[REF FACT]='RECAP FACT'!$A52)*(Tableau8[fact n°]='RECAP FACT'!$B52),0),1),"")</f>
        <v/>
      </c>
      <c r="D52" s="192" t="str">
        <f t="array" ref="D52">IFERROR(INDEX(Tableau8[[ref fact2]:[payé / présenté le]],MATCH(1,(Tableau8[REF FACT]='RECAP FACT'!$A52)*(Tableau8[fact n°]='RECAP FACT'!$B52),0),2),"")</f>
        <v/>
      </c>
      <c r="E52" s="193" t="str">
        <f t="array" ref="E52">IFERROR(INDEX(Tableau8[[ref fact2]:[payé / présenté le]],MATCH(1,(Tableau8[REF FACT]='RECAP FACT'!$A52)*(Tableau8[fact n°]='RECAP FACT'!$B52),0),6),"")</f>
        <v/>
      </c>
      <c r="F52" s="177" t="str">
        <f t="array" ref="F52">IFERROR(INDEX(Tableau8[[ref fact2]:[payé / présenté le]],MATCH(1,(Tableau8[REF FACT]='RECAP FACT'!$A52)*(Tableau8[fact n°]='RECAP FACT'!$B52),0),8),"")</f>
        <v/>
      </c>
      <c r="G52" s="7"/>
    </row>
    <row r="53" spans="1:11">
      <c r="A53" s="207" t="str">
        <f t="shared" si="2"/>
        <v>FREDCHATENAY MALABRY - IRENADH2OMARCHEEXT</v>
      </c>
      <c r="B53" s="23">
        <v>17</v>
      </c>
      <c r="C53" s="191" t="str">
        <f t="array" ref="C53">IFERROR(INDEX(Tableau8[[ref fact2]:[payé / présenté le]],MATCH(1,(Tableau8[REF FACT]='RECAP FACT'!$A53)*(Tableau8[fact n°]='RECAP FACT'!$B53),0),1),"")</f>
        <v/>
      </c>
      <c r="D53" s="192" t="str">
        <f t="array" ref="D53">IFERROR(INDEX(Tableau8[[ref fact2]:[payé / présenté le]],MATCH(1,(Tableau8[REF FACT]='RECAP FACT'!$A53)*(Tableau8[fact n°]='RECAP FACT'!$B53),0),2),"")</f>
        <v/>
      </c>
      <c r="E53" s="193" t="str">
        <f t="array" ref="E53">IFERROR(INDEX(Tableau8[[ref fact2]:[payé / présenté le]],MATCH(1,(Tableau8[REF FACT]='RECAP FACT'!$A53)*(Tableau8[fact n°]='RECAP FACT'!$B53),0),6),"")</f>
        <v/>
      </c>
      <c r="F53" s="177" t="str">
        <f t="array" ref="F53">IFERROR(INDEX(Tableau8[[ref fact2]:[payé / présenté le]],MATCH(1,(Tableau8[REF FACT]='RECAP FACT'!$A53)*(Tableau8[fact n°]='RECAP FACT'!$B53),0),8),"")</f>
        <v/>
      </c>
      <c r="G53" s="7"/>
    </row>
    <row r="54" spans="1:11">
      <c r="A54" s="207" t="str">
        <f t="shared" si="2"/>
        <v>FREDCHATENAY MALABRY - IRENADH2OMARCHEEXT</v>
      </c>
      <c r="B54" s="23">
        <v>18</v>
      </c>
      <c r="C54" s="191" t="str">
        <f t="array" ref="C54">IFERROR(INDEX(Tableau8[[ref fact2]:[payé / présenté le]],MATCH(1,(Tableau8[REF FACT]='RECAP FACT'!$A54)*(Tableau8[fact n°]='RECAP FACT'!$B54),0),1),"")</f>
        <v/>
      </c>
      <c r="D54" s="192" t="str">
        <f t="array" ref="D54">IFERROR(INDEX(Tableau8[[ref fact2]:[payé / présenté le]],MATCH(1,(Tableau8[REF FACT]='RECAP FACT'!$A54)*(Tableau8[fact n°]='RECAP FACT'!$B54),0),2),"")</f>
        <v/>
      </c>
      <c r="E54" s="193" t="str">
        <f t="array" ref="E54">IFERROR(INDEX(Tableau8[[ref fact2]:[payé / présenté le]],MATCH(1,(Tableau8[REF FACT]='RECAP FACT'!$A54)*(Tableau8[fact n°]='RECAP FACT'!$B54),0),6),"")</f>
        <v/>
      </c>
      <c r="F54" s="177" t="str">
        <f t="array" ref="F54">IFERROR(INDEX(Tableau8[[ref fact2]:[payé / présenté le]],MATCH(1,(Tableau8[REF FACT]='RECAP FACT'!$A54)*(Tableau8[fact n°]='RECAP FACT'!$B54),0),8),"")</f>
        <v/>
      </c>
      <c r="G54" s="7"/>
    </row>
    <row r="55" spans="1:11">
      <c r="A55" s="207" t="str">
        <f t="shared" si="2"/>
        <v>FREDCHATENAY MALABRY - IRENADH2OMARCHEEXT</v>
      </c>
      <c r="B55" s="23">
        <v>19</v>
      </c>
      <c r="C55" s="191" t="str">
        <f t="array" ref="C55">IFERROR(INDEX(Tableau8[[ref fact2]:[payé / présenté le]],MATCH(1,(Tableau8[REF FACT]='RECAP FACT'!$A55)*(Tableau8[fact n°]='RECAP FACT'!$B55),0),1),"")</f>
        <v/>
      </c>
      <c r="D55" s="192" t="str">
        <f t="array" ref="D55">IFERROR(INDEX(Tableau8[[ref fact2]:[payé / présenté le]],MATCH(1,(Tableau8[REF FACT]='RECAP FACT'!$A55)*(Tableau8[fact n°]='RECAP FACT'!$B55),0),2),"")</f>
        <v/>
      </c>
      <c r="E55" s="193" t="str">
        <f t="array" ref="E55">IFERROR(INDEX(Tableau8[[ref fact2]:[payé / présenté le]],MATCH(1,(Tableau8[REF FACT]='RECAP FACT'!$A55)*(Tableau8[fact n°]='RECAP FACT'!$B55),0),6),"")</f>
        <v/>
      </c>
      <c r="F55" s="177" t="str">
        <f t="array" ref="F55">IFERROR(INDEX(Tableau8[[ref fact2]:[payé / présenté le]],MATCH(1,(Tableau8[REF FACT]='RECAP FACT'!$A55)*(Tableau8[fact n°]='RECAP FACT'!$B55),0),8),"")</f>
        <v/>
      </c>
      <c r="G55" s="7"/>
    </row>
    <row r="56" spans="1:11">
      <c r="A56" s="207" t="str">
        <f t="shared" si="2"/>
        <v>FREDCHATENAY MALABRY - IRENADH2OMARCHEEXT</v>
      </c>
      <c r="B56" s="23">
        <v>20</v>
      </c>
      <c r="C56" s="191" t="str">
        <f t="array" ref="C56">IFERROR(INDEX(Tableau8[[ref fact2]:[payé / présenté le]],MATCH(1,(Tableau8[REF FACT]='RECAP FACT'!$A56)*(Tableau8[fact n°]='RECAP FACT'!$B56),0),1),"")</f>
        <v/>
      </c>
      <c r="D56" s="192" t="str">
        <f t="array" ref="D56">IFERROR(INDEX(Tableau8[[ref fact2]:[payé / présenté le]],MATCH(1,(Tableau8[REF FACT]='RECAP FACT'!$A56)*(Tableau8[fact n°]='RECAP FACT'!$B56),0),2),"")</f>
        <v/>
      </c>
      <c r="E56" s="193" t="str">
        <f t="array" ref="E56">IFERROR(INDEX(Tableau8[[ref fact2]:[payé / présenté le]],MATCH(1,(Tableau8[REF FACT]='RECAP FACT'!$A56)*(Tableau8[fact n°]='RECAP FACT'!$B56),0),6),"")</f>
        <v/>
      </c>
      <c r="F56" s="177" t="str">
        <f t="array" ref="F56">IFERROR(INDEX(Tableau8[[ref fact2]:[payé / présenté le]],MATCH(1,(Tableau8[REF FACT]='RECAP FACT'!$A56)*(Tableau8[fact n°]='RECAP FACT'!$B56),0),8),"")</f>
        <v/>
      </c>
      <c r="G56" s="7"/>
    </row>
    <row r="57" spans="1:11">
      <c r="A57" s="207" t="str">
        <f t="shared" si="2"/>
        <v>FREDCHATENAY MALABRY - IRENADH2OMARCHEEXT</v>
      </c>
      <c r="B57" s="23">
        <v>21</v>
      </c>
      <c r="C57" s="191" t="str">
        <f t="array" ref="C57">IFERROR(INDEX(Tableau8[[ref fact2]:[payé / présenté le]],MATCH(1,(Tableau8[REF FACT]='RECAP FACT'!$A57)*(Tableau8[fact n°]='RECAP FACT'!$B57),0),1),"")</f>
        <v/>
      </c>
      <c r="D57" s="192" t="str">
        <f t="array" ref="D57">IFERROR(INDEX(Tableau8[[ref fact2]:[payé / présenté le]],MATCH(1,(Tableau8[REF FACT]='RECAP FACT'!$A57)*(Tableau8[fact n°]='RECAP FACT'!$B57),0),2),"")</f>
        <v/>
      </c>
      <c r="E57" s="193" t="str">
        <f t="array" ref="E57">IFERROR(INDEX(Tableau8[[ref fact2]:[payé / présenté le]],MATCH(1,(Tableau8[REF FACT]='RECAP FACT'!$A57)*(Tableau8[fact n°]='RECAP FACT'!$B57),0),6),"")</f>
        <v/>
      </c>
      <c r="F57" s="177" t="str">
        <f t="array" ref="F57">IFERROR(INDEX(Tableau8[[ref fact2]:[payé / présenté le]],MATCH(1,(Tableau8[REF FACT]='RECAP FACT'!$A57)*(Tableau8[fact n°]='RECAP FACT'!$B57),0),8),"")</f>
        <v/>
      </c>
      <c r="G57" s="7"/>
    </row>
    <row r="58" spans="1:11">
      <c r="A58" s="207"/>
      <c r="B58" s="23"/>
      <c r="C58" s="280" t="s">
        <v>32</v>
      </c>
      <c r="D58" s="280"/>
      <c r="E58" s="183">
        <f>SUM(E37:E57)</f>
        <v>0</v>
      </c>
      <c r="F58" s="177"/>
      <c r="G58" s="7"/>
    </row>
    <row r="59" spans="1:11">
      <c r="A59" s="207"/>
      <c r="B59" s="26"/>
    </row>
    <row r="60" spans="1:11">
      <c r="A60" s="207"/>
      <c r="B60" s="26"/>
    </row>
    <row r="61" spans="1:11" ht="23.25">
      <c r="A61" s="207"/>
      <c r="B61" s="42" t="s">
        <v>145</v>
      </c>
      <c r="C61" s="43"/>
      <c r="D61" s="179"/>
      <c r="E61" s="171"/>
      <c r="F61" s="286">
        <f>(C84)</f>
        <v>1500</v>
      </c>
      <c r="G61" s="286"/>
      <c r="H61" s="286"/>
    </row>
    <row r="62" spans="1:11">
      <c r="A62" s="207"/>
      <c r="B62" s="37" t="s">
        <v>27</v>
      </c>
      <c r="C62" s="37" t="s">
        <v>34</v>
      </c>
      <c r="D62" s="189" t="s">
        <v>28</v>
      </c>
      <c r="E62" s="190" t="s">
        <v>29</v>
      </c>
      <c r="F62" s="189" t="s">
        <v>15</v>
      </c>
      <c r="G62" s="37" t="s">
        <v>16</v>
      </c>
      <c r="H62" s="196" t="s">
        <v>153</v>
      </c>
      <c r="I62" s="26"/>
      <c r="J62" s="26"/>
      <c r="K62" s="26"/>
    </row>
    <row r="63" spans="1:11">
      <c r="A63" s="207" t="str">
        <f>CONCATENATE($C$3,$C$2,$C$1,$C$4,$B$61)</f>
        <v>FREDCHATENAY MALABRY - IRENADH2OTS/TMA/CFA</v>
      </c>
      <c r="B63" s="23">
        <v>1</v>
      </c>
      <c r="C63" s="23">
        <v>1500</v>
      </c>
      <c r="D63" s="191">
        <f t="array" ref="D63">IFERROR(INDEX(Tableau8[[ref fact2]:[payé / présenté le]],MATCH(1,(Tableau8[REF FACT]='RECAP FACT'!$A63)*(Tableau8[fact n°]='RECAP FACT'!$B63),0),1),"")</f>
        <v>161</v>
      </c>
      <c r="E63" s="192">
        <f t="array" ref="E63">IFERROR(INDEX(Tableau8[[ref fact2]:[payé / présenté le]],MATCH(1,(Tableau8[REF FACT]='RECAP FACT'!$A63)*(Tableau8[fact n°]='RECAP FACT'!$B63),0),2),"")</f>
        <v>44043</v>
      </c>
      <c r="F63" s="193">
        <f t="array" ref="F63">IFERROR(INDEX(Tableau8[[ref fact2]:[payé / présenté le]],MATCH(1,(Tableau8[REF FACT]='RECAP FACT'!$A63)*(Tableau8[fact n°]='RECAP FACT'!$B63),0),6),"")</f>
        <v>950</v>
      </c>
      <c r="G63" s="188">
        <f>(C63-F63)</f>
        <v>550</v>
      </c>
      <c r="H63" s="197" t="str">
        <f>IFERROR(INDEX(Tableau8[[ref fact2]:[payé / présenté le]],MATCH(1,(Tableau8[REF FACT]='RECAP FACT'!$A63)*(Tableau8[fact n°]='RECAP FACT'!$B63),0),8),"")</f>
        <v/>
      </c>
    </row>
    <row r="64" spans="1:11" ht="15.75" thickBot="1">
      <c r="A64" s="207" t="str">
        <f t="shared" ref="A64:A83" si="3">CONCATENATE($C$3,$C$2,$C$1,$C$4,$B$61)</f>
        <v>FREDCHATENAY MALABRY - IRENADH2OTS/TMA/CFA</v>
      </c>
      <c r="B64" s="23">
        <v>2</v>
      </c>
      <c r="C64" s="23"/>
      <c r="D64" s="191" t="str">
        <f>IFERROR(INDEX(Tableau8[[ref fact2]:[payé / présenté le]],MATCH(1,(Tableau8[REF FACT]='RECAP FACT'!$A64)*(Tableau8[fact n°]='RECAP FACT'!$B64),0),1),"")</f>
        <v/>
      </c>
      <c r="E64" s="192" t="str">
        <f t="array" ref="E64">IFERROR(INDEX(Tableau8[[ref fact2]:[payé / présenté le]],MATCH(1,(Tableau8[REF FACT]='RECAP FACT'!$A64)*(Tableau8[fact n°]='RECAP FACT'!$B64),0),2),"")</f>
        <v/>
      </c>
      <c r="F64" s="193"/>
      <c r="G64" s="188"/>
      <c r="H64" s="197" t="str">
        <f>IFERROR(INDEX(Tableau8[[ref fact2]:[payé / présenté le]],MATCH(1,(Tableau8[REF FACT]='RECAP FACT'!$A64)*(Tableau8[fact n°]='RECAP FACT'!$B64),0),8),"")</f>
        <v/>
      </c>
    </row>
    <row r="65" spans="1:12" ht="15" customHeight="1">
      <c r="A65" s="207" t="str">
        <f t="shared" si="3"/>
        <v>FREDCHATENAY MALABRY - IRENADH2OTS/TMA/CFA</v>
      </c>
      <c r="B65" s="23">
        <v>3</v>
      </c>
      <c r="C65" s="23"/>
      <c r="D65" s="191" t="str">
        <f t="array" ref="D65">IFERROR(INDEX(Tableau8[[ref fact2]:[payé / présenté le]],MATCH(1,(Tableau8[REF FACT]='RECAP FACT'!$A65)*(Tableau8[fact n°]='RECAP FACT'!$B65),0),1),"")</f>
        <v/>
      </c>
      <c r="E65" s="192" t="str">
        <f t="array" ref="E65">IFERROR(INDEX(Tableau8[[ref fact2]:[payé / présenté le]],MATCH(1,(Tableau8[REF FACT]='RECAP FACT'!$A65)*(Tableau8[fact n°]='RECAP FACT'!$B65),0),2),"")</f>
        <v/>
      </c>
      <c r="F65" s="193"/>
      <c r="G65" s="188"/>
      <c r="H65" s="197" t="str">
        <f>IFERROR(INDEX(Tableau8[[ref fact2]:[payé / présenté le]],MATCH(1,(Tableau8[REF FACT]='RECAP FACT'!$A65)*(Tableau8[fact n°]='RECAP FACT'!$B65),0),8),"")</f>
        <v/>
      </c>
      <c r="J65" s="287" t="s">
        <v>26</v>
      </c>
      <c r="K65" s="284">
        <f>F61</f>
        <v>1500</v>
      </c>
      <c r="L65" s="285"/>
    </row>
    <row r="66" spans="1:12" ht="15" customHeight="1">
      <c r="A66" s="207" t="str">
        <f t="shared" si="3"/>
        <v>FREDCHATENAY MALABRY - IRENADH2OTS/TMA/CFA</v>
      </c>
      <c r="B66" s="23">
        <v>4</v>
      </c>
      <c r="C66" s="23"/>
      <c r="D66" s="191" t="str">
        <f t="array" ref="D66">IFERROR(INDEX(Tableau8[[ref fact2]:[payé / présenté le]],MATCH(1,(Tableau8[REF FACT]='RECAP FACT'!$A66)*(Tableau8[fact n°]='RECAP FACT'!$B66),0),1),"")</f>
        <v/>
      </c>
      <c r="E66" s="192" t="str">
        <f t="array" ref="E66">IFERROR(INDEX(Tableau8[[ref fact2]:[payé / présenté le]],MATCH(1,(Tableau8[REF FACT]='RECAP FACT'!$A66)*(Tableau8[fact n°]='RECAP FACT'!$B66),0),2),"")</f>
        <v/>
      </c>
      <c r="F66" s="193"/>
      <c r="G66" s="188"/>
      <c r="H66" s="197" t="str">
        <f>IFERROR(INDEX(Tableau8[[ref fact2]:[payé / présenté le]],MATCH(1,(Tableau8[REF FACT]='RECAP FACT'!$A66)*(Tableau8[fact n°]='RECAP FACT'!$B66),0),8),"")</f>
        <v/>
      </c>
      <c r="J66" s="282"/>
      <c r="K66" s="284"/>
      <c r="L66" s="285"/>
    </row>
    <row r="67" spans="1:12" ht="15" customHeight="1">
      <c r="A67" s="207" t="str">
        <f t="shared" si="3"/>
        <v>FREDCHATENAY MALABRY - IRENADH2OTS/TMA/CFA</v>
      </c>
      <c r="B67" s="23">
        <v>5</v>
      </c>
      <c r="C67" s="23"/>
      <c r="D67" s="191" t="str">
        <f t="array" ref="D67">IFERROR(INDEX(Tableau8[[ref fact2]:[payé / présenté le]],MATCH(1,(Tableau8[REF FACT]='RECAP FACT'!$A67)*(Tableau8[fact n°]='RECAP FACT'!$B67),0),1),"")</f>
        <v/>
      </c>
      <c r="E67" s="192" t="str">
        <f t="array" ref="E67">IFERROR(INDEX(Tableau8[[ref fact2]:[payé / présenté le]],MATCH(1,(Tableau8[REF FACT]='RECAP FACT'!$A67)*(Tableau8[fact n°]='RECAP FACT'!$B67),0),2),"")</f>
        <v/>
      </c>
      <c r="F67" s="193"/>
      <c r="G67" s="17"/>
      <c r="H67" s="197" t="str">
        <f>IFERROR(INDEX(Tableau8[[ref fact2]:[payé / présenté le]],MATCH(1,(Tableau8[REF FACT]='RECAP FACT'!$A67)*(Tableau8[fact n°]='RECAP FACT'!$B67),0),8),"")</f>
        <v/>
      </c>
      <c r="J67" s="281" t="s">
        <v>35</v>
      </c>
      <c r="K67" s="284">
        <f>(F84)</f>
        <v>950</v>
      </c>
      <c r="L67" s="285"/>
    </row>
    <row r="68" spans="1:12" ht="15" customHeight="1">
      <c r="A68" s="207" t="str">
        <f t="shared" si="3"/>
        <v>FREDCHATENAY MALABRY - IRENADH2OTS/TMA/CFA</v>
      </c>
      <c r="B68" s="23">
        <v>6</v>
      </c>
      <c r="C68" s="23"/>
      <c r="D68" s="191" t="str">
        <f t="array" ref="D68">IFERROR(INDEX(Tableau8[[ref fact2]:[payé / présenté le]],MATCH(1,(Tableau8[REF FACT]='RECAP FACT'!$A68)*(Tableau8[fact n°]='RECAP FACT'!$B68),0),1),"")</f>
        <v/>
      </c>
      <c r="E68" s="192" t="str">
        <f t="array" ref="E68">IFERROR(INDEX(Tableau8[[ref fact2]:[payé / présenté le]],MATCH(1,(Tableau8[REF FACT]='RECAP FACT'!$A68)*(Tableau8[fact n°]='RECAP FACT'!$B68),0),2),"")</f>
        <v/>
      </c>
      <c r="F68" s="193"/>
      <c r="G68" s="17"/>
      <c r="H68" s="197" t="str">
        <f>IFERROR(INDEX(Tableau8[[ref fact2]:[payé / présenté le]],MATCH(1,(Tableau8[REF FACT]='RECAP FACT'!$A68)*(Tableau8[fact n°]='RECAP FACT'!$B68),0),8),"")</f>
        <v/>
      </c>
      <c r="J68" s="282"/>
      <c r="K68" s="284"/>
      <c r="L68" s="285"/>
    </row>
    <row r="69" spans="1:12" ht="15" customHeight="1">
      <c r="A69" s="207" t="str">
        <f t="shared" si="3"/>
        <v>FREDCHATENAY MALABRY - IRENADH2OTS/TMA/CFA</v>
      </c>
      <c r="B69" s="23">
        <v>7</v>
      </c>
      <c r="C69" s="23"/>
      <c r="D69" s="191" t="str">
        <f t="array" ref="D69">IFERROR(INDEX(Tableau8[[ref fact2]:[payé / présenté le]],MATCH(1,(Tableau8[REF FACT]='RECAP FACT'!$A69)*(Tableau8[fact n°]='RECAP FACT'!$B69),0),1),"")</f>
        <v/>
      </c>
      <c r="E69" s="192" t="str">
        <f t="array" ref="E69">IFERROR(INDEX(Tableau8[[ref fact2]:[payé / présenté le]],MATCH(1,(Tableau8[REF FACT]='RECAP FACT'!$A69)*(Tableau8[fact n°]='RECAP FACT'!$B69),0),2),"")</f>
        <v/>
      </c>
      <c r="F69" s="193"/>
      <c r="G69" s="17"/>
      <c r="H69" s="197" t="str">
        <f>IFERROR(INDEX(Tableau8[[ref fact2]:[payé / présenté le]],MATCH(1,(Tableau8[REF FACT]='RECAP FACT'!$A69)*(Tableau8[fact n°]='RECAP FACT'!$B69),0),8),"")</f>
        <v/>
      </c>
      <c r="J69" s="281" t="s">
        <v>36</v>
      </c>
      <c r="K69" s="284">
        <f>(K65-K67)</f>
        <v>550</v>
      </c>
      <c r="L69" s="285"/>
    </row>
    <row r="70" spans="1:12" ht="15.75" customHeight="1" thickBot="1">
      <c r="A70" s="207" t="str">
        <f t="shared" si="3"/>
        <v>FREDCHATENAY MALABRY - IRENADH2OTS/TMA/CFA</v>
      </c>
      <c r="B70" s="23">
        <v>8</v>
      </c>
      <c r="C70" s="23"/>
      <c r="D70" s="191" t="str">
        <f t="array" ref="D70">IFERROR(INDEX(Tableau8[[ref fact2]:[payé / présenté le]],MATCH(1,(Tableau8[REF FACT]='RECAP FACT'!$A70)*(Tableau8[fact n°]='RECAP FACT'!$B70),0),1),"")</f>
        <v/>
      </c>
      <c r="E70" s="192" t="str">
        <f t="array" ref="E70">IFERROR(INDEX(Tableau8[[ref fact2]:[payé / présenté le]],MATCH(1,(Tableau8[REF FACT]='RECAP FACT'!$A70)*(Tableau8[fact n°]='RECAP FACT'!$B70),0),2),"")</f>
        <v/>
      </c>
      <c r="F70" s="193"/>
      <c r="G70" s="17"/>
      <c r="H70" s="197" t="str">
        <f>IFERROR(INDEX(Tableau8[[ref fact2]:[payé / présenté le]],MATCH(1,(Tableau8[REF FACT]='RECAP FACT'!$A70)*(Tableau8[fact n°]='RECAP FACT'!$B70),0),8),"")</f>
        <v/>
      </c>
      <c r="J70" s="283"/>
      <c r="K70" s="284"/>
      <c r="L70" s="285"/>
    </row>
    <row r="71" spans="1:12">
      <c r="A71" s="207" t="str">
        <f t="shared" si="3"/>
        <v>FREDCHATENAY MALABRY - IRENADH2OTS/TMA/CFA</v>
      </c>
      <c r="B71" s="23">
        <v>9</v>
      </c>
      <c r="C71" s="23"/>
      <c r="D71" s="191" t="str">
        <f t="array" ref="D71">IFERROR(INDEX(Tableau8[[ref fact2]:[payé / présenté le]],MATCH(1,(Tableau8[REF FACT]='RECAP FACT'!$A71)*(Tableau8[fact n°]='RECAP FACT'!$B71),0),1),"")</f>
        <v/>
      </c>
      <c r="E71" s="192" t="str">
        <f t="array" ref="E71">IFERROR(INDEX(Tableau8[[ref fact2]:[payé / présenté le]],MATCH(1,(Tableau8[REF FACT]='RECAP FACT'!$A71)*(Tableau8[fact n°]='RECAP FACT'!$B71),0),2),"")</f>
        <v/>
      </c>
      <c r="F71" s="193"/>
      <c r="G71" s="17"/>
      <c r="H71" s="197" t="str">
        <f>IFERROR(INDEX(Tableau8[[ref fact2]:[payé / présenté le]],MATCH(1,(Tableau8[REF FACT]='RECAP FACT'!$A71)*(Tableau8[fact n°]='RECAP FACT'!$B71),0),8),"")</f>
        <v/>
      </c>
    </row>
    <row r="72" spans="1:12">
      <c r="A72" s="207" t="str">
        <f t="shared" si="3"/>
        <v>FREDCHATENAY MALABRY - IRENADH2OTS/TMA/CFA</v>
      </c>
      <c r="B72" s="23">
        <v>10</v>
      </c>
      <c r="C72" s="23"/>
      <c r="D72" s="191" t="str">
        <f t="array" ref="D72">IFERROR(INDEX(Tableau8[[ref fact2]:[payé / présenté le]],MATCH(1,(Tableau8[REF FACT]='RECAP FACT'!$A72)*(Tableau8[fact n°]='RECAP FACT'!$B72),0),1),"")</f>
        <v/>
      </c>
      <c r="E72" s="192" t="str">
        <f t="array" ref="E72">IFERROR(INDEX(Tableau8[[ref fact2]:[payé / présenté le]],MATCH(1,(Tableau8[REF FACT]='RECAP FACT'!$A72)*(Tableau8[fact n°]='RECAP FACT'!$B72),0),2),"")</f>
        <v/>
      </c>
      <c r="F72" s="193"/>
      <c r="G72" s="17"/>
      <c r="H72" s="197" t="str">
        <f>IFERROR(INDEX(Tableau8[[ref fact2]:[payé / présenté le]],MATCH(1,(Tableau8[REF FACT]='RECAP FACT'!$A72)*(Tableau8[fact n°]='RECAP FACT'!$B72),0),8),"")</f>
        <v/>
      </c>
    </row>
    <row r="73" spans="1:12">
      <c r="A73" s="207" t="str">
        <f t="shared" si="3"/>
        <v>FREDCHATENAY MALABRY - IRENADH2OTS/TMA/CFA</v>
      </c>
      <c r="B73" s="23">
        <v>11</v>
      </c>
      <c r="C73" s="23"/>
      <c r="D73" s="191" t="str">
        <f t="array" ref="D73">IFERROR(INDEX(Tableau8[[ref fact2]:[payé / présenté le]],MATCH(1,(Tableau8[REF FACT]='RECAP FACT'!$A73)*(Tableau8[fact n°]='RECAP FACT'!$B73),0),1),"")</f>
        <v/>
      </c>
      <c r="E73" s="192" t="str">
        <f t="array" ref="E73">IFERROR(INDEX(Tableau8[[ref fact2]:[payé / présenté le]],MATCH(1,(Tableau8[REF FACT]='RECAP FACT'!$A73)*(Tableau8[fact n°]='RECAP FACT'!$B73),0),2),"")</f>
        <v/>
      </c>
      <c r="F73" s="193"/>
      <c r="G73" s="17"/>
      <c r="H73" s="197" t="str">
        <f>IFERROR(INDEX(Tableau8[[ref fact2]:[payé / présenté le]],MATCH(1,(Tableau8[REF FACT]='RECAP FACT'!$A73)*(Tableau8[fact n°]='RECAP FACT'!$B73),0),8),"")</f>
        <v/>
      </c>
    </row>
    <row r="74" spans="1:12">
      <c r="A74" s="207" t="str">
        <f t="shared" si="3"/>
        <v>FREDCHATENAY MALABRY - IRENADH2OTS/TMA/CFA</v>
      </c>
      <c r="B74" s="23">
        <v>12</v>
      </c>
      <c r="C74" s="23"/>
      <c r="D74" s="191" t="str">
        <f t="array" ref="D74">IFERROR(INDEX(Tableau8[[ref fact2]:[payé / présenté le]],MATCH(1,(Tableau8[REF FACT]='RECAP FACT'!$A74)*(Tableau8[fact n°]='RECAP FACT'!$B74),0),1),"")</f>
        <v/>
      </c>
      <c r="E74" s="192" t="str">
        <f t="array" ref="E74">IFERROR(INDEX(Tableau8[[ref fact2]:[payé / présenté le]],MATCH(1,(Tableau8[REF FACT]='RECAP FACT'!$A74)*(Tableau8[fact n°]='RECAP FACT'!$B74),0),2),"")</f>
        <v/>
      </c>
      <c r="F74" s="193"/>
      <c r="G74" s="17"/>
      <c r="H74" s="197" t="str">
        <f>IFERROR(INDEX(Tableau8[[ref fact2]:[payé / présenté le]],MATCH(1,(Tableau8[REF FACT]='RECAP FACT'!$A74)*(Tableau8[fact n°]='RECAP FACT'!$B74),0),8),"")</f>
        <v/>
      </c>
    </row>
    <row r="75" spans="1:12">
      <c r="A75" s="207" t="str">
        <f t="shared" si="3"/>
        <v>FREDCHATENAY MALABRY - IRENADH2OTS/TMA/CFA</v>
      </c>
      <c r="B75" s="23">
        <v>13</v>
      </c>
      <c r="C75" s="23"/>
      <c r="D75" s="191" t="str">
        <f t="array" ref="D75">IFERROR(INDEX(Tableau8[[ref fact2]:[payé / présenté le]],MATCH(1,(Tableau8[REF FACT]='RECAP FACT'!$A75)*(Tableau8[fact n°]='RECAP FACT'!$B75),0),1),"")</f>
        <v/>
      </c>
      <c r="E75" s="192" t="str">
        <f t="array" ref="E75">IFERROR(INDEX(Tableau8[[ref fact2]:[payé / présenté le]],MATCH(1,(Tableau8[REF FACT]='RECAP FACT'!$A75)*(Tableau8[fact n°]='RECAP FACT'!$B75),0),2),"")</f>
        <v/>
      </c>
      <c r="F75" s="193"/>
      <c r="G75" s="17"/>
      <c r="H75" s="197" t="str">
        <f>IFERROR(INDEX(Tableau8[[ref fact2]:[payé / présenté le]],MATCH(1,(Tableau8[REF FACT]='RECAP FACT'!$A75)*(Tableau8[fact n°]='RECAP FACT'!$B75),0),8),"")</f>
        <v/>
      </c>
    </row>
    <row r="76" spans="1:12">
      <c r="A76" s="207" t="str">
        <f t="shared" si="3"/>
        <v>FREDCHATENAY MALABRY - IRENADH2OTS/TMA/CFA</v>
      </c>
      <c r="B76" s="23">
        <v>14</v>
      </c>
      <c r="C76" s="23"/>
      <c r="D76" s="191" t="str">
        <f t="array" ref="D76">IFERROR(INDEX(Tableau8[[ref fact2]:[payé / présenté le]],MATCH(1,(Tableau8[REF FACT]='RECAP FACT'!$A76)*(Tableau8[fact n°]='RECAP FACT'!$B76),0),1),"")</f>
        <v/>
      </c>
      <c r="E76" s="192" t="str">
        <f t="array" ref="E76">IFERROR(INDEX(Tableau8[[ref fact2]:[payé / présenté le]],MATCH(1,(Tableau8[REF FACT]='RECAP FACT'!$A76)*(Tableau8[fact n°]='RECAP FACT'!$B76),0),2),"")</f>
        <v/>
      </c>
      <c r="F76" s="193"/>
      <c r="G76" s="17"/>
      <c r="H76" s="197" t="str">
        <f>IFERROR(INDEX(Tableau8[[ref fact2]:[payé / présenté le]],MATCH(1,(Tableau8[REF FACT]='RECAP FACT'!$A76)*(Tableau8[fact n°]='RECAP FACT'!$B76),0),8),"")</f>
        <v/>
      </c>
    </row>
    <row r="77" spans="1:12">
      <c r="A77" s="207" t="str">
        <f t="shared" si="3"/>
        <v>FREDCHATENAY MALABRY - IRENADH2OTS/TMA/CFA</v>
      </c>
      <c r="B77" s="23">
        <v>15</v>
      </c>
      <c r="C77" s="23"/>
      <c r="D77" s="191" t="str">
        <f t="array" ref="D77">IFERROR(INDEX(Tableau8[[ref fact2]:[payé / présenté le]],MATCH(1,(Tableau8[REF FACT]='RECAP FACT'!$A77)*(Tableau8[fact n°]='RECAP FACT'!$B77),0),1),"")</f>
        <v/>
      </c>
      <c r="E77" s="192" t="str">
        <f t="array" ref="E77">IFERROR(INDEX(Tableau8[[ref fact2]:[payé / présenté le]],MATCH(1,(Tableau8[REF FACT]='RECAP FACT'!$A77)*(Tableau8[fact n°]='RECAP FACT'!$B77),0),2),"")</f>
        <v/>
      </c>
      <c r="F77" s="193"/>
      <c r="G77" s="17"/>
      <c r="H77" s="197" t="str">
        <f>IFERROR(INDEX(Tableau8[[ref fact2]:[payé / présenté le]],MATCH(1,(Tableau8[REF FACT]='RECAP FACT'!$A77)*(Tableau8[fact n°]='RECAP FACT'!$B77),0),8),"")</f>
        <v/>
      </c>
    </row>
    <row r="78" spans="1:12">
      <c r="A78" s="207" t="str">
        <f t="shared" si="3"/>
        <v>FREDCHATENAY MALABRY - IRENADH2OTS/TMA/CFA</v>
      </c>
      <c r="B78" s="23">
        <v>16</v>
      </c>
      <c r="C78" s="23"/>
      <c r="D78" s="191" t="str">
        <f t="array" ref="D78">IFERROR(INDEX(Tableau8[[ref fact2]:[payé / présenté le]],MATCH(1,(Tableau8[REF FACT]='RECAP FACT'!$A78)*(Tableau8[fact n°]='RECAP FACT'!$B78),0),1),"")</f>
        <v/>
      </c>
      <c r="E78" s="192" t="str">
        <f t="array" ref="E78">IFERROR(INDEX(Tableau8[[ref fact2]:[payé / présenté le]],MATCH(1,(Tableau8[REF FACT]='RECAP FACT'!$A78)*(Tableau8[fact n°]='RECAP FACT'!$B78),0),2),"")</f>
        <v/>
      </c>
      <c r="F78" s="193"/>
      <c r="G78" s="17"/>
      <c r="H78" s="197" t="str">
        <f>IFERROR(INDEX(Tableau8[[ref fact2]:[payé / présenté le]],MATCH(1,(Tableau8[REF FACT]='RECAP FACT'!$A78)*(Tableau8[fact n°]='RECAP FACT'!$B78),0),8),"")</f>
        <v/>
      </c>
    </row>
    <row r="79" spans="1:12">
      <c r="A79" s="207" t="str">
        <f t="shared" si="3"/>
        <v>FREDCHATENAY MALABRY - IRENADH2OTS/TMA/CFA</v>
      </c>
      <c r="B79" s="23">
        <v>17</v>
      </c>
      <c r="C79" s="23"/>
      <c r="D79" s="191" t="str">
        <f t="array" ref="D79">IFERROR(INDEX(Tableau8[[ref fact2]:[payé / présenté le]],MATCH(1,(Tableau8[REF FACT]='RECAP FACT'!$A79)*(Tableau8[fact n°]='RECAP FACT'!$B79),0),1),"")</f>
        <v/>
      </c>
      <c r="E79" s="192" t="str">
        <f t="array" ref="E79">IFERROR(INDEX(Tableau8[[ref fact2]:[payé / présenté le]],MATCH(1,(Tableau8[REF FACT]='RECAP FACT'!$A79)*(Tableau8[fact n°]='RECAP FACT'!$B79),0),2),"")</f>
        <v/>
      </c>
      <c r="F79" s="193"/>
      <c r="G79" s="17"/>
      <c r="H79" s="197" t="str">
        <f>IFERROR(INDEX(Tableau8[[ref fact2]:[payé / présenté le]],MATCH(1,(Tableau8[REF FACT]='RECAP FACT'!$A79)*(Tableau8[fact n°]='RECAP FACT'!$B79),0),8),"")</f>
        <v/>
      </c>
    </row>
    <row r="80" spans="1:12">
      <c r="A80" s="207" t="str">
        <f t="shared" si="3"/>
        <v>FREDCHATENAY MALABRY - IRENADH2OTS/TMA/CFA</v>
      </c>
      <c r="B80" s="23">
        <v>18</v>
      </c>
      <c r="C80" s="23"/>
      <c r="D80" s="191" t="str">
        <f t="array" ref="D80">IFERROR(INDEX(Tableau8[[ref fact2]:[payé / présenté le]],MATCH(1,(Tableau8[REF FACT]='RECAP FACT'!$A80)*(Tableau8[fact n°]='RECAP FACT'!$B80),0),1),"")</f>
        <v/>
      </c>
      <c r="E80" s="192" t="str">
        <f t="array" ref="E80">IFERROR(INDEX(Tableau8[[ref fact2]:[payé / présenté le]],MATCH(1,(Tableau8[REF FACT]='RECAP FACT'!$A80)*(Tableau8[fact n°]='RECAP FACT'!$B80),0),2),"")</f>
        <v/>
      </c>
      <c r="F80" s="193"/>
      <c r="G80" s="17"/>
      <c r="H80" s="197" t="str">
        <f>IFERROR(INDEX(Tableau8[[ref fact2]:[payé / présenté le]],MATCH(1,(Tableau8[REF FACT]='RECAP FACT'!$A80)*(Tableau8[fact n°]='RECAP FACT'!$B80),0),8),"")</f>
        <v/>
      </c>
    </row>
    <row r="81" spans="1:8">
      <c r="A81" s="207" t="str">
        <f t="shared" si="3"/>
        <v>FREDCHATENAY MALABRY - IRENADH2OTS/TMA/CFA</v>
      </c>
      <c r="B81" s="23">
        <v>19</v>
      </c>
      <c r="C81" s="23"/>
      <c r="D81" s="191" t="str">
        <f t="array" ref="D81">IFERROR(INDEX(Tableau8[[ref fact2]:[payé / présenté le]],MATCH(1,(Tableau8[REF FACT]='RECAP FACT'!$A81)*(Tableau8[fact n°]='RECAP FACT'!$B81),0),1),"")</f>
        <v/>
      </c>
      <c r="E81" s="192" t="str">
        <f t="array" ref="E81">IFERROR(INDEX(Tableau8[[ref fact2]:[payé / présenté le]],MATCH(1,(Tableau8[REF FACT]='RECAP FACT'!$A81)*(Tableau8[fact n°]='RECAP FACT'!$B81),0),2),"")</f>
        <v/>
      </c>
      <c r="F81" s="193"/>
      <c r="G81" s="17"/>
      <c r="H81" s="197" t="str">
        <f>IFERROR(INDEX(Tableau8[[ref fact2]:[payé / présenté le]],MATCH(1,(Tableau8[REF FACT]='RECAP FACT'!$A81)*(Tableau8[fact n°]='RECAP FACT'!$B81),0),8),"")</f>
        <v/>
      </c>
    </row>
    <row r="82" spans="1:8">
      <c r="A82" s="207" t="str">
        <f t="shared" si="3"/>
        <v>FREDCHATENAY MALABRY - IRENADH2OTS/TMA/CFA</v>
      </c>
      <c r="B82" s="23">
        <v>20</v>
      </c>
      <c r="C82" s="23"/>
      <c r="D82" s="191" t="str">
        <f t="array" ref="D82">IFERROR(INDEX(Tableau8[[ref fact2]:[payé / présenté le]],MATCH(1,(Tableau8[REF FACT]='RECAP FACT'!$A82)*(Tableau8[fact n°]='RECAP FACT'!$B82),0),1),"")</f>
        <v/>
      </c>
      <c r="E82" s="192" t="str">
        <f t="array" ref="E82">IFERROR(INDEX(Tableau8[[ref fact2]:[payé / présenté le]],MATCH(1,(Tableau8[REF FACT]='RECAP FACT'!$A82)*(Tableau8[fact n°]='RECAP FACT'!$B82),0),2),"")</f>
        <v/>
      </c>
      <c r="F82" s="193"/>
      <c r="G82" s="17"/>
      <c r="H82" s="197" t="str">
        <f>IFERROR(INDEX(Tableau8[[ref fact2]:[payé / présenté le]],MATCH(1,(Tableau8[REF FACT]='RECAP FACT'!$A82)*(Tableau8[fact n°]='RECAP FACT'!$B82),0),8),"")</f>
        <v/>
      </c>
    </row>
    <row r="83" spans="1:8">
      <c r="A83" s="207" t="str">
        <f t="shared" si="3"/>
        <v>FREDCHATENAY MALABRY - IRENADH2OTS/TMA/CFA</v>
      </c>
      <c r="B83" s="23">
        <v>21</v>
      </c>
      <c r="C83" s="23"/>
      <c r="D83" s="191" t="str">
        <f t="array" ref="D83">IFERROR(INDEX(Tableau8[[ref fact2]:[payé / présenté le]],MATCH(1,(Tableau8[REF FACT]='RECAP FACT'!$A83)*(Tableau8[fact n°]='RECAP FACT'!$B83),0),1),"")</f>
        <v/>
      </c>
      <c r="E83" s="192" t="str">
        <f t="array" ref="E83">IFERROR(INDEX(Tableau8[[ref fact2]:[payé / présenté le]],MATCH(1,(Tableau8[REF FACT]='RECAP FACT'!$A83)*(Tableau8[fact n°]='RECAP FACT'!$B83),0),2),"")</f>
        <v/>
      </c>
      <c r="F83" s="193"/>
      <c r="G83" s="17"/>
      <c r="H83" s="197" t="str">
        <f>IFERROR(INDEX(Tableau8[[ref fact2]:[payé / présenté le]],MATCH(1,(Tableau8[REF FACT]='RECAP FACT'!$A83)*(Tableau8[fact n°]='RECAP FACT'!$B83),0),8),"")</f>
        <v/>
      </c>
    </row>
    <row r="84" spans="1:8">
      <c r="A84" s="207"/>
      <c r="B84" s="23" t="s">
        <v>32</v>
      </c>
      <c r="C84" s="23">
        <f>SUM(C63:C83)</f>
        <v>1500</v>
      </c>
      <c r="D84" s="194"/>
      <c r="E84" s="195"/>
      <c r="F84" s="193">
        <f>SUM(F63:F83)</f>
        <v>950</v>
      </c>
      <c r="G84" s="172">
        <f>SUM(G63:G83)</f>
        <v>550</v>
      </c>
      <c r="H84" s="198"/>
    </row>
  </sheetData>
  <mergeCells count="23">
    <mergeCell ref="J67:J68"/>
    <mergeCell ref="J69:J70"/>
    <mergeCell ref="K69:L70"/>
    <mergeCell ref="K67:L68"/>
    <mergeCell ref="F61:H61"/>
    <mergeCell ref="K65:L66"/>
    <mergeCell ref="J65:J66"/>
    <mergeCell ref="I41:I42"/>
    <mergeCell ref="I43:I44"/>
    <mergeCell ref="C58:D58"/>
    <mergeCell ref="J43:K44"/>
    <mergeCell ref="J41:K42"/>
    <mergeCell ref="F9:G9"/>
    <mergeCell ref="I17:I18"/>
    <mergeCell ref="C32:D32"/>
    <mergeCell ref="I39:I40"/>
    <mergeCell ref="J17:K18"/>
    <mergeCell ref="J39:K40"/>
    <mergeCell ref="F35:G35"/>
    <mergeCell ref="I13:I14"/>
    <mergeCell ref="I15:I16"/>
    <mergeCell ref="J15:K16"/>
    <mergeCell ref="J13:K14"/>
  </mergeCells>
  <conditionalFormatting sqref="F11:F31 F37:F57 F64:F83">
    <cfRule type="expression" dxfId="32" priority="1">
      <formula>$F11=0</formula>
    </cfRule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DONNEES!$B$15:$AA$15</xm:f>
          </x14:formula1>
          <xm:sqref>C1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6"/>
  <sheetViews>
    <sheetView zoomScale="70" zoomScaleNormal="70" workbookViewId="0">
      <pane xSplit="1" topLeftCell="B1" activePane="topRight" state="frozen"/>
      <selection pane="topRight" activeCell="D4" sqref="D4"/>
    </sheetView>
  </sheetViews>
  <sheetFormatPr baseColWidth="10" defaultRowHeight="15"/>
  <cols>
    <col min="1" max="1" width="10.5703125" customWidth="1"/>
    <col min="2" max="2" width="16" customWidth="1"/>
    <col min="3" max="3" width="20.42578125" customWidth="1"/>
    <col min="4" max="4" width="16" style="216" customWidth="1"/>
    <col min="5" max="8" width="16" customWidth="1"/>
    <col min="9" max="20" width="16.85546875" customWidth="1"/>
  </cols>
  <sheetData>
    <row r="1" spans="1:20" ht="45.75">
      <c r="A1" s="288" t="s">
        <v>0</v>
      </c>
      <c r="B1" s="288"/>
      <c r="C1" s="288"/>
      <c r="D1" s="288"/>
      <c r="E1" s="288"/>
      <c r="F1" s="288"/>
      <c r="G1" s="288"/>
      <c r="H1" s="288"/>
      <c r="I1" s="288"/>
      <c r="J1" s="288"/>
      <c r="K1" s="288"/>
      <c r="L1" s="288"/>
      <c r="M1" s="288"/>
      <c r="N1" s="288"/>
      <c r="O1" s="288"/>
      <c r="P1" s="288"/>
      <c r="Q1" s="288"/>
      <c r="R1" s="288"/>
      <c r="S1" s="288"/>
      <c r="T1" s="1">
        <f ca="1">TODAY()</f>
        <v>44087</v>
      </c>
    </row>
    <row r="2" spans="1:20" s="121" customFormat="1" ht="56.25">
      <c r="A2" s="2" t="s">
        <v>1</v>
      </c>
      <c r="B2" s="2" t="s">
        <v>166</v>
      </c>
      <c r="C2" s="2" t="s">
        <v>11</v>
      </c>
      <c r="D2" s="2" t="s">
        <v>37</v>
      </c>
      <c r="E2" s="2" t="s">
        <v>167</v>
      </c>
      <c r="F2" s="2" t="s">
        <v>168</v>
      </c>
      <c r="G2" s="2" t="s">
        <v>169</v>
      </c>
      <c r="H2" s="2" t="s">
        <v>170</v>
      </c>
      <c r="I2" s="3" t="s">
        <v>2</v>
      </c>
      <c r="J2" s="4" t="s">
        <v>204</v>
      </c>
      <c r="K2" s="4" t="s">
        <v>205</v>
      </c>
      <c r="L2" s="4" t="s">
        <v>206</v>
      </c>
      <c r="M2" s="4" t="s">
        <v>207</v>
      </c>
      <c r="N2" s="4" t="s">
        <v>208</v>
      </c>
      <c r="O2" s="4" t="s">
        <v>209</v>
      </c>
      <c r="P2" s="4" t="s">
        <v>8</v>
      </c>
      <c r="Q2" s="4" t="s">
        <v>9</v>
      </c>
      <c r="R2" s="4" t="s">
        <v>3</v>
      </c>
      <c r="S2" s="5" t="s">
        <v>10</v>
      </c>
      <c r="T2" s="4" t="s">
        <v>4</v>
      </c>
    </row>
    <row r="3" spans="1:20" ht="26.25">
      <c r="A3" s="6" t="s">
        <v>171</v>
      </c>
      <c r="B3" s="6"/>
      <c r="C3" s="219">
        <v>1100</v>
      </c>
      <c r="D3" s="213" t="s">
        <v>40</v>
      </c>
      <c r="E3" s="6"/>
      <c r="F3" s="6"/>
      <c r="G3" s="6"/>
      <c r="H3" s="6"/>
      <c r="I3" s="7"/>
      <c r="J3" s="8">
        <v>43698</v>
      </c>
      <c r="K3" s="8">
        <v>43466</v>
      </c>
      <c r="L3" s="8">
        <v>43722</v>
      </c>
      <c r="M3" s="8"/>
      <c r="N3" s="8"/>
      <c r="O3" s="8"/>
      <c r="P3" s="9"/>
      <c r="Q3" s="9"/>
      <c r="R3" s="9" t="s">
        <v>5</v>
      </c>
      <c r="S3" s="9" t="s">
        <v>5</v>
      </c>
      <c r="T3" s="9"/>
    </row>
    <row r="4" spans="1:20" ht="26.25">
      <c r="A4" s="6" t="s">
        <v>172</v>
      </c>
      <c r="B4" s="6"/>
      <c r="C4" s="219">
        <v>1101</v>
      </c>
      <c r="D4" s="213" t="s">
        <v>12</v>
      </c>
      <c r="E4" s="6"/>
      <c r="F4" s="6"/>
      <c r="G4" s="6"/>
      <c r="H4" s="6"/>
      <c r="I4" s="7"/>
      <c r="J4" s="8">
        <v>43993</v>
      </c>
      <c r="K4" s="8">
        <v>44043</v>
      </c>
      <c r="L4" s="8">
        <v>44029</v>
      </c>
      <c r="M4" s="8">
        <v>44021</v>
      </c>
      <c r="N4" s="8">
        <v>43978</v>
      </c>
      <c r="O4" s="8">
        <v>43852</v>
      </c>
      <c r="P4" s="9"/>
      <c r="Q4" s="9"/>
      <c r="R4" s="9" t="s">
        <v>5</v>
      </c>
      <c r="S4" s="9" t="s">
        <v>5</v>
      </c>
      <c r="T4" s="9"/>
    </row>
    <row r="5" spans="1:20" ht="26.25">
      <c r="A5" s="10" t="s">
        <v>173</v>
      </c>
      <c r="B5" s="10"/>
      <c r="C5" s="219">
        <v>1102</v>
      </c>
      <c r="D5" s="213" t="s">
        <v>12</v>
      </c>
      <c r="E5" s="10"/>
      <c r="F5" s="10"/>
      <c r="G5" s="10"/>
      <c r="H5" s="10"/>
      <c r="I5" s="7"/>
      <c r="J5" s="8">
        <v>43373</v>
      </c>
      <c r="K5" s="8">
        <v>43922</v>
      </c>
      <c r="L5" s="8">
        <v>43549</v>
      </c>
      <c r="M5" s="8">
        <v>43657</v>
      </c>
      <c r="N5" s="8">
        <v>43507</v>
      </c>
      <c r="O5" s="8"/>
      <c r="P5" s="9"/>
      <c r="Q5" s="9"/>
      <c r="R5" s="9" t="s">
        <v>5</v>
      </c>
      <c r="S5" s="9" t="s">
        <v>5</v>
      </c>
      <c r="T5" s="9"/>
    </row>
    <row r="6" spans="1:20" ht="26.25">
      <c r="A6" s="6" t="s">
        <v>174</v>
      </c>
      <c r="B6" s="6"/>
      <c r="C6" s="219">
        <v>1103</v>
      </c>
      <c r="D6" s="213" t="s">
        <v>12</v>
      </c>
      <c r="E6" s="6"/>
      <c r="F6" s="6"/>
      <c r="G6" s="6"/>
      <c r="H6" s="6"/>
      <c r="I6" s="7"/>
      <c r="J6" s="8">
        <v>44013</v>
      </c>
      <c r="K6" s="8">
        <v>44429</v>
      </c>
      <c r="L6" s="8">
        <v>43888</v>
      </c>
      <c r="M6" s="8">
        <v>44046</v>
      </c>
      <c r="N6" s="8">
        <v>43849</v>
      </c>
      <c r="O6" s="8">
        <v>43888</v>
      </c>
      <c r="P6" s="9"/>
      <c r="Q6" s="9"/>
      <c r="R6" s="9" t="s">
        <v>6</v>
      </c>
      <c r="S6" s="9" t="s">
        <v>6</v>
      </c>
      <c r="T6" s="9"/>
    </row>
    <row r="7" spans="1:20" ht="26.25">
      <c r="A7" s="10" t="s">
        <v>175</v>
      </c>
      <c r="B7" s="10"/>
      <c r="C7" s="219">
        <v>1104</v>
      </c>
      <c r="D7" s="213" t="s">
        <v>12</v>
      </c>
      <c r="E7" s="10"/>
      <c r="F7" s="10"/>
      <c r="G7" s="10"/>
      <c r="H7" s="10"/>
      <c r="I7" s="7"/>
      <c r="J7" s="8">
        <v>43662</v>
      </c>
      <c r="K7" s="8">
        <v>43721</v>
      </c>
      <c r="L7" s="8">
        <v>43703</v>
      </c>
      <c r="M7" s="8" t="s">
        <v>6</v>
      </c>
      <c r="N7" s="8">
        <v>43479</v>
      </c>
      <c r="O7" s="8"/>
      <c r="P7" s="9"/>
      <c r="Q7" s="9"/>
      <c r="R7" s="9" t="s">
        <v>5</v>
      </c>
      <c r="S7" s="9" t="s">
        <v>5</v>
      </c>
      <c r="T7" s="9"/>
    </row>
    <row r="8" spans="1:20" ht="26.25">
      <c r="A8" s="6" t="s">
        <v>176</v>
      </c>
      <c r="B8" s="6"/>
      <c r="C8" s="219">
        <v>1105</v>
      </c>
      <c r="D8" s="213" t="s">
        <v>12</v>
      </c>
      <c r="E8" s="6"/>
      <c r="F8" s="6"/>
      <c r="G8" s="6"/>
      <c r="H8" s="6"/>
      <c r="I8" s="7"/>
      <c r="J8" s="8">
        <v>43587</v>
      </c>
      <c r="K8" s="8">
        <v>43466</v>
      </c>
      <c r="L8" s="8">
        <v>43628</v>
      </c>
      <c r="M8" s="8" t="s">
        <v>6</v>
      </c>
      <c r="N8" s="8">
        <v>43607</v>
      </c>
      <c r="O8" s="8"/>
      <c r="P8" s="9"/>
      <c r="Q8" s="9"/>
      <c r="R8" s="9" t="s">
        <v>5</v>
      </c>
      <c r="S8" s="9" t="s">
        <v>5</v>
      </c>
      <c r="T8" s="9"/>
    </row>
    <row r="9" spans="1:20" ht="26.25">
      <c r="A9" s="6" t="s">
        <v>177</v>
      </c>
      <c r="B9" s="6"/>
      <c r="C9" s="219">
        <v>1106</v>
      </c>
      <c r="D9" s="213" t="s">
        <v>12</v>
      </c>
      <c r="E9" s="6"/>
      <c r="F9" s="6"/>
      <c r="G9" s="6"/>
      <c r="H9" s="6"/>
      <c r="I9" s="7"/>
      <c r="J9" s="8">
        <v>43916</v>
      </c>
      <c r="K9" s="8">
        <v>43831</v>
      </c>
      <c r="L9" s="8">
        <v>43969</v>
      </c>
      <c r="M9" s="8">
        <v>43969</v>
      </c>
      <c r="N9" s="8">
        <v>43880</v>
      </c>
      <c r="O9" s="8"/>
      <c r="P9" s="9"/>
      <c r="Q9" s="9"/>
      <c r="R9" s="9" t="s">
        <v>5</v>
      </c>
      <c r="S9" s="9" t="s">
        <v>5</v>
      </c>
      <c r="T9" s="9"/>
    </row>
    <row r="10" spans="1:20" ht="26.25">
      <c r="A10" s="6" t="s">
        <v>183</v>
      </c>
      <c r="B10" s="6"/>
      <c r="C10" s="219">
        <v>1107</v>
      </c>
      <c r="D10" s="213" t="s">
        <v>12</v>
      </c>
      <c r="E10" s="6"/>
      <c r="F10" s="6"/>
      <c r="G10" s="6"/>
      <c r="H10" s="6"/>
      <c r="I10" s="7"/>
      <c r="J10" s="8">
        <v>43529</v>
      </c>
      <c r="K10" s="8">
        <v>43669</v>
      </c>
      <c r="L10" s="8">
        <v>43605</v>
      </c>
      <c r="M10" s="8">
        <v>43650</v>
      </c>
      <c r="N10" s="8">
        <v>43655</v>
      </c>
      <c r="O10" s="8"/>
      <c r="P10" s="9"/>
      <c r="Q10" s="9"/>
      <c r="R10" s="9" t="s">
        <v>5</v>
      </c>
      <c r="S10" s="9" t="s">
        <v>5</v>
      </c>
      <c r="T10" s="9"/>
    </row>
    <row r="11" spans="1:20" ht="26.25">
      <c r="A11" s="6" t="s">
        <v>178</v>
      </c>
      <c r="B11" s="6"/>
      <c r="C11" s="219">
        <v>1108</v>
      </c>
      <c r="D11" s="213" t="s">
        <v>12</v>
      </c>
      <c r="E11" s="6"/>
      <c r="F11" s="6"/>
      <c r="G11" s="6"/>
      <c r="H11" s="6"/>
      <c r="I11" s="7"/>
      <c r="J11" s="8">
        <v>44027</v>
      </c>
      <c r="K11" s="8">
        <v>43862</v>
      </c>
      <c r="L11" s="8">
        <v>43986</v>
      </c>
      <c r="M11" s="8"/>
      <c r="N11" s="8"/>
      <c r="O11" s="8"/>
      <c r="P11" s="9"/>
      <c r="Q11" s="9"/>
      <c r="R11" s="9" t="s">
        <v>5</v>
      </c>
      <c r="S11" s="9" t="s">
        <v>5</v>
      </c>
      <c r="T11" s="9"/>
    </row>
    <row r="12" spans="1:20" ht="26.25">
      <c r="A12" s="6" t="s">
        <v>182</v>
      </c>
      <c r="B12" s="6"/>
      <c r="C12" s="219">
        <v>1109</v>
      </c>
      <c r="D12" s="213" t="s">
        <v>12</v>
      </c>
      <c r="E12" s="6"/>
      <c r="F12" s="6"/>
      <c r="G12" s="6"/>
      <c r="H12" s="6"/>
      <c r="I12" s="7"/>
      <c r="J12" s="8">
        <v>44060</v>
      </c>
      <c r="K12" s="8">
        <v>43831</v>
      </c>
      <c r="L12" s="8">
        <v>44035</v>
      </c>
      <c r="M12" s="8">
        <v>44004</v>
      </c>
      <c r="N12" s="8">
        <v>43493</v>
      </c>
      <c r="O12" s="8">
        <v>44021</v>
      </c>
      <c r="P12" s="9"/>
      <c r="Q12" s="9" t="s">
        <v>5</v>
      </c>
      <c r="R12" s="9" t="s">
        <v>5</v>
      </c>
      <c r="S12" s="9" t="s">
        <v>5</v>
      </c>
      <c r="T12" s="9" t="s">
        <v>5</v>
      </c>
    </row>
    <row r="13" spans="1:20" ht="26.25">
      <c r="A13" s="6" t="s">
        <v>179</v>
      </c>
      <c r="B13" s="6"/>
      <c r="C13" s="219">
        <v>1110</v>
      </c>
      <c r="D13" s="213" t="s">
        <v>40</v>
      </c>
      <c r="E13" s="6"/>
      <c r="F13" s="6"/>
      <c r="G13" s="6"/>
      <c r="H13" s="6"/>
      <c r="I13" s="7"/>
      <c r="J13" s="8">
        <v>44049</v>
      </c>
      <c r="K13" s="8">
        <v>44196</v>
      </c>
      <c r="L13" s="8">
        <v>43970</v>
      </c>
      <c r="M13" s="8">
        <v>0</v>
      </c>
      <c r="N13" s="8">
        <v>43865</v>
      </c>
      <c r="O13" s="8"/>
      <c r="P13" s="9"/>
      <c r="Q13" s="9"/>
      <c r="R13" s="9"/>
      <c r="S13" s="9" t="s">
        <v>5</v>
      </c>
      <c r="T13" s="9" t="s">
        <v>5</v>
      </c>
    </row>
    <row r="14" spans="1:20" ht="26.25">
      <c r="A14" s="10" t="s">
        <v>181</v>
      </c>
      <c r="B14" s="10"/>
      <c r="C14" s="219">
        <v>1111</v>
      </c>
      <c r="D14" s="213" t="s">
        <v>40</v>
      </c>
      <c r="E14" s="10"/>
      <c r="F14" s="10"/>
      <c r="G14" s="10"/>
      <c r="H14" s="10"/>
      <c r="I14" s="7"/>
      <c r="J14" s="8">
        <v>43430</v>
      </c>
      <c r="K14" s="8">
        <v>43466</v>
      </c>
      <c r="L14" s="8">
        <v>43451</v>
      </c>
      <c r="M14" s="8">
        <v>43479</v>
      </c>
      <c r="N14" s="8">
        <v>43479</v>
      </c>
      <c r="O14" s="8"/>
      <c r="P14" s="9"/>
      <c r="Q14" s="9"/>
      <c r="R14" s="9" t="s">
        <v>5</v>
      </c>
      <c r="S14" s="9" t="s">
        <v>5</v>
      </c>
      <c r="T14" s="9"/>
    </row>
    <row r="15" spans="1:20" ht="26.25">
      <c r="A15" s="6" t="s">
        <v>180</v>
      </c>
      <c r="B15" s="6"/>
      <c r="C15" s="219">
        <v>1112</v>
      </c>
      <c r="D15" s="213" t="s">
        <v>40</v>
      </c>
      <c r="E15" s="6"/>
      <c r="F15" s="6"/>
      <c r="G15" s="6"/>
      <c r="H15" s="6"/>
      <c r="I15" s="7"/>
      <c r="J15" s="8">
        <v>43737</v>
      </c>
      <c r="K15" s="8">
        <v>43466</v>
      </c>
      <c r="L15" s="8"/>
      <c r="M15" s="8">
        <v>43746</v>
      </c>
      <c r="N15" s="8"/>
      <c r="O15" s="8"/>
      <c r="P15" s="9"/>
      <c r="Q15" s="9"/>
      <c r="R15" s="9" t="s">
        <v>5</v>
      </c>
      <c r="S15" s="9" t="s">
        <v>5</v>
      </c>
      <c r="T15" s="9"/>
    </row>
    <row r="16" spans="1:20" ht="26.25">
      <c r="A16" s="6" t="s">
        <v>184</v>
      </c>
      <c r="B16" s="6"/>
      <c r="C16" s="219">
        <v>1113</v>
      </c>
      <c r="D16" s="213" t="s">
        <v>40</v>
      </c>
      <c r="E16" s="6"/>
      <c r="F16" s="6"/>
      <c r="G16" s="6"/>
      <c r="H16" s="6"/>
      <c r="I16" s="7"/>
      <c r="J16" s="9"/>
      <c r="K16" s="8">
        <v>44196</v>
      </c>
      <c r="L16" s="8"/>
      <c r="M16" s="8"/>
      <c r="N16" s="8"/>
      <c r="O16" s="8"/>
      <c r="P16" s="9"/>
      <c r="Q16" s="9"/>
      <c r="R16" s="9"/>
      <c r="S16" s="9" t="s">
        <v>5</v>
      </c>
      <c r="T16" s="9"/>
    </row>
    <row r="17" spans="1:20" ht="26.25">
      <c r="A17" s="6" t="s">
        <v>185</v>
      </c>
      <c r="B17" s="6"/>
      <c r="C17" s="219">
        <v>1114</v>
      </c>
      <c r="D17" s="213" t="s">
        <v>40</v>
      </c>
      <c r="E17" s="6"/>
      <c r="F17" s="6"/>
      <c r="G17" s="6"/>
      <c r="H17" s="6"/>
      <c r="I17" s="7"/>
      <c r="J17" s="8">
        <v>43600</v>
      </c>
      <c r="K17" s="8">
        <v>43466</v>
      </c>
      <c r="L17" s="8">
        <v>43515</v>
      </c>
      <c r="M17" s="8">
        <v>43647</v>
      </c>
      <c r="N17" s="8">
        <v>43661</v>
      </c>
      <c r="O17" s="8"/>
      <c r="P17" s="9"/>
      <c r="Q17" s="9"/>
      <c r="R17" s="9" t="s">
        <v>6</v>
      </c>
      <c r="S17" s="9" t="s">
        <v>6</v>
      </c>
      <c r="T17" s="9"/>
    </row>
    <row r="18" spans="1:20" ht="26.25">
      <c r="A18" s="10" t="s">
        <v>186</v>
      </c>
      <c r="B18" s="10"/>
      <c r="C18" s="219">
        <v>1115</v>
      </c>
      <c r="D18" s="213" t="s">
        <v>40</v>
      </c>
      <c r="E18" s="10"/>
      <c r="F18" s="10"/>
      <c r="G18" s="10"/>
      <c r="H18" s="10"/>
      <c r="I18" s="7"/>
      <c r="J18" s="8">
        <v>43654</v>
      </c>
      <c r="K18" s="8">
        <v>43437</v>
      </c>
      <c r="L18" s="8" t="s">
        <v>7</v>
      </c>
      <c r="M18" s="8">
        <v>43469</v>
      </c>
      <c r="N18" s="8">
        <v>43473</v>
      </c>
      <c r="O18" s="8"/>
      <c r="P18" s="9"/>
      <c r="Q18" s="9"/>
      <c r="R18" s="9" t="s">
        <v>5</v>
      </c>
      <c r="S18" s="9" t="s">
        <v>5</v>
      </c>
      <c r="T18" s="9"/>
    </row>
    <row r="19" spans="1:20" ht="26.25">
      <c r="A19" s="6" t="s">
        <v>187</v>
      </c>
      <c r="B19" s="6"/>
      <c r="C19" s="219">
        <v>1116</v>
      </c>
      <c r="D19" s="213" t="s">
        <v>40</v>
      </c>
      <c r="E19" s="6"/>
      <c r="F19" s="6"/>
      <c r="G19" s="6"/>
      <c r="H19" s="6"/>
      <c r="I19" s="7"/>
      <c r="J19" s="8">
        <v>44040</v>
      </c>
      <c r="K19" s="8">
        <v>43831</v>
      </c>
      <c r="L19" s="8">
        <v>44034</v>
      </c>
      <c r="M19" s="8">
        <v>43922</v>
      </c>
      <c r="N19" s="8">
        <v>43921</v>
      </c>
      <c r="O19" s="8"/>
      <c r="P19" s="9"/>
      <c r="Q19" s="9"/>
      <c r="R19" s="9" t="s">
        <v>5</v>
      </c>
      <c r="S19" s="9" t="s">
        <v>5</v>
      </c>
      <c r="T19" s="9"/>
    </row>
    <row r="20" spans="1:20" ht="26.25">
      <c r="A20" s="6" t="s">
        <v>188</v>
      </c>
      <c r="B20" s="6"/>
      <c r="C20" s="219">
        <v>1117</v>
      </c>
      <c r="D20" s="213" t="s">
        <v>40</v>
      </c>
      <c r="E20" s="6"/>
      <c r="F20" s="6"/>
      <c r="G20" s="6"/>
      <c r="H20" s="6"/>
      <c r="I20" s="7"/>
      <c r="J20" s="8">
        <v>44055</v>
      </c>
      <c r="K20" s="8">
        <v>44010</v>
      </c>
      <c r="L20" s="8">
        <v>44018</v>
      </c>
      <c r="M20" s="8">
        <v>44028</v>
      </c>
      <c r="N20" s="8">
        <v>43970</v>
      </c>
      <c r="O20" s="8">
        <v>43976</v>
      </c>
      <c r="P20" s="9"/>
      <c r="Q20" s="9"/>
      <c r="R20" s="9" t="s">
        <v>6</v>
      </c>
      <c r="S20" s="9" t="s">
        <v>6</v>
      </c>
      <c r="T20" s="9"/>
    </row>
    <row r="21" spans="1:20" ht="26.25">
      <c r="A21" s="6" t="s">
        <v>189</v>
      </c>
      <c r="B21" s="6"/>
      <c r="C21" s="219">
        <v>1118</v>
      </c>
      <c r="D21" s="213" t="s">
        <v>40</v>
      </c>
      <c r="E21" s="6"/>
      <c r="F21" s="6"/>
      <c r="G21" s="6"/>
      <c r="H21" s="6"/>
      <c r="I21" s="7"/>
      <c r="J21" s="8">
        <v>43957</v>
      </c>
      <c r="K21" s="8">
        <v>43831</v>
      </c>
      <c r="L21" s="8">
        <v>43981</v>
      </c>
      <c r="M21" s="8">
        <v>43994</v>
      </c>
      <c r="N21" s="8">
        <v>43908</v>
      </c>
      <c r="O21" s="8">
        <v>43907</v>
      </c>
      <c r="P21" s="9"/>
      <c r="Q21" s="9"/>
      <c r="R21" s="9" t="s">
        <v>6</v>
      </c>
      <c r="S21" s="9" t="s">
        <v>5</v>
      </c>
      <c r="T21" s="9"/>
    </row>
    <row r="22" spans="1:20" ht="26.25">
      <c r="A22" s="6" t="s">
        <v>192</v>
      </c>
      <c r="B22" s="6"/>
      <c r="C22" s="219">
        <v>1119</v>
      </c>
      <c r="D22" s="213" t="s">
        <v>40</v>
      </c>
      <c r="E22" s="6"/>
      <c r="F22" s="6"/>
      <c r="G22" s="6"/>
      <c r="H22" s="6"/>
      <c r="I22" s="7"/>
      <c r="J22" s="8">
        <v>44056</v>
      </c>
      <c r="K22" s="8">
        <v>44196</v>
      </c>
      <c r="L22" s="8">
        <v>44057</v>
      </c>
      <c r="M22" s="8">
        <v>44057</v>
      </c>
      <c r="N22" s="8">
        <v>43977</v>
      </c>
      <c r="O22" s="8">
        <v>44057</v>
      </c>
      <c r="P22" s="9"/>
      <c r="Q22" s="9"/>
      <c r="R22" s="9"/>
      <c r="S22" s="9"/>
      <c r="T22" s="9"/>
    </row>
    <row r="23" spans="1:20" ht="26.25">
      <c r="A23" s="6" t="s">
        <v>190</v>
      </c>
      <c r="B23" s="6"/>
      <c r="C23" s="219">
        <v>1120</v>
      </c>
      <c r="D23" s="213" t="s">
        <v>40</v>
      </c>
      <c r="E23" s="6"/>
      <c r="F23" s="6"/>
      <c r="G23" s="6"/>
      <c r="H23" s="6"/>
      <c r="I23" s="7"/>
      <c r="J23" s="8">
        <v>44042</v>
      </c>
      <c r="K23" s="8"/>
      <c r="L23" s="8">
        <v>44015</v>
      </c>
      <c r="M23" s="8"/>
      <c r="N23" s="8">
        <v>43970</v>
      </c>
      <c r="O23" s="8"/>
      <c r="P23" s="9"/>
      <c r="Q23" s="9"/>
      <c r="R23" s="9"/>
      <c r="S23" s="9"/>
      <c r="T23" s="9"/>
    </row>
    <row r="24" spans="1:20" ht="26.25">
      <c r="A24" s="10" t="s">
        <v>191</v>
      </c>
      <c r="B24" s="10"/>
      <c r="C24" s="219">
        <v>1121</v>
      </c>
      <c r="D24" s="213" t="s">
        <v>40</v>
      </c>
      <c r="E24" s="10"/>
      <c r="F24" s="10"/>
      <c r="G24" s="10"/>
      <c r="H24" s="10"/>
      <c r="I24" s="7"/>
      <c r="J24" s="8">
        <v>43537</v>
      </c>
      <c r="K24" s="8">
        <v>43610</v>
      </c>
      <c r="L24" s="8">
        <v>43595</v>
      </c>
      <c r="M24" s="8">
        <v>43545</v>
      </c>
      <c r="N24" s="8">
        <v>43550</v>
      </c>
      <c r="O24" s="8"/>
      <c r="P24" s="9"/>
      <c r="Q24" s="9"/>
      <c r="R24" s="9" t="s">
        <v>5</v>
      </c>
      <c r="S24" s="9" t="s">
        <v>5</v>
      </c>
      <c r="T24" s="9"/>
    </row>
    <row r="25" spans="1:20" ht="26.25">
      <c r="A25" s="6" t="s">
        <v>193</v>
      </c>
      <c r="B25" s="6"/>
      <c r="C25" s="219">
        <v>1122</v>
      </c>
      <c r="D25" s="213" t="s">
        <v>40</v>
      </c>
      <c r="E25" s="6"/>
      <c r="F25" s="6"/>
      <c r="G25" s="6"/>
      <c r="H25" s="6"/>
      <c r="I25" s="7"/>
      <c r="J25" s="8">
        <v>43986</v>
      </c>
      <c r="K25" s="8">
        <v>43257</v>
      </c>
      <c r="L25" s="8">
        <v>43875</v>
      </c>
      <c r="M25" s="8">
        <v>43733</v>
      </c>
      <c r="N25" s="8">
        <v>43718</v>
      </c>
      <c r="O25" s="8">
        <v>43815</v>
      </c>
      <c r="P25" s="9"/>
      <c r="Q25" s="9"/>
      <c r="R25" s="9" t="s">
        <v>5</v>
      </c>
      <c r="S25" s="9" t="s">
        <v>5</v>
      </c>
      <c r="T25" s="9"/>
    </row>
    <row r="26" spans="1:20" ht="26.25">
      <c r="A26" s="10" t="s">
        <v>194</v>
      </c>
      <c r="B26" s="10"/>
      <c r="C26" s="219">
        <v>1123</v>
      </c>
      <c r="D26" s="213" t="s">
        <v>40</v>
      </c>
      <c r="E26" s="10"/>
      <c r="F26" s="10"/>
      <c r="G26" s="10"/>
      <c r="H26" s="10"/>
      <c r="I26" s="7"/>
      <c r="J26" s="8">
        <v>43552</v>
      </c>
      <c r="K26" s="8">
        <v>43240</v>
      </c>
      <c r="L26" s="8" t="s">
        <v>7</v>
      </c>
      <c r="M26" s="8">
        <v>43587</v>
      </c>
      <c r="N26" s="8">
        <v>43549</v>
      </c>
      <c r="O26" s="8"/>
      <c r="P26" s="9"/>
      <c r="Q26" s="9"/>
      <c r="R26" s="9" t="s">
        <v>5</v>
      </c>
      <c r="S26" s="9" t="s">
        <v>5</v>
      </c>
      <c r="T26" s="9"/>
    </row>
    <row r="27" spans="1:20" ht="26.25">
      <c r="A27" s="10" t="s">
        <v>195</v>
      </c>
      <c r="B27" s="10"/>
      <c r="C27" s="219">
        <v>1124</v>
      </c>
      <c r="D27" s="213" t="s">
        <v>40</v>
      </c>
      <c r="E27" s="10"/>
      <c r="F27" s="10"/>
      <c r="G27" s="10"/>
      <c r="H27" s="10"/>
      <c r="I27" s="7"/>
      <c r="J27" s="8">
        <v>43467</v>
      </c>
      <c r="K27" s="8">
        <v>43477</v>
      </c>
      <c r="L27" s="8">
        <v>43441</v>
      </c>
      <c r="M27" s="8"/>
      <c r="N27" s="8"/>
      <c r="O27" s="8"/>
      <c r="P27" s="9"/>
      <c r="Q27" s="9"/>
      <c r="R27" s="9" t="s">
        <v>5</v>
      </c>
      <c r="S27" s="9" t="s">
        <v>5</v>
      </c>
      <c r="T27" s="9"/>
    </row>
    <row r="28" spans="1:20" ht="26.25">
      <c r="A28" s="6" t="s">
        <v>196</v>
      </c>
      <c r="B28" s="6"/>
      <c r="C28" s="219">
        <v>1125</v>
      </c>
      <c r="D28" s="213" t="s">
        <v>40</v>
      </c>
      <c r="E28" s="6"/>
      <c r="F28" s="6"/>
      <c r="G28" s="6"/>
      <c r="H28" s="6"/>
      <c r="I28" s="7"/>
      <c r="J28" s="8">
        <v>44060</v>
      </c>
      <c r="K28" s="8">
        <v>43831</v>
      </c>
      <c r="L28" s="8">
        <v>44061</v>
      </c>
      <c r="M28" s="8">
        <v>44019</v>
      </c>
      <c r="N28" s="8">
        <v>43885</v>
      </c>
      <c r="O28" s="8">
        <v>44069</v>
      </c>
      <c r="P28" s="9"/>
      <c r="Q28" s="9" t="s">
        <v>5</v>
      </c>
      <c r="R28" s="9" t="s">
        <v>6</v>
      </c>
      <c r="S28" s="9" t="s">
        <v>6</v>
      </c>
      <c r="T28" s="9"/>
    </row>
    <row r="29" spans="1:20" ht="26.25">
      <c r="A29" s="6"/>
      <c r="B29" s="6"/>
      <c r="C29" s="219"/>
      <c r="D29" s="213"/>
      <c r="E29" s="6"/>
      <c r="F29" s="6"/>
      <c r="G29" s="6"/>
      <c r="H29" s="6"/>
      <c r="I29" s="7"/>
      <c r="J29" s="8"/>
      <c r="K29" s="8"/>
      <c r="L29" s="8"/>
      <c r="M29" s="8"/>
      <c r="N29" s="8"/>
      <c r="O29" s="8"/>
      <c r="P29" s="9"/>
      <c r="Q29" s="9"/>
      <c r="R29" s="9"/>
      <c r="S29" s="9"/>
      <c r="T29" s="9"/>
    </row>
    <row r="30" spans="1:20" ht="26.25">
      <c r="A30" s="6"/>
      <c r="B30" s="6"/>
      <c r="C30" s="219"/>
      <c r="D30" s="213"/>
      <c r="E30" s="6"/>
      <c r="F30" s="6"/>
      <c r="G30" s="6"/>
      <c r="H30" s="6"/>
      <c r="I30" s="7"/>
      <c r="J30" s="8"/>
      <c r="K30" s="8"/>
      <c r="L30" s="8"/>
      <c r="M30" s="8"/>
      <c r="N30" s="8"/>
      <c r="O30" s="8"/>
      <c r="P30" s="9"/>
      <c r="Q30" s="9"/>
      <c r="R30" s="9"/>
      <c r="S30" s="9"/>
      <c r="T30" s="9"/>
    </row>
    <row r="31" spans="1:20" ht="26.25">
      <c r="A31" s="10"/>
      <c r="B31" s="10"/>
      <c r="C31" s="220"/>
      <c r="D31" s="213"/>
      <c r="E31" s="10"/>
      <c r="F31" s="10"/>
      <c r="G31" s="10"/>
      <c r="H31" s="10"/>
      <c r="I31" s="7"/>
      <c r="J31" s="8"/>
      <c r="K31" s="8"/>
      <c r="L31" s="8"/>
      <c r="M31" s="8"/>
      <c r="N31" s="8"/>
      <c r="O31" s="8"/>
      <c r="P31" s="9"/>
      <c r="Q31" s="9"/>
      <c r="R31" s="9"/>
      <c r="S31" s="9"/>
      <c r="T31" s="9"/>
    </row>
    <row r="32" spans="1:20" ht="26.25">
      <c r="A32" s="6"/>
      <c r="B32" s="6"/>
      <c r="C32" s="219"/>
      <c r="D32" s="213"/>
      <c r="E32" s="6"/>
      <c r="F32" s="6"/>
      <c r="G32" s="6"/>
      <c r="H32" s="6"/>
      <c r="I32" s="7"/>
      <c r="J32" s="8"/>
      <c r="K32" s="8"/>
      <c r="L32" s="8"/>
      <c r="M32" s="8"/>
      <c r="N32" s="8"/>
      <c r="O32" s="8"/>
      <c r="P32" s="9"/>
      <c r="Q32" s="9"/>
      <c r="R32" s="9"/>
      <c r="S32" s="9"/>
      <c r="T32" s="9"/>
    </row>
    <row r="33" spans="1:20" ht="26.25">
      <c r="A33" s="6"/>
      <c r="B33" s="6"/>
      <c r="C33" s="219"/>
      <c r="D33" s="213"/>
      <c r="E33" s="6"/>
      <c r="F33" s="6"/>
      <c r="G33" s="6"/>
      <c r="H33" s="6"/>
      <c r="I33" s="7"/>
      <c r="J33" s="8"/>
      <c r="K33" s="8"/>
      <c r="L33" s="8"/>
      <c r="M33" s="8"/>
      <c r="N33" s="8"/>
      <c r="O33" s="8"/>
      <c r="P33" s="9"/>
      <c r="Q33" s="9"/>
      <c r="R33" s="9"/>
      <c r="S33" s="9"/>
      <c r="T33" s="9"/>
    </row>
    <row r="34" spans="1:20" ht="26.25">
      <c r="A34" s="10"/>
      <c r="B34" s="10"/>
      <c r="C34" s="220"/>
      <c r="D34" s="213"/>
      <c r="E34" s="10"/>
      <c r="F34" s="10"/>
      <c r="G34" s="10"/>
      <c r="H34" s="10"/>
      <c r="I34" s="7"/>
      <c r="J34" s="8"/>
      <c r="K34" s="8"/>
      <c r="L34" s="8"/>
      <c r="M34" s="8"/>
      <c r="N34" s="8"/>
      <c r="O34" s="8"/>
      <c r="P34" s="9"/>
      <c r="Q34" s="9"/>
      <c r="R34" s="9"/>
      <c r="S34" s="9"/>
      <c r="T34" s="9"/>
    </row>
    <row r="35" spans="1:20" ht="26.25">
      <c r="A35" s="6"/>
      <c r="B35" s="6"/>
      <c r="C35" s="219"/>
      <c r="D35" s="213"/>
      <c r="E35" s="6"/>
      <c r="F35" s="6"/>
      <c r="G35" s="6"/>
      <c r="H35" s="6"/>
      <c r="I35" s="7"/>
      <c r="J35" s="8"/>
      <c r="K35" s="8"/>
      <c r="L35" s="8"/>
      <c r="M35" s="8"/>
      <c r="N35" s="8"/>
      <c r="O35" s="8"/>
      <c r="P35" s="9"/>
      <c r="Q35" s="9"/>
      <c r="R35" s="9"/>
      <c r="S35" s="9"/>
      <c r="T35" s="9"/>
    </row>
    <row r="36" spans="1:20" ht="26.25">
      <c r="A36" s="6"/>
      <c r="B36" s="6"/>
      <c r="C36" s="219"/>
      <c r="D36" s="213"/>
      <c r="E36" s="6"/>
      <c r="F36" s="6"/>
      <c r="G36" s="6"/>
      <c r="H36" s="6"/>
      <c r="I36" s="7"/>
      <c r="J36" s="8"/>
      <c r="K36" s="8"/>
      <c r="L36" s="8"/>
      <c r="M36" s="8"/>
      <c r="N36" s="8"/>
      <c r="O36" s="8"/>
      <c r="P36" s="9"/>
      <c r="Q36" s="9"/>
      <c r="R36" s="9"/>
      <c r="S36" s="9"/>
      <c r="T36" s="9"/>
    </row>
    <row r="37" spans="1:20" ht="26.25">
      <c r="A37" s="6"/>
      <c r="B37" s="6"/>
      <c r="C37" s="219"/>
      <c r="D37" s="213"/>
      <c r="E37" s="6"/>
      <c r="F37" s="6"/>
      <c r="G37" s="6"/>
      <c r="H37" s="6"/>
      <c r="I37" s="7"/>
      <c r="J37" s="8"/>
      <c r="K37" s="8"/>
      <c r="L37" s="8"/>
      <c r="M37" s="8"/>
      <c r="N37" s="8"/>
      <c r="O37" s="8"/>
      <c r="P37" s="9"/>
      <c r="Q37" s="9"/>
      <c r="R37" s="9"/>
      <c r="S37" s="9"/>
      <c r="T37" s="9"/>
    </row>
    <row r="38" spans="1:20" ht="26.25">
      <c r="A38" s="6"/>
      <c r="B38" s="6"/>
      <c r="C38" s="219"/>
      <c r="D38" s="213"/>
      <c r="E38" s="6"/>
      <c r="F38" s="6"/>
      <c r="G38" s="6"/>
      <c r="H38" s="6"/>
      <c r="I38" s="7"/>
      <c r="J38" s="8"/>
      <c r="K38" s="8"/>
      <c r="L38" s="8"/>
      <c r="M38" s="8"/>
      <c r="N38" s="8"/>
      <c r="O38" s="8"/>
      <c r="P38" s="9"/>
      <c r="Q38" s="9"/>
      <c r="R38" s="9"/>
      <c r="S38" s="9"/>
      <c r="T38" s="9"/>
    </row>
    <row r="39" spans="1:20" ht="26.25">
      <c r="A39" s="6"/>
      <c r="B39" s="6"/>
      <c r="C39" s="219"/>
      <c r="D39" s="213"/>
      <c r="E39" s="6"/>
      <c r="F39" s="6"/>
      <c r="G39" s="6"/>
      <c r="H39" s="6"/>
      <c r="I39" s="7"/>
      <c r="J39" s="8"/>
      <c r="K39" s="8"/>
      <c r="L39" s="8"/>
      <c r="M39" s="8"/>
      <c r="N39" s="8"/>
      <c r="O39" s="8"/>
      <c r="P39" s="9"/>
      <c r="Q39" s="9"/>
      <c r="R39" s="9"/>
      <c r="S39" s="9"/>
      <c r="T39" s="9"/>
    </row>
    <row r="40" spans="1:20" ht="26.25">
      <c r="A40" s="6"/>
      <c r="B40" s="6"/>
      <c r="C40" s="219"/>
      <c r="D40" s="213"/>
      <c r="E40" s="6"/>
      <c r="F40" s="6"/>
      <c r="G40" s="6"/>
      <c r="H40" s="6"/>
      <c r="I40" s="7"/>
      <c r="J40" s="8"/>
      <c r="K40" s="8"/>
      <c r="L40" s="8"/>
      <c r="M40" s="8"/>
      <c r="N40" s="8"/>
      <c r="O40" s="8"/>
      <c r="P40" s="9"/>
      <c r="Q40" s="9"/>
      <c r="R40" s="9"/>
      <c r="S40" s="9"/>
      <c r="T40" s="9"/>
    </row>
    <row r="41" spans="1:20" ht="26.25">
      <c r="A41" s="6"/>
      <c r="B41" s="6"/>
      <c r="C41" s="219"/>
      <c r="D41" s="213"/>
      <c r="E41" s="6"/>
      <c r="F41" s="6"/>
      <c r="G41" s="6"/>
      <c r="H41" s="6"/>
      <c r="I41" s="7"/>
      <c r="J41" s="8"/>
      <c r="K41" s="8"/>
      <c r="L41" s="8"/>
      <c r="M41" s="8"/>
      <c r="N41" s="8"/>
      <c r="O41" s="8"/>
      <c r="P41" s="9"/>
      <c r="Q41" s="9"/>
      <c r="R41" s="9"/>
      <c r="S41" s="9"/>
      <c r="T41" s="9"/>
    </row>
    <row r="42" spans="1:20" ht="26.25">
      <c r="A42" s="6"/>
      <c r="B42" s="6"/>
      <c r="C42" s="219"/>
      <c r="D42" s="213"/>
      <c r="E42" s="6"/>
      <c r="F42" s="6"/>
      <c r="G42" s="6"/>
      <c r="H42" s="6"/>
      <c r="I42" s="7"/>
      <c r="J42" s="8"/>
      <c r="K42" s="8"/>
      <c r="L42" s="8"/>
      <c r="M42" s="8"/>
      <c r="N42" s="8"/>
      <c r="O42" s="8"/>
      <c r="P42" s="9"/>
      <c r="Q42" s="9"/>
      <c r="R42" s="9"/>
      <c r="S42" s="9"/>
      <c r="T42" s="9"/>
    </row>
    <row r="43" spans="1:20" ht="25.5">
      <c r="A43" s="217"/>
      <c r="B43" s="217"/>
      <c r="C43" s="221"/>
      <c r="D43" s="218"/>
      <c r="E43" s="217"/>
      <c r="F43" s="217"/>
      <c r="G43" s="217"/>
      <c r="H43" s="217"/>
      <c r="I43" s="7"/>
      <c r="J43" s="8"/>
      <c r="K43" s="8"/>
      <c r="L43" s="8"/>
      <c r="M43" s="8"/>
      <c r="N43" s="8"/>
      <c r="O43" s="8"/>
      <c r="P43" s="9"/>
      <c r="Q43" s="9"/>
      <c r="R43" s="9"/>
      <c r="S43" s="9"/>
      <c r="T43" s="9"/>
    </row>
    <row r="44" spans="1:20" ht="26.25">
      <c r="A44" s="6"/>
      <c r="B44" s="6"/>
      <c r="C44" s="219"/>
      <c r="D44" s="213"/>
      <c r="E44" s="6"/>
      <c r="F44" s="6"/>
      <c r="G44" s="6"/>
      <c r="H44" s="6"/>
      <c r="I44" s="7"/>
      <c r="J44" s="8"/>
      <c r="K44" s="8"/>
      <c r="L44" s="8"/>
      <c r="M44" s="8"/>
      <c r="N44" s="8"/>
      <c r="O44" s="8"/>
      <c r="P44" s="9"/>
      <c r="Q44" s="9"/>
      <c r="R44" s="9"/>
      <c r="S44" s="9"/>
      <c r="T44" s="9"/>
    </row>
    <row r="45" spans="1:20" ht="26.25">
      <c r="A45" s="6"/>
      <c r="B45" s="6"/>
      <c r="C45" s="219"/>
      <c r="D45" s="213"/>
      <c r="E45" s="6"/>
      <c r="F45" s="6"/>
      <c r="G45" s="6"/>
      <c r="H45" s="6"/>
      <c r="I45" s="7"/>
      <c r="J45" s="8"/>
      <c r="K45" s="8"/>
      <c r="L45" s="8"/>
      <c r="M45" s="8"/>
      <c r="N45" s="8"/>
      <c r="O45" s="8"/>
      <c r="P45" s="9"/>
      <c r="Q45" s="9"/>
      <c r="R45" s="9"/>
      <c r="S45" s="9"/>
      <c r="T45" s="9"/>
    </row>
    <row r="46" spans="1:20" ht="26.25">
      <c r="A46" s="11"/>
      <c r="B46" s="11"/>
      <c r="C46" s="222"/>
      <c r="D46" s="214"/>
      <c r="E46" s="11"/>
      <c r="F46" s="11"/>
      <c r="G46" s="11"/>
      <c r="H46" s="11"/>
      <c r="I46" s="7"/>
      <c r="J46" s="8"/>
      <c r="K46" s="8"/>
      <c r="L46" s="8"/>
      <c r="M46" s="8"/>
      <c r="N46" s="8"/>
      <c r="O46" s="8"/>
      <c r="P46" s="9"/>
      <c r="Q46" s="9"/>
      <c r="R46" s="9"/>
      <c r="S46" s="9"/>
      <c r="T46" s="9"/>
    </row>
    <row r="47" spans="1:20" ht="26.25">
      <c r="A47" s="10"/>
      <c r="B47" s="10"/>
      <c r="C47" s="220"/>
      <c r="D47" s="213"/>
      <c r="E47" s="10"/>
      <c r="F47" s="10"/>
      <c r="G47" s="10"/>
      <c r="H47" s="10"/>
      <c r="I47" s="7"/>
      <c r="J47" s="9"/>
      <c r="K47" s="9"/>
      <c r="L47" s="8"/>
      <c r="M47" s="8"/>
      <c r="N47" s="8"/>
      <c r="O47" s="8"/>
      <c r="P47" s="9"/>
      <c r="Q47" s="9"/>
      <c r="R47" s="9"/>
      <c r="S47" s="9"/>
      <c r="T47" s="9"/>
    </row>
    <row r="48" spans="1:20" ht="26.25">
      <c r="A48" s="6"/>
      <c r="B48" s="6"/>
      <c r="C48" s="219"/>
      <c r="D48" s="213"/>
      <c r="E48" s="6"/>
      <c r="F48" s="6"/>
      <c r="G48" s="6"/>
      <c r="H48" s="6"/>
      <c r="I48" s="7"/>
      <c r="J48" s="8"/>
      <c r="K48" s="8"/>
      <c r="L48" s="8"/>
      <c r="M48" s="8"/>
      <c r="N48" s="8"/>
      <c r="O48" s="8"/>
      <c r="P48" s="9"/>
      <c r="Q48" s="9"/>
      <c r="R48" s="9"/>
      <c r="S48" s="9"/>
      <c r="T48" s="9"/>
    </row>
    <row r="49" spans="1:20" ht="26.25">
      <c r="A49" s="10"/>
      <c r="B49" s="10"/>
      <c r="C49" s="220"/>
      <c r="D49" s="213"/>
      <c r="E49" s="10"/>
      <c r="F49" s="10"/>
      <c r="G49" s="10"/>
      <c r="H49" s="10"/>
      <c r="I49" s="7"/>
      <c r="J49" s="9"/>
      <c r="K49" s="9"/>
      <c r="L49" s="8"/>
      <c r="M49" s="8"/>
      <c r="N49" s="8"/>
      <c r="O49" s="8"/>
      <c r="P49" s="9"/>
      <c r="Q49" s="9"/>
      <c r="R49" s="9"/>
      <c r="S49" s="9"/>
      <c r="T49" s="9"/>
    </row>
    <row r="50" spans="1:20" ht="26.25">
      <c r="A50" s="6"/>
      <c r="B50" s="6"/>
      <c r="C50" s="219"/>
      <c r="D50" s="213"/>
      <c r="E50" s="6"/>
      <c r="F50" s="6"/>
      <c r="G50" s="6"/>
      <c r="H50" s="6"/>
      <c r="I50" s="7"/>
      <c r="J50" s="8"/>
      <c r="K50" s="8"/>
      <c r="L50" s="8"/>
      <c r="M50" s="8"/>
      <c r="N50" s="8"/>
      <c r="O50" s="8"/>
      <c r="P50" s="9"/>
      <c r="Q50" s="9"/>
      <c r="R50" s="9"/>
      <c r="S50" s="9"/>
      <c r="T50" s="9"/>
    </row>
    <row r="51" spans="1:20" ht="26.25">
      <c r="A51" s="6"/>
      <c r="B51" s="6"/>
      <c r="C51" s="219"/>
      <c r="D51" s="213"/>
      <c r="E51" s="6"/>
      <c r="F51" s="6"/>
      <c r="G51" s="6"/>
      <c r="H51" s="6"/>
      <c r="I51" s="7"/>
      <c r="J51" s="8"/>
      <c r="K51" s="8"/>
      <c r="L51" s="8"/>
      <c r="M51" s="8"/>
      <c r="N51" s="8"/>
      <c r="O51" s="8"/>
      <c r="P51" s="9"/>
      <c r="Q51" s="9"/>
      <c r="R51" s="9"/>
      <c r="S51" s="9"/>
      <c r="T51" s="9"/>
    </row>
    <row r="52" spans="1:20" ht="26.25">
      <c r="A52" s="6"/>
      <c r="B52" s="6"/>
      <c r="C52" s="219"/>
      <c r="D52" s="213"/>
      <c r="E52" s="6"/>
      <c r="F52" s="6"/>
      <c r="G52" s="6"/>
      <c r="H52" s="6"/>
      <c r="I52" s="7"/>
      <c r="J52" s="8"/>
      <c r="K52" s="8"/>
      <c r="L52" s="8"/>
      <c r="M52" s="8"/>
      <c r="N52" s="8"/>
      <c r="O52" s="8"/>
      <c r="P52" s="9"/>
      <c r="Q52" s="9"/>
      <c r="R52" s="9"/>
      <c r="S52" s="9"/>
      <c r="T52" s="9"/>
    </row>
    <row r="53" spans="1:20" ht="26.25">
      <c r="A53" s="6"/>
      <c r="B53" s="6"/>
      <c r="C53" s="219"/>
      <c r="D53" s="213"/>
      <c r="E53" s="6"/>
      <c r="F53" s="6"/>
      <c r="G53" s="6"/>
      <c r="H53" s="6"/>
      <c r="I53" s="7"/>
      <c r="J53" s="9"/>
      <c r="K53" s="9"/>
      <c r="L53" s="8"/>
      <c r="M53" s="8"/>
      <c r="N53" s="8"/>
      <c r="O53" s="8"/>
      <c r="P53" s="9"/>
      <c r="Q53" s="9"/>
      <c r="R53" s="9"/>
      <c r="S53" s="9"/>
      <c r="T53" s="9"/>
    </row>
    <row r="54" spans="1:20" ht="26.25">
      <c r="A54" s="6"/>
      <c r="B54" s="6"/>
      <c r="C54" s="219"/>
      <c r="D54" s="213"/>
      <c r="E54" s="6"/>
      <c r="F54" s="6"/>
      <c r="G54" s="6"/>
      <c r="H54" s="6"/>
      <c r="I54" s="7"/>
      <c r="J54" s="9"/>
      <c r="K54" s="9"/>
      <c r="L54" s="8"/>
      <c r="M54" s="8"/>
      <c r="N54" s="8"/>
      <c r="O54" s="8"/>
      <c r="P54" s="9"/>
      <c r="Q54" s="9"/>
      <c r="R54" s="9"/>
      <c r="S54" s="9"/>
      <c r="T54" s="9"/>
    </row>
    <row r="55" spans="1:20" ht="26.25">
      <c r="A55" s="6"/>
      <c r="B55" s="6"/>
      <c r="C55" s="219"/>
      <c r="D55" s="213"/>
      <c r="E55" s="6"/>
      <c r="F55" s="6"/>
      <c r="G55" s="6"/>
      <c r="H55" s="6"/>
      <c r="I55" s="7"/>
      <c r="J55" s="9"/>
      <c r="K55" s="9"/>
      <c r="L55" s="8"/>
      <c r="M55" s="8"/>
      <c r="N55" s="8"/>
      <c r="O55" s="8"/>
      <c r="P55" s="9"/>
      <c r="Q55" s="9"/>
      <c r="R55" s="9"/>
      <c r="S55" s="9"/>
      <c r="T55" s="9"/>
    </row>
    <row r="56" spans="1:20" ht="26.25">
      <c r="A56" s="12"/>
      <c r="B56" s="12"/>
      <c r="C56" s="223"/>
      <c r="D56" s="215"/>
      <c r="E56" s="12"/>
      <c r="F56" s="12"/>
      <c r="G56" s="12"/>
      <c r="H56" s="12"/>
      <c r="I56" s="13"/>
      <c r="J56" s="14"/>
      <c r="K56" s="14"/>
      <c r="L56" s="8"/>
      <c r="M56" s="8"/>
      <c r="N56" s="8"/>
      <c r="O56" s="8"/>
      <c r="P56" s="14"/>
      <c r="Q56" s="9"/>
      <c r="R56" s="9"/>
      <c r="S56" s="9"/>
      <c r="T56" s="9"/>
    </row>
  </sheetData>
  <mergeCells count="1">
    <mergeCell ref="A1:S1"/>
  </mergeCells>
  <conditionalFormatting sqref="P3:T56">
    <cfRule type="expression" dxfId="31" priority="1">
      <formula>P3="NON"</formula>
    </cfRule>
  </conditionalFormatting>
  <conditionalFormatting sqref="J3:J56 L3:O56">
    <cfRule type="expression" dxfId="30" priority="6">
      <formula>(J3+90)&lt;$T$1</formula>
    </cfRule>
  </conditionalFormatting>
  <conditionalFormatting sqref="K3:K56">
    <cfRule type="expression" dxfId="29" priority="7">
      <formula>K3&lt;=$T$1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DONNEES!$F$2:$F$4</xm:f>
          </x14:formula1>
          <xm:sqref>D3:D28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5"/>
  <sheetViews>
    <sheetView topLeftCell="G1" zoomScale="70" zoomScaleNormal="70" workbookViewId="0">
      <selection activeCell="A16" sqref="A16"/>
    </sheetView>
  </sheetViews>
  <sheetFormatPr baseColWidth="10" defaultRowHeight="15"/>
  <cols>
    <col min="1" max="1" width="16.140625" customWidth="1"/>
    <col min="2" max="27" width="11.85546875" customWidth="1"/>
    <col min="28" max="28" width="15.28515625" customWidth="1"/>
    <col min="29" max="29" width="18.140625" customWidth="1"/>
    <col min="30" max="30" width="22" customWidth="1"/>
    <col min="32" max="33" width="13.28515625" customWidth="1"/>
    <col min="34" max="34" width="17.140625" customWidth="1"/>
    <col min="35" max="35" width="13.28515625" customWidth="1"/>
    <col min="37" max="37" width="12.85546875" customWidth="1"/>
    <col min="38" max="38" width="13.28515625" customWidth="1"/>
    <col min="41" max="41" width="16.5703125" customWidth="1"/>
    <col min="42" max="42" width="13" customWidth="1"/>
    <col min="43" max="43" width="16.5703125" customWidth="1"/>
    <col min="44" max="44" width="14.85546875" customWidth="1"/>
    <col min="45" max="45" width="34.140625" customWidth="1"/>
    <col min="46" max="46" width="23.85546875" customWidth="1"/>
    <col min="48" max="48" width="15.85546875" customWidth="1"/>
    <col min="49" max="49" width="18.42578125" customWidth="1"/>
    <col min="50" max="50" width="14.28515625" customWidth="1"/>
    <col min="51" max="51" width="12.85546875" customWidth="1"/>
  </cols>
  <sheetData>
    <row r="1" spans="1:27" ht="30">
      <c r="B1" s="44" t="s">
        <v>21</v>
      </c>
      <c r="C1" s="44"/>
      <c r="D1" s="44" t="s">
        <v>17</v>
      </c>
      <c r="E1" s="44"/>
      <c r="F1" s="44" t="s">
        <v>37</v>
      </c>
      <c r="G1" s="44"/>
      <c r="H1" s="44" t="s">
        <v>38</v>
      </c>
      <c r="I1" s="44"/>
      <c r="J1" s="44" t="s">
        <v>143</v>
      </c>
      <c r="K1" s="44"/>
      <c r="L1" s="44" t="s">
        <v>39</v>
      </c>
    </row>
    <row r="2" spans="1:27">
      <c r="B2" t="s">
        <v>160</v>
      </c>
      <c r="D2" t="s">
        <v>159</v>
      </c>
      <c r="F2" t="s">
        <v>12</v>
      </c>
      <c r="H2" t="s">
        <v>6</v>
      </c>
      <c r="J2" t="s">
        <v>144</v>
      </c>
      <c r="L2" s="45">
        <f ca="1">TODAY()</f>
        <v>44087</v>
      </c>
    </row>
    <row r="3" spans="1:27">
      <c r="B3" t="s">
        <v>22</v>
      </c>
      <c r="D3" t="s">
        <v>158</v>
      </c>
      <c r="F3" t="s">
        <v>40</v>
      </c>
      <c r="H3" t="s">
        <v>5</v>
      </c>
      <c r="J3" t="s">
        <v>145</v>
      </c>
    </row>
    <row r="4" spans="1:27">
      <c r="B4" t="s">
        <v>161</v>
      </c>
      <c r="D4" t="s">
        <v>145</v>
      </c>
      <c r="H4" s="44"/>
    </row>
    <row r="5" spans="1:27">
      <c r="B5" t="s">
        <v>162</v>
      </c>
      <c r="D5" t="s">
        <v>41</v>
      </c>
    </row>
    <row r="6" spans="1:27">
      <c r="B6" t="s">
        <v>163</v>
      </c>
      <c r="D6" t="s">
        <v>42</v>
      </c>
    </row>
    <row r="7" spans="1:27">
      <c r="B7" t="s">
        <v>43</v>
      </c>
      <c r="D7" t="s">
        <v>25</v>
      </c>
    </row>
    <row r="8" spans="1:27">
      <c r="B8" t="s">
        <v>164</v>
      </c>
    </row>
    <row r="9" spans="1:27">
      <c r="B9" t="s">
        <v>165</v>
      </c>
    </row>
    <row r="15" spans="1:27" ht="26.25">
      <c r="A15" t="s">
        <v>197</v>
      </c>
      <c r="B15" s="208" t="s">
        <v>171</v>
      </c>
      <c r="C15" s="209" t="s">
        <v>172</v>
      </c>
      <c r="D15" s="210" t="s">
        <v>173</v>
      </c>
      <c r="E15" s="209" t="s">
        <v>174</v>
      </c>
      <c r="F15" s="210" t="s">
        <v>175</v>
      </c>
      <c r="G15" s="209" t="s">
        <v>176</v>
      </c>
      <c r="H15" s="208" t="s">
        <v>177</v>
      </c>
      <c r="I15" s="209" t="s">
        <v>183</v>
      </c>
      <c r="J15" s="208" t="s">
        <v>178</v>
      </c>
      <c r="K15" s="209" t="s">
        <v>182</v>
      </c>
      <c r="L15" s="208" t="s">
        <v>179</v>
      </c>
      <c r="M15" s="211" t="s">
        <v>181</v>
      </c>
      <c r="N15" s="208" t="s">
        <v>180</v>
      </c>
      <c r="O15" s="209" t="s">
        <v>184</v>
      </c>
      <c r="P15" s="208" t="s">
        <v>185</v>
      </c>
      <c r="Q15" s="211" t="s">
        <v>186</v>
      </c>
      <c r="R15" s="208" t="s">
        <v>187</v>
      </c>
      <c r="S15" s="209" t="s">
        <v>188</v>
      </c>
      <c r="T15" s="208" t="s">
        <v>189</v>
      </c>
      <c r="U15" s="209" t="s">
        <v>192</v>
      </c>
      <c r="V15" s="208" t="s">
        <v>190</v>
      </c>
      <c r="W15" s="211" t="s">
        <v>191</v>
      </c>
      <c r="X15" s="208" t="s">
        <v>193</v>
      </c>
      <c r="Y15" s="211" t="s">
        <v>194</v>
      </c>
      <c r="Z15" s="210" t="s">
        <v>195</v>
      </c>
      <c r="AA15" s="209" t="s">
        <v>196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MARCHE CONTRAT PV</vt:lpstr>
      <vt:lpstr>FACT ST</vt:lpstr>
      <vt:lpstr>RECAP FACT</vt:lpstr>
      <vt:lpstr>DOCS ADM</vt:lpstr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2020-08-30T10:09:41Z</dcterms:created>
  <dcterms:modified xsi:type="dcterms:W3CDTF">2020-09-13T17:11:29Z</dcterms:modified>
</cp:coreProperties>
</file>