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0" windowWidth="20112" windowHeight="7848" tabRatio="652" firstSheet="24" activeTab="48"/>
  </bookViews>
  <sheets>
    <sheet name="S3" sheetId="1" r:id="rId1"/>
    <sheet name="S4" sheetId="4" r:id="rId2"/>
    <sheet name="S5" sheetId="5" r:id="rId3"/>
    <sheet name="S6" sheetId="6" r:id="rId4"/>
    <sheet name="S7" sheetId="7" r:id="rId5"/>
    <sheet name="S8" sheetId="8" r:id="rId6"/>
    <sheet name="S9" sheetId="9" r:id="rId7"/>
    <sheet name="S10" sheetId="10" r:id="rId8"/>
    <sheet name="S11" sheetId="11" r:id="rId9"/>
    <sheet name="S12" sheetId="12" r:id="rId10"/>
    <sheet name="S13" sheetId="13" r:id="rId11"/>
    <sheet name="S14" sheetId="14" r:id="rId12"/>
    <sheet name="S15" sheetId="15" r:id="rId13"/>
    <sheet name="S16" sheetId="16" r:id="rId14"/>
    <sheet name="S17" sheetId="17" r:id="rId15"/>
    <sheet name="S18" sheetId="18" r:id="rId16"/>
    <sheet name="S19" sheetId="19" r:id="rId17"/>
    <sheet name="S20" sheetId="20" r:id="rId18"/>
    <sheet name="S21" sheetId="21" r:id="rId19"/>
    <sheet name="S22" sheetId="22" r:id="rId20"/>
    <sheet name="s23" sheetId="23" r:id="rId21"/>
    <sheet name="S24" sheetId="24" r:id="rId22"/>
    <sheet name="S25" sheetId="25" r:id="rId23"/>
    <sheet name="s26" sheetId="26" r:id="rId24"/>
    <sheet name="S27" sheetId="27" r:id="rId25"/>
    <sheet name="s29" sheetId="28" r:id="rId26"/>
    <sheet name="S30" sheetId="29" r:id="rId27"/>
    <sheet name="S31" sheetId="30" r:id="rId28"/>
    <sheet name="S32" sheetId="31" r:id="rId29"/>
    <sheet name="S33" sheetId="32" r:id="rId30"/>
    <sheet name="s34" sheetId="33" r:id="rId31"/>
    <sheet name="S35" sheetId="34" r:id="rId32"/>
    <sheet name="S36" sheetId="35" r:id="rId33"/>
    <sheet name="S37" sheetId="36" r:id="rId34"/>
    <sheet name="S38" sheetId="37" r:id="rId35"/>
    <sheet name="S39" sheetId="38" r:id="rId36"/>
    <sheet name="S40" sheetId="39" r:id="rId37"/>
    <sheet name="S41" sheetId="40" r:id="rId38"/>
    <sheet name="S42" sheetId="41" r:id="rId39"/>
    <sheet name="S43" sheetId="42" r:id="rId40"/>
    <sheet name="s44" sheetId="43" r:id="rId41"/>
    <sheet name="S45" sheetId="44" r:id="rId42"/>
    <sheet name="S46" sheetId="45" r:id="rId43"/>
    <sheet name="S47" sheetId="46" r:id="rId44"/>
    <sheet name="S48" sheetId="47" r:id="rId45"/>
    <sheet name="S49" sheetId="48" r:id="rId46"/>
    <sheet name="Feuil2" sheetId="2" r:id="rId47"/>
    <sheet name="Feuil3" sheetId="3" r:id="rId48"/>
    <sheet name="récap FP" sheetId="49" r:id="rId49"/>
  </sheets>
  <calcPr calcId="145621"/>
</workbook>
</file>

<file path=xl/calcChain.xml><?xml version="1.0" encoding="utf-8"?>
<calcChain xmlns="http://schemas.openxmlformats.org/spreadsheetml/2006/main">
  <c r="AV3" i="49" l="1"/>
  <c r="AU3" i="49"/>
  <c r="AT3" i="49"/>
  <c r="AS3" i="49"/>
  <c r="AR3" i="49"/>
  <c r="AQ3" i="49"/>
  <c r="AP3" i="49"/>
  <c r="AO3" i="49"/>
  <c r="AN3" i="49"/>
  <c r="AM3" i="49"/>
  <c r="AL3" i="49"/>
  <c r="AK3" i="49"/>
  <c r="AJ3" i="49"/>
  <c r="AI3" i="49"/>
  <c r="AH3" i="49"/>
  <c r="AG3" i="49"/>
  <c r="AF3" i="49"/>
  <c r="AE3" i="49"/>
  <c r="AD3" i="49"/>
  <c r="AC3" i="49"/>
  <c r="AB3" i="49"/>
  <c r="AA3" i="49"/>
  <c r="Z3" i="49"/>
  <c r="Y3" i="49"/>
  <c r="X3" i="49"/>
  <c r="W3" i="49"/>
  <c r="V3" i="49"/>
  <c r="U3" i="49"/>
  <c r="T3" i="49"/>
  <c r="S3" i="49"/>
  <c r="R3" i="49"/>
  <c r="Q3" i="49"/>
  <c r="P3" i="49"/>
  <c r="O3" i="49"/>
  <c r="N3" i="49"/>
  <c r="M3" i="49"/>
  <c r="L3" i="49"/>
  <c r="D3" i="49"/>
  <c r="E3" i="49"/>
  <c r="F3" i="49"/>
  <c r="G3" i="49"/>
  <c r="H3" i="49"/>
  <c r="I3" i="49"/>
  <c r="J3" i="49"/>
  <c r="K3" i="49"/>
  <c r="C3" i="49" l="1"/>
  <c r="J5" i="47" l="1"/>
  <c r="K29" i="48"/>
  <c r="I29" i="48"/>
  <c r="F27" i="48" s="1"/>
  <c r="D29" i="48"/>
  <c r="E29" i="48" s="1"/>
  <c r="M29" i="48" s="1"/>
  <c r="L24" i="48"/>
  <c r="K24" i="48"/>
  <c r="D23" i="48"/>
  <c r="E23" i="48" s="1"/>
  <c r="F21" i="48"/>
  <c r="K20" i="48"/>
  <c r="D19" i="48"/>
  <c r="F16" i="48" s="1"/>
  <c r="K15" i="48"/>
  <c r="D13" i="48"/>
  <c r="E13" i="48" s="1"/>
  <c r="L12" i="48"/>
  <c r="I12" i="48"/>
  <c r="K11" i="48"/>
  <c r="F11" i="48"/>
  <c r="L9" i="48"/>
  <c r="I8" i="48"/>
  <c r="F8" i="48"/>
  <c r="L6" i="48"/>
  <c r="K6" i="48"/>
  <c r="I6" i="48"/>
  <c r="E6" i="48" s="1"/>
  <c r="M6" i="48" s="1"/>
  <c r="F6" i="48"/>
  <c r="D6" i="48"/>
  <c r="E19" i="48" l="1"/>
  <c r="L19" i="48"/>
  <c r="L29" i="48"/>
  <c r="F31" i="46"/>
  <c r="F30" i="46"/>
  <c r="F11" i="46"/>
  <c r="F7" i="46"/>
  <c r="E9" i="46"/>
  <c r="E12" i="46"/>
  <c r="J5" i="46" l="1"/>
  <c r="J20" i="46"/>
  <c r="J9" i="46"/>
  <c r="J5" i="45" l="1"/>
  <c r="J20" i="45"/>
  <c r="J28" i="45"/>
  <c r="J9" i="45" l="1"/>
  <c r="J5" i="44" l="1"/>
  <c r="J11" i="44"/>
  <c r="J20" i="44"/>
  <c r="J17" i="44"/>
  <c r="J20" i="43" l="1"/>
  <c r="J11" i="43"/>
  <c r="J5" i="43"/>
  <c r="J28" i="42" l="1"/>
  <c r="J15" i="42"/>
  <c r="J20" i="42"/>
  <c r="J11" i="42"/>
  <c r="J5" i="42"/>
  <c r="K29" i="47" l="1"/>
  <c r="I29" i="47"/>
  <c r="D29" i="47"/>
  <c r="E29" i="47" s="1"/>
  <c r="M29" i="47" s="1"/>
  <c r="K24" i="47"/>
  <c r="D23" i="47"/>
  <c r="F21" i="47" s="1"/>
  <c r="K20" i="47"/>
  <c r="D19" i="47"/>
  <c r="F16" i="47" s="1"/>
  <c r="K15" i="47"/>
  <c r="F11" i="47" s="1"/>
  <c r="D13" i="47"/>
  <c r="I12" i="47"/>
  <c r="L12" i="47" s="1"/>
  <c r="K11" i="47"/>
  <c r="F8" i="47" s="1"/>
  <c r="I8" i="47"/>
  <c r="L9" i="47" s="1"/>
  <c r="K6" i="47"/>
  <c r="I6" i="47"/>
  <c r="D6" i="47"/>
  <c r="L6" i="47" s="1"/>
  <c r="K29" i="46"/>
  <c r="I29" i="46"/>
  <c r="D29" i="46"/>
  <c r="K24" i="46"/>
  <c r="D23" i="46"/>
  <c r="K20" i="46"/>
  <c r="D19" i="46"/>
  <c r="E19" i="46" s="1"/>
  <c r="K15" i="46"/>
  <c r="D13" i="46"/>
  <c r="I12" i="46"/>
  <c r="L12" i="46" s="1"/>
  <c r="K11" i="46"/>
  <c r="I8" i="46"/>
  <c r="L9" i="46" s="1"/>
  <c r="K6" i="46"/>
  <c r="I6" i="46"/>
  <c r="D6" i="46"/>
  <c r="K29" i="45"/>
  <c r="I29" i="45"/>
  <c r="D29" i="45"/>
  <c r="K24" i="45"/>
  <c r="D23" i="45"/>
  <c r="E23" i="45" s="1"/>
  <c r="K20" i="45"/>
  <c r="D19" i="45"/>
  <c r="E19" i="45" s="1"/>
  <c r="K15" i="45"/>
  <c r="F11" i="45" s="1"/>
  <c r="D13" i="45"/>
  <c r="I12" i="45"/>
  <c r="L12" i="45" s="1"/>
  <c r="K11" i="45"/>
  <c r="F8" i="45" s="1"/>
  <c r="I8" i="45"/>
  <c r="L9" i="45" s="1"/>
  <c r="K6" i="45"/>
  <c r="I6" i="45"/>
  <c r="D6" i="45"/>
  <c r="K29" i="44"/>
  <c r="I29" i="44"/>
  <c r="D29" i="44"/>
  <c r="K24" i="44"/>
  <c r="D23" i="44"/>
  <c r="E23" i="44" s="1"/>
  <c r="K20" i="44"/>
  <c r="D19" i="44"/>
  <c r="F16" i="44" s="1"/>
  <c r="K15" i="44"/>
  <c r="F11" i="44" s="1"/>
  <c r="D13" i="44"/>
  <c r="I12" i="44"/>
  <c r="L12" i="44" s="1"/>
  <c r="K11" i="44"/>
  <c r="F8" i="44" s="1"/>
  <c r="I8" i="44"/>
  <c r="L9" i="44" s="1"/>
  <c r="K6" i="44"/>
  <c r="I6" i="44"/>
  <c r="D6" i="44"/>
  <c r="K29" i="43"/>
  <c r="I29" i="43"/>
  <c r="D29" i="43"/>
  <c r="L29" i="43" s="1"/>
  <c r="K24" i="43"/>
  <c r="D23" i="43"/>
  <c r="E23" i="43" s="1"/>
  <c r="K20" i="43"/>
  <c r="D19" i="43"/>
  <c r="L19" i="43" s="1"/>
  <c r="K15" i="43"/>
  <c r="D13" i="43"/>
  <c r="L12" i="43"/>
  <c r="K11" i="43"/>
  <c r="F8" i="43" s="1"/>
  <c r="F11" i="43"/>
  <c r="L9" i="43"/>
  <c r="K6" i="43"/>
  <c r="I6" i="43"/>
  <c r="D6" i="43"/>
  <c r="K29" i="42"/>
  <c r="I29" i="42"/>
  <c r="D29" i="42"/>
  <c r="K24" i="42"/>
  <c r="D23" i="42"/>
  <c r="L24" i="42" s="1"/>
  <c r="K20" i="42"/>
  <c r="D19" i="42"/>
  <c r="E19" i="42" s="1"/>
  <c r="K15" i="42"/>
  <c r="F11" i="42" s="1"/>
  <c r="D13" i="42"/>
  <c r="I12" i="42"/>
  <c r="L12" i="42" s="1"/>
  <c r="K11" i="42"/>
  <c r="F8" i="42" s="1"/>
  <c r="I8" i="42"/>
  <c r="L9" i="42" s="1"/>
  <c r="K6" i="42"/>
  <c r="I6" i="42"/>
  <c r="D6" i="42"/>
  <c r="F16" i="45" l="1"/>
  <c r="L19" i="45"/>
  <c r="E29" i="45"/>
  <c r="M29" i="45" s="1"/>
  <c r="L6" i="44"/>
  <c r="F6" i="44"/>
  <c r="L19" i="46"/>
  <c r="E6" i="43"/>
  <c r="M6" i="43" s="1"/>
  <c r="F27" i="42"/>
  <c r="L24" i="45"/>
  <c r="F6" i="46"/>
  <c r="F16" i="46"/>
  <c r="E23" i="46"/>
  <c r="E23" i="47"/>
  <c r="E13" i="43"/>
  <c r="F6" i="43"/>
  <c r="L6" i="43"/>
  <c r="F21" i="44"/>
  <c r="E29" i="44"/>
  <c r="M29" i="44" s="1"/>
  <c r="F27" i="46"/>
  <c r="L24" i="47"/>
  <c r="L24" i="44"/>
  <c r="F6" i="45"/>
  <c r="L24" i="46"/>
  <c r="F16" i="42"/>
  <c r="E23" i="42"/>
  <c r="E29" i="43"/>
  <c r="M29" i="43" s="1"/>
  <c r="E13" i="42"/>
  <c r="L19" i="42"/>
  <c r="F21" i="42"/>
  <c r="F16" i="43"/>
  <c r="F21" i="43"/>
  <c r="F27" i="43"/>
  <c r="L19" i="44"/>
  <c r="L19" i="47"/>
  <c r="F6" i="42"/>
  <c r="L24" i="43"/>
  <c r="E13" i="44"/>
  <c r="E13" i="45"/>
  <c r="F21" i="45"/>
  <c r="F21" i="46"/>
  <c r="E13" i="47"/>
  <c r="F6" i="47"/>
  <c r="E19" i="47"/>
  <c r="F27" i="47"/>
  <c r="L29" i="47"/>
  <c r="E6" i="47"/>
  <c r="M6" i="47" s="1"/>
  <c r="L29" i="46"/>
  <c r="E6" i="46"/>
  <c r="M6" i="46" s="1"/>
  <c r="L6" i="46"/>
  <c r="E29" i="46"/>
  <c r="M29" i="46" s="1"/>
  <c r="L29" i="45"/>
  <c r="E6" i="45"/>
  <c r="M6" i="45" s="1"/>
  <c r="L6" i="45"/>
  <c r="F27" i="45"/>
  <c r="L29" i="44"/>
  <c r="E19" i="44"/>
  <c r="F27" i="44"/>
  <c r="E6" i="44"/>
  <c r="E19" i="43"/>
  <c r="L29" i="42"/>
  <c r="E6" i="42"/>
  <c r="M6" i="42" s="1"/>
  <c r="L6" i="42"/>
  <c r="E29" i="42"/>
  <c r="M29" i="42" s="1"/>
  <c r="K29" i="41"/>
  <c r="I29" i="41"/>
  <c r="D29" i="41"/>
  <c r="K24" i="41"/>
  <c r="D23" i="41"/>
  <c r="L24" i="41" s="1"/>
  <c r="K20" i="41"/>
  <c r="D19" i="41"/>
  <c r="L19" i="41" s="1"/>
  <c r="K15" i="41"/>
  <c r="F11" i="41" s="1"/>
  <c r="D13" i="41"/>
  <c r="I12" i="41"/>
  <c r="L12" i="41" s="1"/>
  <c r="K11" i="41"/>
  <c r="I8" i="41"/>
  <c r="L9" i="41" s="1"/>
  <c r="K6" i="41"/>
  <c r="I6" i="41"/>
  <c r="D6" i="41"/>
  <c r="L6" i="41" s="1"/>
  <c r="M6" i="44" l="1"/>
  <c r="E19" i="41"/>
  <c r="F16" i="41"/>
  <c r="F27" i="41"/>
  <c r="E29" i="41"/>
  <c r="M29" i="41" s="1"/>
  <c r="E13" i="41"/>
  <c r="F8" i="41"/>
  <c r="E6" i="41"/>
  <c r="M6" i="41" s="1"/>
  <c r="F6" i="41"/>
  <c r="F21" i="41"/>
  <c r="E23" i="41"/>
  <c r="L29" i="41"/>
  <c r="K29" i="40"/>
  <c r="I29" i="40"/>
  <c r="D29" i="40"/>
  <c r="K24" i="40"/>
  <c r="D23" i="40"/>
  <c r="L24" i="40" s="1"/>
  <c r="K20" i="40"/>
  <c r="D19" i="40"/>
  <c r="E19" i="40" s="1"/>
  <c r="K15" i="40"/>
  <c r="F11" i="40" s="1"/>
  <c r="D13" i="40"/>
  <c r="I12" i="40"/>
  <c r="L12" i="40" s="1"/>
  <c r="K11" i="40"/>
  <c r="F8" i="40" s="1"/>
  <c r="I8" i="40"/>
  <c r="L9" i="40" s="1"/>
  <c r="K6" i="40"/>
  <c r="I6" i="40"/>
  <c r="D6" i="40"/>
  <c r="F16" i="40" l="1"/>
  <c r="L19" i="40"/>
  <c r="E29" i="40"/>
  <c r="M29" i="40" s="1"/>
  <c r="E23" i="40"/>
  <c r="F6" i="40"/>
  <c r="E13" i="40"/>
  <c r="F21" i="40"/>
  <c r="E6" i="40"/>
  <c r="M6" i="40" s="1"/>
  <c r="L6" i="40"/>
  <c r="F27" i="40"/>
  <c r="L29" i="40"/>
  <c r="K29" i="39"/>
  <c r="I29" i="39"/>
  <c r="D29" i="39"/>
  <c r="L29" i="39" s="1"/>
  <c r="K24" i="39"/>
  <c r="D23" i="39"/>
  <c r="K20" i="39"/>
  <c r="D19" i="39"/>
  <c r="L19" i="39" s="1"/>
  <c r="K15" i="39"/>
  <c r="F11" i="39" s="1"/>
  <c r="D13" i="39"/>
  <c r="I12" i="39"/>
  <c r="L12" i="39" s="1"/>
  <c r="K11" i="39"/>
  <c r="F8" i="39" s="1"/>
  <c r="I8" i="39"/>
  <c r="L9" i="39" s="1"/>
  <c r="K6" i="39"/>
  <c r="I6" i="39"/>
  <c r="D6" i="39"/>
  <c r="L6" i="39" s="1"/>
  <c r="F21" i="39" l="1"/>
  <c r="E13" i="39"/>
  <c r="E23" i="39"/>
  <c r="F16" i="39"/>
  <c r="E29" i="39"/>
  <c r="M29" i="39" s="1"/>
  <c r="F6" i="39"/>
  <c r="E6" i="39"/>
  <c r="M6" i="39" s="1"/>
  <c r="L24" i="39"/>
  <c r="F27" i="39"/>
  <c r="E19" i="39"/>
  <c r="J28" i="37"/>
  <c r="K29" i="37" s="1"/>
  <c r="J20" i="37"/>
  <c r="J17" i="37"/>
  <c r="J11" i="37"/>
  <c r="K11" i="37" s="1"/>
  <c r="J5" i="37"/>
  <c r="K6" i="37" s="1"/>
  <c r="K29" i="38"/>
  <c r="I29" i="38"/>
  <c r="D29" i="38"/>
  <c r="K24" i="38"/>
  <c r="D23" i="38"/>
  <c r="K20" i="38"/>
  <c r="D19" i="38"/>
  <c r="F16" i="38" s="1"/>
  <c r="K15" i="38"/>
  <c r="F11" i="38" s="1"/>
  <c r="D13" i="38"/>
  <c r="I12" i="38"/>
  <c r="L12" i="38" s="1"/>
  <c r="K11" i="38"/>
  <c r="F8" i="38" s="1"/>
  <c r="I8" i="38"/>
  <c r="L9" i="38" s="1"/>
  <c r="K6" i="38"/>
  <c r="I6" i="38"/>
  <c r="D6" i="38"/>
  <c r="L6" i="38" s="1"/>
  <c r="I29" i="37"/>
  <c r="D29" i="37"/>
  <c r="K24" i="37"/>
  <c r="D23" i="37"/>
  <c r="L24" i="37" s="1"/>
  <c r="D19" i="37"/>
  <c r="L19" i="37" s="1"/>
  <c r="K15" i="37"/>
  <c r="F11" i="37" s="1"/>
  <c r="D13" i="37"/>
  <c r="I12" i="37"/>
  <c r="L12" i="37" s="1"/>
  <c r="I8" i="37"/>
  <c r="L9" i="37" s="1"/>
  <c r="I6" i="37"/>
  <c r="D6" i="37"/>
  <c r="E19" i="37" l="1"/>
  <c r="E23" i="38"/>
  <c r="F27" i="38"/>
  <c r="F16" i="37"/>
  <c r="E13" i="38"/>
  <c r="E29" i="38"/>
  <c r="M29" i="38" s="1"/>
  <c r="E19" i="38"/>
  <c r="L19" i="38"/>
  <c r="E13" i="37"/>
  <c r="E23" i="37"/>
  <c r="K20" i="37"/>
  <c r="F6" i="38"/>
  <c r="F21" i="38"/>
  <c r="L24" i="38"/>
  <c r="L29" i="38"/>
  <c r="E6" i="38"/>
  <c r="M6" i="38" s="1"/>
  <c r="F27" i="37"/>
  <c r="F8" i="37"/>
  <c r="F6" i="37"/>
  <c r="E6" i="37"/>
  <c r="M6" i="37" s="1"/>
  <c r="L6" i="37"/>
  <c r="E29" i="37"/>
  <c r="M29" i="37" s="1"/>
  <c r="F21" i="37"/>
  <c r="L29" i="37"/>
  <c r="I29" i="36"/>
  <c r="D29" i="36"/>
  <c r="L29" i="36" s="1"/>
  <c r="K29" i="36"/>
  <c r="K24" i="36"/>
  <c r="D23" i="36"/>
  <c r="L24" i="36" s="1"/>
  <c r="K20" i="36"/>
  <c r="D19" i="36"/>
  <c r="F16" i="36" s="1"/>
  <c r="K15" i="36"/>
  <c r="D13" i="36"/>
  <c r="I12" i="36"/>
  <c r="L12" i="36" s="1"/>
  <c r="K11" i="36"/>
  <c r="F8" i="36" s="1"/>
  <c r="F11" i="36"/>
  <c r="I8" i="36"/>
  <c r="L9" i="36" s="1"/>
  <c r="I6" i="36"/>
  <c r="D6" i="36"/>
  <c r="L6" i="36" s="1"/>
  <c r="K6" i="36"/>
  <c r="F21" i="36" l="1"/>
  <c r="E23" i="36"/>
  <c r="E13" i="36"/>
  <c r="F6" i="36"/>
  <c r="E29" i="36"/>
  <c r="M29" i="36" s="1"/>
  <c r="F27" i="36"/>
  <c r="E19" i="36"/>
  <c r="L19" i="36"/>
  <c r="E6" i="36"/>
  <c r="M6" i="36" s="1"/>
  <c r="J5" i="35"/>
  <c r="K6" i="35" s="1"/>
  <c r="J28" i="35"/>
  <c r="K29" i="35" s="1"/>
  <c r="I29" i="35"/>
  <c r="D29" i="35"/>
  <c r="L29" i="35" s="1"/>
  <c r="K24" i="35"/>
  <c r="D23" i="35"/>
  <c r="K20" i="35"/>
  <c r="D19" i="35"/>
  <c r="F16" i="35" s="1"/>
  <c r="K15" i="35"/>
  <c r="F11" i="35" s="1"/>
  <c r="D13" i="35"/>
  <c r="I12" i="35"/>
  <c r="L12" i="35" s="1"/>
  <c r="K11" i="35"/>
  <c r="F8" i="35" s="1"/>
  <c r="I8" i="35"/>
  <c r="L9" i="35" s="1"/>
  <c r="I6" i="35"/>
  <c r="D6" i="35"/>
  <c r="E23" i="35" l="1"/>
  <c r="F21" i="35"/>
  <c r="L24" i="35"/>
  <c r="F6" i="35"/>
  <c r="E13" i="35"/>
  <c r="F27" i="35"/>
  <c r="E19" i="35"/>
  <c r="E29" i="35"/>
  <c r="M29" i="35" s="1"/>
  <c r="E6" i="35"/>
  <c r="M6" i="35" s="1"/>
  <c r="L6" i="35"/>
  <c r="L19" i="35"/>
  <c r="J11" i="34"/>
  <c r="J5" i="34"/>
  <c r="J20" i="34"/>
  <c r="J28" i="34"/>
  <c r="I29" i="34" l="1"/>
  <c r="D29" i="34"/>
  <c r="K29" i="34"/>
  <c r="K24" i="34"/>
  <c r="D23" i="34"/>
  <c r="L24" i="34" s="1"/>
  <c r="K20" i="34"/>
  <c r="D19" i="34"/>
  <c r="E19" i="34" s="1"/>
  <c r="K15" i="34"/>
  <c r="F11" i="34" s="1"/>
  <c r="D13" i="34"/>
  <c r="I12" i="34"/>
  <c r="L12" i="34" s="1"/>
  <c r="K11" i="34"/>
  <c r="F8" i="34" s="1"/>
  <c r="I8" i="34"/>
  <c r="L9" i="34" s="1"/>
  <c r="K6" i="34"/>
  <c r="D6" i="34"/>
  <c r="I6" i="34"/>
  <c r="E23" i="34" l="1"/>
  <c r="F6" i="34"/>
  <c r="F16" i="34"/>
  <c r="L19" i="34"/>
  <c r="E13" i="34"/>
  <c r="E29" i="34"/>
  <c r="M29" i="34" s="1"/>
  <c r="L6" i="34"/>
  <c r="F27" i="34"/>
  <c r="E6" i="34"/>
  <c r="M6" i="34" s="1"/>
  <c r="L29" i="34"/>
  <c r="F21" i="34"/>
  <c r="H5" i="33"/>
  <c r="I6" i="33" s="1"/>
  <c r="J28" i="33"/>
  <c r="K29" i="33" s="1"/>
  <c r="I29" i="33"/>
  <c r="D29" i="33"/>
  <c r="K24" i="33"/>
  <c r="D23" i="33"/>
  <c r="L24" i="33" s="1"/>
  <c r="K20" i="33"/>
  <c r="D19" i="33"/>
  <c r="L19" i="33" s="1"/>
  <c r="K15" i="33"/>
  <c r="D13" i="33"/>
  <c r="I12" i="33"/>
  <c r="L12" i="33" s="1"/>
  <c r="K11" i="33"/>
  <c r="F8" i="33" s="1"/>
  <c r="F11" i="33"/>
  <c r="I8" i="33"/>
  <c r="L9" i="33" s="1"/>
  <c r="D6" i="33"/>
  <c r="L6" i="33" s="1"/>
  <c r="K6" i="33"/>
  <c r="F21" i="33" l="1"/>
  <c r="E23" i="33"/>
  <c r="F6" i="33"/>
  <c r="F16" i="33"/>
  <c r="F27" i="33"/>
  <c r="E13" i="33"/>
  <c r="L29" i="33"/>
  <c r="E19" i="33"/>
  <c r="E29" i="33"/>
  <c r="M29" i="33" s="1"/>
  <c r="E6" i="33"/>
  <c r="M6" i="33" s="1"/>
  <c r="J20" i="32"/>
  <c r="J28" i="32"/>
  <c r="J11" i="32"/>
  <c r="J5" i="32"/>
  <c r="J28" i="31" l="1"/>
  <c r="J11" i="31"/>
  <c r="J5" i="31"/>
  <c r="J20" i="30" l="1"/>
  <c r="J28" i="30"/>
  <c r="J15" i="30"/>
  <c r="J11" i="30"/>
  <c r="J5" i="30"/>
  <c r="K29" i="32" l="1"/>
  <c r="I29" i="32"/>
  <c r="D29" i="32"/>
  <c r="K24" i="32"/>
  <c r="D23" i="32"/>
  <c r="K20" i="32"/>
  <c r="D19" i="32"/>
  <c r="F16" i="32" s="1"/>
  <c r="K15" i="32"/>
  <c r="F11" i="32" s="1"/>
  <c r="D13" i="32"/>
  <c r="I12" i="32"/>
  <c r="L12" i="32" s="1"/>
  <c r="K11" i="32"/>
  <c r="F8" i="32" s="1"/>
  <c r="I8" i="32"/>
  <c r="L9" i="32" s="1"/>
  <c r="K6" i="32"/>
  <c r="I6" i="32"/>
  <c r="D6" i="32"/>
  <c r="K29" i="31"/>
  <c r="I29" i="31"/>
  <c r="D29" i="31"/>
  <c r="K24" i="31"/>
  <c r="D23" i="31"/>
  <c r="K20" i="31"/>
  <c r="D19" i="31"/>
  <c r="F16" i="31" s="1"/>
  <c r="K15" i="31"/>
  <c r="F11" i="31" s="1"/>
  <c r="D13" i="31"/>
  <c r="I12" i="31"/>
  <c r="L12" i="31" s="1"/>
  <c r="K11" i="31"/>
  <c r="I8" i="31"/>
  <c r="L9" i="31" s="1"/>
  <c r="F8" i="31"/>
  <c r="K6" i="31"/>
  <c r="I6" i="31"/>
  <c r="D6" i="31"/>
  <c r="L6" i="31" s="1"/>
  <c r="I29" i="30"/>
  <c r="D29" i="30"/>
  <c r="L29" i="30" s="1"/>
  <c r="K29" i="30"/>
  <c r="K24" i="30"/>
  <c r="D23" i="30"/>
  <c r="L24" i="30" s="1"/>
  <c r="K20" i="30"/>
  <c r="D19" i="30"/>
  <c r="E19" i="30" s="1"/>
  <c r="K15" i="30"/>
  <c r="F11" i="30" s="1"/>
  <c r="D13" i="30"/>
  <c r="I12" i="30"/>
  <c r="L12" i="30" s="1"/>
  <c r="K11" i="30"/>
  <c r="F8" i="30" s="1"/>
  <c r="I8" i="30"/>
  <c r="L9" i="30" s="1"/>
  <c r="I6" i="30"/>
  <c r="D6" i="30"/>
  <c r="L6" i="30" s="1"/>
  <c r="K6" i="30"/>
  <c r="E23" i="31" l="1"/>
  <c r="F16" i="30"/>
  <c r="F6" i="32"/>
  <c r="E29" i="32"/>
  <c r="M29" i="32" s="1"/>
  <c r="E23" i="32"/>
  <c r="F27" i="32"/>
  <c r="E19" i="32"/>
  <c r="L19" i="32"/>
  <c r="E13" i="32"/>
  <c r="E29" i="31"/>
  <c r="M29" i="31" s="1"/>
  <c r="E13" i="31"/>
  <c r="E19" i="31"/>
  <c r="L19" i="31"/>
  <c r="F27" i="31"/>
  <c r="F21" i="30"/>
  <c r="L19" i="30"/>
  <c r="L29" i="32"/>
  <c r="E6" i="32"/>
  <c r="M6" i="32" s="1"/>
  <c r="L6" i="32"/>
  <c r="F21" i="32"/>
  <c r="L24" i="32"/>
  <c r="F6" i="31"/>
  <c r="F21" i="31"/>
  <c r="L24" i="31"/>
  <c r="L29" i="31"/>
  <c r="E6" i="31"/>
  <c r="M6" i="31" s="1"/>
  <c r="E23" i="30"/>
  <c r="E13" i="30"/>
  <c r="F6" i="30"/>
  <c r="E6" i="30"/>
  <c r="M6" i="30" s="1"/>
  <c r="E29" i="30"/>
  <c r="M29" i="30" s="1"/>
  <c r="F27" i="30"/>
  <c r="D13" i="29"/>
  <c r="D6" i="29"/>
  <c r="D19" i="29"/>
  <c r="J15" i="29"/>
  <c r="J28" i="29"/>
  <c r="J5" i="29"/>
  <c r="K20" i="29"/>
  <c r="D23" i="29" l="1"/>
  <c r="L24" i="29" s="1"/>
  <c r="D29" i="29"/>
  <c r="L29" i="29" s="1"/>
  <c r="I29" i="29"/>
  <c r="K29" i="29"/>
  <c r="K24" i="29"/>
  <c r="L19" i="29"/>
  <c r="E19" i="29"/>
  <c r="F16" i="29"/>
  <c r="K15" i="29"/>
  <c r="F11" i="29" s="1"/>
  <c r="I12" i="29"/>
  <c r="L12" i="29" s="1"/>
  <c r="K11" i="29"/>
  <c r="F8" i="29" s="1"/>
  <c r="I8" i="29"/>
  <c r="L9" i="29" s="1"/>
  <c r="I6" i="29"/>
  <c r="K6" i="29"/>
  <c r="F6" i="29" l="1"/>
  <c r="E29" i="29"/>
  <c r="M29" i="29" s="1"/>
  <c r="E13" i="29"/>
  <c r="F27" i="29"/>
  <c r="E23" i="29"/>
  <c r="E6" i="29"/>
  <c r="M6" i="29" s="1"/>
  <c r="L6" i="29"/>
  <c r="F21" i="29"/>
  <c r="J24" i="28"/>
  <c r="J20" i="28"/>
  <c r="J5" i="28"/>
  <c r="J28" i="28"/>
  <c r="I29" i="28" l="1"/>
  <c r="D29" i="28"/>
  <c r="K29" i="28"/>
  <c r="K24" i="28"/>
  <c r="D23" i="28"/>
  <c r="D19" i="28"/>
  <c r="E19" i="28" s="1"/>
  <c r="K15" i="28"/>
  <c r="F11" i="28" s="1"/>
  <c r="D13" i="28"/>
  <c r="I12" i="28"/>
  <c r="L12" i="28" s="1"/>
  <c r="K11" i="28"/>
  <c r="F8" i="28" s="1"/>
  <c r="I8" i="28"/>
  <c r="L9" i="28" s="1"/>
  <c r="I6" i="28"/>
  <c r="D6" i="28"/>
  <c r="L6" i="28" s="1"/>
  <c r="K6" i="28"/>
  <c r="E23" i="28" l="1"/>
  <c r="F21" i="28"/>
  <c r="L19" i="28"/>
  <c r="F16" i="28"/>
  <c r="E6" i="28"/>
  <c r="M6" i="28" s="1"/>
  <c r="F6" i="28"/>
  <c r="E13" i="28"/>
  <c r="F27" i="28"/>
  <c r="L29" i="28"/>
  <c r="L24" i="28"/>
  <c r="E29" i="28"/>
  <c r="M29" i="28" s="1"/>
  <c r="J9" i="27"/>
  <c r="J24" i="27"/>
  <c r="J5" i="27"/>
  <c r="J28" i="27"/>
  <c r="D19" i="27" l="1"/>
  <c r="F16" i="27" s="1"/>
  <c r="D29" i="27"/>
  <c r="K29" i="27"/>
  <c r="I29" i="27"/>
  <c r="K24" i="27"/>
  <c r="D23" i="27"/>
  <c r="L24" i="27" s="1"/>
  <c r="K15" i="27"/>
  <c r="D13" i="27"/>
  <c r="I12" i="27"/>
  <c r="L12" i="27" s="1"/>
  <c r="K11" i="27"/>
  <c r="F8" i="27" s="1"/>
  <c r="F11" i="27"/>
  <c r="I8" i="27"/>
  <c r="L9" i="27" s="1"/>
  <c r="I6" i="27"/>
  <c r="D6" i="27"/>
  <c r="L6" i="27" s="1"/>
  <c r="K6" i="27"/>
  <c r="L19" i="27" l="1"/>
  <c r="E23" i="27"/>
  <c r="E13" i="27"/>
  <c r="F6" i="27"/>
  <c r="F21" i="27"/>
  <c r="E29" i="27"/>
  <c r="M29" i="27" s="1"/>
  <c r="L29" i="27"/>
  <c r="E19" i="27"/>
  <c r="E6" i="27"/>
  <c r="M6" i="27" s="1"/>
  <c r="F27" i="27"/>
  <c r="H26" i="26"/>
  <c r="J11" i="26" l="1"/>
  <c r="J20" i="26"/>
  <c r="J28" i="26"/>
  <c r="J5" i="26"/>
  <c r="K29" i="26" l="1"/>
  <c r="I29" i="26"/>
  <c r="D29" i="26"/>
  <c r="K24" i="26"/>
  <c r="D23" i="26"/>
  <c r="E23" i="26" s="1"/>
  <c r="D19" i="26"/>
  <c r="F16" i="26" s="1"/>
  <c r="K15" i="26"/>
  <c r="F11" i="26" s="1"/>
  <c r="D13" i="26"/>
  <c r="I12" i="26"/>
  <c r="L12" i="26" s="1"/>
  <c r="K11" i="26"/>
  <c r="F8" i="26" s="1"/>
  <c r="I8" i="26"/>
  <c r="L9" i="26" s="1"/>
  <c r="I6" i="26"/>
  <c r="D6" i="26"/>
  <c r="K6" i="26"/>
  <c r="L24" i="26" l="1"/>
  <c r="F21" i="26"/>
  <c r="F27" i="26"/>
  <c r="E19" i="26"/>
  <c r="L19" i="26"/>
  <c r="E13" i="26"/>
  <c r="F6" i="26"/>
  <c r="L29" i="26"/>
  <c r="E29" i="26"/>
  <c r="M29" i="26" s="1"/>
  <c r="E6" i="26"/>
  <c r="M6" i="26" s="1"/>
  <c r="L6" i="26"/>
  <c r="J5" i="25"/>
  <c r="I29" i="25" l="1"/>
  <c r="D29" i="25"/>
  <c r="L29" i="25" s="1"/>
  <c r="K29" i="25"/>
  <c r="K24" i="25"/>
  <c r="D23" i="25"/>
  <c r="L24" i="25" s="1"/>
  <c r="D19" i="25"/>
  <c r="L19" i="25" s="1"/>
  <c r="K15" i="25"/>
  <c r="F11" i="25" s="1"/>
  <c r="D13" i="25"/>
  <c r="I12" i="25"/>
  <c r="L12" i="25" s="1"/>
  <c r="K11" i="25"/>
  <c r="F8" i="25" s="1"/>
  <c r="I8" i="25"/>
  <c r="L9" i="25" s="1"/>
  <c r="I6" i="25"/>
  <c r="D6" i="25"/>
  <c r="L6" i="25" s="1"/>
  <c r="K6" i="25"/>
  <c r="F27" i="25" l="1"/>
  <c r="E13" i="25"/>
  <c r="E19" i="25"/>
  <c r="F16" i="25"/>
  <c r="F6" i="25"/>
  <c r="E29" i="25"/>
  <c r="M29" i="25" s="1"/>
  <c r="F21" i="25"/>
  <c r="E23" i="25"/>
  <c r="E6" i="25"/>
  <c r="M6" i="25" s="1"/>
  <c r="J11" i="24"/>
  <c r="J15" i="24"/>
  <c r="J24" i="24"/>
  <c r="J28" i="24"/>
  <c r="J5" i="24"/>
  <c r="J17" i="24" l="1"/>
  <c r="K29" i="24"/>
  <c r="I29" i="24"/>
  <c r="D29" i="24"/>
  <c r="L29" i="24" s="1"/>
  <c r="K24" i="24"/>
  <c r="D23" i="24"/>
  <c r="L24" i="24" s="1"/>
  <c r="D19" i="24"/>
  <c r="E19" i="24" s="1"/>
  <c r="K15" i="24"/>
  <c r="F11" i="24" s="1"/>
  <c r="D13" i="24"/>
  <c r="I12" i="24"/>
  <c r="L12" i="24" s="1"/>
  <c r="K11" i="24"/>
  <c r="F8" i="24" s="1"/>
  <c r="I8" i="24"/>
  <c r="L9" i="24" s="1"/>
  <c r="K6" i="24"/>
  <c r="I6" i="24"/>
  <c r="D6" i="24"/>
  <c r="F6" i="24" l="1"/>
  <c r="F27" i="24"/>
  <c r="F16" i="24"/>
  <c r="F21" i="24"/>
  <c r="E23" i="24"/>
  <c r="E13" i="24"/>
  <c r="E29" i="24"/>
  <c r="M29" i="24" s="1"/>
  <c r="L19" i="24"/>
  <c r="E6" i="24"/>
  <c r="M6" i="24" s="1"/>
  <c r="L6" i="24"/>
  <c r="D19" i="23"/>
  <c r="L19" i="23" l="1"/>
  <c r="J5" i="23"/>
  <c r="K29" i="23" l="1"/>
  <c r="I29" i="23"/>
  <c r="D29" i="23"/>
  <c r="L29" i="23" s="1"/>
  <c r="K24" i="23"/>
  <c r="D23" i="23"/>
  <c r="L24" i="23" s="1"/>
  <c r="E19" i="23"/>
  <c r="K15" i="23"/>
  <c r="F11" i="23" s="1"/>
  <c r="D13" i="23"/>
  <c r="I12" i="23"/>
  <c r="L12" i="23" s="1"/>
  <c r="K11" i="23"/>
  <c r="F8" i="23" s="1"/>
  <c r="I8" i="23"/>
  <c r="L9" i="23" s="1"/>
  <c r="K6" i="23"/>
  <c r="I6" i="23"/>
  <c r="D6" i="23"/>
  <c r="L6" i="23" s="1"/>
  <c r="F27" i="23" l="1"/>
  <c r="E13" i="23"/>
  <c r="E29" i="23"/>
  <c r="M29" i="23" s="1"/>
  <c r="F16" i="23"/>
  <c r="F6" i="23"/>
  <c r="E23" i="23"/>
  <c r="E6" i="23"/>
  <c r="M6" i="23" s="1"/>
  <c r="F21" i="23"/>
  <c r="K4" i="22"/>
  <c r="K2" i="22"/>
  <c r="K27" i="22"/>
  <c r="K25" i="22"/>
  <c r="K14" i="22" l="1"/>
  <c r="K15" i="22"/>
  <c r="F11" i="22" s="1"/>
  <c r="K24" i="22"/>
  <c r="I29" i="22"/>
  <c r="D29" i="22"/>
  <c r="K29" i="22"/>
  <c r="D23" i="22"/>
  <c r="L24" i="22" s="1"/>
  <c r="D19" i="22"/>
  <c r="E19" i="22" s="1"/>
  <c r="F16" i="22"/>
  <c r="D13" i="22"/>
  <c r="I12" i="22"/>
  <c r="L12" i="22" s="1"/>
  <c r="K11" i="22"/>
  <c r="F8" i="22" s="1"/>
  <c r="I8" i="22"/>
  <c r="L9" i="22" s="1"/>
  <c r="K6" i="22"/>
  <c r="I6" i="22"/>
  <c r="D6" i="22"/>
  <c r="L6" i="22" s="1"/>
  <c r="F21" i="22" l="1"/>
  <c r="F27" i="22"/>
  <c r="E23" i="22"/>
  <c r="E29" i="22"/>
  <c r="M29" i="22" s="1"/>
  <c r="E6" i="22"/>
  <c r="M6" i="22" s="1"/>
  <c r="F6" i="22"/>
  <c r="L29" i="22"/>
  <c r="E13" i="22"/>
  <c r="J22" i="21"/>
  <c r="J26" i="21"/>
  <c r="J28" i="21"/>
  <c r="J11" i="21"/>
  <c r="J5" i="21"/>
  <c r="D29" i="21" l="1"/>
  <c r="K29" i="21"/>
  <c r="I29" i="21"/>
  <c r="K24" i="21"/>
  <c r="D23" i="21"/>
  <c r="L24" i="21" s="1"/>
  <c r="D19" i="21"/>
  <c r="E19" i="21" s="1"/>
  <c r="K15" i="21"/>
  <c r="F11" i="21" s="1"/>
  <c r="D13" i="21"/>
  <c r="I12" i="21"/>
  <c r="L12" i="21" s="1"/>
  <c r="K11" i="21"/>
  <c r="F8" i="21" s="1"/>
  <c r="I8" i="21"/>
  <c r="L9" i="21" s="1"/>
  <c r="D6" i="21"/>
  <c r="L6" i="21" s="1"/>
  <c r="K6" i="21"/>
  <c r="I6" i="21"/>
  <c r="E29" i="21" l="1"/>
  <c r="M29" i="21" s="1"/>
  <c r="F16" i="21"/>
  <c r="F6" i="21"/>
  <c r="E13" i="21"/>
  <c r="F27" i="21"/>
  <c r="L29" i="21"/>
  <c r="E23" i="21"/>
  <c r="E6" i="21"/>
  <c r="M6" i="21" s="1"/>
  <c r="F21" i="21"/>
  <c r="H3" i="20"/>
  <c r="I6" i="20" s="1"/>
  <c r="H26" i="20"/>
  <c r="I29" i="20" s="1"/>
  <c r="I12" i="20"/>
  <c r="L12" i="20" s="1"/>
  <c r="I8" i="20"/>
  <c r="L9" i="20" s="1"/>
  <c r="J26" i="20"/>
  <c r="J11" i="20"/>
  <c r="K11" i="20" s="1"/>
  <c r="F8" i="20" s="1"/>
  <c r="J28" i="20"/>
  <c r="J5" i="20"/>
  <c r="K6" i="20" s="1"/>
  <c r="D29" i="20"/>
  <c r="L29" i="20" s="1"/>
  <c r="K24" i="20"/>
  <c r="D23" i="20"/>
  <c r="D19" i="20"/>
  <c r="F16" i="20" s="1"/>
  <c r="K15" i="20"/>
  <c r="F11" i="20" s="1"/>
  <c r="D13" i="20"/>
  <c r="D6" i="20"/>
  <c r="E23" i="20" l="1"/>
  <c r="L24" i="20"/>
  <c r="K29" i="20"/>
  <c r="E29" i="20" s="1"/>
  <c r="M29" i="20" s="1"/>
  <c r="F21" i="20"/>
  <c r="E13" i="20"/>
  <c r="F6" i="20"/>
  <c r="E19" i="20"/>
  <c r="E6" i="20"/>
  <c r="M6" i="20" s="1"/>
  <c r="L6" i="20"/>
  <c r="F27" i="20" l="1"/>
  <c r="H5" i="19"/>
  <c r="H3" i="19"/>
  <c r="H27" i="19"/>
  <c r="H25" i="19"/>
  <c r="J27" i="19"/>
  <c r="J5" i="19"/>
  <c r="D18" i="19" l="1"/>
  <c r="K28" i="19"/>
  <c r="D28" i="19"/>
  <c r="L28" i="19" s="1"/>
  <c r="I28" i="19"/>
  <c r="K23" i="19"/>
  <c r="D22" i="19"/>
  <c r="L23" i="19" s="1"/>
  <c r="K15" i="19"/>
  <c r="F11" i="19" s="1"/>
  <c r="D13" i="19"/>
  <c r="L13" i="19" s="1"/>
  <c r="K11" i="19"/>
  <c r="F8" i="19" s="1"/>
  <c r="I6" i="19"/>
  <c r="D6" i="19"/>
  <c r="K6" i="19"/>
  <c r="F20" i="19" l="1"/>
  <c r="E18" i="19"/>
  <c r="F16" i="19"/>
  <c r="E22" i="19"/>
  <c r="F6" i="19"/>
  <c r="E13" i="19"/>
  <c r="E28" i="19"/>
  <c r="M28" i="19" s="1"/>
  <c r="E6" i="19"/>
  <c r="M6" i="19" s="1"/>
  <c r="L6" i="19"/>
  <c r="F26" i="19"/>
  <c r="H5" i="18"/>
  <c r="H23" i="18"/>
  <c r="H21" i="18"/>
  <c r="J11" i="18"/>
  <c r="J5" i="18"/>
  <c r="J23" i="17" l="1"/>
  <c r="J5" i="17"/>
  <c r="H5" i="17"/>
  <c r="H23" i="17"/>
  <c r="J21" i="17"/>
  <c r="J5" i="16" l="1"/>
  <c r="J21" i="15" l="1"/>
  <c r="J5" i="15"/>
  <c r="K24" i="18" l="1"/>
  <c r="I24" i="18"/>
  <c r="D24" i="18"/>
  <c r="K19" i="18"/>
  <c r="D18" i="18"/>
  <c r="K15" i="18"/>
  <c r="F11" i="18" s="1"/>
  <c r="D13" i="18"/>
  <c r="K11" i="18"/>
  <c r="F8" i="18" s="1"/>
  <c r="K6" i="18"/>
  <c r="I6" i="18"/>
  <c r="D6" i="18"/>
  <c r="K24" i="17"/>
  <c r="I24" i="17"/>
  <c r="D24" i="17"/>
  <c r="K19" i="17"/>
  <c r="D18" i="17"/>
  <c r="L19" i="17" s="1"/>
  <c r="K15" i="17"/>
  <c r="F11" i="17" s="1"/>
  <c r="D13" i="17"/>
  <c r="L13" i="17" s="1"/>
  <c r="K11" i="17"/>
  <c r="F8" i="17" s="1"/>
  <c r="K6" i="17"/>
  <c r="I6" i="17"/>
  <c r="D6" i="17"/>
  <c r="K24" i="16"/>
  <c r="I24" i="16"/>
  <c r="D24" i="16"/>
  <c r="K19" i="16"/>
  <c r="D18" i="16"/>
  <c r="L19" i="16" s="1"/>
  <c r="K15" i="16"/>
  <c r="F11" i="16" s="1"/>
  <c r="D13" i="16"/>
  <c r="L13" i="16" s="1"/>
  <c r="K11" i="16"/>
  <c r="F8" i="16" s="1"/>
  <c r="K6" i="16"/>
  <c r="I6" i="16"/>
  <c r="D6" i="16"/>
  <c r="D24" i="15"/>
  <c r="L24" i="15" s="1"/>
  <c r="K24" i="15"/>
  <c r="I24" i="15"/>
  <c r="K19" i="15"/>
  <c r="D18" i="15"/>
  <c r="K15" i="15"/>
  <c r="F11" i="15" s="1"/>
  <c r="D13" i="15"/>
  <c r="L13" i="15" s="1"/>
  <c r="K11" i="15"/>
  <c r="F8" i="15" s="1"/>
  <c r="I6" i="15"/>
  <c r="D6" i="15"/>
  <c r="K6" i="15"/>
  <c r="F6" i="18" l="1"/>
  <c r="E18" i="18"/>
  <c r="L19" i="18"/>
  <c r="F22" i="18"/>
  <c r="F16" i="17"/>
  <c r="E18" i="17"/>
  <c r="F6" i="17"/>
  <c r="F22" i="17"/>
  <c r="E13" i="18"/>
  <c r="E13" i="17"/>
  <c r="L13" i="18"/>
  <c r="F16" i="18"/>
  <c r="F16" i="16"/>
  <c r="F6" i="16"/>
  <c r="E24" i="16"/>
  <c r="M24" i="16" s="1"/>
  <c r="E18" i="16"/>
  <c r="E13" i="16"/>
  <c r="L24" i="18"/>
  <c r="E6" i="18"/>
  <c r="M6" i="18" s="1"/>
  <c r="L6" i="18"/>
  <c r="E24" i="18"/>
  <c r="M24" i="18" s="1"/>
  <c r="L24" i="17"/>
  <c r="E6" i="17"/>
  <c r="M6" i="17" s="1"/>
  <c r="L6" i="17"/>
  <c r="E24" i="17"/>
  <c r="M24" i="17" s="1"/>
  <c r="L24" i="16"/>
  <c r="E6" i="16"/>
  <c r="M6" i="16" s="1"/>
  <c r="L6" i="16"/>
  <c r="F22" i="16"/>
  <c r="F16" i="15"/>
  <c r="F6" i="15"/>
  <c r="E13" i="15"/>
  <c r="L19" i="15"/>
  <c r="E18" i="15"/>
  <c r="F22" i="15"/>
  <c r="E24" i="15"/>
  <c r="M24" i="15" s="1"/>
  <c r="E6" i="15"/>
  <c r="M6" i="15" s="1"/>
  <c r="L6" i="15"/>
  <c r="J23" i="14"/>
  <c r="K24" i="14" s="1"/>
  <c r="J19" i="14"/>
  <c r="K19" i="14" s="1"/>
  <c r="J5" i="14"/>
  <c r="K6" i="14" s="1"/>
  <c r="H5" i="14"/>
  <c r="H23" i="14"/>
  <c r="I24" i="14" s="1"/>
  <c r="D24" i="14"/>
  <c r="D18" i="14"/>
  <c r="L19" i="14" s="1"/>
  <c r="K15" i="14"/>
  <c r="F11" i="14" s="1"/>
  <c r="D13" i="14"/>
  <c r="L13" i="14" s="1"/>
  <c r="K11" i="14"/>
  <c r="F8" i="14" s="1"/>
  <c r="I6" i="14"/>
  <c r="D6" i="14"/>
  <c r="L6" i="14" s="1"/>
  <c r="F22" i="14" l="1"/>
  <c r="E13" i="14"/>
  <c r="E6" i="14"/>
  <c r="M6" i="14" s="1"/>
  <c r="F6" i="14"/>
  <c r="E24" i="14"/>
  <c r="M24" i="14" s="1"/>
  <c r="E18" i="14"/>
  <c r="L24" i="14"/>
  <c r="F16" i="14"/>
  <c r="H5" i="13"/>
  <c r="J23" i="13"/>
  <c r="J11" i="13"/>
  <c r="J5" i="13"/>
  <c r="J3" i="13"/>
  <c r="J9" i="13"/>
  <c r="D24" i="13" l="1"/>
  <c r="K24" i="13"/>
  <c r="I24" i="13"/>
  <c r="K19" i="13"/>
  <c r="D18" i="13"/>
  <c r="L19" i="13" s="1"/>
  <c r="K15" i="13"/>
  <c r="F11" i="13" s="1"/>
  <c r="D13" i="13"/>
  <c r="L13" i="13" s="1"/>
  <c r="K11" i="13"/>
  <c r="D6" i="13"/>
  <c r="L6" i="13" s="1"/>
  <c r="K6" i="13"/>
  <c r="I6" i="13"/>
  <c r="E24" i="13" l="1"/>
  <c r="M24" i="13" s="1"/>
  <c r="E18" i="13"/>
  <c r="F6" i="13"/>
  <c r="E6" i="13"/>
  <c r="M6" i="13" s="1"/>
  <c r="E13" i="13"/>
  <c r="F8" i="13"/>
  <c r="F22" i="13"/>
  <c r="F16" i="13"/>
  <c r="L24" i="13"/>
  <c r="H5" i="12" l="1"/>
  <c r="H3" i="12"/>
  <c r="H23" i="12"/>
  <c r="H21" i="12"/>
  <c r="I6" i="12" l="1"/>
  <c r="I24" i="12"/>
  <c r="J23" i="12"/>
  <c r="J19" i="12"/>
  <c r="K19" i="12" s="1"/>
  <c r="J11" i="12"/>
  <c r="K11" i="12" s="1"/>
  <c r="J5" i="12"/>
  <c r="K6" i="12" s="1"/>
  <c r="K24" i="12"/>
  <c r="D24" i="12"/>
  <c r="L24" i="12" s="1"/>
  <c r="D18" i="12"/>
  <c r="L19" i="12" s="1"/>
  <c r="K15" i="12"/>
  <c r="F11" i="12" s="1"/>
  <c r="D13" i="12"/>
  <c r="L13" i="12" s="1"/>
  <c r="D6" i="12"/>
  <c r="F6" i="12" l="1"/>
  <c r="E24" i="12"/>
  <c r="M24" i="12" s="1"/>
  <c r="F22" i="12"/>
  <c r="F8" i="12"/>
  <c r="E13" i="12"/>
  <c r="E6" i="12"/>
  <c r="M6" i="12" s="1"/>
  <c r="L6" i="12"/>
  <c r="E18" i="12"/>
  <c r="F16" i="12"/>
  <c r="I24" i="11"/>
  <c r="J11" i="11" l="1"/>
  <c r="J5" i="11"/>
  <c r="J23" i="11"/>
  <c r="D24" i="11" l="1"/>
  <c r="L24" i="11" s="1"/>
  <c r="K24" i="11"/>
  <c r="K19" i="11"/>
  <c r="D18" i="11"/>
  <c r="L19" i="11" s="1"/>
  <c r="K15" i="11"/>
  <c r="F11" i="11" s="1"/>
  <c r="D13" i="11"/>
  <c r="L13" i="11" s="1"/>
  <c r="K11" i="11"/>
  <c r="F8" i="11" s="1"/>
  <c r="I6" i="11"/>
  <c r="D6" i="11"/>
  <c r="L6" i="11" s="1"/>
  <c r="K6" i="11"/>
  <c r="F6" i="11" l="1"/>
  <c r="E6" i="11"/>
  <c r="M6" i="11" s="1"/>
  <c r="F16" i="11"/>
  <c r="E18" i="11"/>
  <c r="E24" i="11"/>
  <c r="M24" i="11" s="1"/>
  <c r="F22" i="11"/>
  <c r="E13" i="11"/>
  <c r="I6" i="10"/>
  <c r="H23" i="10"/>
  <c r="I24" i="10" s="1"/>
  <c r="J23" i="10"/>
  <c r="K24" i="10" s="1"/>
  <c r="J19" i="10"/>
  <c r="K19" i="10" s="1"/>
  <c r="J15" i="10"/>
  <c r="J5" i="10"/>
  <c r="K6" i="10" s="1"/>
  <c r="D24" i="10"/>
  <c r="D18" i="10"/>
  <c r="L19" i="10" s="1"/>
  <c r="K15" i="10"/>
  <c r="F11" i="10" s="1"/>
  <c r="D13" i="10"/>
  <c r="L13" i="10" s="1"/>
  <c r="K11" i="10"/>
  <c r="D6" i="10"/>
  <c r="F6" i="10" l="1"/>
  <c r="E18" i="10"/>
  <c r="F22" i="10"/>
  <c r="E13" i="10"/>
  <c r="E24" i="10"/>
  <c r="M24" i="10" s="1"/>
  <c r="E6" i="10"/>
  <c r="M6" i="10" s="1"/>
  <c r="L6" i="10"/>
  <c r="F16" i="10"/>
  <c r="L24" i="10"/>
  <c r="F8" i="10"/>
  <c r="K6" i="9"/>
  <c r="G25" i="9"/>
  <c r="K24" i="9"/>
  <c r="I24" i="9"/>
  <c r="D24" i="9"/>
  <c r="K19" i="9"/>
  <c r="D18" i="9"/>
  <c r="K15" i="9"/>
  <c r="F11" i="9" s="1"/>
  <c r="D13" i="9"/>
  <c r="L13" i="9" s="1"/>
  <c r="K11" i="9"/>
  <c r="F8" i="9" s="1"/>
  <c r="I6" i="9"/>
  <c r="D6" i="9"/>
  <c r="L6" i="9" s="1"/>
  <c r="F22" i="9" l="1"/>
  <c r="F16" i="9"/>
  <c r="F6" i="9"/>
  <c r="E18" i="9"/>
  <c r="L24" i="9"/>
  <c r="E13" i="9"/>
  <c r="E24" i="9"/>
  <c r="D25" i="9"/>
  <c r="K25" i="9" s="1"/>
  <c r="L19" i="9"/>
  <c r="E6" i="9"/>
  <c r="I24" i="8"/>
  <c r="J19" i="8"/>
  <c r="J15" i="8"/>
  <c r="J11" i="8"/>
  <c r="J5" i="8"/>
  <c r="G25" i="8" l="1"/>
  <c r="K24" i="8"/>
  <c r="D24" i="8"/>
  <c r="K19" i="8"/>
  <c r="D18" i="8"/>
  <c r="L19" i="8" s="1"/>
  <c r="K15" i="8"/>
  <c r="F11" i="8" s="1"/>
  <c r="D13" i="8"/>
  <c r="L13" i="8" s="1"/>
  <c r="K11" i="8"/>
  <c r="F8" i="8" s="1"/>
  <c r="K6" i="8"/>
  <c r="I6" i="8"/>
  <c r="D6" i="8"/>
  <c r="G25" i="7"/>
  <c r="K24" i="7"/>
  <c r="I24" i="7"/>
  <c r="D24" i="7"/>
  <c r="L24" i="7" s="1"/>
  <c r="K19" i="7"/>
  <c r="D18" i="7"/>
  <c r="L19" i="7" s="1"/>
  <c r="K15" i="7"/>
  <c r="F11" i="7" s="1"/>
  <c r="D13" i="7"/>
  <c r="L13" i="7" s="1"/>
  <c r="K11" i="7"/>
  <c r="F8" i="7" s="1"/>
  <c r="K6" i="7"/>
  <c r="D6" i="7"/>
  <c r="L6" i="7" s="1"/>
  <c r="I6" i="7"/>
  <c r="D24" i="6"/>
  <c r="D6" i="6"/>
  <c r="F22" i="8" l="1"/>
  <c r="F6" i="8"/>
  <c r="L6" i="8"/>
  <c r="F22" i="7"/>
  <c r="E24" i="8"/>
  <c r="F16" i="7"/>
  <c r="E13" i="8"/>
  <c r="E18" i="7"/>
  <c r="E18" i="8"/>
  <c r="L24" i="8"/>
  <c r="D25" i="8"/>
  <c r="K25" i="8" s="1"/>
  <c r="E6" i="8"/>
  <c r="F16" i="8"/>
  <c r="E24" i="7"/>
  <c r="D25" i="7"/>
  <c r="K25" i="7" s="1"/>
  <c r="E6" i="7"/>
  <c r="F6" i="7"/>
  <c r="E13" i="7"/>
  <c r="G25" i="6"/>
  <c r="J21" i="6" l="1"/>
  <c r="H23" i="6"/>
  <c r="H5" i="6"/>
  <c r="H21" i="6"/>
  <c r="J5" i="6" l="1"/>
  <c r="K6" i="6" s="1"/>
  <c r="I24" i="6"/>
  <c r="K24" i="6"/>
  <c r="K19" i="6"/>
  <c r="D18" i="6"/>
  <c r="K15" i="6"/>
  <c r="F11" i="6" s="1"/>
  <c r="D13" i="6"/>
  <c r="K11" i="6"/>
  <c r="F8" i="6" s="1"/>
  <c r="I6" i="6"/>
  <c r="E6" i="6" s="1"/>
  <c r="L13" i="6" l="1"/>
  <c r="E13" i="6"/>
  <c r="E24" i="6"/>
  <c r="L19" i="6"/>
  <c r="E18" i="6"/>
  <c r="L24" i="6"/>
  <c r="F22" i="6"/>
  <c r="L6" i="6"/>
  <c r="D25" i="6"/>
  <c r="K25" i="6" s="1"/>
  <c r="F6" i="6"/>
  <c r="F16" i="6"/>
  <c r="I21" i="5"/>
  <c r="J24" i="5" s="1"/>
  <c r="I5" i="5"/>
  <c r="J6" i="5" s="1"/>
  <c r="J19" i="5"/>
  <c r="J15" i="5"/>
  <c r="E11" i="5" s="1"/>
  <c r="I11" i="5"/>
  <c r="J11" i="5" s="1"/>
  <c r="E8" i="5" s="1"/>
  <c r="H24" i="5"/>
  <c r="D24" i="5" s="1"/>
  <c r="D18" i="5"/>
  <c r="E16" i="5" s="1"/>
  <c r="D13" i="5"/>
  <c r="H6" i="5"/>
  <c r="E22" i="5" l="1"/>
  <c r="D6" i="5"/>
  <c r="E6" i="5" s="1"/>
  <c r="H6" i="4"/>
  <c r="D6" i="4" s="1"/>
  <c r="H21" i="4"/>
  <c r="D21" i="4" s="1"/>
  <c r="E11" i="4" l="1"/>
  <c r="D13" i="4"/>
  <c r="E19" i="4"/>
  <c r="D16" i="4"/>
  <c r="E14" i="4" s="1"/>
  <c r="E8" i="4"/>
  <c r="E6" i="4"/>
  <c r="E10" i="1" l="1"/>
  <c r="E8" i="1"/>
  <c r="D18" i="1"/>
  <c r="E16" i="1" s="1"/>
  <c r="D15" i="1"/>
  <c r="E13" i="1" s="1"/>
  <c r="D12" i="1"/>
  <c r="D6" i="1"/>
  <c r="E6" i="1" s="1"/>
</calcChain>
</file>

<file path=xl/sharedStrings.xml><?xml version="1.0" encoding="utf-8"?>
<sst xmlns="http://schemas.openxmlformats.org/spreadsheetml/2006/main" count="3506" uniqueCount="126">
  <si>
    <t>GARNIER</t>
  </si>
  <si>
    <t>STOCKEUR</t>
  </si>
  <si>
    <t>DEPOT</t>
  </si>
  <si>
    <t>Z93</t>
  </si>
  <si>
    <t>Z97</t>
  </si>
  <si>
    <t>GB</t>
  </si>
  <si>
    <t>Z81</t>
  </si>
  <si>
    <t>Z84</t>
  </si>
  <si>
    <t>Z89</t>
  </si>
  <si>
    <t>GELIN</t>
  </si>
  <si>
    <t>Z80</t>
  </si>
  <si>
    <t>Z90</t>
  </si>
  <si>
    <t>CELTIC</t>
  </si>
  <si>
    <t>Z91</t>
  </si>
  <si>
    <t>TOUR</t>
  </si>
  <si>
    <t>T2</t>
  </si>
  <si>
    <t>T3</t>
  </si>
  <si>
    <t>YE2</t>
  </si>
  <si>
    <t>YFF</t>
  </si>
  <si>
    <t>YE3</t>
  </si>
  <si>
    <t>YE4</t>
  </si>
  <si>
    <t>YFF H</t>
  </si>
  <si>
    <t>YFF V</t>
  </si>
  <si>
    <t>T2 H</t>
  </si>
  <si>
    <t>T2 V</t>
  </si>
  <si>
    <t>YE5</t>
  </si>
  <si>
    <t>Nbre de pal</t>
  </si>
  <si>
    <t>TOTAL GLOBAL</t>
  </si>
  <si>
    <t>Date du 11 Janvier</t>
  </si>
  <si>
    <t>Nbre de places MAX</t>
  </si>
  <si>
    <t>Garnier</t>
  </si>
  <si>
    <t>Gb vildé</t>
  </si>
  <si>
    <t>Gb Hénansal</t>
  </si>
  <si>
    <t>Gélin</t>
  </si>
  <si>
    <t>Celtic</t>
  </si>
  <si>
    <t>Différence</t>
  </si>
  <si>
    <t>Attention les places MAX comprennent les sites de Landerneau dont je n'ai pas les informations du nombre de places .</t>
  </si>
  <si>
    <t>Et la fromagerie est sur le Site de Hénansal ou je n'ai pas d'info non plus</t>
  </si>
  <si>
    <t>Et pour Info, Landerneau sont sur les sites de Garnier et Celtic.</t>
  </si>
  <si>
    <t>Z98</t>
  </si>
  <si>
    <t>T3 H</t>
  </si>
  <si>
    <t>Date du 18 Janvier</t>
  </si>
  <si>
    <t>Landerneau</t>
  </si>
  <si>
    <t>Entrant</t>
  </si>
  <si>
    <t>Sortant</t>
  </si>
  <si>
    <t>Créhen/Yff</t>
  </si>
  <si>
    <t>Date du 25 Janvier</t>
  </si>
  <si>
    <t>Date du 01 Février</t>
  </si>
  <si>
    <t>Prévision</t>
  </si>
  <si>
    <t>Date du 11 Février</t>
  </si>
  <si>
    <t>Date du 08 Février</t>
  </si>
  <si>
    <t>CREHEN</t>
  </si>
  <si>
    <t>CREHEN+LDO</t>
  </si>
  <si>
    <t>Date du 12 avril</t>
  </si>
  <si>
    <t>Date du 15 avril</t>
  </si>
  <si>
    <t>Z88</t>
  </si>
  <si>
    <t>Z96</t>
  </si>
  <si>
    <t>Gélin St Sauveur</t>
  </si>
  <si>
    <t>Gélin Fougeres</t>
  </si>
  <si>
    <t>Date du 06 Mai</t>
  </si>
  <si>
    <t>YE6</t>
  </si>
  <si>
    <t>Date du 24/05</t>
  </si>
  <si>
    <t>Date du 17/06</t>
  </si>
  <si>
    <t>Date du 25/06</t>
  </si>
  <si>
    <t>Date du 22/07</t>
  </si>
  <si>
    <t>Date du 15/07</t>
  </si>
  <si>
    <t>Date du 01/07</t>
  </si>
  <si>
    <t>Date du 29/07</t>
  </si>
  <si>
    <t>Date du 05/08</t>
  </si>
  <si>
    <t>Date du 12/08</t>
  </si>
  <si>
    <t>Date du 16/9</t>
  </si>
  <si>
    <t>Date du 23/09</t>
  </si>
  <si>
    <t>Date du 30/09</t>
  </si>
  <si>
    <t>Date du 07/10</t>
  </si>
  <si>
    <t>Date du 14/10</t>
  </si>
  <si>
    <t>Date du 04/11</t>
  </si>
  <si>
    <t>Date du 18/11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</si>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</sst>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58">
    <xf numFmtId="0" fontId="0" fillId="0" borderId="0" xfId="0"/>
    <xf numFmtId="0" fontId="0" fillId="0" borderId="1" xfId="0" applyBorder="1"/>
    <xf numFmtId="0" fontId="2" fillId="0" borderId="4" xfId="0" applyFont="1" applyBorder="1"/>
    <xf numFmtId="0" fontId="0" fillId="0" borderId="5" xfId="0" applyBorder="1"/>
    <xf numFmtId="0" fontId="0" fillId="0" borderId="7" xfId="0" applyBorder="1"/>
    <xf numFmtId="0" fontId="3" fillId="0" borderId="2" xfId="0" applyFont="1" applyBorder="1"/>
    <xf numFmtId="0" fontId="3" fillId="0" borderId="3" xfId="0" applyFont="1" applyBorder="1"/>
    <xf numFmtId="0" fontId="5" fillId="0" borderId="0" xfId="0" applyFont="1"/>
    <xf numFmtId="0" fontId="3" fillId="0" borderId="14" xfId="0" applyFont="1" applyBorder="1"/>
    <xf numFmtId="0" fontId="0" fillId="0" borderId="15" xfId="0" applyBorder="1"/>
    <xf numFmtId="0" fontId="0" fillId="0" borderId="16" xfId="0" applyBorder="1"/>
    <xf numFmtId="0" fontId="1" fillId="0" borderId="17" xfId="0" applyFont="1" applyBorder="1"/>
    <xf numFmtId="0" fontId="4" fillId="0" borderId="18" xfId="0" applyFont="1" applyFill="1" applyBorder="1"/>
    <xf numFmtId="0" fontId="0" fillId="0" borderId="18" xfId="0" applyBorder="1"/>
    <xf numFmtId="0" fontId="5" fillId="0" borderId="20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11" xfId="0" applyFont="1" applyBorder="1"/>
    <xf numFmtId="0" fontId="1" fillId="2" borderId="0" xfId="0" applyFont="1" applyFill="1" applyAlignment="1"/>
    <xf numFmtId="0" fontId="1" fillId="2" borderId="0" xfId="0" applyFont="1" applyFill="1"/>
    <xf numFmtId="0" fontId="4" fillId="0" borderId="21" xfId="0" applyFont="1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0" borderId="24" xfId="0" applyFont="1" applyBorder="1"/>
    <xf numFmtId="0" fontId="5" fillId="0" borderId="24" xfId="0" applyFont="1" applyBorder="1"/>
    <xf numFmtId="0" fontId="0" fillId="0" borderId="0" xfId="0" applyBorder="1"/>
    <xf numFmtId="0" fontId="1" fillId="0" borderId="26" xfId="0" applyFont="1" applyBorder="1"/>
    <xf numFmtId="0" fontId="5" fillId="0" borderId="27" xfId="0" applyFont="1" applyBorder="1"/>
    <xf numFmtId="0" fontId="5" fillId="0" borderId="30" xfId="0" applyFont="1" applyBorder="1"/>
    <xf numFmtId="0" fontId="0" fillId="0" borderId="31" xfId="0" applyBorder="1"/>
    <xf numFmtId="0" fontId="5" fillId="0" borderId="3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10" xfId="0" applyFont="1" applyBorder="1"/>
    <xf numFmtId="0" fontId="0" fillId="0" borderId="23" xfId="0" applyFill="1" applyBorder="1"/>
    <xf numFmtId="0" fontId="0" fillId="0" borderId="24" xfId="0" applyBorder="1"/>
    <xf numFmtId="0" fontId="0" fillId="0" borderId="28" xfId="0" applyBorder="1"/>
    <xf numFmtId="0" fontId="0" fillId="0" borderId="32" xfId="0" applyBorder="1"/>
    <xf numFmtId="0" fontId="0" fillId="0" borderId="33" xfId="0" applyBorder="1"/>
    <xf numFmtId="0" fontId="1" fillId="0" borderId="34" xfId="0" applyFont="1" applyBorder="1"/>
    <xf numFmtId="0" fontId="0" fillId="0" borderId="35" xfId="0" applyBorder="1"/>
    <xf numFmtId="0" fontId="1" fillId="0" borderId="23" xfId="0" applyFont="1" applyBorder="1"/>
    <xf numFmtId="0" fontId="5" fillId="0" borderId="23" xfId="0" applyFont="1" applyBorder="1"/>
    <xf numFmtId="0" fontId="0" fillId="0" borderId="29" xfId="0" applyBorder="1"/>
    <xf numFmtId="0" fontId="1" fillId="0" borderId="7" xfId="0" applyFont="1" applyBorder="1" applyAlignment="1">
      <alignment horizontal="center"/>
    </xf>
    <xf numFmtId="0" fontId="0" fillId="3" borderId="5" xfId="0" applyFill="1" applyBorder="1" applyAlignment="1"/>
    <xf numFmtId="0" fontId="0" fillId="3" borderId="1" xfId="0" applyFill="1" applyBorder="1" applyAlignment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Border="1"/>
    <xf numFmtId="0" fontId="0" fillId="0" borderId="20" xfId="0" applyBorder="1"/>
    <xf numFmtId="0" fontId="0" fillId="3" borderId="20" xfId="0" applyFill="1" applyBorder="1" applyAlignment="1"/>
    <xf numFmtId="0" fontId="0" fillId="3" borderId="10" xfId="0" applyFill="1" applyBorder="1" applyAlignment="1">
      <alignment horizontal="center"/>
    </xf>
    <xf numFmtId="0" fontId="0" fillId="0" borderId="32" xfId="0" applyFill="1" applyBorder="1"/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6" fillId="0" borderId="32" xfId="0" applyFont="1" applyBorder="1"/>
    <xf numFmtId="0" fontId="5" fillId="0" borderId="22" xfId="0" applyFont="1" applyBorder="1"/>
    <xf numFmtId="0" fontId="6" fillId="0" borderId="23" xfId="0" applyFont="1" applyBorder="1"/>
    <xf numFmtId="0" fontId="6" fillId="0" borderId="24" xfId="0" applyFont="1" applyBorder="1"/>
    <xf numFmtId="0" fontId="6" fillId="0" borderId="34" xfId="0" applyFont="1" applyBorder="1"/>
    <xf numFmtId="0" fontId="3" fillId="2" borderId="20" xfId="0" applyFont="1" applyFill="1" applyBorder="1"/>
    <xf numFmtId="0" fontId="3" fillId="2" borderId="6" xfId="0" applyFont="1" applyFill="1" applyBorder="1"/>
    <xf numFmtId="0" fontId="3" fillId="2" borderId="8" xfId="0" applyFont="1" applyFill="1" applyBorder="1"/>
    <xf numFmtId="0" fontId="3" fillId="2" borderId="27" xfId="0" applyFont="1" applyFill="1" applyBorder="1"/>
    <xf numFmtId="0" fontId="3" fillId="2" borderId="5" xfId="0" applyFont="1" applyFill="1" applyBorder="1"/>
    <xf numFmtId="0" fontId="3" fillId="2" borderId="1" xfId="0" applyFont="1" applyFill="1" applyBorder="1"/>
    <xf numFmtId="0" fontId="3" fillId="2" borderId="10" xfId="0" applyFont="1" applyFill="1" applyBorder="1"/>
    <xf numFmtId="0" fontId="0" fillId="3" borderId="15" xfId="0" applyFill="1" applyBorder="1" applyAlignment="1"/>
    <xf numFmtId="0" fontId="0" fillId="3" borderId="16" xfId="0" applyFill="1" applyBorder="1" applyAlignment="1"/>
    <xf numFmtId="0" fontId="0" fillId="3" borderId="17" xfId="0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0" fontId="0" fillId="0" borderId="0" xfId="0" applyNumberFormat="1"/>
    <xf numFmtId="0" fontId="3" fillId="0" borderId="19" xfId="0" applyFont="1" applyBorder="1"/>
    <xf numFmtId="0" fontId="1" fillId="0" borderId="36" xfId="0" applyFont="1" applyBorder="1" applyAlignment="1">
      <alignment horizontal="center"/>
    </xf>
    <xf numFmtId="0" fontId="0" fillId="0" borderId="37" xfId="0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3" fillId="2" borderId="19" xfId="0" applyFont="1" applyFill="1" applyBorder="1"/>
    <xf numFmtId="0" fontId="0" fillId="2" borderId="37" xfId="0" applyFill="1" applyBorder="1"/>
    <xf numFmtId="0" fontId="0" fillId="2" borderId="16" xfId="0" applyFill="1" applyBorder="1"/>
    <xf numFmtId="0" fontId="1" fillId="2" borderId="26" xfId="0" applyFont="1" applyFill="1" applyBorder="1"/>
    <xf numFmtId="0" fontId="0" fillId="2" borderId="5" xfId="0" applyFill="1" applyBorder="1"/>
    <xf numFmtId="0" fontId="0" fillId="2" borderId="1" xfId="0" applyFill="1" applyBorder="1"/>
    <xf numFmtId="0" fontId="1" fillId="2" borderId="1" xfId="0" applyFont="1" applyFill="1" applyBorder="1"/>
    <xf numFmtId="0" fontId="1" fillId="2" borderId="20" xfId="0" applyFont="1" applyFill="1" applyBorder="1"/>
    <xf numFmtId="0" fontId="1" fillId="2" borderId="5" xfId="0" applyFont="1" applyFill="1" applyBorder="1"/>
    <xf numFmtId="0" fontId="1" fillId="2" borderId="10" xfId="0" applyFon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4" borderId="0" xfId="0" applyFont="1" applyFill="1"/>
    <xf numFmtId="9" fontId="1" fillId="4" borderId="0" xfId="1" applyFont="1" applyFill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0" fontId="1" fillId="0" borderId="0" xfId="0" applyNumberFormat="1" applyFont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5" borderId="23" xfId="0" applyFont="1" applyFill="1" applyBorder="1"/>
    <xf numFmtId="0" fontId="1" fillId="5" borderId="34" xfId="0" applyFon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9" xfId="0" applyFont="1" applyBorder="1"/>
    <xf numFmtId="0" fontId="1" fillId="2" borderId="39" xfId="0" applyFont="1" applyFill="1" applyBorder="1"/>
    <xf numFmtId="0" fontId="3" fillId="2" borderId="39" xfId="0" applyFont="1" applyFill="1" applyBorder="1"/>
    <xf numFmtId="0" fontId="0" fillId="0" borderId="39" xfId="0" applyBorder="1"/>
    <xf numFmtId="0" fontId="0" fillId="3" borderId="39" xfId="0" applyFill="1" applyBorder="1" applyAlignment="1"/>
    <xf numFmtId="0" fontId="0" fillId="3" borderId="37" xfId="0" applyFill="1" applyBorder="1" applyAlignment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5" xfId="0" applyFont="1" applyFill="1" applyBorder="1"/>
    <xf numFmtId="0" fontId="8" fillId="0" borderId="16" xfId="0" applyFont="1" applyFill="1" applyBorder="1"/>
    <xf numFmtId="0" fontId="9" fillId="0" borderId="26" xfId="0" applyFont="1" applyFill="1" applyBorder="1"/>
    <xf numFmtId="0" fontId="8" fillId="0" borderId="5" xfId="0" applyFont="1" applyFill="1" applyBorder="1"/>
    <xf numFmtId="0" fontId="8" fillId="0" borderId="1" xfId="0" applyFont="1" applyFill="1" applyBorder="1"/>
    <xf numFmtId="0" fontId="9" fillId="0" borderId="1" xfId="0" applyFont="1" applyFill="1" applyBorder="1"/>
    <xf numFmtId="0" fontId="9" fillId="0" borderId="20" xfId="0" applyFont="1" applyFill="1" applyBorder="1"/>
    <xf numFmtId="0" fontId="9" fillId="0" borderId="39" xfId="0" applyFont="1" applyFill="1" applyBorder="1"/>
    <xf numFmtId="0" fontId="9" fillId="0" borderId="5" xfId="0" applyFont="1" applyFill="1" applyBorder="1"/>
    <xf numFmtId="0" fontId="9" fillId="0" borderId="10" xfId="0" applyFont="1" applyFill="1" applyBorder="1"/>
    <xf numFmtId="0" fontId="1" fillId="0" borderId="34" xfId="0" applyFont="1" applyFill="1" applyBorder="1"/>
    <xf numFmtId="0" fontId="1" fillId="0" borderId="23" xfId="0" applyFon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23" xfId="0" applyFont="1" applyFill="1" applyBorder="1"/>
    <xf numFmtId="0" fontId="1" fillId="6" borderId="34" xfId="0" applyFon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9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Q17" sqref="Q17"/>
    </sheetView>
  </sheetViews>
  <sheetFormatPr baseColWidth="10" defaultRowHeight="14.4" x14ac:dyDescent="0.3"/>
  <cols>
    <col min="5" max="5" width="11.44140625" style="7"/>
    <col min="6" max="6" width="18.88671875" bestFit="1" customWidth="1"/>
  </cols>
  <sheetData>
    <row r="1" spans="1:6" ht="15" thickBot="1" x14ac:dyDescent="0.35">
      <c r="A1" s="250" t="s">
        <v>28</v>
      </c>
      <c r="B1" s="251"/>
      <c r="C1" s="251"/>
      <c r="D1" s="252"/>
      <c r="E1" s="14" t="s">
        <v>35</v>
      </c>
      <c r="F1" s="1" t="s">
        <v>29</v>
      </c>
    </row>
    <row r="2" spans="1:6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15"/>
      <c r="F2" s="12" t="s">
        <v>30</v>
      </c>
    </row>
    <row r="3" spans="1:6" ht="15" x14ac:dyDescent="0.25">
      <c r="A3" s="2" t="s">
        <v>0</v>
      </c>
      <c r="B3" s="3" t="s">
        <v>3</v>
      </c>
      <c r="C3" s="3" t="s">
        <v>15</v>
      </c>
      <c r="D3" s="9">
        <v>12360</v>
      </c>
      <c r="E3" s="16"/>
      <c r="F3" s="13"/>
    </row>
    <row r="4" spans="1:6" ht="15" x14ac:dyDescent="0.25">
      <c r="A4" s="4"/>
      <c r="B4" s="1" t="s">
        <v>4</v>
      </c>
      <c r="C4" s="1" t="s">
        <v>16</v>
      </c>
      <c r="D4" s="10">
        <v>338</v>
      </c>
      <c r="E4" s="16"/>
      <c r="F4" s="13"/>
    </row>
    <row r="5" spans="1:6" ht="15" x14ac:dyDescent="0.25">
      <c r="A5" s="4"/>
      <c r="B5" s="1" t="s">
        <v>17</v>
      </c>
      <c r="C5" s="1" t="s">
        <v>18</v>
      </c>
      <c r="D5" s="10">
        <v>900</v>
      </c>
      <c r="E5" s="16"/>
      <c r="F5" s="13"/>
    </row>
    <row r="6" spans="1:6" ht="15.75" thickBot="1" x14ac:dyDescent="0.3">
      <c r="A6" s="248" t="s">
        <v>27</v>
      </c>
      <c r="B6" s="249"/>
      <c r="C6" s="249"/>
      <c r="D6" s="11">
        <f>SUM(D3:D5)</f>
        <v>13598</v>
      </c>
      <c r="E6" s="17">
        <f>F6-D6</f>
        <v>-598</v>
      </c>
      <c r="F6" s="13">
        <v>13000</v>
      </c>
    </row>
    <row r="7" spans="1:6" x14ac:dyDescent="0.3">
      <c r="A7" s="2" t="s">
        <v>5</v>
      </c>
      <c r="B7" s="3" t="s">
        <v>6</v>
      </c>
      <c r="C7" s="3" t="s">
        <v>23</v>
      </c>
      <c r="D7" s="9">
        <v>526</v>
      </c>
      <c r="E7" s="15"/>
      <c r="F7" s="13" t="s">
        <v>31</v>
      </c>
    </row>
    <row r="8" spans="1:6" ht="15" x14ac:dyDescent="0.25">
      <c r="A8" s="4"/>
      <c r="B8" s="1" t="s">
        <v>7</v>
      </c>
      <c r="C8" s="1" t="s">
        <v>24</v>
      </c>
      <c r="D8" s="10">
        <v>577</v>
      </c>
      <c r="E8" s="16">
        <f>F8-D8-D9-D11</f>
        <v>659</v>
      </c>
      <c r="F8" s="13">
        <v>2500</v>
      </c>
    </row>
    <row r="9" spans="1:6" x14ac:dyDescent="0.3">
      <c r="A9" s="4"/>
      <c r="B9" s="1" t="s">
        <v>8</v>
      </c>
      <c r="C9" s="1" t="s">
        <v>16</v>
      </c>
      <c r="D9" s="10">
        <v>1086</v>
      </c>
      <c r="E9" s="16"/>
      <c r="F9" s="13" t="s">
        <v>32</v>
      </c>
    </row>
    <row r="10" spans="1:6" ht="15" x14ac:dyDescent="0.25">
      <c r="A10" s="4"/>
      <c r="B10" s="1" t="s">
        <v>19</v>
      </c>
      <c r="C10" s="1" t="s">
        <v>21</v>
      </c>
      <c r="D10" s="10">
        <v>68</v>
      </c>
      <c r="E10" s="16">
        <f>F10-D7-D10</f>
        <v>906</v>
      </c>
      <c r="F10" s="13">
        <v>1500</v>
      </c>
    </row>
    <row r="11" spans="1:6" ht="15" x14ac:dyDescent="0.25">
      <c r="A11" s="4"/>
      <c r="B11" s="1" t="s">
        <v>20</v>
      </c>
      <c r="C11" s="1" t="s">
        <v>22</v>
      </c>
      <c r="D11" s="10">
        <v>178</v>
      </c>
      <c r="E11" s="16"/>
      <c r="F11" s="13"/>
    </row>
    <row r="12" spans="1:6" ht="15" thickBot="1" x14ac:dyDescent="0.35">
      <c r="A12" s="248" t="s">
        <v>27</v>
      </c>
      <c r="B12" s="249"/>
      <c r="C12" s="249"/>
      <c r="D12" s="11">
        <f>SUM(D7:D11)</f>
        <v>2435</v>
      </c>
      <c r="E12" s="17"/>
      <c r="F12" s="13" t="s">
        <v>33</v>
      </c>
    </row>
    <row r="13" spans="1:6" ht="15" x14ac:dyDescent="0.25">
      <c r="A13" s="2" t="s">
        <v>9</v>
      </c>
      <c r="B13" s="3" t="s">
        <v>10</v>
      </c>
      <c r="C13" s="3" t="s">
        <v>15</v>
      </c>
      <c r="D13" s="9">
        <v>37</v>
      </c>
      <c r="E13" s="15">
        <f>F13-D15</f>
        <v>538</v>
      </c>
      <c r="F13" s="13">
        <v>2000</v>
      </c>
    </row>
    <row r="14" spans="1:6" ht="15" x14ac:dyDescent="0.25">
      <c r="A14" s="4"/>
      <c r="B14" s="1" t="s">
        <v>11</v>
      </c>
      <c r="C14" s="1" t="s">
        <v>16</v>
      </c>
      <c r="D14" s="10">
        <v>1425</v>
      </c>
      <c r="E14" s="16"/>
      <c r="F14" s="13"/>
    </row>
    <row r="15" spans="1:6" ht="15.75" thickBot="1" x14ac:dyDescent="0.3">
      <c r="A15" s="248" t="s">
        <v>27</v>
      </c>
      <c r="B15" s="249"/>
      <c r="C15" s="249"/>
      <c r="D15" s="11">
        <f>SUM(D13:D14)</f>
        <v>1462</v>
      </c>
      <c r="E15" s="17"/>
      <c r="F15" s="13"/>
    </row>
    <row r="16" spans="1:6" ht="15" x14ac:dyDescent="0.25">
      <c r="A16" s="2" t="s">
        <v>12</v>
      </c>
      <c r="B16" s="3" t="s">
        <v>13</v>
      </c>
      <c r="C16" s="3" t="s">
        <v>15</v>
      </c>
      <c r="D16" s="9">
        <v>646</v>
      </c>
      <c r="E16" s="15">
        <f>F17-D18</f>
        <v>3354</v>
      </c>
      <c r="F16" s="13" t="s">
        <v>34</v>
      </c>
    </row>
    <row r="17" spans="1:9" ht="15" x14ac:dyDescent="0.25">
      <c r="A17" s="4"/>
      <c r="B17" s="1" t="s">
        <v>25</v>
      </c>
      <c r="C17" s="1" t="s">
        <v>18</v>
      </c>
      <c r="D17" s="10"/>
      <c r="E17" s="16"/>
      <c r="F17" s="13">
        <v>4000</v>
      </c>
    </row>
    <row r="18" spans="1:9" ht="15.75" thickBot="1" x14ac:dyDescent="0.3">
      <c r="A18" s="248" t="s">
        <v>27</v>
      </c>
      <c r="B18" s="249"/>
      <c r="C18" s="249"/>
      <c r="D18" s="11">
        <f>SUM(D16:D17)</f>
        <v>646</v>
      </c>
      <c r="E18" s="17"/>
      <c r="F18" s="13"/>
    </row>
    <row r="21" spans="1:9" ht="15" x14ac:dyDescent="0.25">
      <c r="A21" s="18" t="s">
        <v>36</v>
      </c>
      <c r="B21" s="18"/>
      <c r="C21" s="18"/>
      <c r="D21" s="18"/>
      <c r="E21" s="18"/>
      <c r="F21" s="18"/>
      <c r="G21" s="19"/>
      <c r="H21" s="19"/>
      <c r="I21" s="19"/>
    </row>
    <row r="22" spans="1:9" ht="15" x14ac:dyDescent="0.25">
      <c r="A22" s="18"/>
      <c r="B22" s="18"/>
      <c r="C22" s="18"/>
      <c r="D22" s="18"/>
      <c r="E22" s="18"/>
      <c r="F22" s="18"/>
      <c r="G22" s="19"/>
      <c r="H22" s="19"/>
      <c r="I22" s="19"/>
    </row>
    <row r="23" spans="1:9" ht="15" x14ac:dyDescent="0.25">
      <c r="A23" s="19" t="s">
        <v>38</v>
      </c>
      <c r="B23" s="19"/>
      <c r="C23" s="19"/>
      <c r="D23" s="19"/>
      <c r="E23" s="19"/>
      <c r="F23" s="19"/>
      <c r="G23" s="19"/>
      <c r="H23" s="19"/>
      <c r="I23" s="19"/>
    </row>
    <row r="24" spans="1:9" x14ac:dyDescent="0.3">
      <c r="A24" s="19" t="s">
        <v>37</v>
      </c>
      <c r="B24" s="19"/>
      <c r="C24" s="19"/>
      <c r="D24" s="19"/>
      <c r="E24" s="19"/>
      <c r="F24" s="19"/>
      <c r="G24" s="19"/>
      <c r="H24" s="19"/>
      <c r="I24" s="19"/>
    </row>
  </sheetData>
  <mergeCells count="5">
    <mergeCell ref="A6:C6"/>
    <mergeCell ref="A12:C12"/>
    <mergeCell ref="A15:C15"/>
    <mergeCell ref="A18:C18"/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D6" sqref="D6"/>
    </sheetView>
  </sheetViews>
  <sheetFormatPr baseColWidth="10" defaultRowHeight="14.4" x14ac:dyDescent="0.3"/>
  <cols>
    <col min="5" max="5" width="11.44140625" style="7"/>
    <col min="6" max="6" width="18.88671875" bestFit="1" customWidth="1"/>
  </cols>
  <sheetData>
    <row r="1" spans="1:8" ht="15" thickBot="1" x14ac:dyDescent="0.35">
      <c r="A1" s="250" t="s">
        <v>41</v>
      </c>
      <c r="B1" s="251"/>
      <c r="C1" s="251"/>
      <c r="D1" s="252"/>
      <c r="E1" s="14" t="s">
        <v>35</v>
      </c>
      <c r="F1" s="10" t="s">
        <v>29</v>
      </c>
      <c r="G1" s="22" t="s">
        <v>42</v>
      </c>
      <c r="H1" s="22" t="s">
        <v>35</v>
      </c>
    </row>
    <row r="2" spans="1:8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15"/>
      <c r="F2" s="20" t="s">
        <v>30</v>
      </c>
      <c r="G2" s="23" t="s">
        <v>43</v>
      </c>
      <c r="H2" s="23"/>
    </row>
    <row r="3" spans="1:8" ht="15" x14ac:dyDescent="0.25">
      <c r="A3" s="2" t="s">
        <v>0</v>
      </c>
      <c r="B3" s="3" t="s">
        <v>3</v>
      </c>
      <c r="C3" s="3" t="s">
        <v>15</v>
      </c>
      <c r="D3" s="9">
        <v>11265</v>
      </c>
      <c r="E3" s="16"/>
      <c r="F3" s="21"/>
      <c r="G3" s="23">
        <v>96</v>
      </c>
      <c r="H3" s="23"/>
    </row>
    <row r="4" spans="1:8" ht="15" x14ac:dyDescent="0.25">
      <c r="A4" s="4"/>
      <c r="B4" s="1" t="s">
        <v>4</v>
      </c>
      <c r="C4" s="1" t="s">
        <v>16</v>
      </c>
      <c r="D4" s="10">
        <v>358</v>
      </c>
      <c r="E4" s="16"/>
      <c r="F4" s="21"/>
      <c r="G4" s="23" t="s">
        <v>44</v>
      </c>
      <c r="H4" s="23"/>
    </row>
    <row r="5" spans="1:8" ht="15" x14ac:dyDescent="0.25">
      <c r="A5" s="4"/>
      <c r="B5" s="1" t="s">
        <v>17</v>
      </c>
      <c r="C5" s="1" t="s">
        <v>18</v>
      </c>
      <c r="D5" s="10">
        <v>865</v>
      </c>
      <c r="E5" s="16"/>
      <c r="F5" s="21"/>
      <c r="G5" s="23">
        <v>96</v>
      </c>
      <c r="H5" s="23"/>
    </row>
    <row r="6" spans="1:8" ht="15.75" thickBot="1" x14ac:dyDescent="0.3">
      <c r="A6" s="248" t="s">
        <v>27</v>
      </c>
      <c r="B6" s="249"/>
      <c r="C6" s="249"/>
      <c r="D6" s="11">
        <f>SUM(D3:D5)+G6+H6</f>
        <v>13148</v>
      </c>
      <c r="E6" s="17">
        <f>F6-D6</f>
        <v>-148</v>
      </c>
      <c r="F6" s="21">
        <v>13000</v>
      </c>
      <c r="G6" s="24">
        <v>660</v>
      </c>
      <c r="H6" s="25">
        <f>G3-G5</f>
        <v>0</v>
      </c>
    </row>
    <row r="7" spans="1:8" x14ac:dyDescent="0.3">
      <c r="A7" s="2" t="s">
        <v>5</v>
      </c>
      <c r="B7" s="3" t="s">
        <v>6</v>
      </c>
      <c r="C7" s="3" t="s">
        <v>23</v>
      </c>
      <c r="D7" s="9">
        <v>510</v>
      </c>
      <c r="E7" s="15"/>
      <c r="F7" s="13" t="s">
        <v>31</v>
      </c>
    </row>
    <row r="8" spans="1:8" ht="15" x14ac:dyDescent="0.25">
      <c r="A8" s="4"/>
      <c r="B8" s="1" t="s">
        <v>7</v>
      </c>
      <c r="C8" s="1" t="s">
        <v>24</v>
      </c>
      <c r="D8" s="10">
        <v>577</v>
      </c>
      <c r="E8" s="16">
        <f>F8-D8-D9-D12</f>
        <v>769</v>
      </c>
      <c r="F8" s="13">
        <v>2500</v>
      </c>
    </row>
    <row r="9" spans="1:8" x14ac:dyDescent="0.3">
      <c r="A9" s="4"/>
      <c r="B9" s="1" t="s">
        <v>8</v>
      </c>
      <c r="C9" s="1" t="s">
        <v>16</v>
      </c>
      <c r="D9" s="10">
        <v>1024</v>
      </c>
      <c r="E9" s="16"/>
      <c r="F9" s="13" t="s">
        <v>32</v>
      </c>
    </row>
    <row r="10" spans="1:8" ht="15" x14ac:dyDescent="0.25">
      <c r="A10" s="4"/>
      <c r="B10" s="1" t="s">
        <v>39</v>
      </c>
      <c r="C10" s="1" t="s">
        <v>40</v>
      </c>
      <c r="D10" s="10">
        <v>329</v>
      </c>
      <c r="E10" s="16"/>
      <c r="F10" s="13"/>
    </row>
    <row r="11" spans="1:8" ht="15" x14ac:dyDescent="0.25">
      <c r="A11" s="4"/>
      <c r="B11" s="1" t="s">
        <v>19</v>
      </c>
      <c r="C11" s="1" t="s">
        <v>21</v>
      </c>
      <c r="D11" s="10">
        <v>68</v>
      </c>
      <c r="E11" s="16">
        <f>F11-D7-D11-D10</f>
        <v>593</v>
      </c>
      <c r="F11" s="13">
        <v>1500</v>
      </c>
    </row>
    <row r="12" spans="1:8" ht="15" x14ac:dyDescent="0.25">
      <c r="A12" s="4"/>
      <c r="B12" s="1" t="s">
        <v>20</v>
      </c>
      <c r="C12" s="1" t="s">
        <v>22</v>
      </c>
      <c r="D12" s="10">
        <v>130</v>
      </c>
      <c r="E12" s="16"/>
      <c r="F12" s="13"/>
    </row>
    <row r="13" spans="1:8" ht="15" thickBot="1" x14ac:dyDescent="0.35">
      <c r="A13" s="248" t="s">
        <v>27</v>
      </c>
      <c r="B13" s="249"/>
      <c r="C13" s="249"/>
      <c r="D13" s="11">
        <f>SUM(D7:D12)</f>
        <v>2638</v>
      </c>
      <c r="E13" s="17"/>
      <c r="F13" s="13" t="s">
        <v>33</v>
      </c>
    </row>
    <row r="14" spans="1:8" ht="15" x14ac:dyDescent="0.25">
      <c r="A14" s="2" t="s">
        <v>9</v>
      </c>
      <c r="B14" s="3" t="s">
        <v>10</v>
      </c>
      <c r="C14" s="3" t="s">
        <v>15</v>
      </c>
      <c r="D14" s="9">
        <v>13</v>
      </c>
      <c r="E14" s="15">
        <f>F14-D16</f>
        <v>604</v>
      </c>
      <c r="F14" s="13">
        <v>2000</v>
      </c>
    </row>
    <row r="15" spans="1:8" ht="15" x14ac:dyDescent="0.25">
      <c r="A15" s="4"/>
      <c r="B15" s="1" t="s">
        <v>11</v>
      </c>
      <c r="C15" s="1" t="s">
        <v>16</v>
      </c>
      <c r="D15" s="10">
        <v>1383</v>
      </c>
      <c r="E15" s="16"/>
      <c r="F15" s="13"/>
    </row>
    <row r="16" spans="1:8" ht="15.75" thickBot="1" x14ac:dyDescent="0.3">
      <c r="A16" s="253" t="s">
        <v>27</v>
      </c>
      <c r="B16" s="254"/>
      <c r="C16" s="254"/>
      <c r="D16" s="27">
        <f>SUM(D14:D15)</f>
        <v>1396</v>
      </c>
      <c r="E16" s="28"/>
      <c r="F16" s="13"/>
    </row>
    <row r="17" spans="1:9" x14ac:dyDescent="0.3">
      <c r="A17" s="2" t="s">
        <v>12</v>
      </c>
      <c r="B17" s="34"/>
      <c r="C17" s="34"/>
      <c r="D17" s="35"/>
      <c r="E17" s="15"/>
      <c r="F17" s="21"/>
      <c r="G17" s="22" t="s">
        <v>43</v>
      </c>
      <c r="H17" s="22" t="s">
        <v>35</v>
      </c>
    </row>
    <row r="18" spans="1:9" ht="15" x14ac:dyDescent="0.25">
      <c r="A18" s="4"/>
      <c r="B18" s="32"/>
      <c r="C18" s="32"/>
      <c r="D18" s="33"/>
      <c r="E18" s="16"/>
      <c r="F18" s="21"/>
      <c r="G18" s="23">
        <v>214</v>
      </c>
      <c r="H18" s="23"/>
    </row>
    <row r="19" spans="1:9" ht="15" x14ac:dyDescent="0.25">
      <c r="A19" s="4"/>
      <c r="B19" s="1" t="s">
        <v>13</v>
      </c>
      <c r="C19" s="1" t="s">
        <v>15</v>
      </c>
      <c r="D19" s="1">
        <v>944</v>
      </c>
      <c r="E19" s="16">
        <f>F20-D21</f>
        <v>629</v>
      </c>
      <c r="F19" s="21" t="s">
        <v>34</v>
      </c>
      <c r="G19" s="37" t="s">
        <v>44</v>
      </c>
      <c r="H19" s="23"/>
    </row>
    <row r="20" spans="1:9" ht="15" x14ac:dyDescent="0.25">
      <c r="A20" s="4"/>
      <c r="B20" s="1" t="s">
        <v>25</v>
      </c>
      <c r="C20" s="1" t="s">
        <v>18</v>
      </c>
      <c r="D20" s="1">
        <v>733</v>
      </c>
      <c r="E20" s="16"/>
      <c r="F20" s="21">
        <v>4000</v>
      </c>
      <c r="G20" s="23">
        <v>119</v>
      </c>
      <c r="H20" s="23"/>
    </row>
    <row r="21" spans="1:9" ht="15.75" thickBot="1" x14ac:dyDescent="0.3">
      <c r="A21" s="248" t="s">
        <v>27</v>
      </c>
      <c r="B21" s="249"/>
      <c r="C21" s="249"/>
      <c r="D21" s="36">
        <f>SUM(D19:D20)+G21+H21</f>
        <v>3371</v>
      </c>
      <c r="E21" s="17"/>
      <c r="F21" s="21"/>
      <c r="G21" s="24">
        <v>1599</v>
      </c>
      <c r="H21" s="25">
        <f>G18-G20</f>
        <v>95</v>
      </c>
    </row>
    <row r="24" spans="1:9" x14ac:dyDescent="0.3">
      <c r="A24" s="18" t="s">
        <v>36</v>
      </c>
      <c r="B24" s="18"/>
      <c r="C24" s="18"/>
      <c r="D24" s="18"/>
      <c r="E24" s="18"/>
      <c r="F24" s="18"/>
      <c r="G24" s="19"/>
      <c r="H24" s="19"/>
      <c r="I24" s="19"/>
    </row>
    <row r="25" spans="1:9" x14ac:dyDescent="0.3">
      <c r="A25" s="18"/>
      <c r="B25" s="18"/>
      <c r="C25" s="18"/>
      <c r="D25" s="18"/>
      <c r="E25" s="18"/>
      <c r="F25" s="18"/>
      <c r="G25" s="19"/>
      <c r="H25" s="19"/>
      <c r="I25" s="19"/>
    </row>
    <row r="26" spans="1:9" x14ac:dyDescent="0.3">
      <c r="A26" s="19" t="s">
        <v>38</v>
      </c>
      <c r="B26" s="19"/>
      <c r="C26" s="19"/>
      <c r="D26" s="19"/>
      <c r="E26" s="19"/>
      <c r="F26" s="19"/>
      <c r="G26" s="19"/>
      <c r="H26" s="19"/>
      <c r="I26" s="19"/>
    </row>
    <row r="27" spans="1:9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</row>
  </sheetData>
  <mergeCells count="5">
    <mergeCell ref="A1:D1"/>
    <mergeCell ref="A6:C6"/>
    <mergeCell ref="A13:C13"/>
    <mergeCell ref="A16:C16"/>
    <mergeCell ref="A21:C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D6" sqref="D6"/>
    </sheetView>
  </sheetViews>
  <sheetFormatPr baseColWidth="10" defaultRowHeight="14.4" x14ac:dyDescent="0.3"/>
  <cols>
    <col min="5" max="5" width="11.44140625" style="7"/>
    <col min="6" max="6" width="18.88671875" bestFit="1" customWidth="1"/>
    <col min="10" max="10" width="11.44140625" style="7"/>
  </cols>
  <sheetData>
    <row r="1" spans="1:10" ht="15" thickBot="1" x14ac:dyDescent="0.35">
      <c r="A1" s="250" t="s">
        <v>46</v>
      </c>
      <c r="B1" s="251"/>
      <c r="C1" s="251"/>
      <c r="D1" s="252"/>
      <c r="E1" s="65" t="s">
        <v>35</v>
      </c>
      <c r="F1" s="10" t="s">
        <v>29</v>
      </c>
      <c r="G1" s="22" t="s">
        <v>42</v>
      </c>
      <c r="H1" s="61" t="s">
        <v>35</v>
      </c>
      <c r="I1" s="22" t="s">
        <v>45</v>
      </c>
      <c r="J1" s="29" t="s">
        <v>35</v>
      </c>
    </row>
    <row r="2" spans="1:10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66"/>
      <c r="F2" s="20" t="s">
        <v>30</v>
      </c>
      <c r="G2" s="23" t="s">
        <v>43</v>
      </c>
      <c r="H2" s="23"/>
      <c r="I2" s="23" t="s">
        <v>43</v>
      </c>
      <c r="J2" s="31"/>
    </row>
    <row r="3" spans="1:10" ht="15" x14ac:dyDescent="0.25">
      <c r="A3" s="2" t="s">
        <v>0</v>
      </c>
      <c r="B3" s="3" t="s">
        <v>3</v>
      </c>
      <c r="C3" s="3" t="s">
        <v>15</v>
      </c>
      <c r="D3" s="9">
        <v>10676</v>
      </c>
      <c r="E3" s="67"/>
      <c r="F3" s="21"/>
      <c r="G3" s="23"/>
      <c r="H3" s="23"/>
      <c r="I3" s="23">
        <v>720</v>
      </c>
      <c r="J3" s="31"/>
    </row>
    <row r="4" spans="1:10" ht="15" x14ac:dyDescent="0.25">
      <c r="A4" s="4"/>
      <c r="B4" s="1" t="s">
        <v>4</v>
      </c>
      <c r="C4" s="1" t="s">
        <v>16</v>
      </c>
      <c r="D4" s="10">
        <v>424</v>
      </c>
      <c r="E4" s="67"/>
      <c r="F4" s="21"/>
      <c r="G4" s="23" t="s">
        <v>44</v>
      </c>
      <c r="H4" s="23"/>
      <c r="I4" s="23" t="s">
        <v>44</v>
      </c>
      <c r="J4" s="31"/>
    </row>
    <row r="5" spans="1:10" ht="15" x14ac:dyDescent="0.25">
      <c r="A5" s="4"/>
      <c r="B5" s="1" t="s">
        <v>17</v>
      </c>
      <c r="C5" s="1" t="s">
        <v>18</v>
      </c>
      <c r="D5" s="10">
        <v>815</v>
      </c>
      <c r="E5" s="67"/>
      <c r="F5" s="21"/>
      <c r="G5" s="23"/>
      <c r="H5" s="23"/>
      <c r="I5" s="23">
        <f>168+372+478</f>
        <v>1018</v>
      </c>
      <c r="J5" s="31"/>
    </row>
    <row r="6" spans="1:10" ht="15.75" thickBot="1" x14ac:dyDescent="0.3">
      <c r="A6" s="253" t="s">
        <v>27</v>
      </c>
      <c r="B6" s="254"/>
      <c r="C6" s="254"/>
      <c r="D6" s="27">
        <f>SUM(D3:D5)+G6+H6+J6</f>
        <v>12277</v>
      </c>
      <c r="E6" s="68">
        <f>F6-D6</f>
        <v>723</v>
      </c>
      <c r="F6" s="43">
        <v>13000</v>
      </c>
      <c r="G6" s="44">
        <v>660</v>
      </c>
      <c r="H6" s="45">
        <f>G3-G5</f>
        <v>0</v>
      </c>
      <c r="I6" s="23"/>
      <c r="J6" s="60">
        <f>I3-I5</f>
        <v>-298</v>
      </c>
    </row>
    <row r="7" spans="1:10" x14ac:dyDescent="0.3">
      <c r="A7" s="2" t="s">
        <v>5</v>
      </c>
      <c r="B7" s="3" t="s">
        <v>6</v>
      </c>
      <c r="C7" s="3" t="s">
        <v>23</v>
      </c>
      <c r="D7" s="3">
        <v>544</v>
      </c>
      <c r="E7" s="69"/>
      <c r="F7" s="3" t="s">
        <v>31</v>
      </c>
      <c r="G7" s="48"/>
      <c r="H7" s="48"/>
      <c r="I7" s="46"/>
      <c r="J7" s="61"/>
    </row>
    <row r="8" spans="1:10" ht="15" x14ac:dyDescent="0.25">
      <c r="A8" s="4"/>
      <c r="B8" s="1" t="s">
        <v>7</v>
      </c>
      <c r="C8" s="1" t="s">
        <v>24</v>
      </c>
      <c r="D8" s="1">
        <v>649</v>
      </c>
      <c r="E8" s="70">
        <f>F8-D8-D9-D12+J11</f>
        <v>781</v>
      </c>
      <c r="F8" s="1">
        <v>2500</v>
      </c>
      <c r="G8" s="49"/>
      <c r="H8" s="49"/>
      <c r="I8" s="26" t="s">
        <v>43</v>
      </c>
      <c r="J8" s="45"/>
    </row>
    <row r="9" spans="1:10" x14ac:dyDescent="0.3">
      <c r="A9" s="4"/>
      <c r="B9" s="1" t="s">
        <v>8</v>
      </c>
      <c r="C9" s="1" t="s">
        <v>16</v>
      </c>
      <c r="D9" s="1">
        <v>1076</v>
      </c>
      <c r="E9" s="70"/>
      <c r="F9" s="1" t="s">
        <v>32</v>
      </c>
      <c r="G9" s="49"/>
      <c r="H9" s="49"/>
      <c r="I9" s="26">
        <v>144</v>
      </c>
      <c r="J9" s="45"/>
    </row>
    <row r="10" spans="1:10" ht="15" x14ac:dyDescent="0.25">
      <c r="A10" s="4"/>
      <c r="B10" s="1" t="s">
        <v>39</v>
      </c>
      <c r="C10" s="1" t="s">
        <v>40</v>
      </c>
      <c r="D10" s="1">
        <v>335</v>
      </c>
      <c r="E10" s="70"/>
      <c r="F10" s="1"/>
      <c r="G10" s="49"/>
      <c r="H10" s="49"/>
      <c r="I10" s="26" t="s">
        <v>44</v>
      </c>
      <c r="J10" s="45"/>
    </row>
    <row r="11" spans="1:10" ht="15" x14ac:dyDescent="0.25">
      <c r="A11" s="4"/>
      <c r="B11" s="1" t="s">
        <v>19</v>
      </c>
      <c r="C11" s="1" t="s">
        <v>21</v>
      </c>
      <c r="D11" s="1">
        <v>68</v>
      </c>
      <c r="E11" s="70">
        <f>F11-D7-D11-D10+J15</f>
        <v>592</v>
      </c>
      <c r="F11" s="1">
        <v>1500</v>
      </c>
      <c r="G11" s="49"/>
      <c r="H11" s="49"/>
      <c r="I11" s="26">
        <f>2+6</f>
        <v>8</v>
      </c>
      <c r="J11" s="62">
        <f>I9-I11</f>
        <v>136</v>
      </c>
    </row>
    <row r="12" spans="1:10" ht="15" x14ac:dyDescent="0.25">
      <c r="A12" s="4"/>
      <c r="B12" s="1" t="s">
        <v>20</v>
      </c>
      <c r="C12" s="1" t="s">
        <v>22</v>
      </c>
      <c r="D12" s="1">
        <v>130</v>
      </c>
      <c r="E12" s="70"/>
      <c r="F12" s="1"/>
      <c r="G12" s="49"/>
      <c r="H12" s="49"/>
      <c r="I12" s="26" t="s">
        <v>43</v>
      </c>
      <c r="J12" s="45"/>
    </row>
    <row r="13" spans="1:10" ht="15" x14ac:dyDescent="0.25">
      <c r="A13" s="255" t="s">
        <v>27</v>
      </c>
      <c r="B13" s="256"/>
      <c r="C13" s="256"/>
      <c r="D13" s="33">
        <f>SUM(D7:D12)</f>
        <v>2802</v>
      </c>
      <c r="E13" s="70"/>
      <c r="F13" s="1"/>
      <c r="G13" s="49"/>
      <c r="H13" s="49"/>
      <c r="I13" s="26">
        <v>234</v>
      </c>
      <c r="J13" s="45"/>
    </row>
    <row r="14" spans="1:10" ht="15" x14ac:dyDescent="0.25">
      <c r="A14" s="47"/>
      <c r="B14" s="32"/>
      <c r="C14" s="32"/>
      <c r="D14" s="33"/>
      <c r="E14" s="70"/>
      <c r="F14" s="1"/>
      <c r="G14" s="49"/>
      <c r="H14" s="49"/>
      <c r="I14" s="26" t="s">
        <v>44</v>
      </c>
      <c r="J14" s="45"/>
    </row>
    <row r="15" spans="1:10" ht="15.75" thickBot="1" x14ac:dyDescent="0.3">
      <c r="A15" s="50"/>
      <c r="B15" s="51"/>
      <c r="C15" s="51"/>
      <c r="D15" s="52"/>
      <c r="E15" s="65"/>
      <c r="F15" s="53"/>
      <c r="G15" s="54"/>
      <c r="H15" s="54"/>
      <c r="I15" s="26">
        <v>195</v>
      </c>
      <c r="J15" s="62">
        <f>I13-I15</f>
        <v>39</v>
      </c>
    </row>
    <row r="16" spans="1:10" x14ac:dyDescent="0.3">
      <c r="A16" s="2" t="s">
        <v>9</v>
      </c>
      <c r="B16" s="3" t="s">
        <v>10</v>
      </c>
      <c r="C16" s="3" t="s">
        <v>15</v>
      </c>
      <c r="D16" s="3">
        <v>13</v>
      </c>
      <c r="E16" s="69">
        <f>F17-D18+J19</f>
        <v>804</v>
      </c>
      <c r="F16" s="3" t="s">
        <v>33</v>
      </c>
      <c r="G16" s="48"/>
      <c r="H16" s="72"/>
      <c r="I16" s="39" t="s">
        <v>43</v>
      </c>
      <c r="J16" s="61"/>
    </row>
    <row r="17" spans="1:10" ht="15" x14ac:dyDescent="0.25">
      <c r="A17" s="4"/>
      <c r="B17" s="1" t="s">
        <v>11</v>
      </c>
      <c r="C17" s="1" t="s">
        <v>16</v>
      </c>
      <c r="D17" s="1">
        <v>1361</v>
      </c>
      <c r="E17" s="70"/>
      <c r="F17" s="1">
        <v>2000</v>
      </c>
      <c r="G17" s="49"/>
      <c r="H17" s="73"/>
      <c r="I17" s="30">
        <v>216</v>
      </c>
      <c r="J17" s="45"/>
    </row>
    <row r="18" spans="1:10" ht="15" x14ac:dyDescent="0.25">
      <c r="A18" s="255" t="s">
        <v>27</v>
      </c>
      <c r="B18" s="256"/>
      <c r="C18" s="256"/>
      <c r="D18" s="33">
        <f>SUM(D16:D17)</f>
        <v>1374</v>
      </c>
      <c r="E18" s="70"/>
      <c r="F18" s="1"/>
      <c r="G18" s="49"/>
      <c r="H18" s="73"/>
      <c r="I18" s="30" t="s">
        <v>44</v>
      </c>
      <c r="J18" s="45"/>
    </row>
    <row r="19" spans="1:10" ht="15.75" thickBot="1" x14ac:dyDescent="0.3">
      <c r="A19" s="50"/>
      <c r="B19" s="51"/>
      <c r="C19" s="51"/>
      <c r="D19" s="52"/>
      <c r="E19" s="65"/>
      <c r="F19" s="53"/>
      <c r="G19" s="55"/>
      <c r="H19" s="74"/>
      <c r="I19" s="41">
        <v>38</v>
      </c>
      <c r="J19" s="63">
        <f>I17-I19</f>
        <v>178</v>
      </c>
    </row>
    <row r="20" spans="1:10" x14ac:dyDescent="0.3">
      <c r="A20" s="2" t="s">
        <v>12</v>
      </c>
      <c r="B20" s="34"/>
      <c r="C20" s="34"/>
      <c r="D20" s="35"/>
      <c r="E20" s="69"/>
      <c r="F20" s="57"/>
      <c r="G20" s="40" t="s">
        <v>43</v>
      </c>
      <c r="H20" s="23" t="s">
        <v>35</v>
      </c>
      <c r="I20" s="23" t="s">
        <v>43</v>
      </c>
      <c r="J20" s="31"/>
    </row>
    <row r="21" spans="1:10" ht="15" x14ac:dyDescent="0.25">
      <c r="A21" s="4"/>
      <c r="B21" s="32"/>
      <c r="C21" s="32"/>
      <c r="D21" s="33">
        <v>835</v>
      </c>
      <c r="E21" s="70"/>
      <c r="F21" s="58"/>
      <c r="G21" s="40"/>
      <c r="H21" s="23"/>
      <c r="I21" s="23">
        <f>166+37+478</f>
        <v>681</v>
      </c>
      <c r="J21" s="31"/>
    </row>
    <row r="22" spans="1:10" ht="15" x14ac:dyDescent="0.25">
      <c r="A22" s="4"/>
      <c r="B22" s="1" t="s">
        <v>13</v>
      </c>
      <c r="C22" s="1" t="s">
        <v>15</v>
      </c>
      <c r="D22" s="1">
        <v>1868</v>
      </c>
      <c r="E22" s="70">
        <f>F23-D24+J24</f>
        <v>3850</v>
      </c>
      <c r="F22" s="58" t="s">
        <v>34</v>
      </c>
      <c r="G22" s="56" t="s">
        <v>44</v>
      </c>
      <c r="H22" s="23"/>
      <c r="I22" s="23" t="s">
        <v>44</v>
      </c>
      <c r="J22" s="31"/>
    </row>
    <row r="23" spans="1:10" ht="15" x14ac:dyDescent="0.25">
      <c r="A23" s="4"/>
      <c r="B23" s="1" t="s">
        <v>25</v>
      </c>
      <c r="C23" s="1" t="s">
        <v>18</v>
      </c>
      <c r="D23" s="1"/>
      <c r="E23" s="70"/>
      <c r="F23" s="58">
        <v>6833</v>
      </c>
      <c r="G23" s="40"/>
      <c r="H23" s="23"/>
      <c r="I23" s="23">
        <v>102</v>
      </c>
      <c r="J23" s="31"/>
    </row>
    <row r="24" spans="1:10" ht="15" thickBot="1" x14ac:dyDescent="0.35">
      <c r="A24" s="248" t="s">
        <v>27</v>
      </c>
      <c r="B24" s="249"/>
      <c r="C24" s="249"/>
      <c r="D24" s="36">
        <f>SUM(D22:D23)+G24+H24</f>
        <v>3562</v>
      </c>
      <c r="E24" s="71"/>
      <c r="F24" s="59"/>
      <c r="G24" s="42">
        <v>1694</v>
      </c>
      <c r="H24" s="25">
        <f>G21-G23</f>
        <v>0</v>
      </c>
      <c r="I24" s="38"/>
      <c r="J24" s="64">
        <f>I21-I23</f>
        <v>579</v>
      </c>
    </row>
    <row r="27" spans="1:10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</row>
  </sheetData>
  <mergeCells count="5"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D6" sqref="D6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</cols>
  <sheetData>
    <row r="1" spans="1:12" ht="15" thickBot="1" x14ac:dyDescent="0.35">
      <c r="A1" s="250" t="s">
        <v>47</v>
      </c>
      <c r="B1" s="251"/>
      <c r="C1" s="251"/>
      <c r="D1" s="252"/>
      <c r="E1" s="81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</row>
    <row r="2" spans="1:12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0"/>
      <c r="F2" s="66"/>
      <c r="G2" s="20" t="s">
        <v>30</v>
      </c>
      <c r="H2" s="23" t="s">
        <v>43</v>
      </c>
      <c r="I2" s="23"/>
      <c r="J2" s="23" t="s">
        <v>43</v>
      </c>
      <c r="K2" s="31"/>
    </row>
    <row r="3" spans="1:12" ht="15" x14ac:dyDescent="0.25">
      <c r="A3" s="2" t="s">
        <v>0</v>
      </c>
      <c r="B3" s="3" t="s">
        <v>3</v>
      </c>
      <c r="C3" s="3" t="s">
        <v>15</v>
      </c>
      <c r="D3" s="9">
        <v>10433</v>
      </c>
      <c r="E3" s="82"/>
      <c r="F3" s="67"/>
      <c r="G3" s="21"/>
      <c r="H3" s="23"/>
      <c r="I3" s="23"/>
      <c r="J3" s="23">
        <v>1104</v>
      </c>
      <c r="K3" s="31"/>
    </row>
    <row r="4" spans="1:12" ht="15" x14ac:dyDescent="0.25">
      <c r="A4" s="4"/>
      <c r="B4" s="1" t="s">
        <v>4</v>
      </c>
      <c r="C4" s="1" t="s">
        <v>16</v>
      </c>
      <c r="D4" s="10">
        <v>421</v>
      </c>
      <c r="E4" s="10"/>
      <c r="F4" s="67"/>
      <c r="G4" s="21"/>
      <c r="H4" s="23" t="s">
        <v>44</v>
      </c>
      <c r="I4" s="23"/>
      <c r="J4" s="23" t="s">
        <v>44</v>
      </c>
      <c r="K4" s="31"/>
    </row>
    <row r="5" spans="1:12" ht="15" x14ac:dyDescent="0.25">
      <c r="A5" s="4"/>
      <c r="B5" s="1" t="s">
        <v>17</v>
      </c>
      <c r="C5" s="1" t="s">
        <v>18</v>
      </c>
      <c r="D5" s="10">
        <v>719</v>
      </c>
      <c r="E5" s="10"/>
      <c r="F5" s="67"/>
      <c r="G5" s="21"/>
      <c r="H5" s="23">
        <f>24+24+24+24+24</f>
        <v>120</v>
      </c>
      <c r="I5" s="23"/>
      <c r="J5" s="23">
        <f>214+528</f>
        <v>742</v>
      </c>
      <c r="K5" s="31"/>
    </row>
    <row r="6" spans="1:12" ht="15.75" thickBot="1" x14ac:dyDescent="0.3">
      <c r="A6" s="253" t="s">
        <v>27</v>
      </c>
      <c r="B6" s="254"/>
      <c r="C6" s="254"/>
      <c r="D6" s="27">
        <f>SUM(D3:D5)</f>
        <v>11573</v>
      </c>
      <c r="E6" s="27">
        <f>D6+H6+I6+K6</f>
        <v>12476</v>
      </c>
      <c r="F6" s="68">
        <f>G6-D6</f>
        <v>1427</v>
      </c>
      <c r="G6" s="43">
        <v>13000</v>
      </c>
      <c r="H6" s="44">
        <v>661</v>
      </c>
      <c r="I6" s="45">
        <f>H3-H5</f>
        <v>-120</v>
      </c>
      <c r="J6" s="23"/>
      <c r="K6" s="60">
        <f>J3-J5</f>
        <v>362</v>
      </c>
      <c r="L6" s="79">
        <f>D6/G6</f>
        <v>0.89023076923076927</v>
      </c>
    </row>
    <row r="7" spans="1:12" x14ac:dyDescent="0.3">
      <c r="A7" s="2" t="s">
        <v>5</v>
      </c>
      <c r="B7" s="3" t="s">
        <v>6</v>
      </c>
      <c r="C7" s="3" t="s">
        <v>23</v>
      </c>
      <c r="D7" s="3">
        <v>684</v>
      </c>
      <c r="E7" s="3"/>
      <c r="F7" s="69"/>
      <c r="G7" s="3" t="s">
        <v>31</v>
      </c>
      <c r="H7" s="48"/>
      <c r="I7" s="48"/>
      <c r="J7" s="46"/>
      <c r="K7" s="61"/>
    </row>
    <row r="8" spans="1:12" ht="15" x14ac:dyDescent="0.25">
      <c r="A8" s="4"/>
      <c r="B8" s="1" t="s">
        <v>7</v>
      </c>
      <c r="C8" s="1" t="s">
        <v>24</v>
      </c>
      <c r="D8" s="1">
        <v>656</v>
      </c>
      <c r="E8" s="1"/>
      <c r="F8" s="70">
        <f>G8-D8-D9-D12+K11</f>
        <v>551</v>
      </c>
      <c r="G8" s="1">
        <v>2500</v>
      </c>
      <c r="H8" s="49"/>
      <c r="I8" s="49"/>
      <c r="J8" s="26" t="s">
        <v>43</v>
      </c>
      <c r="K8" s="45"/>
    </row>
    <row r="9" spans="1:12" x14ac:dyDescent="0.3">
      <c r="A9" s="4"/>
      <c r="B9" s="1" t="s">
        <v>8</v>
      </c>
      <c r="C9" s="1" t="s">
        <v>16</v>
      </c>
      <c r="D9" s="1">
        <v>1111</v>
      </c>
      <c r="E9" s="1"/>
      <c r="F9" s="70"/>
      <c r="G9" s="1" t="s">
        <v>32</v>
      </c>
      <c r="H9" s="49"/>
      <c r="I9" s="49"/>
      <c r="J9" s="26">
        <v>408</v>
      </c>
      <c r="K9" s="45"/>
    </row>
    <row r="10" spans="1:12" ht="15" x14ac:dyDescent="0.25">
      <c r="A10" s="4"/>
      <c r="B10" s="1" t="s">
        <v>39</v>
      </c>
      <c r="C10" s="1" t="s">
        <v>40</v>
      </c>
      <c r="D10" s="1">
        <v>338</v>
      </c>
      <c r="E10" s="1"/>
      <c r="F10" s="70"/>
      <c r="G10" s="1"/>
      <c r="H10" s="49"/>
      <c r="I10" s="49"/>
      <c r="J10" s="26" t="s">
        <v>44</v>
      </c>
      <c r="K10" s="45"/>
    </row>
    <row r="11" spans="1:12" ht="15" x14ac:dyDescent="0.25">
      <c r="A11" s="4"/>
      <c r="B11" s="1" t="s">
        <v>19</v>
      </c>
      <c r="C11" s="1" t="s">
        <v>21</v>
      </c>
      <c r="D11" s="1">
        <v>68</v>
      </c>
      <c r="E11" s="1"/>
      <c r="F11" s="70">
        <f>G11-D7-D11-D10+K15</f>
        <v>321</v>
      </c>
      <c r="G11" s="1">
        <v>1500</v>
      </c>
      <c r="H11" s="49"/>
      <c r="I11" s="49"/>
      <c r="J11" s="26">
        <v>462</v>
      </c>
      <c r="K11" s="62">
        <f>J9-J11</f>
        <v>-54</v>
      </c>
    </row>
    <row r="12" spans="1:12" ht="15" x14ac:dyDescent="0.25">
      <c r="A12" s="4"/>
      <c r="B12" s="1" t="s">
        <v>20</v>
      </c>
      <c r="C12" s="1" t="s">
        <v>22</v>
      </c>
      <c r="D12" s="1">
        <v>128</v>
      </c>
      <c r="E12" s="1"/>
      <c r="F12" s="70"/>
      <c r="G12" s="1"/>
      <c r="H12" s="49"/>
      <c r="I12" s="49"/>
      <c r="J12" s="26" t="s">
        <v>43</v>
      </c>
      <c r="K12" s="45"/>
    </row>
    <row r="13" spans="1:12" ht="15" x14ac:dyDescent="0.25">
      <c r="A13" s="255" t="s">
        <v>27</v>
      </c>
      <c r="B13" s="256"/>
      <c r="C13" s="256"/>
      <c r="D13" s="33">
        <f>SUM(D7:D12)</f>
        <v>2985</v>
      </c>
      <c r="E13" s="33">
        <f>D13+K11+K15</f>
        <v>2842</v>
      </c>
      <c r="F13" s="70"/>
      <c r="G13" s="1"/>
      <c r="H13" s="49"/>
      <c r="I13" s="49"/>
      <c r="J13" s="26"/>
      <c r="K13" s="45"/>
      <c r="L13" s="79">
        <f>D13/(G8+G11)</f>
        <v>0.74624999999999997</v>
      </c>
    </row>
    <row r="14" spans="1:12" ht="15" x14ac:dyDescent="0.25">
      <c r="A14" s="47"/>
      <c r="B14" s="32"/>
      <c r="C14" s="32"/>
      <c r="D14" s="33"/>
      <c r="E14" s="33"/>
      <c r="F14" s="70"/>
      <c r="G14" s="1"/>
      <c r="H14" s="49"/>
      <c r="I14" s="49"/>
      <c r="J14" s="26" t="s">
        <v>44</v>
      </c>
      <c r="K14" s="45"/>
    </row>
    <row r="15" spans="1:12" ht="15.75" thickBot="1" x14ac:dyDescent="0.3">
      <c r="A15" s="50"/>
      <c r="B15" s="51"/>
      <c r="C15" s="51"/>
      <c r="D15" s="52"/>
      <c r="E15" s="52"/>
      <c r="F15" s="65"/>
      <c r="G15" s="53"/>
      <c r="H15" s="54"/>
      <c r="I15" s="54"/>
      <c r="J15" s="26">
        <v>89</v>
      </c>
      <c r="K15" s="62">
        <f>J13-J15</f>
        <v>-89</v>
      </c>
    </row>
    <row r="16" spans="1:12" x14ac:dyDescent="0.3">
      <c r="A16" s="2" t="s">
        <v>9</v>
      </c>
      <c r="B16" s="3" t="s">
        <v>10</v>
      </c>
      <c r="C16" s="3" t="s">
        <v>15</v>
      </c>
      <c r="D16" s="3">
        <v>13</v>
      </c>
      <c r="E16" s="3"/>
      <c r="F16" s="69">
        <f>G17-D18+K19</f>
        <v>347</v>
      </c>
      <c r="G16" s="3" t="s">
        <v>33</v>
      </c>
      <c r="H16" s="48"/>
      <c r="I16" s="72"/>
      <c r="J16" s="39" t="s">
        <v>43</v>
      </c>
      <c r="K16" s="61"/>
    </row>
    <row r="17" spans="1:12" ht="15" x14ac:dyDescent="0.25">
      <c r="A17" s="4"/>
      <c r="B17" s="1" t="s">
        <v>11</v>
      </c>
      <c r="C17" s="1" t="s">
        <v>16</v>
      </c>
      <c r="D17" s="1">
        <v>1616</v>
      </c>
      <c r="E17" s="1"/>
      <c r="F17" s="70"/>
      <c r="G17" s="1">
        <v>2000</v>
      </c>
      <c r="H17" s="49"/>
      <c r="I17" s="73"/>
      <c r="J17" s="30">
        <v>24</v>
      </c>
      <c r="K17" s="45"/>
    </row>
    <row r="18" spans="1:12" ht="15" x14ac:dyDescent="0.25">
      <c r="A18" s="255" t="s">
        <v>27</v>
      </c>
      <c r="B18" s="256"/>
      <c r="C18" s="256"/>
      <c r="D18" s="33">
        <f>SUM(D16:D17)</f>
        <v>1629</v>
      </c>
      <c r="E18" s="33">
        <f>D18+K19</f>
        <v>1605</v>
      </c>
      <c r="F18" s="70"/>
      <c r="G18" s="1"/>
      <c r="H18" s="49"/>
      <c r="I18" s="73"/>
      <c r="J18" s="30" t="s">
        <v>44</v>
      </c>
      <c r="K18" s="45"/>
    </row>
    <row r="19" spans="1:12" ht="15.75" thickBot="1" x14ac:dyDescent="0.3">
      <c r="A19" s="50"/>
      <c r="B19" s="51"/>
      <c r="C19" s="51"/>
      <c r="D19" s="52"/>
      <c r="E19" s="52"/>
      <c r="F19" s="65"/>
      <c r="G19" s="53"/>
      <c r="H19" s="55"/>
      <c r="I19" s="74"/>
      <c r="J19" s="41">
        <v>48</v>
      </c>
      <c r="K19" s="63">
        <f>J17-J19</f>
        <v>-24</v>
      </c>
      <c r="L19" s="79">
        <f>D18/G17</f>
        <v>0.8145</v>
      </c>
    </row>
    <row r="20" spans="1:12" x14ac:dyDescent="0.3">
      <c r="A20" s="2" t="s">
        <v>12</v>
      </c>
      <c r="B20" s="34"/>
      <c r="C20" s="34"/>
      <c r="D20" s="35"/>
      <c r="E20" s="35"/>
      <c r="F20" s="69"/>
      <c r="G20" s="57"/>
      <c r="H20" s="40" t="s">
        <v>43</v>
      </c>
      <c r="I20" s="23" t="s">
        <v>35</v>
      </c>
      <c r="J20" s="23" t="s">
        <v>43</v>
      </c>
      <c r="K20" s="31"/>
    </row>
    <row r="21" spans="1:12" ht="15" x14ac:dyDescent="0.25">
      <c r="A21" s="4"/>
      <c r="B21" s="32"/>
      <c r="C21" s="32"/>
      <c r="D21" s="33"/>
      <c r="E21" s="33"/>
      <c r="F21" s="70"/>
      <c r="G21" s="58"/>
      <c r="H21" s="40">
        <f>72+78</f>
        <v>150</v>
      </c>
      <c r="I21" s="23"/>
      <c r="J21" s="23">
        <f>600+264</f>
        <v>864</v>
      </c>
      <c r="K21" s="31"/>
    </row>
    <row r="22" spans="1:12" ht="15" x14ac:dyDescent="0.25">
      <c r="A22" s="4"/>
      <c r="B22" s="1" t="s">
        <v>13</v>
      </c>
      <c r="C22" s="1" t="s">
        <v>15</v>
      </c>
      <c r="D22" s="1">
        <v>2828</v>
      </c>
      <c r="E22" s="1"/>
      <c r="F22" s="70">
        <f>G23-D24</f>
        <v>3051</v>
      </c>
      <c r="G22" s="58" t="s">
        <v>34</v>
      </c>
      <c r="H22" s="56" t="s">
        <v>44</v>
      </c>
      <c r="I22" s="23"/>
      <c r="J22" s="23" t="s">
        <v>44</v>
      </c>
      <c r="K22" s="31"/>
    </row>
    <row r="23" spans="1:12" ht="15" x14ac:dyDescent="0.25">
      <c r="A23" s="4"/>
      <c r="B23" s="1" t="s">
        <v>25</v>
      </c>
      <c r="C23" s="1" t="s">
        <v>18</v>
      </c>
      <c r="D23" s="1">
        <v>954</v>
      </c>
      <c r="E23" s="1"/>
      <c r="F23" s="70"/>
      <c r="G23" s="58">
        <v>6833</v>
      </c>
      <c r="H23" s="40">
        <f>24+72+24+24</f>
        <v>144</v>
      </c>
      <c r="I23" s="23"/>
      <c r="J23" s="23">
        <v>24</v>
      </c>
      <c r="K23" s="31"/>
    </row>
    <row r="24" spans="1:12" ht="15" thickBot="1" x14ac:dyDescent="0.35">
      <c r="A24" s="248" t="s">
        <v>27</v>
      </c>
      <c r="B24" s="249"/>
      <c r="C24" s="249"/>
      <c r="D24" s="36">
        <f>SUM(D22:D23)</f>
        <v>3782</v>
      </c>
      <c r="E24" s="36">
        <f>D24+H24+I24+K24</f>
        <v>6348</v>
      </c>
      <c r="F24" s="71"/>
      <c r="G24" s="59"/>
      <c r="H24" s="42">
        <v>1720</v>
      </c>
      <c r="I24" s="25">
        <f>H21-H23</f>
        <v>6</v>
      </c>
      <c r="J24" s="38"/>
      <c r="K24" s="64">
        <f>J21-J23</f>
        <v>840</v>
      </c>
      <c r="L24" s="79">
        <f>D24/G23</f>
        <v>0.55349041416654476</v>
      </c>
    </row>
    <row r="25" spans="1:12" x14ac:dyDescent="0.3">
      <c r="A25" s="257"/>
      <c r="B25" s="257"/>
      <c r="C25" s="257"/>
      <c r="D25">
        <f>+D6+D13+D18+D24</f>
        <v>19969</v>
      </c>
      <c r="G25">
        <f>+G6+G8+G11+G17+G23</f>
        <v>25833</v>
      </c>
      <c r="K25" s="7">
        <f>+G25-D25</f>
        <v>5864</v>
      </c>
    </row>
    <row r="27" spans="1:12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J9" sqref="J9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</cols>
  <sheetData>
    <row r="1" spans="1:12" ht="15" thickBot="1" x14ac:dyDescent="0.35">
      <c r="A1" s="250" t="s">
        <v>49</v>
      </c>
      <c r="B1" s="251"/>
      <c r="C1" s="251"/>
      <c r="D1" s="252"/>
      <c r="E1" s="81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</row>
    <row r="2" spans="1:12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0"/>
      <c r="F2" s="66"/>
      <c r="G2" s="20" t="s">
        <v>30</v>
      </c>
      <c r="H2" s="23" t="s">
        <v>43</v>
      </c>
      <c r="I2" s="23"/>
      <c r="J2" s="23" t="s">
        <v>43</v>
      </c>
      <c r="K2" s="31"/>
    </row>
    <row r="3" spans="1:12" ht="15" x14ac:dyDescent="0.25">
      <c r="A3" s="2" t="s">
        <v>0</v>
      </c>
      <c r="B3" s="3" t="s">
        <v>3</v>
      </c>
      <c r="C3" s="3" t="s">
        <v>15</v>
      </c>
      <c r="D3" s="9">
        <v>10099</v>
      </c>
      <c r="E3" s="82"/>
      <c r="F3" s="67"/>
      <c r="G3" s="21"/>
      <c r="H3" s="23">
        <v>144</v>
      </c>
      <c r="I3" s="23"/>
      <c r="J3" s="23">
        <v>1296</v>
      </c>
      <c r="K3" s="31"/>
    </row>
    <row r="4" spans="1:12" ht="15" x14ac:dyDescent="0.25">
      <c r="A4" s="4"/>
      <c r="B4" s="1" t="s">
        <v>4</v>
      </c>
      <c r="C4" s="1" t="s">
        <v>16</v>
      </c>
      <c r="D4" s="10">
        <v>534</v>
      </c>
      <c r="E4" s="10"/>
      <c r="F4" s="67"/>
      <c r="G4" s="21"/>
      <c r="H4" s="23" t="s">
        <v>44</v>
      </c>
      <c r="I4" s="23"/>
      <c r="J4" s="23" t="s">
        <v>44</v>
      </c>
      <c r="K4" s="31"/>
    </row>
    <row r="5" spans="1:12" ht="15" x14ac:dyDescent="0.25">
      <c r="A5" s="4"/>
      <c r="B5" s="1" t="s">
        <v>17</v>
      </c>
      <c r="C5" s="1" t="s">
        <v>18</v>
      </c>
      <c r="D5" s="10">
        <v>647</v>
      </c>
      <c r="E5" s="10"/>
      <c r="F5" s="67"/>
      <c r="G5" s="21"/>
      <c r="H5" s="23">
        <v>120</v>
      </c>
      <c r="I5" s="23"/>
      <c r="J5" s="23">
        <v>961</v>
      </c>
      <c r="K5" s="31"/>
    </row>
    <row r="6" spans="1:12" ht="15.75" thickBot="1" x14ac:dyDescent="0.3">
      <c r="A6" s="253" t="s">
        <v>27</v>
      </c>
      <c r="B6" s="254"/>
      <c r="C6" s="254"/>
      <c r="D6" s="27">
        <f>SUM(D3:D5)</f>
        <v>11280</v>
      </c>
      <c r="E6" s="27">
        <f>D6+H6+I6+K6</f>
        <v>12204</v>
      </c>
      <c r="F6" s="68">
        <f>G6-D6</f>
        <v>1720</v>
      </c>
      <c r="G6" s="43">
        <v>13000</v>
      </c>
      <c r="H6" s="44">
        <v>565</v>
      </c>
      <c r="I6" s="45">
        <f>H3-H5</f>
        <v>24</v>
      </c>
      <c r="J6" s="23"/>
      <c r="K6" s="60">
        <f>J3-J5</f>
        <v>335</v>
      </c>
      <c r="L6" s="79">
        <f>(D6+H6)/G6</f>
        <v>0.9111538461538462</v>
      </c>
    </row>
    <row r="7" spans="1:12" x14ac:dyDescent="0.3">
      <c r="A7" s="2" t="s">
        <v>5</v>
      </c>
      <c r="B7" s="3" t="s">
        <v>6</v>
      </c>
      <c r="C7" s="3" t="s">
        <v>23</v>
      </c>
      <c r="D7" s="3">
        <v>630</v>
      </c>
      <c r="E7" s="3"/>
      <c r="F7" s="69"/>
      <c r="G7" s="3" t="s">
        <v>31</v>
      </c>
      <c r="H7" s="48"/>
      <c r="I7" s="48"/>
      <c r="J7" s="46"/>
      <c r="K7" s="61"/>
    </row>
    <row r="8" spans="1:12" ht="15" x14ac:dyDescent="0.25">
      <c r="A8" s="4"/>
      <c r="B8" s="1" t="s">
        <v>7</v>
      </c>
      <c r="C8" s="1" t="s">
        <v>24</v>
      </c>
      <c r="D8" s="1">
        <v>623</v>
      </c>
      <c r="E8" s="1"/>
      <c r="F8" s="70">
        <f>G8-D8-D9-D12+K11</f>
        <v>796</v>
      </c>
      <c r="G8" s="1">
        <v>2500</v>
      </c>
      <c r="H8" s="49"/>
      <c r="I8" s="49"/>
      <c r="J8" s="26" t="s">
        <v>43</v>
      </c>
      <c r="K8" s="45"/>
    </row>
    <row r="9" spans="1:12" x14ac:dyDescent="0.3">
      <c r="A9" s="4"/>
      <c r="B9" s="1" t="s">
        <v>8</v>
      </c>
      <c r="C9" s="1" t="s">
        <v>16</v>
      </c>
      <c r="D9" s="1">
        <v>1136</v>
      </c>
      <c r="E9" s="1"/>
      <c r="F9" s="70"/>
      <c r="G9" s="1" t="s">
        <v>32</v>
      </c>
      <c r="H9" s="49"/>
      <c r="I9" s="49"/>
      <c r="J9" s="26">
        <v>404</v>
      </c>
      <c r="K9" s="45"/>
    </row>
    <row r="10" spans="1:12" ht="15" x14ac:dyDescent="0.25">
      <c r="A10" s="4"/>
      <c r="B10" s="1" t="s">
        <v>39</v>
      </c>
      <c r="C10" s="1" t="s">
        <v>40</v>
      </c>
      <c r="D10" s="1">
        <v>333</v>
      </c>
      <c r="E10" s="1"/>
      <c r="F10" s="70"/>
      <c r="G10" s="1"/>
      <c r="H10" s="49"/>
      <c r="I10" s="49"/>
      <c r="J10" s="26" t="s">
        <v>44</v>
      </c>
      <c r="K10" s="45"/>
    </row>
    <row r="11" spans="1:12" ht="15" x14ac:dyDescent="0.25">
      <c r="A11" s="4"/>
      <c r="B11" s="1" t="s">
        <v>19</v>
      </c>
      <c r="C11" s="1" t="s">
        <v>21</v>
      </c>
      <c r="D11" s="1">
        <v>68</v>
      </c>
      <c r="E11" s="1"/>
      <c r="F11" s="70">
        <f>G11-D7-D11-D10+K15</f>
        <v>388</v>
      </c>
      <c r="G11" s="1">
        <v>1500</v>
      </c>
      <c r="H11" s="49"/>
      <c r="I11" s="49"/>
      <c r="J11" s="26">
        <v>293</v>
      </c>
      <c r="K11" s="62">
        <f>J9-J11</f>
        <v>111</v>
      </c>
    </row>
    <row r="12" spans="1:12" ht="15" x14ac:dyDescent="0.25">
      <c r="A12" s="4"/>
      <c r="B12" s="1" t="s">
        <v>20</v>
      </c>
      <c r="C12" s="1" t="s">
        <v>22</v>
      </c>
      <c r="D12" s="1">
        <v>56</v>
      </c>
      <c r="E12" s="1"/>
      <c r="F12" s="70"/>
      <c r="G12" s="1"/>
      <c r="H12" s="49"/>
      <c r="I12" s="49"/>
      <c r="J12" s="26" t="s">
        <v>43</v>
      </c>
      <c r="K12" s="45"/>
    </row>
    <row r="13" spans="1:12" ht="15" x14ac:dyDescent="0.25">
      <c r="A13" s="255" t="s">
        <v>27</v>
      </c>
      <c r="B13" s="256"/>
      <c r="C13" s="256"/>
      <c r="D13" s="33">
        <f>SUM(D7:D12)</f>
        <v>2846</v>
      </c>
      <c r="E13" s="33">
        <f>D13+K11+K15</f>
        <v>2876</v>
      </c>
      <c r="F13" s="70"/>
      <c r="G13" s="1"/>
      <c r="H13" s="49"/>
      <c r="I13" s="49"/>
      <c r="J13" s="26"/>
      <c r="K13" s="45"/>
      <c r="L13" s="79">
        <f>D13/(G8+G11)</f>
        <v>0.71150000000000002</v>
      </c>
    </row>
    <row r="14" spans="1:12" ht="15" x14ac:dyDescent="0.25">
      <c r="A14" s="77"/>
      <c r="B14" s="78"/>
      <c r="C14" s="78"/>
      <c r="D14" s="33"/>
      <c r="E14" s="33"/>
      <c r="F14" s="70"/>
      <c r="G14" s="1"/>
      <c r="H14" s="49"/>
      <c r="I14" s="49"/>
      <c r="J14" s="26" t="s">
        <v>44</v>
      </c>
      <c r="K14" s="45"/>
    </row>
    <row r="15" spans="1:12" ht="15.75" thickBot="1" x14ac:dyDescent="0.3">
      <c r="A15" s="75"/>
      <c r="B15" s="76"/>
      <c r="C15" s="76"/>
      <c r="D15" s="52"/>
      <c r="E15" s="52"/>
      <c r="F15" s="65"/>
      <c r="G15" s="53"/>
      <c r="H15" s="54"/>
      <c r="I15" s="54"/>
      <c r="J15" s="26">
        <v>81</v>
      </c>
      <c r="K15" s="62">
        <f>J13-J15</f>
        <v>-81</v>
      </c>
    </row>
    <row r="16" spans="1:12" x14ac:dyDescent="0.3">
      <c r="A16" s="2" t="s">
        <v>9</v>
      </c>
      <c r="B16" s="3" t="s">
        <v>10</v>
      </c>
      <c r="C16" s="3" t="s">
        <v>15</v>
      </c>
      <c r="D16" s="3">
        <v>13</v>
      </c>
      <c r="E16" s="3"/>
      <c r="F16" s="69">
        <f>G17-D18+K19</f>
        <v>376</v>
      </c>
      <c r="G16" s="3" t="s">
        <v>33</v>
      </c>
      <c r="H16" s="48"/>
      <c r="I16" s="72"/>
      <c r="J16" s="39" t="s">
        <v>43</v>
      </c>
      <c r="K16" s="61"/>
    </row>
    <row r="17" spans="1:12" ht="15" x14ac:dyDescent="0.25">
      <c r="A17" s="4"/>
      <c r="B17" s="1" t="s">
        <v>11</v>
      </c>
      <c r="C17" s="1" t="s">
        <v>16</v>
      </c>
      <c r="D17" s="1">
        <v>1587</v>
      </c>
      <c r="E17" s="1"/>
      <c r="F17" s="70"/>
      <c r="G17" s="1">
        <v>2000</v>
      </c>
      <c r="H17" s="49"/>
      <c r="I17" s="73"/>
      <c r="J17" s="30"/>
      <c r="K17" s="45"/>
    </row>
    <row r="18" spans="1:12" ht="15" x14ac:dyDescent="0.25">
      <c r="A18" s="255" t="s">
        <v>27</v>
      </c>
      <c r="B18" s="256"/>
      <c r="C18" s="256"/>
      <c r="D18" s="33">
        <f>SUM(D16:D17)</f>
        <v>1600</v>
      </c>
      <c r="E18" s="33">
        <f>D18+K19</f>
        <v>1576</v>
      </c>
      <c r="F18" s="70"/>
      <c r="G18" s="1"/>
      <c r="H18" s="49"/>
      <c r="I18" s="73"/>
      <c r="J18" s="30" t="s">
        <v>44</v>
      </c>
      <c r="K18" s="45"/>
    </row>
    <row r="19" spans="1:12" ht="15.75" thickBot="1" x14ac:dyDescent="0.3">
      <c r="A19" s="75"/>
      <c r="B19" s="76"/>
      <c r="C19" s="76"/>
      <c r="D19" s="52"/>
      <c r="E19" s="52"/>
      <c r="F19" s="65"/>
      <c r="G19" s="53"/>
      <c r="H19" s="55"/>
      <c r="I19" s="74"/>
      <c r="J19" s="41">
        <v>24</v>
      </c>
      <c r="K19" s="63">
        <f>J17-J19</f>
        <v>-24</v>
      </c>
      <c r="L19" s="79">
        <f>D18/G17</f>
        <v>0.8</v>
      </c>
    </row>
    <row r="20" spans="1:12" x14ac:dyDescent="0.3">
      <c r="A20" s="2" t="s">
        <v>12</v>
      </c>
      <c r="B20" s="34"/>
      <c r="C20" s="34"/>
      <c r="D20" s="35"/>
      <c r="E20" s="35"/>
      <c r="F20" s="69"/>
      <c r="G20" s="57"/>
      <c r="H20" s="40" t="s">
        <v>43</v>
      </c>
      <c r="I20" s="23" t="s">
        <v>35</v>
      </c>
      <c r="J20" s="23" t="s">
        <v>43</v>
      </c>
      <c r="K20" s="31"/>
    </row>
    <row r="21" spans="1:12" ht="15" x14ac:dyDescent="0.25">
      <c r="A21" s="4"/>
      <c r="B21" s="78"/>
      <c r="C21" s="78"/>
      <c r="D21" s="33"/>
      <c r="E21" s="33"/>
      <c r="F21" s="70"/>
      <c r="G21" s="58"/>
      <c r="H21" s="40">
        <v>200</v>
      </c>
      <c r="I21" s="23"/>
      <c r="J21" s="23"/>
      <c r="K21" s="31"/>
    </row>
    <row r="22" spans="1:12" ht="15" x14ac:dyDescent="0.25">
      <c r="A22" s="4"/>
      <c r="B22" s="1" t="s">
        <v>13</v>
      </c>
      <c r="C22" s="1" t="s">
        <v>15</v>
      </c>
      <c r="D22" s="1">
        <v>3423</v>
      </c>
      <c r="E22" s="1"/>
      <c r="F22" s="70">
        <f>G23-D24</f>
        <v>2481</v>
      </c>
      <c r="G22" s="58" t="s">
        <v>34</v>
      </c>
      <c r="H22" s="56" t="s">
        <v>44</v>
      </c>
      <c r="I22" s="23"/>
      <c r="J22" s="23" t="s">
        <v>44</v>
      </c>
      <c r="K22" s="31"/>
    </row>
    <row r="23" spans="1:12" ht="15" x14ac:dyDescent="0.25">
      <c r="A23" s="4"/>
      <c r="B23" s="1" t="s">
        <v>25</v>
      </c>
      <c r="C23" s="1" t="s">
        <v>18</v>
      </c>
      <c r="D23" s="1">
        <v>1169</v>
      </c>
      <c r="E23" s="1"/>
      <c r="F23" s="70"/>
      <c r="G23" s="58">
        <v>7073</v>
      </c>
      <c r="H23" s="40">
        <v>346</v>
      </c>
      <c r="I23" s="23"/>
      <c r="J23" s="23">
        <v>213</v>
      </c>
      <c r="K23" s="31"/>
    </row>
    <row r="24" spans="1:12" ht="15" thickBot="1" x14ac:dyDescent="0.35">
      <c r="A24" s="248" t="s">
        <v>27</v>
      </c>
      <c r="B24" s="249"/>
      <c r="C24" s="249"/>
      <c r="D24" s="36">
        <f>SUM(D22:D23)</f>
        <v>4592</v>
      </c>
      <c r="E24" s="36">
        <f>D24+H24+I24+K24</f>
        <v>6006</v>
      </c>
      <c r="F24" s="71"/>
      <c r="G24" s="59"/>
      <c r="H24" s="42">
        <v>1773</v>
      </c>
      <c r="I24" s="25">
        <f>H21-H23</f>
        <v>-146</v>
      </c>
      <c r="J24" s="38"/>
      <c r="K24" s="64">
        <f>J21-J23</f>
        <v>-213</v>
      </c>
      <c r="L24" s="79">
        <f>(D24+H24)/G23</f>
        <v>0.89990103209387817</v>
      </c>
    </row>
    <row r="25" spans="1:12" x14ac:dyDescent="0.3">
      <c r="A25" s="257"/>
      <c r="B25" s="257"/>
      <c r="C25" s="257"/>
      <c r="D25">
        <f>+D6+D13+D18+D24</f>
        <v>20318</v>
      </c>
      <c r="G25">
        <f>+G6+G8+G11+G17+G23</f>
        <v>26073</v>
      </c>
      <c r="K25" s="7">
        <f>+G25-D25</f>
        <v>5755</v>
      </c>
    </row>
    <row r="27" spans="1:12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O13" sqref="O13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</cols>
  <sheetData>
    <row r="1" spans="1:12" ht="15" thickBot="1" x14ac:dyDescent="0.35">
      <c r="A1" s="250" t="s">
        <v>50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</row>
    <row r="2" spans="1:12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</row>
    <row r="3" spans="1:12" ht="15" x14ac:dyDescent="0.25">
      <c r="A3" s="2" t="s">
        <v>0</v>
      </c>
      <c r="B3" s="3" t="s">
        <v>3</v>
      </c>
      <c r="C3" s="3" t="s">
        <v>15</v>
      </c>
      <c r="D3" s="9">
        <v>10502</v>
      </c>
      <c r="E3" s="89"/>
      <c r="F3" s="67"/>
      <c r="G3" s="21"/>
      <c r="H3" s="23"/>
      <c r="I3" s="23">
        <v>150</v>
      </c>
      <c r="J3" s="23">
        <v>1080</v>
      </c>
      <c r="K3" s="31"/>
    </row>
    <row r="4" spans="1:12" ht="15" x14ac:dyDescent="0.25">
      <c r="A4" s="4"/>
      <c r="B4" s="1" t="s">
        <v>4</v>
      </c>
      <c r="C4" s="1" t="s">
        <v>16</v>
      </c>
      <c r="D4" s="10">
        <v>552</v>
      </c>
      <c r="E4" s="90"/>
      <c r="F4" s="67"/>
      <c r="G4" s="21"/>
      <c r="H4" s="23" t="s">
        <v>44</v>
      </c>
      <c r="I4" s="23"/>
      <c r="J4" s="23" t="s">
        <v>44</v>
      </c>
      <c r="K4" s="31"/>
    </row>
    <row r="5" spans="1:12" ht="15" x14ac:dyDescent="0.25">
      <c r="A5" s="4"/>
      <c r="B5" s="1" t="s">
        <v>17</v>
      </c>
      <c r="C5" s="1" t="s">
        <v>18</v>
      </c>
      <c r="D5" s="10">
        <v>551</v>
      </c>
      <c r="E5" s="90"/>
      <c r="F5" s="67"/>
      <c r="G5" s="21"/>
      <c r="H5" s="23"/>
      <c r="I5" s="23">
        <v>96</v>
      </c>
      <c r="J5" s="23">
        <f>540+789</f>
        <v>1329</v>
      </c>
      <c r="K5" s="31"/>
    </row>
    <row r="6" spans="1:12" ht="15.75" thickBot="1" x14ac:dyDescent="0.3">
      <c r="A6" s="253" t="s">
        <v>27</v>
      </c>
      <c r="B6" s="254"/>
      <c r="C6" s="254"/>
      <c r="D6" s="27">
        <f>SUM(D3:D5)</f>
        <v>11605</v>
      </c>
      <c r="E6" s="91">
        <f>D6+H6+I6+K6</f>
        <v>12017</v>
      </c>
      <c r="F6" s="68">
        <f>G6-D6-H6-I6-K6</f>
        <v>983</v>
      </c>
      <c r="G6" s="43">
        <v>13000</v>
      </c>
      <c r="H6" s="44">
        <v>661</v>
      </c>
      <c r="I6" s="45">
        <f>H3-H5</f>
        <v>0</v>
      </c>
      <c r="J6" s="23"/>
      <c r="K6" s="60">
        <f>J3-J5</f>
        <v>-249</v>
      </c>
      <c r="L6" s="79">
        <f>D6/G6</f>
        <v>0.89269230769230767</v>
      </c>
    </row>
    <row r="7" spans="1:12" x14ac:dyDescent="0.3">
      <c r="A7" s="2" t="s">
        <v>5</v>
      </c>
      <c r="B7" s="3" t="s">
        <v>6</v>
      </c>
      <c r="C7" s="3" t="s">
        <v>23</v>
      </c>
      <c r="D7" s="3">
        <v>631</v>
      </c>
      <c r="E7" s="92"/>
      <c r="F7" s="69"/>
      <c r="G7" s="3" t="s">
        <v>31</v>
      </c>
      <c r="H7" s="48"/>
      <c r="I7" s="48"/>
      <c r="J7" s="46"/>
      <c r="K7" s="61"/>
    </row>
    <row r="8" spans="1:12" ht="15" x14ac:dyDescent="0.25">
      <c r="A8" s="4"/>
      <c r="B8" s="1" t="s">
        <v>7</v>
      </c>
      <c r="C8" s="1" t="s">
        <v>24</v>
      </c>
      <c r="D8" s="1">
        <v>756</v>
      </c>
      <c r="E8" s="93"/>
      <c r="F8" s="70">
        <f>G8-D8-D9-D12+K11</f>
        <v>527</v>
      </c>
      <c r="G8" s="1">
        <v>2500</v>
      </c>
      <c r="H8" s="49"/>
      <c r="I8" s="49"/>
      <c r="J8" s="26" t="s">
        <v>43</v>
      </c>
      <c r="K8" s="45"/>
    </row>
    <row r="9" spans="1:12" x14ac:dyDescent="0.3">
      <c r="A9" s="4"/>
      <c r="B9" s="1" t="s">
        <v>8</v>
      </c>
      <c r="C9" s="1" t="s">
        <v>16</v>
      </c>
      <c r="D9" s="1">
        <v>1185</v>
      </c>
      <c r="E9" s="93"/>
      <c r="F9" s="70"/>
      <c r="G9" s="1" t="s">
        <v>32</v>
      </c>
      <c r="H9" s="49"/>
      <c r="I9" s="49"/>
      <c r="J9" s="26">
        <v>334</v>
      </c>
      <c r="K9" s="45"/>
    </row>
    <row r="10" spans="1:12" ht="15" x14ac:dyDescent="0.25">
      <c r="A10" s="4"/>
      <c r="B10" s="1" t="s">
        <v>39</v>
      </c>
      <c r="C10" s="1" t="s">
        <v>40</v>
      </c>
      <c r="D10" s="1">
        <v>290</v>
      </c>
      <c r="E10" s="93"/>
      <c r="F10" s="70"/>
      <c r="G10" s="1"/>
      <c r="H10" s="49"/>
      <c r="I10" s="49"/>
      <c r="J10" s="26" t="s">
        <v>44</v>
      </c>
      <c r="K10" s="45"/>
    </row>
    <row r="11" spans="1:12" ht="15" x14ac:dyDescent="0.25">
      <c r="A11" s="4"/>
      <c r="B11" s="1" t="s">
        <v>19</v>
      </c>
      <c r="C11" s="1" t="s">
        <v>21</v>
      </c>
      <c r="D11" s="1">
        <v>44</v>
      </c>
      <c r="E11" s="93"/>
      <c r="F11" s="70">
        <f>G11-D7-D11-D10+K15</f>
        <v>422</v>
      </c>
      <c r="G11" s="1">
        <v>1500</v>
      </c>
      <c r="H11" s="49"/>
      <c r="I11" s="49"/>
      <c r="J11" s="26">
        <f>300+10</f>
        <v>310</v>
      </c>
      <c r="K11" s="62">
        <f>J9-J11</f>
        <v>24</v>
      </c>
    </row>
    <row r="12" spans="1:12" ht="15" x14ac:dyDescent="0.25">
      <c r="A12" s="4"/>
      <c r="B12" s="1" t="s">
        <v>20</v>
      </c>
      <c r="C12" s="1" t="s">
        <v>22</v>
      </c>
      <c r="D12" s="1">
        <v>56</v>
      </c>
      <c r="E12" s="93"/>
      <c r="F12" s="70"/>
      <c r="G12" s="1"/>
      <c r="H12" s="49"/>
      <c r="I12" s="49"/>
      <c r="J12" s="26" t="s">
        <v>43</v>
      </c>
      <c r="K12" s="45"/>
    </row>
    <row r="13" spans="1:12" ht="15" x14ac:dyDescent="0.25">
      <c r="A13" s="255" t="s">
        <v>27</v>
      </c>
      <c r="B13" s="256"/>
      <c r="C13" s="256"/>
      <c r="D13" s="33">
        <f>SUM(D7:D12)</f>
        <v>2962</v>
      </c>
      <c r="E13" s="94">
        <f>D13+K11+K15</f>
        <v>2873</v>
      </c>
      <c r="F13" s="70"/>
      <c r="G13" s="1"/>
      <c r="H13" s="49"/>
      <c r="I13" s="49"/>
      <c r="J13" s="26">
        <v>48</v>
      </c>
      <c r="K13" s="45"/>
      <c r="L13" s="79">
        <f>D13/(G8+G11)</f>
        <v>0.74050000000000005</v>
      </c>
    </row>
    <row r="14" spans="1:12" ht="15" x14ac:dyDescent="0.25">
      <c r="A14" s="77"/>
      <c r="B14" s="78"/>
      <c r="C14" s="78"/>
      <c r="D14" s="33"/>
      <c r="E14" s="94"/>
      <c r="F14" s="70"/>
      <c r="G14" s="1"/>
      <c r="H14" s="49"/>
      <c r="I14" s="49"/>
      <c r="J14" s="26" t="s">
        <v>44</v>
      </c>
      <c r="K14" s="45"/>
    </row>
    <row r="15" spans="1:12" ht="15.75" thickBot="1" x14ac:dyDescent="0.3">
      <c r="A15" s="75"/>
      <c r="B15" s="76"/>
      <c r="C15" s="76"/>
      <c r="D15" s="52"/>
      <c r="E15" s="95"/>
      <c r="F15" s="65"/>
      <c r="G15" s="53"/>
      <c r="H15" s="54"/>
      <c r="I15" s="54"/>
      <c r="J15" s="26">
        <f>63+98</f>
        <v>161</v>
      </c>
      <c r="K15" s="62">
        <f>J13-J15</f>
        <v>-113</v>
      </c>
    </row>
    <row r="16" spans="1:12" x14ac:dyDescent="0.3">
      <c r="A16" s="2" t="s">
        <v>9</v>
      </c>
      <c r="B16" s="3" t="s">
        <v>10</v>
      </c>
      <c r="C16" s="3" t="s">
        <v>15</v>
      </c>
      <c r="D16" s="3">
        <v>13</v>
      </c>
      <c r="E16" s="92"/>
      <c r="F16" s="69">
        <f>G17-D18+K19</f>
        <v>414</v>
      </c>
      <c r="G16" s="3" t="s">
        <v>33</v>
      </c>
      <c r="H16" s="48"/>
      <c r="I16" s="72"/>
      <c r="J16" s="39" t="s">
        <v>43</v>
      </c>
      <c r="K16" s="61"/>
    </row>
    <row r="17" spans="1:12" ht="15" x14ac:dyDescent="0.25">
      <c r="A17" s="4"/>
      <c r="B17" s="1" t="s">
        <v>11</v>
      </c>
      <c r="C17" s="1" t="s">
        <v>16</v>
      </c>
      <c r="D17" s="1">
        <v>1563</v>
      </c>
      <c r="E17" s="93"/>
      <c r="F17" s="70"/>
      <c r="G17" s="1">
        <v>2000</v>
      </c>
      <c r="H17" s="49"/>
      <c r="I17" s="73"/>
      <c r="J17" s="30">
        <v>48</v>
      </c>
      <c r="K17" s="45"/>
    </row>
    <row r="18" spans="1:12" ht="15" x14ac:dyDescent="0.25">
      <c r="A18" s="255" t="s">
        <v>27</v>
      </c>
      <c r="B18" s="256"/>
      <c r="C18" s="256"/>
      <c r="D18" s="33">
        <f>SUM(D16:D17)</f>
        <v>1576</v>
      </c>
      <c r="E18" s="94">
        <f>D18+K19</f>
        <v>1566</v>
      </c>
      <c r="F18" s="70"/>
      <c r="G18" s="1"/>
      <c r="H18" s="49"/>
      <c r="I18" s="73"/>
      <c r="J18" s="30" t="s">
        <v>44</v>
      </c>
      <c r="K18" s="45"/>
    </row>
    <row r="19" spans="1:12" ht="15.75" thickBot="1" x14ac:dyDescent="0.3">
      <c r="A19" s="75"/>
      <c r="B19" s="76"/>
      <c r="C19" s="76"/>
      <c r="D19" s="52"/>
      <c r="E19" s="95"/>
      <c r="F19" s="65"/>
      <c r="G19" s="53"/>
      <c r="H19" s="55"/>
      <c r="I19" s="74"/>
      <c r="J19" s="41">
        <f>32+26</f>
        <v>58</v>
      </c>
      <c r="K19" s="63">
        <f>J17-J19</f>
        <v>-10</v>
      </c>
      <c r="L19" s="79">
        <f>D18/G17</f>
        <v>0.78800000000000003</v>
      </c>
    </row>
    <row r="20" spans="1:12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</row>
    <row r="21" spans="1:12" ht="15" x14ac:dyDescent="0.25">
      <c r="A21" s="4"/>
      <c r="B21" s="78"/>
      <c r="C21" s="78"/>
      <c r="D21" s="33"/>
      <c r="E21" s="94"/>
      <c r="F21" s="70"/>
      <c r="G21" s="58"/>
      <c r="H21" s="40"/>
      <c r="I21" s="23">
        <v>260</v>
      </c>
      <c r="J21" s="23">
        <v>312</v>
      </c>
      <c r="K21" s="31"/>
    </row>
    <row r="22" spans="1:12" ht="15" x14ac:dyDescent="0.25">
      <c r="A22" s="4"/>
      <c r="B22" s="1" t="s">
        <v>13</v>
      </c>
      <c r="C22" s="1" t="s">
        <v>15</v>
      </c>
      <c r="D22" s="1">
        <v>3298</v>
      </c>
      <c r="E22" s="93"/>
      <c r="F22" s="70">
        <f>G23-D24-H24-I24-K24</f>
        <v>70</v>
      </c>
      <c r="G22" s="58" t="s">
        <v>34</v>
      </c>
      <c r="H22" s="56" t="s">
        <v>44</v>
      </c>
      <c r="I22" s="23"/>
      <c r="J22" s="23" t="s">
        <v>44</v>
      </c>
      <c r="K22" s="31"/>
    </row>
    <row r="23" spans="1:12" ht="15" x14ac:dyDescent="0.25">
      <c r="A23" s="4"/>
      <c r="B23" s="1" t="s">
        <v>25</v>
      </c>
      <c r="C23" s="1" t="s">
        <v>18</v>
      </c>
      <c r="D23" s="1">
        <v>1313</v>
      </c>
      <c r="E23" s="93"/>
      <c r="F23" s="70"/>
      <c r="G23" s="58">
        <v>6833</v>
      </c>
      <c r="H23" s="40"/>
      <c r="I23" s="23">
        <v>76</v>
      </c>
      <c r="J23" s="23">
        <v>96</v>
      </c>
      <c r="K23" s="31"/>
    </row>
    <row r="24" spans="1:12" ht="15" thickBot="1" x14ac:dyDescent="0.35">
      <c r="A24" s="248" t="s">
        <v>27</v>
      </c>
      <c r="B24" s="249"/>
      <c r="C24" s="249"/>
      <c r="D24" s="36">
        <f>SUM(D22:D23)</f>
        <v>4611</v>
      </c>
      <c r="E24" s="97">
        <f>D24+H24+I24+K24</f>
        <v>6763</v>
      </c>
      <c r="F24" s="71"/>
      <c r="G24" s="59"/>
      <c r="H24" s="42">
        <v>1752</v>
      </c>
      <c r="I24" s="25">
        <f>+I21-I23</f>
        <v>184</v>
      </c>
      <c r="J24" s="38"/>
      <c r="K24" s="64">
        <f>J21-J23</f>
        <v>216</v>
      </c>
      <c r="L24" s="79">
        <f>D24/G23</f>
        <v>0.67481340553197722</v>
      </c>
    </row>
    <row r="25" spans="1:12" x14ac:dyDescent="0.3">
      <c r="A25" s="257"/>
      <c r="B25" s="257"/>
      <c r="C25" s="257"/>
      <c r="D25">
        <f>+D6+D13+D18+D24</f>
        <v>20754</v>
      </c>
      <c r="G25">
        <f>+G6+G8+G11+G17+G23</f>
        <v>25833</v>
      </c>
      <c r="K25" s="7">
        <f>+G25-D25</f>
        <v>5079</v>
      </c>
    </row>
    <row r="27" spans="1:12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D24" sqref="D24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</cols>
  <sheetData>
    <row r="1" spans="1:12" ht="15" thickBot="1" x14ac:dyDescent="0.35">
      <c r="A1" s="250" t="s">
        <v>50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</row>
    <row r="2" spans="1:12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</row>
    <row r="3" spans="1:12" ht="15" x14ac:dyDescent="0.25">
      <c r="A3" s="2" t="s">
        <v>0</v>
      </c>
      <c r="B3" s="3" t="s">
        <v>3</v>
      </c>
      <c r="C3" s="3" t="s">
        <v>15</v>
      </c>
      <c r="D3" s="9">
        <v>10853</v>
      </c>
      <c r="E3" s="89"/>
      <c r="F3" s="67"/>
      <c r="G3" s="21"/>
      <c r="H3" s="23"/>
      <c r="I3" s="23"/>
      <c r="J3" s="23">
        <v>1440</v>
      </c>
      <c r="K3" s="31"/>
    </row>
    <row r="4" spans="1:12" ht="15" x14ac:dyDescent="0.25">
      <c r="A4" s="4"/>
      <c r="B4" s="1" t="s">
        <v>4</v>
      </c>
      <c r="C4" s="1" t="s">
        <v>16</v>
      </c>
      <c r="D4" s="10">
        <v>624</v>
      </c>
      <c r="E4" s="90"/>
      <c r="F4" s="67"/>
      <c r="G4" s="21"/>
      <c r="H4" s="23" t="s">
        <v>44</v>
      </c>
      <c r="I4" s="23"/>
      <c r="J4" s="23" t="s">
        <v>44</v>
      </c>
      <c r="K4" s="31"/>
    </row>
    <row r="5" spans="1:12" ht="15" x14ac:dyDescent="0.25">
      <c r="A5" s="4"/>
      <c r="B5" s="1" t="s">
        <v>17</v>
      </c>
      <c r="C5" s="1" t="s">
        <v>18</v>
      </c>
      <c r="D5" s="10">
        <v>81</v>
      </c>
      <c r="E5" s="90"/>
      <c r="F5" s="67"/>
      <c r="G5" s="21"/>
      <c r="H5" s="23"/>
      <c r="I5" s="23"/>
      <c r="J5" s="23">
        <v>1163</v>
      </c>
      <c r="K5" s="31"/>
    </row>
    <row r="6" spans="1:12" ht="15.75" thickBot="1" x14ac:dyDescent="0.3">
      <c r="A6" s="253" t="s">
        <v>27</v>
      </c>
      <c r="B6" s="254"/>
      <c r="C6" s="254"/>
      <c r="D6" s="27">
        <f>SUM(D3:D5)</f>
        <v>11558</v>
      </c>
      <c r="E6" s="91">
        <f>D6+H6+I6+K6</f>
        <v>12496</v>
      </c>
      <c r="F6" s="68">
        <f>G6-D6-H6-I6-K6</f>
        <v>504</v>
      </c>
      <c r="G6" s="43">
        <v>13000</v>
      </c>
      <c r="H6" s="44">
        <v>661</v>
      </c>
      <c r="I6" s="45">
        <f>H3-H5</f>
        <v>0</v>
      </c>
      <c r="J6" s="23"/>
      <c r="K6" s="60">
        <f>J3-J5</f>
        <v>277</v>
      </c>
      <c r="L6" s="79">
        <f>D6/G6</f>
        <v>0.8890769230769231</v>
      </c>
    </row>
    <row r="7" spans="1:12" x14ac:dyDescent="0.3">
      <c r="A7" s="2" t="s">
        <v>5</v>
      </c>
      <c r="B7" s="3" t="s">
        <v>6</v>
      </c>
      <c r="C7" s="3" t="s">
        <v>23</v>
      </c>
      <c r="D7" s="3">
        <v>489</v>
      </c>
      <c r="E7" s="92"/>
      <c r="F7" s="69"/>
      <c r="G7" s="3" t="s">
        <v>31</v>
      </c>
      <c r="H7" s="48"/>
      <c r="I7" s="48"/>
      <c r="J7" s="46"/>
      <c r="K7" s="61"/>
    </row>
    <row r="8" spans="1:12" ht="15" x14ac:dyDescent="0.25">
      <c r="A8" s="4"/>
      <c r="B8" s="1" t="s">
        <v>7</v>
      </c>
      <c r="C8" s="1" t="s">
        <v>24</v>
      </c>
      <c r="D8" s="1">
        <v>703</v>
      </c>
      <c r="E8" s="93"/>
      <c r="F8" s="70">
        <f>G8-D8-D9-D12+K11</f>
        <v>459</v>
      </c>
      <c r="G8" s="1">
        <v>2500</v>
      </c>
      <c r="H8" s="49"/>
      <c r="I8" s="49"/>
      <c r="J8" s="26" t="s">
        <v>43</v>
      </c>
      <c r="K8" s="45"/>
    </row>
    <row r="9" spans="1:12" x14ac:dyDescent="0.3">
      <c r="A9" s="4"/>
      <c r="B9" s="1" t="s">
        <v>8</v>
      </c>
      <c r="C9" s="1" t="s">
        <v>16</v>
      </c>
      <c r="D9" s="1">
        <v>1241</v>
      </c>
      <c r="E9" s="93"/>
      <c r="F9" s="70"/>
      <c r="G9" s="1" t="s">
        <v>32</v>
      </c>
      <c r="H9" s="49"/>
      <c r="I9" s="49"/>
      <c r="J9" s="26">
        <v>286</v>
      </c>
      <c r="K9" s="45"/>
    </row>
    <row r="10" spans="1:12" ht="15" x14ac:dyDescent="0.25">
      <c r="A10" s="4"/>
      <c r="B10" s="1" t="s">
        <v>39</v>
      </c>
      <c r="C10" s="1" t="s">
        <v>40</v>
      </c>
      <c r="D10" s="1">
        <v>275</v>
      </c>
      <c r="E10" s="93"/>
      <c r="F10" s="70"/>
      <c r="G10" s="1"/>
      <c r="H10" s="49"/>
      <c r="I10" s="49"/>
      <c r="J10" s="26" t="s">
        <v>44</v>
      </c>
      <c r="K10" s="45"/>
    </row>
    <row r="11" spans="1:12" ht="15" x14ac:dyDescent="0.25">
      <c r="A11" s="4"/>
      <c r="B11" s="1" t="s">
        <v>19</v>
      </c>
      <c r="C11" s="1" t="s">
        <v>21</v>
      </c>
      <c r="D11" s="1">
        <v>44</v>
      </c>
      <c r="E11" s="93"/>
      <c r="F11" s="70">
        <f>G11-D7-D11-D10+K15</f>
        <v>667</v>
      </c>
      <c r="G11" s="1">
        <v>1500</v>
      </c>
      <c r="H11" s="49"/>
      <c r="I11" s="49"/>
      <c r="J11" s="26">
        <v>327</v>
      </c>
      <c r="K11" s="62">
        <f>J9-J11</f>
        <v>-41</v>
      </c>
    </row>
    <row r="12" spans="1:12" ht="15" x14ac:dyDescent="0.25">
      <c r="A12" s="4"/>
      <c r="B12" s="1" t="s">
        <v>20</v>
      </c>
      <c r="C12" s="1" t="s">
        <v>22</v>
      </c>
      <c r="D12" s="1">
        <v>56</v>
      </c>
      <c r="E12" s="93"/>
      <c r="F12" s="70"/>
      <c r="G12" s="1"/>
      <c r="H12" s="49"/>
      <c r="I12" s="49"/>
      <c r="J12" s="26" t="s">
        <v>43</v>
      </c>
      <c r="K12" s="45"/>
    </row>
    <row r="13" spans="1:12" ht="15" x14ac:dyDescent="0.25">
      <c r="A13" s="255" t="s">
        <v>27</v>
      </c>
      <c r="B13" s="256"/>
      <c r="C13" s="256"/>
      <c r="D13" s="33">
        <f>SUM(D7:D12)</f>
        <v>2808</v>
      </c>
      <c r="E13" s="94">
        <f>D13+K11+K15</f>
        <v>2742</v>
      </c>
      <c r="F13" s="70"/>
      <c r="G13" s="1"/>
      <c r="H13" s="49"/>
      <c r="I13" s="49"/>
      <c r="J13" s="26">
        <v>0</v>
      </c>
      <c r="K13" s="45"/>
      <c r="L13" s="79">
        <f>D13/(G8+G11)</f>
        <v>0.70199999999999996</v>
      </c>
    </row>
    <row r="14" spans="1:12" ht="15" x14ac:dyDescent="0.25">
      <c r="A14" s="85"/>
      <c r="B14" s="86"/>
      <c r="C14" s="86"/>
      <c r="D14" s="33"/>
      <c r="E14" s="94"/>
      <c r="F14" s="70"/>
      <c r="G14" s="1"/>
      <c r="H14" s="49"/>
      <c r="I14" s="49"/>
      <c r="J14" s="26" t="s">
        <v>44</v>
      </c>
      <c r="K14" s="45"/>
    </row>
    <row r="15" spans="1:12" ht="15.75" thickBot="1" x14ac:dyDescent="0.3">
      <c r="A15" s="83"/>
      <c r="B15" s="84"/>
      <c r="C15" s="84"/>
      <c r="D15" s="52"/>
      <c r="E15" s="95"/>
      <c r="F15" s="65"/>
      <c r="G15" s="53"/>
      <c r="H15" s="54"/>
      <c r="I15" s="54"/>
      <c r="J15" s="26">
        <v>25</v>
      </c>
      <c r="K15" s="62">
        <f>J13-J15</f>
        <v>-25</v>
      </c>
    </row>
    <row r="16" spans="1:12" x14ac:dyDescent="0.3">
      <c r="A16" s="2" t="s">
        <v>9</v>
      </c>
      <c r="B16" s="3" t="s">
        <v>10</v>
      </c>
      <c r="C16" s="3" t="s">
        <v>15</v>
      </c>
      <c r="D16" s="3">
        <v>13</v>
      </c>
      <c r="E16" s="92"/>
      <c r="F16" s="69">
        <f>G17-D18+K19</f>
        <v>481</v>
      </c>
      <c r="G16" s="3" t="s">
        <v>33</v>
      </c>
      <c r="H16" s="48"/>
      <c r="I16" s="72"/>
      <c r="J16" s="39" t="s">
        <v>43</v>
      </c>
      <c r="K16" s="61"/>
    </row>
    <row r="17" spans="1:12" ht="15" x14ac:dyDescent="0.25">
      <c r="A17" s="4"/>
      <c r="B17" s="1" t="s">
        <v>11</v>
      </c>
      <c r="C17" s="1" t="s">
        <v>16</v>
      </c>
      <c r="D17" s="1">
        <v>1499</v>
      </c>
      <c r="E17" s="93"/>
      <c r="F17" s="70"/>
      <c r="G17" s="1">
        <v>2000</v>
      </c>
      <c r="H17" s="49"/>
      <c r="I17" s="73"/>
      <c r="J17" s="30">
        <v>48</v>
      </c>
      <c r="K17" s="45"/>
    </row>
    <row r="18" spans="1:12" ht="15" x14ac:dyDescent="0.25">
      <c r="A18" s="255" t="s">
        <v>27</v>
      </c>
      <c r="B18" s="256"/>
      <c r="C18" s="256"/>
      <c r="D18" s="33">
        <f>SUM(D16:D17)</f>
        <v>1512</v>
      </c>
      <c r="E18" s="94">
        <f>D18+K19</f>
        <v>1505</v>
      </c>
      <c r="F18" s="70"/>
      <c r="G18" s="1"/>
      <c r="H18" s="49"/>
      <c r="I18" s="73"/>
      <c r="J18" s="30" t="s">
        <v>44</v>
      </c>
      <c r="K18" s="45"/>
    </row>
    <row r="19" spans="1:12" ht="15.75" thickBot="1" x14ac:dyDescent="0.3">
      <c r="A19" s="83"/>
      <c r="B19" s="84"/>
      <c r="C19" s="84"/>
      <c r="D19" s="52"/>
      <c r="E19" s="95"/>
      <c r="F19" s="65"/>
      <c r="G19" s="53"/>
      <c r="H19" s="55"/>
      <c r="I19" s="74"/>
      <c r="J19" s="41">
        <v>55</v>
      </c>
      <c r="K19" s="63">
        <f>J17-J19</f>
        <v>-7</v>
      </c>
      <c r="L19" s="79">
        <f>D18/G17</f>
        <v>0.75600000000000001</v>
      </c>
    </row>
    <row r="20" spans="1:12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</row>
    <row r="21" spans="1:12" ht="15" x14ac:dyDescent="0.25">
      <c r="A21" s="4"/>
      <c r="B21" s="86"/>
      <c r="C21" s="86"/>
      <c r="D21" s="33"/>
      <c r="E21" s="94"/>
      <c r="F21" s="70"/>
      <c r="G21" s="58"/>
      <c r="H21" s="40"/>
      <c r="I21" s="23"/>
      <c r="J21" s="23">
        <v>144</v>
      </c>
      <c r="K21" s="31"/>
    </row>
    <row r="22" spans="1:12" ht="15" x14ac:dyDescent="0.25">
      <c r="A22" s="4"/>
      <c r="B22" s="1" t="s">
        <v>13</v>
      </c>
      <c r="C22" s="1" t="s">
        <v>15</v>
      </c>
      <c r="D22" s="1">
        <v>3298</v>
      </c>
      <c r="E22" s="93"/>
      <c r="F22" s="70">
        <f>G23-D24-H24-I24-K24</f>
        <v>372</v>
      </c>
      <c r="G22" s="58" t="s">
        <v>34</v>
      </c>
      <c r="H22" s="56" t="s">
        <v>44</v>
      </c>
      <c r="I22" s="23"/>
      <c r="J22" s="23" t="s">
        <v>44</v>
      </c>
      <c r="K22" s="31"/>
    </row>
    <row r="23" spans="1:12" ht="15" x14ac:dyDescent="0.25">
      <c r="A23" s="4"/>
      <c r="B23" s="1" t="s">
        <v>25</v>
      </c>
      <c r="C23" s="1" t="s">
        <v>18</v>
      </c>
      <c r="D23" s="1">
        <v>1480</v>
      </c>
      <c r="E23" s="93"/>
      <c r="F23" s="70"/>
      <c r="G23" s="58">
        <v>6833</v>
      </c>
      <c r="H23" s="40"/>
      <c r="I23" s="23"/>
      <c r="J23" s="23">
        <v>213</v>
      </c>
      <c r="K23" s="31"/>
    </row>
    <row r="24" spans="1:12" ht="15" thickBot="1" x14ac:dyDescent="0.35">
      <c r="A24" s="248" t="s">
        <v>27</v>
      </c>
      <c r="B24" s="249"/>
      <c r="C24" s="249"/>
      <c r="D24" s="36">
        <f>SUM(D22:D23)</f>
        <v>4778</v>
      </c>
      <c r="E24" s="97">
        <f>D24+H24+I24+K24</f>
        <v>6461</v>
      </c>
      <c r="F24" s="71"/>
      <c r="G24" s="59"/>
      <c r="H24" s="42">
        <v>1752</v>
      </c>
      <c r="I24" s="25">
        <f>+I21-I23</f>
        <v>0</v>
      </c>
      <c r="J24" s="38"/>
      <c r="K24" s="64">
        <f>J21-J23</f>
        <v>-69</v>
      </c>
      <c r="L24" s="79">
        <f>D24/G23</f>
        <v>0.69925362212790865</v>
      </c>
    </row>
    <row r="25" spans="1:12" x14ac:dyDescent="0.3">
      <c r="A25" s="257"/>
      <c r="B25" s="257"/>
      <c r="C25" s="257"/>
      <c r="D25">
        <f>+D6+D13+D18+D24</f>
        <v>20656</v>
      </c>
      <c r="G25">
        <f>+G6+G8+G11+G17+G23</f>
        <v>25833</v>
      </c>
      <c r="K25" s="7">
        <f>+G25-D25</f>
        <v>5177</v>
      </c>
    </row>
    <row r="27" spans="1:12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I32" sqref="I32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50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11081</v>
      </c>
      <c r="E3" s="89"/>
      <c r="F3" s="67"/>
      <c r="G3" s="21"/>
      <c r="H3" s="23"/>
      <c r="I3" s="23">
        <v>168</v>
      </c>
      <c r="J3" s="23">
        <v>1560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528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41</v>
      </c>
      <c r="E5" s="90"/>
      <c r="F5" s="67"/>
      <c r="G5" s="21"/>
      <c r="H5" s="23"/>
      <c r="I5" s="23">
        <v>96</v>
      </c>
      <c r="J5" s="23">
        <f>256+967</f>
        <v>1223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11650</v>
      </c>
      <c r="E6" s="91">
        <f>D6+H6+I6+K6</f>
        <v>12649</v>
      </c>
      <c r="F6" s="68">
        <f>G6-D6-H6-I6-K6</f>
        <v>351</v>
      </c>
      <c r="G6" s="43">
        <v>13000</v>
      </c>
      <c r="H6" s="44">
        <v>590</v>
      </c>
      <c r="I6" s="45">
        <f>+I3-I5</f>
        <v>72</v>
      </c>
      <c r="J6" s="23"/>
      <c r="K6" s="60">
        <f>J3-J5</f>
        <v>337</v>
      </c>
      <c r="L6" s="79">
        <f>D6/G6</f>
        <v>0.89615384615384619</v>
      </c>
      <c r="M6" s="108">
        <f>+E6/G6</f>
        <v>0.97299999999999998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469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644</v>
      </c>
      <c r="E8" s="93"/>
      <c r="F8" s="70">
        <f>G8-D8-D9-D12+K11</f>
        <v>464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1333</v>
      </c>
      <c r="E9" s="93"/>
      <c r="F9" s="70"/>
      <c r="G9" s="1" t="s">
        <v>32</v>
      </c>
      <c r="H9" s="49"/>
      <c r="I9" s="49"/>
      <c r="J9" s="26">
        <v>0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275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44</v>
      </c>
      <c r="E11" s="93"/>
      <c r="F11" s="70">
        <f>G11-D7-D11-D10+K15</f>
        <v>754</v>
      </c>
      <c r="G11" s="1">
        <v>1500</v>
      </c>
      <c r="H11" s="49"/>
      <c r="I11" s="49"/>
      <c r="J11" s="26">
        <v>24</v>
      </c>
      <c r="K11" s="62">
        <f>J9-J11</f>
        <v>-24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35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2800</v>
      </c>
      <c r="E13" s="94">
        <f>D13+K11+K15</f>
        <v>2818</v>
      </c>
      <c r="F13" s="70"/>
      <c r="G13" s="1"/>
      <c r="H13" s="49"/>
      <c r="I13" s="49"/>
      <c r="J13" s="26">
        <v>260</v>
      </c>
      <c r="K13" s="45"/>
      <c r="L13" s="79">
        <f>D13/(G8+G11)</f>
        <v>0.7</v>
      </c>
      <c r="M13" s="107"/>
    </row>
    <row r="14" spans="1:13" ht="15" x14ac:dyDescent="0.25">
      <c r="A14" s="100"/>
      <c r="B14" s="101"/>
      <c r="C14" s="101"/>
      <c r="D14" s="33"/>
      <c r="E14" s="94"/>
      <c r="F14" s="70"/>
      <c r="G14" s="1"/>
      <c r="H14" s="49"/>
      <c r="I14" s="49"/>
      <c r="J14" s="26" t="s">
        <v>44</v>
      </c>
      <c r="K14" s="45"/>
      <c r="M14" s="107"/>
    </row>
    <row r="15" spans="1:13" ht="15.75" thickBot="1" x14ac:dyDescent="0.3">
      <c r="A15" s="98"/>
      <c r="B15" s="99"/>
      <c r="C15" s="99"/>
      <c r="D15" s="52"/>
      <c r="E15" s="95"/>
      <c r="F15" s="65"/>
      <c r="G15" s="53"/>
      <c r="H15" s="54"/>
      <c r="I15" s="54"/>
      <c r="J15" s="26">
        <f>208+10</f>
        <v>218</v>
      </c>
      <c r="K15" s="62">
        <f>J13-J15</f>
        <v>42</v>
      </c>
      <c r="M15" s="107"/>
    </row>
    <row r="16" spans="1:13" x14ac:dyDescent="0.3">
      <c r="A16" s="2" t="s">
        <v>9</v>
      </c>
      <c r="B16" s="3" t="s">
        <v>10</v>
      </c>
      <c r="C16" s="3" t="s">
        <v>15</v>
      </c>
      <c r="D16" s="3">
        <v>13</v>
      </c>
      <c r="E16" s="92"/>
      <c r="F16" s="69">
        <f>G17-D18+K19</f>
        <v>358</v>
      </c>
      <c r="G16" s="3" t="s">
        <v>33</v>
      </c>
      <c r="H16" s="48"/>
      <c r="I16" s="72"/>
      <c r="J16" s="39" t="s">
        <v>43</v>
      </c>
      <c r="K16" s="61"/>
      <c r="M16" s="107"/>
    </row>
    <row r="17" spans="1:13" ht="15" x14ac:dyDescent="0.25">
      <c r="A17" s="4"/>
      <c r="B17" s="1" t="s">
        <v>11</v>
      </c>
      <c r="C17" s="1" t="s">
        <v>16</v>
      </c>
      <c r="D17" s="1">
        <v>1543</v>
      </c>
      <c r="E17" s="93"/>
      <c r="F17" s="70"/>
      <c r="G17" s="1">
        <v>2000</v>
      </c>
      <c r="H17" s="49"/>
      <c r="I17" s="73"/>
      <c r="J17" s="30">
        <v>96</v>
      </c>
      <c r="K17" s="45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1556</v>
      </c>
      <c r="E18" s="94">
        <f>D18+K19</f>
        <v>1470</v>
      </c>
      <c r="F18" s="70"/>
      <c r="G18" s="1"/>
      <c r="H18" s="49"/>
      <c r="I18" s="73"/>
      <c r="J18" s="30" t="s">
        <v>44</v>
      </c>
      <c r="K18" s="45"/>
      <c r="M18" s="107"/>
    </row>
    <row r="19" spans="1:13" ht="15.75" thickBot="1" x14ac:dyDescent="0.3">
      <c r="A19" s="98"/>
      <c r="B19" s="99"/>
      <c r="C19" s="99"/>
      <c r="D19" s="52"/>
      <c r="E19" s="95"/>
      <c r="F19" s="65"/>
      <c r="G19" s="53"/>
      <c r="H19" s="55"/>
      <c r="I19" s="74"/>
      <c r="J19" s="41">
        <f>130+52</f>
        <v>182</v>
      </c>
      <c r="K19" s="63">
        <f>J17-J19</f>
        <v>-86</v>
      </c>
      <c r="L19" s="79">
        <f>D18/G17</f>
        <v>0.77800000000000002</v>
      </c>
      <c r="M19" s="107"/>
    </row>
    <row r="20" spans="1:13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  <c r="M20" s="107"/>
    </row>
    <row r="21" spans="1:13" ht="15" x14ac:dyDescent="0.25">
      <c r="A21" s="4"/>
      <c r="B21" s="101"/>
      <c r="C21" s="101"/>
      <c r="D21" s="33"/>
      <c r="E21" s="94"/>
      <c r="F21" s="70"/>
      <c r="G21" s="58"/>
      <c r="H21" s="40">
        <v>260</v>
      </c>
      <c r="I21" s="23"/>
      <c r="J21" s="23">
        <v>360</v>
      </c>
      <c r="K21" s="31"/>
      <c r="M21" s="107"/>
    </row>
    <row r="22" spans="1:13" ht="15" x14ac:dyDescent="0.25">
      <c r="A22" s="4"/>
      <c r="B22" s="1" t="s">
        <v>13</v>
      </c>
      <c r="C22" s="1" t="s">
        <v>15</v>
      </c>
      <c r="D22" s="1">
        <v>3343</v>
      </c>
      <c r="E22" s="93"/>
      <c r="F22" s="70">
        <f>G23-D24-H24-I24-K24</f>
        <v>57</v>
      </c>
      <c r="G22" s="58" t="s">
        <v>34</v>
      </c>
      <c r="H22" s="56" t="s">
        <v>44</v>
      </c>
      <c r="I22" s="23"/>
      <c r="J22" s="23" t="s">
        <v>44</v>
      </c>
      <c r="K22" s="31"/>
      <c r="M22" s="107"/>
    </row>
    <row r="23" spans="1:13" ht="15" x14ac:dyDescent="0.25">
      <c r="A23" s="4"/>
      <c r="B23" s="1" t="s">
        <v>25</v>
      </c>
      <c r="C23" s="1" t="s">
        <v>18</v>
      </c>
      <c r="D23" s="1">
        <v>1591</v>
      </c>
      <c r="E23" s="93"/>
      <c r="F23" s="70"/>
      <c r="G23" s="58">
        <v>6833</v>
      </c>
      <c r="H23" s="40">
        <f>26+26+26+24+26+24+24+24+26</f>
        <v>226</v>
      </c>
      <c r="I23" s="23"/>
      <c r="J23" s="23">
        <f>386+96</f>
        <v>482</v>
      </c>
      <c r="K23" s="31"/>
      <c r="M23" s="107"/>
    </row>
    <row r="24" spans="1:13" ht="15" thickBot="1" x14ac:dyDescent="0.35">
      <c r="A24" s="248" t="s">
        <v>27</v>
      </c>
      <c r="B24" s="249"/>
      <c r="C24" s="249"/>
      <c r="D24" s="36">
        <f>SUM(D22:D23)</f>
        <v>4934</v>
      </c>
      <c r="E24" s="97">
        <f>D24+H24+I24+K24</f>
        <v>6776</v>
      </c>
      <c r="F24" s="71"/>
      <c r="G24" s="59"/>
      <c r="H24" s="42">
        <v>1930</v>
      </c>
      <c r="I24" s="25">
        <f>+H21-H23</f>
        <v>34</v>
      </c>
      <c r="J24" s="38"/>
      <c r="K24" s="64">
        <f>+J21-J23</f>
        <v>-122</v>
      </c>
      <c r="L24" s="79">
        <f>D24/G23</f>
        <v>0.72208400409776086</v>
      </c>
      <c r="M24" s="108">
        <f>+E24/G23</f>
        <v>0.99165812966486167</v>
      </c>
    </row>
    <row r="25" spans="1:13" x14ac:dyDescent="0.3">
      <c r="A25" s="257"/>
      <c r="B25" s="257"/>
      <c r="C25" s="257"/>
    </row>
    <row r="27" spans="1:13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F31" sqref="F31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50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11113</v>
      </c>
      <c r="E3" s="89"/>
      <c r="F3" s="67"/>
      <c r="G3" s="21"/>
      <c r="H3" s="23"/>
      <c r="I3" s="23">
        <v>120</v>
      </c>
      <c r="J3" s="23">
        <v>1368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539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41</v>
      </c>
      <c r="E5" s="90"/>
      <c r="F5" s="67"/>
      <c r="G5" s="21"/>
      <c r="H5" s="23"/>
      <c r="I5" s="23">
        <v>72</v>
      </c>
      <c r="J5" s="23">
        <f>405+578</f>
        <v>983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11693</v>
      </c>
      <c r="E6" s="91">
        <f>D6+H6+I6+K6</f>
        <v>12620</v>
      </c>
      <c r="F6" s="68">
        <f>G6-D6-H6-I6-K6</f>
        <v>380</v>
      </c>
      <c r="G6" s="43">
        <v>13000</v>
      </c>
      <c r="H6" s="44">
        <v>494</v>
      </c>
      <c r="I6" s="45">
        <f>+I3-I5</f>
        <v>48</v>
      </c>
      <c r="J6" s="23"/>
      <c r="K6" s="60">
        <f>J3-J5</f>
        <v>385</v>
      </c>
      <c r="L6" s="79">
        <f>D6/G6</f>
        <v>0.89946153846153842</v>
      </c>
      <c r="M6" s="108">
        <f>+E6/G6</f>
        <v>0.97076923076923072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483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644</v>
      </c>
      <c r="E8" s="93"/>
      <c r="F8" s="70">
        <f>G8-D8-D9-D12+K11</f>
        <v>744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1303</v>
      </c>
      <c r="E9" s="93"/>
      <c r="F9" s="70"/>
      <c r="G9" s="1" t="s">
        <v>32</v>
      </c>
      <c r="H9" s="49"/>
      <c r="I9" s="49"/>
      <c r="J9" s="26">
        <v>464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282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23</v>
      </c>
      <c r="E11" s="93"/>
      <c r="F11" s="70">
        <f>G11-D7-D11-D10+K15</f>
        <v>702</v>
      </c>
      <c r="G11" s="1">
        <v>1500</v>
      </c>
      <c r="H11" s="49"/>
      <c r="I11" s="49"/>
      <c r="J11" s="26">
        <f>134+114</f>
        <v>248</v>
      </c>
      <c r="K11" s="62">
        <f>J9-J11</f>
        <v>216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25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2760</v>
      </c>
      <c r="E13" s="94">
        <f>D13+K11+K15</f>
        <v>2966</v>
      </c>
      <c r="F13" s="70"/>
      <c r="G13" s="1"/>
      <c r="H13" s="49"/>
      <c r="I13" s="49"/>
      <c r="J13" s="26">
        <v>0</v>
      </c>
      <c r="K13" s="45"/>
      <c r="L13" s="113">
        <f>D13/(G8+G11)</f>
        <v>0.69</v>
      </c>
      <c r="M13" s="107"/>
    </row>
    <row r="14" spans="1:13" ht="15" x14ac:dyDescent="0.25">
      <c r="A14" s="104"/>
      <c r="B14" s="105"/>
      <c r="C14" s="105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02"/>
      <c r="B15" s="103"/>
      <c r="C15" s="103"/>
      <c r="D15" s="52"/>
      <c r="E15" s="95"/>
      <c r="F15" s="65"/>
      <c r="G15" s="53"/>
      <c r="H15" s="54"/>
      <c r="I15" s="54"/>
      <c r="J15" s="26">
        <v>10</v>
      </c>
      <c r="K15" s="62">
        <f>J13-J15</f>
        <v>-10</v>
      </c>
      <c r="L15" s="113"/>
      <c r="M15" s="107"/>
    </row>
    <row r="16" spans="1:13" x14ac:dyDescent="0.3">
      <c r="A16" s="2" t="s">
        <v>9</v>
      </c>
      <c r="B16" s="3" t="s">
        <v>10</v>
      </c>
      <c r="C16" s="3" t="s">
        <v>15</v>
      </c>
      <c r="D16" s="3">
        <v>13</v>
      </c>
      <c r="E16" s="92"/>
      <c r="F16" s="69">
        <f>G17-D18+K19</f>
        <v>623</v>
      </c>
      <c r="G16" s="3" t="s">
        <v>33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11</v>
      </c>
      <c r="C17" s="1" t="s">
        <v>16</v>
      </c>
      <c r="D17" s="1">
        <v>1438</v>
      </c>
      <c r="E17" s="93"/>
      <c r="F17" s="70"/>
      <c r="G17" s="1">
        <v>2000</v>
      </c>
      <c r="H17" s="49"/>
      <c r="I17" s="73"/>
      <c r="J17" s="30">
        <v>144</v>
      </c>
      <c r="K17" s="45"/>
      <c r="L17" s="113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1451</v>
      </c>
      <c r="E18" s="94">
        <f>D18+K19</f>
        <v>1525</v>
      </c>
      <c r="F18" s="70"/>
      <c r="G18" s="1"/>
      <c r="H18" s="49"/>
      <c r="I18" s="73"/>
      <c r="J18" s="30" t="s">
        <v>44</v>
      </c>
      <c r="K18" s="45"/>
      <c r="L18" s="113"/>
      <c r="M18" s="107"/>
    </row>
    <row r="19" spans="1:13" ht="15.75" thickBot="1" x14ac:dyDescent="0.3">
      <c r="A19" s="102"/>
      <c r="B19" s="103"/>
      <c r="C19" s="103"/>
      <c r="D19" s="52"/>
      <c r="E19" s="95"/>
      <c r="F19" s="65"/>
      <c r="G19" s="53"/>
      <c r="H19" s="55"/>
      <c r="I19" s="74"/>
      <c r="J19" s="41">
        <v>70</v>
      </c>
      <c r="K19" s="63">
        <f>J17-J19</f>
        <v>74</v>
      </c>
      <c r="L19" s="113">
        <f>D18/G17</f>
        <v>0.72550000000000003</v>
      </c>
      <c r="M19" s="107"/>
    </row>
    <row r="20" spans="1:13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  <c r="M20" s="107"/>
    </row>
    <row r="21" spans="1:13" ht="15" x14ac:dyDescent="0.25">
      <c r="A21" s="4"/>
      <c r="B21" s="105"/>
      <c r="C21" s="105"/>
      <c r="D21" s="33"/>
      <c r="E21" s="94"/>
      <c r="F21" s="70"/>
      <c r="G21" s="58"/>
      <c r="H21" s="40"/>
      <c r="I21" s="23">
        <v>312</v>
      </c>
      <c r="J21" s="23">
        <v>216</v>
      </c>
      <c r="K21" s="31"/>
      <c r="M21" s="107"/>
    </row>
    <row r="22" spans="1:13" ht="15" x14ac:dyDescent="0.25">
      <c r="A22" s="4"/>
      <c r="B22" s="1" t="s">
        <v>13</v>
      </c>
      <c r="C22" s="1" t="s">
        <v>15</v>
      </c>
      <c r="D22" s="1">
        <v>3073</v>
      </c>
      <c r="E22" s="93"/>
      <c r="F22" s="70">
        <f>G23-D24-H24-I24-K24</f>
        <v>361</v>
      </c>
      <c r="G22" s="58" t="s">
        <v>34</v>
      </c>
      <c r="H22" s="56" t="s">
        <v>44</v>
      </c>
      <c r="I22" s="23"/>
      <c r="J22" s="23" t="s">
        <v>44</v>
      </c>
      <c r="K22" s="31"/>
      <c r="M22" s="107"/>
    </row>
    <row r="23" spans="1:13" ht="15" x14ac:dyDescent="0.25">
      <c r="A23" s="4"/>
      <c r="B23" s="1" t="s">
        <v>25</v>
      </c>
      <c r="C23" s="1" t="s">
        <v>18</v>
      </c>
      <c r="D23" s="1">
        <v>1777</v>
      </c>
      <c r="E23" s="93"/>
      <c r="F23" s="70"/>
      <c r="G23" s="58">
        <v>7333</v>
      </c>
      <c r="H23" s="40"/>
      <c r="I23" s="23">
        <v>50</v>
      </c>
      <c r="J23" s="23">
        <f>271+93</f>
        <v>364</v>
      </c>
      <c r="K23" s="31"/>
      <c r="M23" s="107"/>
    </row>
    <row r="24" spans="1:13" ht="15" thickBot="1" x14ac:dyDescent="0.35">
      <c r="A24" s="248" t="s">
        <v>27</v>
      </c>
      <c r="B24" s="249"/>
      <c r="C24" s="249"/>
      <c r="D24" s="36">
        <f>SUM(D22:D23)</f>
        <v>4850</v>
      </c>
      <c r="E24" s="97">
        <f>D24+H24+I24+K24</f>
        <v>6972</v>
      </c>
      <c r="F24" s="71"/>
      <c r="G24" s="59"/>
      <c r="H24" s="42">
        <v>2008</v>
      </c>
      <c r="I24" s="25">
        <f>I21-I23</f>
        <v>262</v>
      </c>
      <c r="J24" s="38"/>
      <c r="K24" s="64">
        <f>+J21-J23</f>
        <v>-148</v>
      </c>
      <c r="L24" s="79">
        <f>D24/G23</f>
        <v>0.66139369971362338</v>
      </c>
      <c r="M24" s="108">
        <f>+E24/G23</f>
        <v>0.9507704895677076</v>
      </c>
    </row>
    <row r="25" spans="1:13" x14ac:dyDescent="0.3">
      <c r="A25" s="257"/>
      <c r="B25" s="257"/>
      <c r="C25" s="257"/>
    </row>
    <row r="27" spans="1:13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H24" sqref="H24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50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11224</v>
      </c>
      <c r="E3" s="89"/>
      <c r="F3" s="67"/>
      <c r="G3" s="21"/>
      <c r="H3" s="23">
        <f>8*24</f>
        <v>192</v>
      </c>
      <c r="I3" s="23"/>
      <c r="J3" s="23">
        <v>1392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585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14</v>
      </c>
      <c r="E5" s="90"/>
      <c r="F5" s="67"/>
      <c r="G5" s="21"/>
      <c r="H5" s="23">
        <f>24+24+24+24+24+24</f>
        <v>144</v>
      </c>
      <c r="I5" s="23"/>
      <c r="J5" s="23">
        <f>768+91</f>
        <v>859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11823</v>
      </c>
      <c r="E6" s="91">
        <f>D6+H6+I6+K6</f>
        <v>12946</v>
      </c>
      <c r="F6" s="68">
        <f>G6-D6-H6-I6-K6</f>
        <v>554</v>
      </c>
      <c r="G6" s="43">
        <v>13500</v>
      </c>
      <c r="H6" s="44">
        <v>542</v>
      </c>
      <c r="I6" s="45">
        <f>H3-H5</f>
        <v>48</v>
      </c>
      <c r="J6" s="23"/>
      <c r="K6" s="60">
        <f>J3-J5</f>
        <v>533</v>
      </c>
      <c r="L6" s="79">
        <f>D6/G6</f>
        <v>0.87577777777777777</v>
      </c>
      <c r="M6" s="108">
        <f>+E6/G6</f>
        <v>0.95896296296296302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477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772</v>
      </c>
      <c r="E8" s="93"/>
      <c r="F8" s="70">
        <f>G8-D8-D9-D12+K11</f>
        <v>456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1302</v>
      </c>
      <c r="E9" s="93"/>
      <c r="F9" s="70"/>
      <c r="G9" s="1" t="s">
        <v>32</v>
      </c>
      <c r="H9" s="49"/>
      <c r="I9" s="49"/>
      <c r="J9" s="26">
        <v>434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261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23</v>
      </c>
      <c r="E11" s="93"/>
      <c r="F11" s="70">
        <f>G11-D7-D11-D10+K15</f>
        <v>721</v>
      </c>
      <c r="G11" s="1">
        <v>1500</v>
      </c>
      <c r="H11" s="49"/>
      <c r="I11" s="49"/>
      <c r="J11" s="26">
        <f>102+267</f>
        <v>369</v>
      </c>
      <c r="K11" s="62">
        <f>J9-J11</f>
        <v>65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35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2870</v>
      </c>
      <c r="E13" s="94">
        <f>D13+K11+K15</f>
        <v>2917</v>
      </c>
      <c r="F13" s="70"/>
      <c r="G13" s="1"/>
      <c r="H13" s="49"/>
      <c r="I13" s="49"/>
      <c r="J13" s="26"/>
      <c r="K13" s="45"/>
      <c r="L13" s="113">
        <f>D13/(G8+G11)</f>
        <v>0.71750000000000003</v>
      </c>
      <c r="M13" s="107"/>
    </row>
    <row r="14" spans="1:13" ht="15" x14ac:dyDescent="0.25">
      <c r="A14" s="111"/>
      <c r="B14" s="112"/>
      <c r="C14" s="112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09"/>
      <c r="B15" s="110"/>
      <c r="C15" s="110"/>
      <c r="D15" s="52"/>
      <c r="E15" s="95"/>
      <c r="F15" s="65"/>
      <c r="G15" s="53"/>
      <c r="H15" s="54"/>
      <c r="I15" s="54"/>
      <c r="J15" s="26">
        <v>18</v>
      </c>
      <c r="K15" s="62">
        <f>J13-J15</f>
        <v>-18</v>
      </c>
      <c r="L15" s="113"/>
      <c r="M15" s="107"/>
    </row>
    <row r="16" spans="1:13" x14ac:dyDescent="0.3">
      <c r="A16" s="2" t="s">
        <v>9</v>
      </c>
      <c r="B16" s="3" t="s">
        <v>10</v>
      </c>
      <c r="C16" s="3" t="s">
        <v>15</v>
      </c>
      <c r="D16" s="3">
        <v>13</v>
      </c>
      <c r="E16" s="92"/>
      <c r="F16" s="69">
        <f>G17-D18+K19</f>
        <v>320</v>
      </c>
      <c r="G16" s="3" t="s">
        <v>33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11</v>
      </c>
      <c r="C17" s="1" t="s">
        <v>16</v>
      </c>
      <c r="D17" s="1">
        <v>1496</v>
      </c>
      <c r="E17" s="93"/>
      <c r="F17" s="70"/>
      <c r="G17" s="1">
        <v>2000</v>
      </c>
      <c r="H17" s="49"/>
      <c r="I17" s="73"/>
      <c r="J17" s="30">
        <v>168</v>
      </c>
      <c r="K17" s="45"/>
      <c r="L17" s="113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1509</v>
      </c>
      <c r="E18" s="94">
        <f>D18+K19</f>
        <v>1338</v>
      </c>
      <c r="F18" s="70"/>
      <c r="G18" s="1"/>
      <c r="H18" s="49"/>
      <c r="I18" s="73"/>
      <c r="J18" s="30" t="s">
        <v>44</v>
      </c>
      <c r="K18" s="45"/>
      <c r="L18" s="113"/>
      <c r="M18" s="107"/>
    </row>
    <row r="19" spans="1:13" ht="15.75" thickBot="1" x14ac:dyDescent="0.3">
      <c r="A19" s="109"/>
      <c r="B19" s="110"/>
      <c r="C19" s="110"/>
      <c r="D19" s="52"/>
      <c r="E19" s="95"/>
      <c r="F19" s="65"/>
      <c r="G19" s="53"/>
      <c r="H19" s="55"/>
      <c r="I19" s="74"/>
      <c r="J19" s="41">
        <f>145+194</f>
        <v>339</v>
      </c>
      <c r="K19" s="63">
        <f>J17-J19</f>
        <v>-171</v>
      </c>
      <c r="L19" s="113">
        <f>D18/G17</f>
        <v>0.75449999999999995</v>
      </c>
      <c r="M19" s="107"/>
    </row>
    <row r="20" spans="1:13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  <c r="M20" s="107"/>
    </row>
    <row r="21" spans="1:13" ht="15" x14ac:dyDescent="0.25">
      <c r="A21" s="4"/>
      <c r="B21" s="112"/>
      <c r="C21" s="112"/>
      <c r="D21" s="33"/>
      <c r="E21" s="94"/>
      <c r="F21" s="70"/>
      <c r="G21" s="58"/>
      <c r="H21" s="40">
        <f>52+208</f>
        <v>260</v>
      </c>
      <c r="I21" s="23"/>
      <c r="J21" s="23">
        <v>240</v>
      </c>
      <c r="K21" s="31"/>
      <c r="M21" s="107"/>
    </row>
    <row r="22" spans="1:13" ht="15" x14ac:dyDescent="0.25">
      <c r="A22" s="4"/>
      <c r="B22" s="1" t="s">
        <v>13</v>
      </c>
      <c r="C22" s="1" t="s">
        <v>15</v>
      </c>
      <c r="D22" s="1">
        <v>2734</v>
      </c>
      <c r="E22" s="93"/>
      <c r="F22" s="70">
        <f>G23-D24-H24-I24-K24</f>
        <v>673</v>
      </c>
      <c r="G22" s="58" t="s">
        <v>34</v>
      </c>
      <c r="H22" s="56" t="s">
        <v>44</v>
      </c>
      <c r="I22" s="23"/>
      <c r="J22" s="23" t="s">
        <v>44</v>
      </c>
      <c r="K22" s="31"/>
      <c r="M22" s="107"/>
    </row>
    <row r="23" spans="1:13" ht="15" x14ac:dyDescent="0.25">
      <c r="A23" s="4"/>
      <c r="B23" s="1" t="s">
        <v>25</v>
      </c>
      <c r="C23" s="1" t="s">
        <v>18</v>
      </c>
      <c r="D23" s="1">
        <v>1870</v>
      </c>
      <c r="E23" s="93"/>
      <c r="F23" s="70"/>
      <c r="G23" s="58">
        <v>7333</v>
      </c>
      <c r="H23" s="40">
        <f>26+24+24+26+24+24+26</f>
        <v>174</v>
      </c>
      <c r="I23" s="23"/>
      <c r="J23" s="23">
        <f>330+150</f>
        <v>480</v>
      </c>
      <c r="K23" s="31"/>
      <c r="M23" s="107"/>
    </row>
    <row r="24" spans="1:13" ht="15" thickBot="1" x14ac:dyDescent="0.35">
      <c r="A24" s="248" t="s">
        <v>27</v>
      </c>
      <c r="B24" s="249"/>
      <c r="C24" s="249"/>
      <c r="D24" s="36">
        <f>SUM(D22:D23)</f>
        <v>4604</v>
      </c>
      <c r="E24" s="97">
        <f>D24+H24+I24+K24</f>
        <v>6660</v>
      </c>
      <c r="F24" s="71"/>
      <c r="G24" s="59"/>
      <c r="H24" s="42">
        <v>2210</v>
      </c>
      <c r="I24" s="25">
        <f>H21-H23</f>
        <v>86</v>
      </c>
      <c r="J24" s="38"/>
      <c r="K24" s="64">
        <f>+J21-J23</f>
        <v>-240</v>
      </c>
      <c r="L24" s="79">
        <f>D24/G23</f>
        <v>0.6278467203054684</v>
      </c>
      <c r="M24" s="108">
        <f>+E24/G23</f>
        <v>0.90822310105004778</v>
      </c>
    </row>
    <row r="25" spans="1:13" x14ac:dyDescent="0.3">
      <c r="A25" s="257"/>
      <c r="B25" s="257"/>
      <c r="C25" s="257"/>
    </row>
    <row r="27" spans="1:13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M13" sqref="M13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50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11617</v>
      </c>
      <c r="E3" s="89"/>
      <c r="F3" s="67"/>
      <c r="G3" s="21"/>
      <c r="H3" s="23">
        <v>72</v>
      </c>
      <c r="I3" s="23"/>
      <c r="J3" s="23">
        <f>1008</f>
        <v>1008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726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14</v>
      </c>
      <c r="E5" s="90"/>
      <c r="F5" s="67"/>
      <c r="G5" s="21"/>
      <c r="H5" s="23">
        <f>24+24+24+24</f>
        <v>96</v>
      </c>
      <c r="I5" s="23"/>
      <c r="J5" s="23">
        <f>205+1200</f>
        <v>1405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12357</v>
      </c>
      <c r="E6" s="91">
        <f>D6+H6+I6+K6</f>
        <v>12478</v>
      </c>
      <c r="F6" s="68">
        <f>G6-D6-H6-I6-K6</f>
        <v>1022</v>
      </c>
      <c r="G6" s="43">
        <v>13500</v>
      </c>
      <c r="H6" s="118">
        <v>542</v>
      </c>
      <c r="I6" s="45">
        <f>H3-H5</f>
        <v>-24</v>
      </c>
      <c r="J6" s="23"/>
      <c r="K6" s="60">
        <f>J3-J5</f>
        <v>-397</v>
      </c>
      <c r="L6" s="79">
        <f>D6/G6</f>
        <v>0.91533333333333333</v>
      </c>
      <c r="M6" s="108">
        <f>+E6/G6</f>
        <v>0.92429629629629628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453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799</v>
      </c>
      <c r="E8" s="93"/>
      <c r="F8" s="70">
        <f>G8-D8-D9-D12+K11</f>
        <v>639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1419</v>
      </c>
      <c r="E9" s="93"/>
      <c r="F9" s="70"/>
      <c r="G9" s="1" t="s">
        <v>32</v>
      </c>
      <c r="H9" s="49"/>
      <c r="I9" s="49"/>
      <c r="J9" s="26">
        <f>440</f>
        <v>440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251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22</v>
      </c>
      <c r="E11" s="93"/>
      <c r="F11" s="70">
        <f>G11-D7-D11-D10+K15</f>
        <v>756</v>
      </c>
      <c r="G11" s="1">
        <v>1500</v>
      </c>
      <c r="H11" s="49"/>
      <c r="I11" s="49"/>
      <c r="J11" s="26">
        <f>24+24</f>
        <v>48</v>
      </c>
      <c r="K11" s="62">
        <f>J9-J11</f>
        <v>392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35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2979</v>
      </c>
      <c r="E13" s="94">
        <f>D13+K11+K15</f>
        <v>3353</v>
      </c>
      <c r="F13" s="70"/>
      <c r="G13" s="1"/>
      <c r="H13" s="49"/>
      <c r="I13" s="49"/>
      <c r="J13" s="26"/>
      <c r="K13" s="45"/>
      <c r="L13" s="113">
        <f>D13/(G8+G11)</f>
        <v>0.74475000000000002</v>
      </c>
      <c r="M13" s="107"/>
    </row>
    <row r="14" spans="1:13" ht="15" x14ac:dyDescent="0.25">
      <c r="A14" s="116"/>
      <c r="B14" s="117"/>
      <c r="C14" s="117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14"/>
      <c r="B15" s="115"/>
      <c r="C15" s="115"/>
      <c r="D15" s="52"/>
      <c r="E15" s="95"/>
      <c r="F15" s="65"/>
      <c r="G15" s="53"/>
      <c r="H15" s="54"/>
      <c r="I15" s="54"/>
      <c r="J15" s="26">
        <v>18</v>
      </c>
      <c r="K15" s="62">
        <f>J13-J15</f>
        <v>-18</v>
      </c>
      <c r="L15" s="113"/>
      <c r="M15" s="107"/>
    </row>
    <row r="16" spans="1:13" x14ac:dyDescent="0.3">
      <c r="A16" s="2" t="s">
        <v>9</v>
      </c>
      <c r="B16" s="3" t="s">
        <v>10</v>
      </c>
      <c r="C16" s="3" t="s">
        <v>15</v>
      </c>
      <c r="D16" s="3">
        <v>13</v>
      </c>
      <c r="E16" s="92"/>
      <c r="F16" s="69">
        <f>G17-D18+K19</f>
        <v>851</v>
      </c>
      <c r="G16" s="3" t="s">
        <v>33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11</v>
      </c>
      <c r="C17" s="1" t="s">
        <v>16</v>
      </c>
      <c r="D17" s="1">
        <v>1318</v>
      </c>
      <c r="E17" s="93"/>
      <c r="F17" s="70"/>
      <c r="G17" s="1">
        <v>2000</v>
      </c>
      <c r="H17" s="49"/>
      <c r="I17" s="73"/>
      <c r="J17" s="30">
        <v>264</v>
      </c>
      <c r="K17" s="45"/>
      <c r="L17" s="113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1331</v>
      </c>
      <c r="E18" s="94">
        <f>D18+K19</f>
        <v>1513</v>
      </c>
      <c r="F18" s="70"/>
      <c r="G18" s="1"/>
      <c r="H18" s="49"/>
      <c r="I18" s="73"/>
      <c r="J18" s="30" t="s">
        <v>44</v>
      </c>
      <c r="K18" s="45"/>
      <c r="L18" s="113"/>
      <c r="M18" s="107"/>
    </row>
    <row r="19" spans="1:13" ht="15.75" thickBot="1" x14ac:dyDescent="0.3">
      <c r="A19" s="114"/>
      <c r="B19" s="115"/>
      <c r="C19" s="115"/>
      <c r="D19" s="52"/>
      <c r="E19" s="95"/>
      <c r="F19" s="65"/>
      <c r="G19" s="53"/>
      <c r="H19" s="55"/>
      <c r="I19" s="74"/>
      <c r="J19" s="41">
        <v>82</v>
      </c>
      <c r="K19" s="63">
        <f>J17-J19</f>
        <v>182</v>
      </c>
      <c r="L19" s="113">
        <f>D18/G17</f>
        <v>0.66549999999999998</v>
      </c>
      <c r="M19" s="107"/>
    </row>
    <row r="20" spans="1:13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  <c r="M20" s="107"/>
    </row>
    <row r="21" spans="1:13" ht="15" x14ac:dyDescent="0.25">
      <c r="A21" s="4"/>
      <c r="B21" s="117"/>
      <c r="C21" s="117"/>
      <c r="D21" s="33"/>
      <c r="E21" s="94"/>
      <c r="F21" s="70"/>
      <c r="G21" s="58"/>
      <c r="H21" s="40">
        <v>208</v>
      </c>
      <c r="I21" s="23"/>
      <c r="J21" s="23">
        <v>216</v>
      </c>
      <c r="K21" s="31"/>
      <c r="M21" s="107"/>
    </row>
    <row r="22" spans="1:13" ht="15" x14ac:dyDescent="0.25">
      <c r="A22" s="4"/>
      <c r="B22" s="1" t="s">
        <v>13</v>
      </c>
      <c r="C22" s="1" t="s">
        <v>15</v>
      </c>
      <c r="D22" s="1">
        <v>2553</v>
      </c>
      <c r="E22" s="93"/>
      <c r="F22" s="70">
        <f>G23-D24-H24-I24-K24</f>
        <v>897</v>
      </c>
      <c r="G22" s="58" t="s">
        <v>34</v>
      </c>
      <c r="H22" s="56" t="s">
        <v>44</v>
      </c>
      <c r="I22" s="23"/>
      <c r="J22" s="23" t="s">
        <v>44</v>
      </c>
      <c r="K22" s="31"/>
      <c r="M22" s="107"/>
    </row>
    <row r="23" spans="1:13" ht="15" x14ac:dyDescent="0.25">
      <c r="A23" s="4"/>
      <c r="B23" s="1" t="s">
        <v>25</v>
      </c>
      <c r="C23" s="1" t="s">
        <v>18</v>
      </c>
      <c r="D23" s="1">
        <v>1855</v>
      </c>
      <c r="E23" s="93"/>
      <c r="F23" s="70"/>
      <c r="G23" s="58">
        <v>7333</v>
      </c>
      <c r="H23" s="40">
        <v>246</v>
      </c>
      <c r="I23" s="23"/>
      <c r="J23" s="23">
        <f>354+94</f>
        <v>448</v>
      </c>
      <c r="K23" s="31"/>
      <c r="M23" s="107"/>
    </row>
    <row r="24" spans="1:13" ht="15" thickBot="1" x14ac:dyDescent="0.35">
      <c r="A24" s="248" t="s">
        <v>27</v>
      </c>
      <c r="B24" s="249"/>
      <c r="C24" s="249"/>
      <c r="D24" s="36">
        <f>SUM(D22:D23)</f>
        <v>4408</v>
      </c>
      <c r="E24" s="97">
        <f>D24+H24+I24+K24</f>
        <v>6436</v>
      </c>
      <c r="F24" s="71"/>
      <c r="G24" s="59"/>
      <c r="H24" s="119">
        <v>2298</v>
      </c>
      <c r="I24" s="25">
        <f>H21-H23</f>
        <v>-38</v>
      </c>
      <c r="J24" s="38"/>
      <c r="K24" s="64">
        <f>+J21-J23</f>
        <v>-232</v>
      </c>
      <c r="L24" s="79">
        <f>D24/G23</f>
        <v>0.60111823264693853</v>
      </c>
      <c r="M24" s="108">
        <f>+E24/G23</f>
        <v>0.87767625801172777</v>
      </c>
    </row>
    <row r="25" spans="1:13" x14ac:dyDescent="0.3">
      <c r="A25" s="257"/>
      <c r="B25" s="257"/>
      <c r="C25" s="257"/>
    </row>
    <row r="27" spans="1:13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M6" sqref="M6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50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11363</v>
      </c>
      <c r="E3" s="89"/>
      <c r="F3" s="67"/>
      <c r="G3" s="21"/>
      <c r="H3" s="23">
        <v>120</v>
      </c>
      <c r="I3" s="23"/>
      <c r="J3" s="23">
        <v>1296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684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14</v>
      </c>
      <c r="E5" s="90"/>
      <c r="F5" s="67"/>
      <c r="G5" s="21"/>
      <c r="H5" s="23">
        <f>24+24+24+24</f>
        <v>96</v>
      </c>
      <c r="I5" s="23"/>
      <c r="J5" s="23">
        <f>346+1047</f>
        <v>1393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12061</v>
      </c>
      <c r="E6" s="91">
        <f>D6+H6+I6+K6</f>
        <v>12458</v>
      </c>
      <c r="F6" s="68">
        <f>G6-D6-H6-I6-K6</f>
        <v>1042</v>
      </c>
      <c r="G6" s="43">
        <v>13500</v>
      </c>
      <c r="H6" s="118">
        <v>470</v>
      </c>
      <c r="I6" s="45">
        <f>H3-H5</f>
        <v>24</v>
      </c>
      <c r="J6" s="23"/>
      <c r="K6" s="60">
        <f>J3-J5</f>
        <v>-97</v>
      </c>
      <c r="L6" s="79">
        <f>D6/G6</f>
        <v>0.89340740740740743</v>
      </c>
      <c r="M6" s="108">
        <f>+E6/G6</f>
        <v>0.92281481481481487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435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931</v>
      </c>
      <c r="E8" s="93"/>
      <c r="F8" s="70">
        <f>G8-D8-D9-D12+K11</f>
        <v>277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1414</v>
      </c>
      <c r="E9" s="93"/>
      <c r="F9" s="70"/>
      <c r="G9" s="1" t="s">
        <v>32</v>
      </c>
      <c r="H9" s="49"/>
      <c r="I9" s="49"/>
      <c r="J9" s="26">
        <v>288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251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22</v>
      </c>
      <c r="E11" s="93"/>
      <c r="F11" s="70">
        <f>G11-D7-D11-D10+K15</f>
        <v>744</v>
      </c>
      <c r="G11" s="1">
        <v>1500</v>
      </c>
      <c r="H11" s="49"/>
      <c r="I11" s="49"/>
      <c r="J11" s="26">
        <v>131</v>
      </c>
      <c r="K11" s="62">
        <f>J9-J11</f>
        <v>157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35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3088</v>
      </c>
      <c r="E13" s="94">
        <f>D13+K11+K15</f>
        <v>3197</v>
      </c>
      <c r="F13" s="70"/>
      <c r="G13" s="1"/>
      <c r="H13" s="49"/>
      <c r="I13" s="49"/>
      <c r="J13" s="26"/>
      <c r="K13" s="45"/>
      <c r="L13" s="113">
        <f>D13/(G8+G11)</f>
        <v>0.77200000000000002</v>
      </c>
      <c r="M13" s="107"/>
    </row>
    <row r="14" spans="1:13" ht="15" x14ac:dyDescent="0.25">
      <c r="A14" s="122"/>
      <c r="B14" s="123"/>
      <c r="C14" s="123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20"/>
      <c r="B15" s="121"/>
      <c r="C15" s="121"/>
      <c r="D15" s="52"/>
      <c r="E15" s="95"/>
      <c r="F15" s="65"/>
      <c r="G15" s="53"/>
      <c r="H15" s="54"/>
      <c r="I15" s="54"/>
      <c r="J15" s="26">
        <v>48</v>
      </c>
      <c r="K15" s="62">
        <f>J13-J15</f>
        <v>-48</v>
      </c>
      <c r="L15" s="113"/>
      <c r="M15" s="107"/>
    </row>
    <row r="16" spans="1:13" x14ac:dyDescent="0.3">
      <c r="A16" s="2" t="s">
        <v>9</v>
      </c>
      <c r="B16" s="3" t="s">
        <v>10</v>
      </c>
      <c r="C16" s="3" t="s">
        <v>15</v>
      </c>
      <c r="D16" s="3">
        <v>13</v>
      </c>
      <c r="E16" s="92"/>
      <c r="F16" s="69">
        <f>G17-D18+K19</f>
        <v>437</v>
      </c>
      <c r="G16" s="3" t="s">
        <v>33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11</v>
      </c>
      <c r="C17" s="1" t="s">
        <v>16</v>
      </c>
      <c r="D17" s="1">
        <v>1496</v>
      </c>
      <c r="E17" s="93"/>
      <c r="F17" s="70"/>
      <c r="G17" s="1">
        <v>2000</v>
      </c>
      <c r="H17" s="49"/>
      <c r="I17" s="73"/>
      <c r="J17" s="30">
        <v>48</v>
      </c>
      <c r="K17" s="45"/>
      <c r="L17" s="113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1509</v>
      </c>
      <c r="E18" s="94">
        <f>D18+K19</f>
        <v>1455</v>
      </c>
      <c r="F18" s="70"/>
      <c r="G18" s="1"/>
      <c r="H18" s="49"/>
      <c r="I18" s="73"/>
      <c r="J18" s="30" t="s">
        <v>44</v>
      </c>
      <c r="K18" s="45"/>
      <c r="L18" s="113"/>
      <c r="M18" s="107"/>
    </row>
    <row r="19" spans="1:13" ht="15.75" thickBot="1" x14ac:dyDescent="0.3">
      <c r="A19" s="120"/>
      <c r="B19" s="121"/>
      <c r="C19" s="121"/>
      <c r="D19" s="52"/>
      <c r="E19" s="95"/>
      <c r="F19" s="65"/>
      <c r="G19" s="53"/>
      <c r="H19" s="55"/>
      <c r="I19" s="74"/>
      <c r="J19" s="41">
        <f>78+24</f>
        <v>102</v>
      </c>
      <c r="K19" s="63">
        <f>J17-J19</f>
        <v>-54</v>
      </c>
      <c r="L19" s="113">
        <f>D18/G17</f>
        <v>0.75449999999999995</v>
      </c>
      <c r="M19" s="107"/>
    </row>
    <row r="20" spans="1:13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  <c r="M20" s="107"/>
    </row>
    <row r="21" spans="1:13" ht="15" x14ac:dyDescent="0.25">
      <c r="A21" s="4"/>
      <c r="B21" s="123"/>
      <c r="C21" s="123"/>
      <c r="D21" s="33"/>
      <c r="E21" s="94"/>
      <c r="F21" s="70"/>
      <c r="G21" s="58"/>
      <c r="H21" s="40">
        <v>144</v>
      </c>
      <c r="I21" s="23"/>
      <c r="J21" s="23">
        <v>264</v>
      </c>
      <c r="K21" s="31"/>
      <c r="M21" s="107"/>
    </row>
    <row r="22" spans="1:13" ht="15" x14ac:dyDescent="0.25">
      <c r="A22" s="4"/>
      <c r="B22" s="1" t="s">
        <v>13</v>
      </c>
      <c r="C22" s="1" t="s">
        <v>15</v>
      </c>
      <c r="D22" s="1">
        <v>2381</v>
      </c>
      <c r="E22" s="93"/>
      <c r="F22" s="70">
        <f>G23-D24-H24-I24-K24</f>
        <v>792</v>
      </c>
      <c r="G22" s="58" t="s">
        <v>34</v>
      </c>
      <c r="H22" s="56" t="s">
        <v>44</v>
      </c>
      <c r="I22" s="23"/>
      <c r="J22" s="23" t="s">
        <v>44</v>
      </c>
      <c r="K22" s="31"/>
      <c r="M22" s="107"/>
    </row>
    <row r="23" spans="1:13" ht="15" x14ac:dyDescent="0.25">
      <c r="A23" s="4"/>
      <c r="B23" s="1" t="s">
        <v>25</v>
      </c>
      <c r="C23" s="1" t="s">
        <v>18</v>
      </c>
      <c r="D23" s="1">
        <v>1874</v>
      </c>
      <c r="E23" s="93"/>
      <c r="F23" s="70"/>
      <c r="G23" s="58">
        <v>7333</v>
      </c>
      <c r="H23" s="40">
        <f>24+24+24+26+26+26+26</f>
        <v>176</v>
      </c>
      <c r="I23" s="23"/>
      <c r="J23" s="23">
        <f>168+72</f>
        <v>240</v>
      </c>
      <c r="K23" s="31"/>
      <c r="M23" s="107"/>
    </row>
    <row r="24" spans="1:13" ht="15" thickBot="1" x14ac:dyDescent="0.35">
      <c r="A24" s="248" t="s">
        <v>27</v>
      </c>
      <c r="B24" s="249"/>
      <c r="C24" s="249"/>
      <c r="D24" s="36">
        <f>SUM(D22:D23)</f>
        <v>4255</v>
      </c>
      <c r="E24" s="97">
        <f>D24+H24+I24+K24</f>
        <v>6541</v>
      </c>
      <c r="F24" s="71"/>
      <c r="G24" s="59"/>
      <c r="H24" s="119">
        <v>2294</v>
      </c>
      <c r="I24" s="25">
        <f>H21-H23</f>
        <v>-32</v>
      </c>
      <c r="J24" s="38"/>
      <c r="K24" s="64">
        <f>+J21-J23</f>
        <v>24</v>
      </c>
      <c r="L24" s="79">
        <f>D24/G23</f>
        <v>0.58025364789308609</v>
      </c>
      <c r="M24" s="108">
        <f>+E24/G23</f>
        <v>0.8919950906859403</v>
      </c>
    </row>
    <row r="25" spans="1:13" x14ac:dyDescent="0.3">
      <c r="A25" s="257"/>
      <c r="B25" s="257"/>
      <c r="C25" s="257"/>
    </row>
    <row r="27" spans="1:13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scale="84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I9" sqref="I9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53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11326</v>
      </c>
      <c r="E3" s="89"/>
      <c r="F3" s="67"/>
      <c r="G3" s="21"/>
      <c r="H3" s="23">
        <v>144</v>
      </c>
      <c r="I3" s="23"/>
      <c r="J3" s="23">
        <v>1272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697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14</v>
      </c>
      <c r="E5" s="90"/>
      <c r="F5" s="67"/>
      <c r="G5" s="21"/>
      <c r="H5" s="23">
        <v>67</v>
      </c>
      <c r="I5" s="23"/>
      <c r="J5" s="23">
        <f>652+301</f>
        <v>953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12037</v>
      </c>
      <c r="E6" s="91">
        <f>D6+H6+I6+K6</f>
        <v>12890</v>
      </c>
      <c r="F6" s="68">
        <f>G6-D6-H6-I6-K6</f>
        <v>610</v>
      </c>
      <c r="G6" s="43">
        <v>13500</v>
      </c>
      <c r="H6" s="118">
        <v>457</v>
      </c>
      <c r="I6" s="45">
        <f>H3-H5</f>
        <v>77</v>
      </c>
      <c r="J6" s="23"/>
      <c r="K6" s="60">
        <f>J3-J5</f>
        <v>319</v>
      </c>
      <c r="L6" s="79">
        <f>D6/G6</f>
        <v>0.89162962962962966</v>
      </c>
      <c r="M6" s="108">
        <f>+E6/G6</f>
        <v>0.95481481481481478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399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920</v>
      </c>
      <c r="E8" s="93"/>
      <c r="F8" s="70">
        <f>G8-D8-D9-D12+K11</f>
        <v>-71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1571</v>
      </c>
      <c r="E9" s="93"/>
      <c r="F9" s="70"/>
      <c r="G9" s="1" t="s">
        <v>32</v>
      </c>
      <c r="H9" s="49"/>
      <c r="I9" s="49"/>
      <c r="J9" s="26">
        <v>312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251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22</v>
      </c>
      <c r="E11" s="93"/>
      <c r="F11" s="70">
        <f>G11-D7-D11-D10+K15</f>
        <v>793</v>
      </c>
      <c r="G11" s="1">
        <v>1500</v>
      </c>
      <c r="H11" s="49"/>
      <c r="I11" s="49"/>
      <c r="J11" s="26">
        <v>357</v>
      </c>
      <c r="K11" s="62">
        <f>J9-J11</f>
        <v>-45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35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3198</v>
      </c>
      <c r="E13" s="94">
        <f>D13+K11+K15</f>
        <v>3118</v>
      </c>
      <c r="F13" s="70"/>
      <c r="G13" s="1"/>
      <c r="H13" s="49"/>
      <c r="I13" s="49"/>
      <c r="J13" s="26"/>
      <c r="K13" s="45"/>
      <c r="L13" s="113">
        <f>D13/(G8+G11)</f>
        <v>0.79949999999999999</v>
      </c>
      <c r="M13" s="107"/>
    </row>
    <row r="14" spans="1:13" ht="15" x14ac:dyDescent="0.25">
      <c r="A14" s="126"/>
      <c r="B14" s="127"/>
      <c r="C14" s="127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24"/>
      <c r="B15" s="125"/>
      <c r="C15" s="125"/>
      <c r="D15" s="52"/>
      <c r="E15" s="95"/>
      <c r="F15" s="65"/>
      <c r="G15" s="53"/>
      <c r="H15" s="54"/>
      <c r="I15" s="54"/>
      <c r="J15" s="26">
        <v>35</v>
      </c>
      <c r="K15" s="62">
        <f>J13-J15</f>
        <v>-35</v>
      </c>
      <c r="L15" s="113"/>
      <c r="M15" s="107"/>
    </row>
    <row r="16" spans="1:13" x14ac:dyDescent="0.3">
      <c r="A16" s="2" t="s">
        <v>9</v>
      </c>
      <c r="B16" s="3" t="s">
        <v>10</v>
      </c>
      <c r="C16" s="3" t="s">
        <v>15</v>
      </c>
      <c r="D16" s="3">
        <v>16</v>
      </c>
      <c r="E16" s="92"/>
      <c r="F16" s="69">
        <f>G17-D18+K19</f>
        <v>658</v>
      </c>
      <c r="G16" s="3" t="s">
        <v>33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11</v>
      </c>
      <c r="C17" s="1" t="s">
        <v>16</v>
      </c>
      <c r="D17" s="1">
        <v>1446</v>
      </c>
      <c r="E17" s="93"/>
      <c r="F17" s="70"/>
      <c r="G17" s="1">
        <v>2000</v>
      </c>
      <c r="H17" s="49"/>
      <c r="I17" s="73"/>
      <c r="J17" s="30">
        <v>168</v>
      </c>
      <c r="K17" s="45"/>
      <c r="L17" s="113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1462</v>
      </c>
      <c r="E18" s="94">
        <f>D18+K19</f>
        <v>1582</v>
      </c>
      <c r="F18" s="70"/>
      <c r="G18" s="1"/>
      <c r="H18" s="49"/>
      <c r="I18" s="73"/>
      <c r="J18" s="30" t="s">
        <v>44</v>
      </c>
      <c r="K18" s="45"/>
      <c r="L18" s="113"/>
      <c r="M18" s="107"/>
    </row>
    <row r="19" spans="1:13" ht="15.75" thickBot="1" x14ac:dyDescent="0.3">
      <c r="A19" s="124"/>
      <c r="B19" s="125"/>
      <c r="C19" s="125"/>
      <c r="D19" s="52"/>
      <c r="E19" s="95"/>
      <c r="F19" s="65"/>
      <c r="G19" s="53"/>
      <c r="H19" s="55"/>
      <c r="I19" s="74"/>
      <c r="J19" s="41">
        <v>48</v>
      </c>
      <c r="K19" s="63">
        <f>J17-J19</f>
        <v>120</v>
      </c>
      <c r="L19" s="113">
        <f>D18/G17</f>
        <v>0.73099999999999998</v>
      </c>
      <c r="M19" s="107"/>
    </row>
    <row r="20" spans="1:13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  <c r="M20" s="107"/>
    </row>
    <row r="21" spans="1:13" ht="15" x14ac:dyDescent="0.25">
      <c r="A21" s="4"/>
      <c r="B21" s="127"/>
      <c r="C21" s="127"/>
      <c r="D21" s="33"/>
      <c r="E21" s="94"/>
      <c r="F21" s="70"/>
      <c r="G21" s="58"/>
      <c r="H21" s="40">
        <v>234</v>
      </c>
      <c r="I21" s="23"/>
      <c r="J21" s="23">
        <f>48+62</f>
        <v>110</v>
      </c>
      <c r="K21" s="31"/>
      <c r="M21" s="107"/>
    </row>
    <row r="22" spans="1:13" ht="15" x14ac:dyDescent="0.25">
      <c r="A22" s="4"/>
      <c r="B22" s="1" t="s">
        <v>13</v>
      </c>
      <c r="C22" s="1" t="s">
        <v>15</v>
      </c>
      <c r="D22" s="1">
        <v>2309</v>
      </c>
      <c r="E22" s="93"/>
      <c r="F22" s="70">
        <f>G23-D24-H24-I24-K24</f>
        <v>1203</v>
      </c>
      <c r="G22" s="58" t="s">
        <v>34</v>
      </c>
      <c r="H22" s="56" t="s">
        <v>44</v>
      </c>
      <c r="I22" s="23"/>
      <c r="J22" s="23" t="s">
        <v>44</v>
      </c>
      <c r="K22" s="31"/>
      <c r="M22" s="107"/>
    </row>
    <row r="23" spans="1:13" ht="15" x14ac:dyDescent="0.25">
      <c r="A23" s="4"/>
      <c r="B23" s="1" t="s">
        <v>25</v>
      </c>
      <c r="C23" s="1" t="s">
        <v>18</v>
      </c>
      <c r="D23" s="1">
        <v>1848</v>
      </c>
      <c r="E23" s="93"/>
      <c r="F23" s="70"/>
      <c r="G23" s="58">
        <v>7333</v>
      </c>
      <c r="H23" s="40">
        <v>154</v>
      </c>
      <c r="I23" s="23"/>
      <c r="J23" s="23">
        <v>624</v>
      </c>
      <c r="K23" s="31"/>
      <c r="M23" s="107"/>
    </row>
    <row r="24" spans="1:13" ht="15" thickBot="1" x14ac:dyDescent="0.35">
      <c r="A24" s="248" t="s">
        <v>27</v>
      </c>
      <c r="B24" s="249"/>
      <c r="C24" s="249"/>
      <c r="D24" s="36">
        <f>SUM(D22:D23)</f>
        <v>4157</v>
      </c>
      <c r="E24" s="97">
        <f>D24+H24+I24+K24</f>
        <v>6130</v>
      </c>
      <c r="F24" s="71"/>
      <c r="G24" s="59"/>
      <c r="H24" s="119">
        <v>2407</v>
      </c>
      <c r="I24" s="25">
        <f>H21-H23</f>
        <v>80</v>
      </c>
      <c r="J24" s="38"/>
      <c r="K24" s="64">
        <f>+J21-J23</f>
        <v>-514</v>
      </c>
      <c r="L24" s="79">
        <f>D24/G23</f>
        <v>0.56688940406382105</v>
      </c>
      <c r="M24" s="108">
        <f>+E24/G23</f>
        <v>0.83594708850402288</v>
      </c>
    </row>
    <row r="25" spans="1:13" x14ac:dyDescent="0.3">
      <c r="A25" s="257"/>
      <c r="B25" s="257"/>
      <c r="C25" s="257"/>
    </row>
    <row r="27" spans="1:13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M28" sqref="A1:M28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54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11622</v>
      </c>
      <c r="E3" s="89"/>
      <c r="F3" s="67"/>
      <c r="G3" s="21"/>
      <c r="H3" s="23">
        <v>120</v>
      </c>
      <c r="I3" s="23"/>
      <c r="J3" s="23">
        <v>1440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722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14</v>
      </c>
      <c r="E5" s="90"/>
      <c r="F5" s="67"/>
      <c r="G5" s="21"/>
      <c r="H5" s="23">
        <v>48</v>
      </c>
      <c r="I5" s="23"/>
      <c r="J5" s="23">
        <f>955+504</f>
        <v>1459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12358</v>
      </c>
      <c r="E6" s="91">
        <f>D6+H6+I6+K6</f>
        <v>12411</v>
      </c>
      <c r="F6" s="68">
        <f>G6-D6-H6-I6-K6</f>
        <v>1089</v>
      </c>
      <c r="G6" s="43">
        <v>13500</v>
      </c>
      <c r="H6" s="118"/>
      <c r="I6" s="45">
        <f>H3-H5</f>
        <v>72</v>
      </c>
      <c r="J6" s="23"/>
      <c r="K6" s="60">
        <f>J3-J5</f>
        <v>-19</v>
      </c>
      <c r="L6" s="79">
        <f>D6/G6</f>
        <v>0.91540740740740745</v>
      </c>
      <c r="M6" s="108">
        <f>+E6/G6</f>
        <v>0.91933333333333334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369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911</v>
      </c>
      <c r="E8" s="93"/>
      <c r="F8" s="70">
        <f>G8-D8-D9-D12+K11</f>
        <v>127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1544</v>
      </c>
      <c r="E9" s="93"/>
      <c r="F9" s="70"/>
      <c r="G9" s="1" t="s">
        <v>32</v>
      </c>
      <c r="H9" s="49"/>
      <c r="I9" s="49"/>
      <c r="J9" s="26">
        <v>423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229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22</v>
      </c>
      <c r="E11" s="93"/>
      <c r="F11" s="70">
        <f>G11-D7-D11-D10+K15</f>
        <v>910</v>
      </c>
      <c r="G11" s="1">
        <v>1500</v>
      </c>
      <c r="H11" s="49"/>
      <c r="I11" s="49"/>
      <c r="J11" s="26">
        <v>306</v>
      </c>
      <c r="K11" s="62">
        <f>J9-J11</f>
        <v>117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35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3110</v>
      </c>
      <c r="E13" s="94">
        <f>D13+K11+K15</f>
        <v>3257</v>
      </c>
      <c r="F13" s="70"/>
      <c r="G13" s="1"/>
      <c r="H13" s="49"/>
      <c r="I13" s="49"/>
      <c r="J13" s="26">
        <v>30</v>
      </c>
      <c r="K13" s="45"/>
      <c r="L13" s="113">
        <f>D13/(G8+G11)</f>
        <v>0.77749999999999997</v>
      </c>
      <c r="M13" s="107"/>
    </row>
    <row r="14" spans="1:13" ht="15" x14ac:dyDescent="0.25">
      <c r="A14" s="126"/>
      <c r="B14" s="127"/>
      <c r="C14" s="127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24"/>
      <c r="B15" s="125"/>
      <c r="C15" s="125"/>
      <c r="D15" s="52"/>
      <c r="E15" s="95"/>
      <c r="F15" s="65"/>
      <c r="G15" s="53"/>
      <c r="H15" s="54"/>
      <c r="I15" s="54"/>
      <c r="J15" s="26"/>
      <c r="K15" s="62">
        <f>J13-J15</f>
        <v>30</v>
      </c>
      <c r="L15" s="113"/>
      <c r="M15" s="107"/>
    </row>
    <row r="16" spans="1:13" x14ac:dyDescent="0.3">
      <c r="A16" s="2" t="s">
        <v>9</v>
      </c>
      <c r="B16" s="3" t="s">
        <v>10</v>
      </c>
      <c r="C16" s="3" t="s">
        <v>15</v>
      </c>
      <c r="D16" s="3">
        <v>16</v>
      </c>
      <c r="E16" s="92"/>
      <c r="F16" s="69">
        <f>G17-D18+K19</f>
        <v>503</v>
      </c>
      <c r="G16" s="3" t="s">
        <v>33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11</v>
      </c>
      <c r="C17" s="1" t="s">
        <v>16</v>
      </c>
      <c r="D17" s="1">
        <v>1564</v>
      </c>
      <c r="E17" s="93"/>
      <c r="F17" s="70"/>
      <c r="G17" s="1">
        <v>2000</v>
      </c>
      <c r="H17" s="49"/>
      <c r="I17" s="73"/>
      <c r="J17" s="30">
        <v>155</v>
      </c>
      <c r="K17" s="45"/>
      <c r="L17" s="113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1580</v>
      </c>
      <c r="E18" s="94">
        <f>D18+K19</f>
        <v>1663</v>
      </c>
      <c r="F18" s="70"/>
      <c r="G18" s="1"/>
      <c r="H18" s="49"/>
      <c r="I18" s="73"/>
      <c r="J18" s="30" t="s">
        <v>44</v>
      </c>
      <c r="K18" s="45"/>
      <c r="L18" s="113"/>
      <c r="M18" s="107"/>
    </row>
    <row r="19" spans="1:13" ht="15.75" thickBot="1" x14ac:dyDescent="0.3">
      <c r="A19" s="124"/>
      <c r="B19" s="125"/>
      <c r="C19" s="125"/>
      <c r="D19" s="52"/>
      <c r="E19" s="95"/>
      <c r="F19" s="65"/>
      <c r="G19" s="53"/>
      <c r="H19" s="55"/>
      <c r="I19" s="74"/>
      <c r="J19" s="41">
        <v>72</v>
      </c>
      <c r="K19" s="63">
        <f>J17-J19</f>
        <v>83</v>
      </c>
      <c r="L19" s="113">
        <f>D18/G17</f>
        <v>0.79</v>
      </c>
      <c r="M19" s="107"/>
    </row>
    <row r="20" spans="1:13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  <c r="M20" s="107"/>
    </row>
    <row r="21" spans="1:13" ht="15" x14ac:dyDescent="0.25">
      <c r="A21" s="4"/>
      <c r="B21" s="127"/>
      <c r="C21" s="127"/>
      <c r="D21" s="33"/>
      <c r="E21" s="94"/>
      <c r="F21" s="70"/>
      <c r="G21" s="58"/>
      <c r="H21" s="40">
        <v>240</v>
      </c>
      <c r="I21" s="23"/>
      <c r="J21" s="23">
        <v>240</v>
      </c>
      <c r="K21" s="31"/>
      <c r="M21" s="107"/>
    </row>
    <row r="22" spans="1:13" ht="15" x14ac:dyDescent="0.25">
      <c r="A22" s="4"/>
      <c r="B22" s="1" t="s">
        <v>13</v>
      </c>
      <c r="C22" s="1" t="s">
        <v>15</v>
      </c>
      <c r="D22" s="1">
        <v>2309</v>
      </c>
      <c r="E22" s="93"/>
      <c r="F22" s="70">
        <f>G23-D24-H24-I24-K24</f>
        <v>3539</v>
      </c>
      <c r="G22" s="58" t="s">
        <v>34</v>
      </c>
      <c r="H22" s="56" t="s">
        <v>44</v>
      </c>
      <c r="I22" s="23"/>
      <c r="J22" s="23" t="s">
        <v>44</v>
      </c>
      <c r="K22" s="31"/>
      <c r="M22" s="107"/>
    </row>
    <row r="23" spans="1:13" ht="15" x14ac:dyDescent="0.25">
      <c r="A23" s="4"/>
      <c r="B23" s="1" t="s">
        <v>25</v>
      </c>
      <c r="C23" s="1" t="s">
        <v>18</v>
      </c>
      <c r="D23" s="1">
        <v>1504</v>
      </c>
      <c r="E23" s="93"/>
      <c r="F23" s="70"/>
      <c r="G23" s="58">
        <v>7333</v>
      </c>
      <c r="H23" s="40">
        <v>360</v>
      </c>
      <c r="I23" s="23"/>
      <c r="J23" s="23">
        <v>139</v>
      </c>
      <c r="K23" s="31"/>
      <c r="M23" s="107"/>
    </row>
    <row r="24" spans="1:13" ht="15" thickBot="1" x14ac:dyDescent="0.35">
      <c r="A24" s="248" t="s">
        <v>27</v>
      </c>
      <c r="B24" s="249"/>
      <c r="C24" s="249"/>
      <c r="D24" s="36">
        <f>SUM(D22:D23)</f>
        <v>3813</v>
      </c>
      <c r="E24" s="97">
        <f>D24+H24+I24+K24</f>
        <v>3794</v>
      </c>
      <c r="F24" s="71"/>
      <c r="G24" s="59"/>
      <c r="H24" s="119"/>
      <c r="I24" s="25">
        <f>H21-H23</f>
        <v>-120</v>
      </c>
      <c r="J24" s="38"/>
      <c r="K24" s="64">
        <f>+J21-J23</f>
        <v>101</v>
      </c>
      <c r="L24" s="79">
        <f>D24/G23</f>
        <v>0.51997818082640124</v>
      </c>
      <c r="M24" s="108">
        <f>+E24/G23</f>
        <v>0.51738715396154367</v>
      </c>
    </row>
    <row r="25" spans="1:13" x14ac:dyDescent="0.3">
      <c r="A25" s="257"/>
      <c r="B25" s="257"/>
      <c r="C25" s="257"/>
    </row>
    <row r="27" spans="1:13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P14" sqref="P14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50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11648</v>
      </c>
      <c r="E3" s="89"/>
      <c r="F3" s="67"/>
      <c r="G3" s="21"/>
      <c r="H3" s="23">
        <v>144</v>
      </c>
      <c r="I3" s="23"/>
      <c r="J3" s="23">
        <v>48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767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>
        <f>24+24</f>
        <v>48</v>
      </c>
      <c r="I5" s="23"/>
      <c r="J5" s="23">
        <f>453+805</f>
        <v>1258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12424</v>
      </c>
      <c r="E6" s="91">
        <f>D6+H6+I6+K6</f>
        <v>11917</v>
      </c>
      <c r="F6" s="68">
        <f>G6-D6-H6-I6-K6</f>
        <v>1583</v>
      </c>
      <c r="G6" s="43">
        <v>13500</v>
      </c>
      <c r="H6" s="118">
        <v>607</v>
      </c>
      <c r="I6" s="45">
        <f>H3-H5</f>
        <v>96</v>
      </c>
      <c r="J6" s="23"/>
      <c r="K6" s="60">
        <f>J3-J5</f>
        <v>-1210</v>
      </c>
      <c r="L6" s="79">
        <f>D6/G6</f>
        <v>0.92029629629629628</v>
      </c>
      <c r="M6" s="108">
        <f>+E6/G6</f>
        <v>0.88274074074074071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339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912</v>
      </c>
      <c r="E8" s="93"/>
      <c r="F8" s="70">
        <f>G8-D8-D9-D12+K11</f>
        <v>42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1561</v>
      </c>
      <c r="E9" s="93"/>
      <c r="F9" s="70"/>
      <c r="G9" s="1" t="s">
        <v>32</v>
      </c>
      <c r="H9" s="49"/>
      <c r="I9" s="49"/>
      <c r="J9" s="26">
        <v>60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229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960</v>
      </c>
      <c r="G11" s="1">
        <v>1500</v>
      </c>
      <c r="H11" s="49"/>
      <c r="I11" s="49"/>
      <c r="J11" s="26">
        <v>11</v>
      </c>
      <c r="K11" s="62">
        <f>J9-J11</f>
        <v>49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34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3095</v>
      </c>
      <c r="E13" s="94">
        <f>D13+K11+K15</f>
        <v>3192</v>
      </c>
      <c r="F13" s="70"/>
      <c r="G13" s="1"/>
      <c r="H13" s="49"/>
      <c r="I13" s="49"/>
      <c r="J13" s="26">
        <v>48</v>
      </c>
      <c r="K13" s="45"/>
      <c r="L13" s="113">
        <f>D13/(G8+G11)</f>
        <v>0.77375000000000005</v>
      </c>
      <c r="M13" s="107"/>
    </row>
    <row r="14" spans="1:13" ht="15" x14ac:dyDescent="0.25">
      <c r="A14" s="126"/>
      <c r="B14" s="127"/>
      <c r="C14" s="127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24"/>
      <c r="B15" s="125"/>
      <c r="C15" s="125"/>
      <c r="D15" s="52"/>
      <c r="E15" s="95"/>
      <c r="F15" s="65"/>
      <c r="G15" s="53"/>
      <c r="H15" s="54"/>
      <c r="I15" s="54"/>
      <c r="J15" s="26"/>
      <c r="K15" s="62">
        <f>J13-J15</f>
        <v>48</v>
      </c>
      <c r="L15" s="113"/>
      <c r="M15" s="107"/>
    </row>
    <row r="16" spans="1:13" x14ac:dyDescent="0.3">
      <c r="A16" s="2" t="s">
        <v>9</v>
      </c>
      <c r="B16" s="3" t="s">
        <v>10</v>
      </c>
      <c r="C16" s="3" t="s">
        <v>15</v>
      </c>
      <c r="D16" s="3">
        <v>13</v>
      </c>
      <c r="E16" s="92"/>
      <c r="F16" s="69">
        <f>G17-D18+K19</f>
        <v>390</v>
      </c>
      <c r="G16" s="3" t="s">
        <v>33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11</v>
      </c>
      <c r="C17" s="1" t="s">
        <v>16</v>
      </c>
      <c r="D17" s="1">
        <v>1624</v>
      </c>
      <c r="E17" s="93"/>
      <c r="F17" s="70"/>
      <c r="G17" s="1">
        <v>2000</v>
      </c>
      <c r="H17" s="49"/>
      <c r="I17" s="73"/>
      <c r="J17" s="30">
        <v>144</v>
      </c>
      <c r="K17" s="45"/>
      <c r="L17" s="113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1637</v>
      </c>
      <c r="E18" s="94">
        <f>D18+K19</f>
        <v>1664</v>
      </c>
      <c r="F18" s="70"/>
      <c r="G18" s="1"/>
      <c r="H18" s="49"/>
      <c r="I18" s="73"/>
      <c r="J18" s="30" t="s">
        <v>44</v>
      </c>
      <c r="K18" s="45"/>
      <c r="L18" s="113"/>
      <c r="M18" s="107"/>
    </row>
    <row r="19" spans="1:13" ht="15.75" thickBot="1" x14ac:dyDescent="0.3">
      <c r="A19" s="124"/>
      <c r="B19" s="125"/>
      <c r="C19" s="125"/>
      <c r="D19" s="52"/>
      <c r="E19" s="95"/>
      <c r="F19" s="65"/>
      <c r="G19" s="53"/>
      <c r="H19" s="55"/>
      <c r="I19" s="74"/>
      <c r="J19" s="41">
        <v>117</v>
      </c>
      <c r="K19" s="63">
        <f>J17-J19</f>
        <v>27</v>
      </c>
      <c r="L19" s="113">
        <f>D18/G17</f>
        <v>0.81850000000000001</v>
      </c>
      <c r="M19" s="107"/>
    </row>
    <row r="20" spans="1:13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  <c r="M20" s="107"/>
    </row>
    <row r="21" spans="1:13" ht="15" x14ac:dyDescent="0.25">
      <c r="A21" s="4"/>
      <c r="B21" s="127"/>
      <c r="C21" s="127"/>
      <c r="D21" s="33"/>
      <c r="E21" s="94"/>
      <c r="F21" s="70"/>
      <c r="G21" s="58"/>
      <c r="H21" s="40">
        <v>250</v>
      </c>
      <c r="I21" s="23"/>
      <c r="J21" s="23">
        <f>144+240</f>
        <v>384</v>
      </c>
      <c r="K21" s="31"/>
      <c r="M21" s="107"/>
    </row>
    <row r="22" spans="1:13" ht="15" x14ac:dyDescent="0.25">
      <c r="A22" s="4"/>
      <c r="B22" s="1" t="s">
        <v>13</v>
      </c>
      <c r="C22" s="1" t="s">
        <v>15</v>
      </c>
      <c r="D22" s="1">
        <v>2242</v>
      </c>
      <c r="E22" s="93"/>
      <c r="F22" s="70">
        <f>G23-D24-H24-I24-K24</f>
        <v>872</v>
      </c>
      <c r="G22" s="58" t="s">
        <v>34</v>
      </c>
      <c r="H22" s="56" t="s">
        <v>44</v>
      </c>
      <c r="I22" s="23"/>
      <c r="J22" s="23" t="s">
        <v>44</v>
      </c>
      <c r="K22" s="31"/>
      <c r="M22" s="107"/>
    </row>
    <row r="23" spans="1:13" ht="15" x14ac:dyDescent="0.25">
      <c r="A23" s="4"/>
      <c r="B23" s="1" t="s">
        <v>25</v>
      </c>
      <c r="C23" s="1" t="s">
        <v>18</v>
      </c>
      <c r="D23" s="1">
        <v>1719</v>
      </c>
      <c r="E23" s="93"/>
      <c r="F23" s="70"/>
      <c r="G23" s="58">
        <v>7333</v>
      </c>
      <c r="H23" s="40">
        <f>26+24+26+24+24+24+26+24+24+24+24+26</f>
        <v>296</v>
      </c>
      <c r="I23" s="23"/>
      <c r="J23" s="23">
        <f>49+112</f>
        <v>161</v>
      </c>
      <c r="K23" s="31"/>
      <c r="M23" s="107"/>
    </row>
    <row r="24" spans="1:13" ht="15" thickBot="1" x14ac:dyDescent="0.35">
      <c r="A24" s="248" t="s">
        <v>27</v>
      </c>
      <c r="B24" s="249"/>
      <c r="C24" s="249"/>
      <c r="D24" s="36">
        <f>SUM(D22:D23)</f>
        <v>3961</v>
      </c>
      <c r="E24" s="97">
        <f>D24+H24+I24+K24</f>
        <v>6461</v>
      </c>
      <c r="F24" s="71"/>
      <c r="G24" s="59"/>
      <c r="H24" s="119">
        <v>2323</v>
      </c>
      <c r="I24" s="25">
        <f>H21-H23</f>
        <v>-46</v>
      </c>
      <c r="J24" s="38"/>
      <c r="K24" s="64">
        <f>+J21-J23</f>
        <v>223</v>
      </c>
      <c r="L24" s="79">
        <f>D24/G23</f>
        <v>0.54016091640529118</v>
      </c>
      <c r="M24" s="108">
        <f>+E24/G23</f>
        <v>0.88108550388654028</v>
      </c>
    </row>
    <row r="25" spans="1:13" x14ac:dyDescent="0.3">
      <c r="A25" s="257"/>
      <c r="B25" s="257"/>
      <c r="C25" s="257"/>
    </row>
    <row r="27" spans="1:13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H31" sqref="H31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50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11634</v>
      </c>
      <c r="E3" s="89"/>
      <c r="F3" s="67"/>
      <c r="G3" s="21"/>
      <c r="H3" s="23">
        <v>96</v>
      </c>
      <c r="I3" s="23"/>
      <c r="J3" s="23">
        <v>1392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912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>
        <f>24+24</f>
        <v>48</v>
      </c>
      <c r="I5" s="23"/>
      <c r="J5" s="23">
        <f>428+206</f>
        <v>634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12555</v>
      </c>
      <c r="E6" s="91">
        <f>D6+H6+I6+K6</f>
        <v>14040</v>
      </c>
      <c r="F6" s="68">
        <f>G6-D6-H6-I6-K6</f>
        <v>-540</v>
      </c>
      <c r="G6" s="43">
        <v>13500</v>
      </c>
      <c r="H6" s="118">
        <v>679</v>
      </c>
      <c r="I6" s="45">
        <f>H3-H5</f>
        <v>48</v>
      </c>
      <c r="J6" s="23"/>
      <c r="K6" s="60">
        <f>J3-J5</f>
        <v>758</v>
      </c>
      <c r="L6" s="79">
        <f>D6/G6</f>
        <v>0.93</v>
      </c>
      <c r="M6" s="108">
        <f>+E6/G6</f>
        <v>1.04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328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936</v>
      </c>
      <c r="E8" s="93"/>
      <c r="F8" s="70">
        <f>G8-D8-D9-D12+K11</f>
        <v>-519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1764</v>
      </c>
      <c r="E9" s="93"/>
      <c r="F9" s="70"/>
      <c r="G9" s="1" t="s">
        <v>32</v>
      </c>
      <c r="H9" s="49"/>
      <c r="I9" s="49"/>
      <c r="J9" s="26">
        <v>156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281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871</v>
      </c>
      <c r="G11" s="1">
        <v>1500</v>
      </c>
      <c r="H11" s="49"/>
      <c r="I11" s="49"/>
      <c r="J11" s="26">
        <f>306+135</f>
        <v>441</v>
      </c>
      <c r="K11" s="62">
        <f>J9-J11</f>
        <v>-285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34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3363</v>
      </c>
      <c r="E13" s="94">
        <f>D13+K11+K15</f>
        <v>3078</v>
      </c>
      <c r="F13" s="70"/>
      <c r="G13" s="1"/>
      <c r="H13" s="49"/>
      <c r="I13" s="49"/>
      <c r="J13" s="26"/>
      <c r="K13" s="45"/>
      <c r="L13" s="113">
        <f>D13/(G8+G11)</f>
        <v>0.84075</v>
      </c>
      <c r="M13" s="107"/>
    </row>
    <row r="14" spans="1:13" ht="15" x14ac:dyDescent="0.25">
      <c r="A14" s="126"/>
      <c r="B14" s="127"/>
      <c r="C14" s="127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24"/>
      <c r="B15" s="125"/>
      <c r="C15" s="125"/>
      <c r="D15" s="52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10</v>
      </c>
      <c r="C16" s="3" t="s">
        <v>15</v>
      </c>
      <c r="D16" s="3">
        <v>13</v>
      </c>
      <c r="E16" s="92"/>
      <c r="F16" s="69">
        <f>G17-D18+K19</f>
        <v>416</v>
      </c>
      <c r="G16" s="3" t="s">
        <v>33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11</v>
      </c>
      <c r="C17" s="1" t="s">
        <v>16</v>
      </c>
      <c r="D17" s="1">
        <v>1624</v>
      </c>
      <c r="E17" s="93"/>
      <c r="F17" s="70"/>
      <c r="G17" s="1">
        <v>2000</v>
      </c>
      <c r="H17" s="49"/>
      <c r="I17" s="73"/>
      <c r="J17" s="30">
        <v>120</v>
      </c>
      <c r="K17" s="45"/>
      <c r="L17" s="113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1637</v>
      </c>
      <c r="E18" s="94">
        <f>D18+K19</f>
        <v>1690</v>
      </c>
      <c r="F18" s="70"/>
      <c r="G18" s="1"/>
      <c r="H18" s="49"/>
      <c r="I18" s="73"/>
      <c r="J18" s="30" t="s">
        <v>44</v>
      </c>
      <c r="K18" s="45"/>
      <c r="L18" s="113"/>
      <c r="M18" s="107"/>
    </row>
    <row r="19" spans="1:13" ht="15.75" thickBot="1" x14ac:dyDescent="0.3">
      <c r="A19" s="124"/>
      <c r="B19" s="125"/>
      <c r="C19" s="125"/>
      <c r="D19" s="52"/>
      <c r="E19" s="95"/>
      <c r="F19" s="65"/>
      <c r="G19" s="53"/>
      <c r="H19" s="55"/>
      <c r="I19" s="74"/>
      <c r="J19" s="41">
        <v>67</v>
      </c>
      <c r="K19" s="63">
        <f>J17-J19</f>
        <v>53</v>
      </c>
      <c r="L19" s="113">
        <f>D18/G17</f>
        <v>0.81850000000000001</v>
      </c>
      <c r="M19" s="107"/>
    </row>
    <row r="20" spans="1:13" x14ac:dyDescent="0.3">
      <c r="A20" s="2" t="s">
        <v>12</v>
      </c>
      <c r="B20" s="34"/>
      <c r="C20" s="34"/>
      <c r="D20" s="35"/>
      <c r="E20" s="96"/>
      <c r="F20" s="69"/>
      <c r="G20" s="57"/>
      <c r="H20" s="40" t="s">
        <v>43</v>
      </c>
      <c r="I20" s="23" t="s">
        <v>35</v>
      </c>
      <c r="J20" s="23" t="s">
        <v>43</v>
      </c>
      <c r="K20" s="31"/>
      <c r="M20" s="107"/>
    </row>
    <row r="21" spans="1:13" ht="15" x14ac:dyDescent="0.25">
      <c r="A21" s="4"/>
      <c r="B21" s="127"/>
      <c r="C21" s="127"/>
      <c r="D21" s="33"/>
      <c r="E21" s="94"/>
      <c r="F21" s="70"/>
      <c r="G21" s="58"/>
      <c r="H21" s="40">
        <f>178</f>
        <v>178</v>
      </c>
      <c r="I21" s="23"/>
      <c r="J21" s="23">
        <v>336</v>
      </c>
      <c r="K21" s="31"/>
      <c r="M21" s="107"/>
    </row>
    <row r="22" spans="1:13" ht="15" x14ac:dyDescent="0.25">
      <c r="A22" s="4"/>
      <c r="B22" s="1" t="s">
        <v>13</v>
      </c>
      <c r="C22" s="1" t="s">
        <v>15</v>
      </c>
      <c r="D22" s="1">
        <v>2239</v>
      </c>
      <c r="E22" s="93"/>
      <c r="F22" s="70">
        <f>G23-D24-H24-I24-K24</f>
        <v>817</v>
      </c>
      <c r="G22" s="58" t="s">
        <v>34</v>
      </c>
      <c r="H22" s="56" t="s">
        <v>44</v>
      </c>
      <c r="I22" s="23"/>
      <c r="J22" s="23" t="s">
        <v>44</v>
      </c>
      <c r="K22" s="31"/>
      <c r="M22" s="107"/>
    </row>
    <row r="23" spans="1:13" ht="15" x14ac:dyDescent="0.25">
      <c r="A23" s="4"/>
      <c r="B23" s="1" t="s">
        <v>25</v>
      </c>
      <c r="C23" s="1" t="s">
        <v>18</v>
      </c>
      <c r="D23" s="1">
        <v>1846</v>
      </c>
      <c r="E23" s="93"/>
      <c r="F23" s="70"/>
      <c r="G23" s="58">
        <v>7013</v>
      </c>
      <c r="H23" s="40">
        <f>48+26+26+26</f>
        <v>126</v>
      </c>
      <c r="I23" s="23"/>
      <c r="J23" s="23">
        <v>453</v>
      </c>
      <c r="K23" s="31"/>
      <c r="M23" s="107"/>
    </row>
    <row r="24" spans="1:13" ht="15" thickBot="1" x14ac:dyDescent="0.35">
      <c r="A24" s="248" t="s">
        <v>27</v>
      </c>
      <c r="B24" s="249"/>
      <c r="C24" s="249"/>
      <c r="D24" s="36">
        <f>SUM(D22:D23)</f>
        <v>4085</v>
      </c>
      <c r="E24" s="97">
        <f>D24+H24+I24+K24</f>
        <v>6196</v>
      </c>
      <c r="F24" s="71"/>
      <c r="G24" s="59"/>
      <c r="H24" s="119">
        <v>2176</v>
      </c>
      <c r="I24" s="25">
        <f>H21-H23</f>
        <v>52</v>
      </c>
      <c r="J24" s="38"/>
      <c r="K24" s="64">
        <f>+J21-J23</f>
        <v>-117</v>
      </c>
      <c r="L24" s="79">
        <f>D24/G23</f>
        <v>0.58248966205618136</v>
      </c>
      <c r="M24" s="108">
        <f>+E24/G23</f>
        <v>0.88350206758876371</v>
      </c>
    </row>
    <row r="25" spans="1:13" x14ac:dyDescent="0.3">
      <c r="A25" s="257"/>
      <c r="B25" s="257"/>
      <c r="C25" s="257"/>
    </row>
    <row r="27" spans="1:13" x14ac:dyDescent="0.3">
      <c r="A27" s="19" t="s">
        <v>37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6">
    <mergeCell ref="A25:C25"/>
    <mergeCell ref="A1:D1"/>
    <mergeCell ref="A6:C6"/>
    <mergeCell ref="A13:C13"/>
    <mergeCell ref="A18:C18"/>
    <mergeCell ref="A24:C24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H6" sqref="H6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12063</v>
      </c>
      <c r="E3" s="89"/>
      <c r="F3" s="67"/>
      <c r="G3" s="21"/>
      <c r="H3" s="23">
        <f>72+48</f>
        <v>120</v>
      </c>
      <c r="I3" s="23"/>
      <c r="J3" s="23">
        <v>792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1116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>
        <f>24+24</f>
        <v>48</v>
      </c>
      <c r="I5" s="23"/>
      <c r="J5" s="23">
        <f>811+509</f>
        <v>1320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13188</v>
      </c>
      <c r="E6" s="91">
        <f>D6+H6+I6+K6</f>
        <v>13461</v>
      </c>
      <c r="F6" s="68">
        <f>G6-D6-H6-I6-K6</f>
        <v>39</v>
      </c>
      <c r="G6" s="43">
        <v>13500</v>
      </c>
      <c r="H6" s="118">
        <v>729</v>
      </c>
      <c r="I6" s="45">
        <f>H3-H5</f>
        <v>72</v>
      </c>
      <c r="J6" s="23"/>
      <c r="K6" s="60">
        <f>J3-J5</f>
        <v>-528</v>
      </c>
      <c r="L6" s="79">
        <f>D6/G6</f>
        <v>0.97688888888888892</v>
      </c>
      <c r="M6" s="108">
        <f>+E6/G6</f>
        <v>0.99711111111111106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328</v>
      </c>
      <c r="E7" s="92"/>
      <c r="F7" s="69"/>
      <c r="G7" s="3" t="s">
        <v>31</v>
      </c>
      <c r="H7" s="48"/>
      <c r="I7" s="48"/>
      <c r="J7" s="46"/>
      <c r="K7" s="61"/>
      <c r="M7" s="107"/>
    </row>
    <row r="8" spans="1:13" ht="15" x14ac:dyDescent="0.25">
      <c r="A8" s="4"/>
      <c r="B8" s="1" t="s">
        <v>7</v>
      </c>
      <c r="C8" s="1" t="s">
        <v>24</v>
      </c>
      <c r="D8" s="1">
        <v>801</v>
      </c>
      <c r="E8" s="93"/>
      <c r="F8" s="70">
        <f>G8-D8-D9-D12+K11</f>
        <v>132</v>
      </c>
      <c r="G8" s="1">
        <v>2500</v>
      </c>
      <c r="H8" s="49"/>
      <c r="I8" s="49"/>
      <c r="J8" s="26" t="s">
        <v>43</v>
      </c>
      <c r="K8" s="45"/>
      <c r="M8" s="107"/>
    </row>
    <row r="9" spans="1:13" x14ac:dyDescent="0.3">
      <c r="A9" s="4"/>
      <c r="B9" s="1" t="s">
        <v>8</v>
      </c>
      <c r="C9" s="1" t="s">
        <v>16</v>
      </c>
      <c r="D9" s="1">
        <v>1627</v>
      </c>
      <c r="E9" s="93"/>
      <c r="F9" s="70"/>
      <c r="G9" s="1" t="s">
        <v>32</v>
      </c>
      <c r="H9" s="49"/>
      <c r="I9" s="49"/>
      <c r="J9" s="26">
        <v>156</v>
      </c>
      <c r="K9" s="45"/>
      <c r="M9" s="107"/>
    </row>
    <row r="10" spans="1:13" ht="15" x14ac:dyDescent="0.25">
      <c r="A10" s="4"/>
      <c r="B10" s="1" t="s">
        <v>39</v>
      </c>
      <c r="C10" s="1" t="s">
        <v>40</v>
      </c>
      <c r="D10" s="1">
        <v>274</v>
      </c>
      <c r="E10" s="93"/>
      <c r="F10" s="70"/>
      <c r="G10" s="1"/>
      <c r="H10" s="49"/>
      <c r="I10" s="49"/>
      <c r="J10" s="26" t="s">
        <v>44</v>
      </c>
      <c r="K10" s="45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734</v>
      </c>
      <c r="G11" s="1">
        <v>1500</v>
      </c>
      <c r="H11" s="49"/>
      <c r="I11" s="49"/>
      <c r="J11" s="26">
        <v>62</v>
      </c>
      <c r="K11" s="62">
        <f>J9-J11</f>
        <v>94</v>
      </c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34</v>
      </c>
      <c r="E12" s="93"/>
      <c r="F12" s="70"/>
      <c r="G12" s="1"/>
      <c r="H12" s="49"/>
      <c r="I12" s="49"/>
      <c r="J12" s="26" t="s">
        <v>43</v>
      </c>
      <c r="K12" s="45"/>
      <c r="M12" s="107"/>
    </row>
    <row r="13" spans="1:13" ht="15" x14ac:dyDescent="0.25">
      <c r="A13" s="255" t="s">
        <v>27</v>
      </c>
      <c r="B13" s="256"/>
      <c r="C13" s="256"/>
      <c r="D13" s="33">
        <f>SUM(D7:D12)</f>
        <v>3084</v>
      </c>
      <c r="E13" s="94">
        <f>D13+K11+K15</f>
        <v>3034</v>
      </c>
      <c r="F13" s="70"/>
      <c r="G13" s="1"/>
      <c r="H13" s="49"/>
      <c r="I13" s="49"/>
      <c r="J13" s="26"/>
      <c r="K13" s="45"/>
      <c r="L13" s="113">
        <f>D13/(G8+G11)</f>
        <v>0.77100000000000002</v>
      </c>
      <c r="M13" s="107"/>
    </row>
    <row r="14" spans="1:13" ht="15" x14ac:dyDescent="0.25">
      <c r="A14" s="130"/>
      <c r="B14" s="131"/>
      <c r="C14" s="131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28"/>
      <c r="B15" s="129"/>
      <c r="C15" s="129"/>
      <c r="D15" s="52"/>
      <c r="E15" s="95"/>
      <c r="F15" s="65"/>
      <c r="G15" s="53"/>
      <c r="H15" s="54"/>
      <c r="I15" s="54"/>
      <c r="J15" s="26">
        <v>144</v>
      </c>
      <c r="K15" s="62">
        <f>J13-J15</f>
        <v>-144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3"/>
      <c r="E16" s="92"/>
      <c r="F16" s="69">
        <f>G17-D18+K20</f>
        <v>4000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"/>
      <c r="E17" s="93"/>
      <c r="F17" s="70"/>
      <c r="G17" s="1">
        <v>4000</v>
      </c>
      <c r="H17" s="49"/>
      <c r="I17" s="73"/>
      <c r="J17" s="30">
        <v>216</v>
      </c>
      <c r="K17" s="45"/>
      <c r="L17" s="113"/>
      <c r="M17" s="107"/>
    </row>
    <row r="18" spans="1:13" ht="15" x14ac:dyDescent="0.25">
      <c r="A18" s="255" t="s">
        <v>27</v>
      </c>
      <c r="B18" s="256"/>
      <c r="C18" s="256"/>
      <c r="D18" s="33">
        <f>SUM(D16:D17)</f>
        <v>0</v>
      </c>
      <c r="E18" s="94">
        <f>D18+K20</f>
        <v>0</v>
      </c>
      <c r="F18" s="70"/>
      <c r="G18" s="1"/>
      <c r="H18" s="49"/>
      <c r="I18" s="73"/>
      <c r="J18" s="30" t="s">
        <v>44</v>
      </c>
      <c r="K18" s="45"/>
      <c r="L18" s="113"/>
      <c r="M18" s="107"/>
    </row>
    <row r="19" spans="1:13" ht="15.75" thickBot="1" x14ac:dyDescent="0.3">
      <c r="A19" s="132"/>
      <c r="B19" s="133"/>
      <c r="C19" s="133"/>
      <c r="D19" s="134"/>
      <c r="E19" s="135"/>
      <c r="F19" s="136"/>
      <c r="G19" s="137"/>
      <c r="H19" s="138"/>
      <c r="I19" s="139"/>
      <c r="J19" s="30"/>
      <c r="K19" s="45"/>
      <c r="L19" s="113"/>
      <c r="M19" s="107"/>
    </row>
    <row r="20" spans="1:13" x14ac:dyDescent="0.3">
      <c r="A20" s="2" t="s">
        <v>9</v>
      </c>
      <c r="B20" s="3" t="s">
        <v>10</v>
      </c>
      <c r="C20" s="3" t="s">
        <v>15</v>
      </c>
      <c r="D20" s="3">
        <v>13</v>
      </c>
      <c r="E20" s="92"/>
      <c r="F20" s="69">
        <f>G21-D22+K23</f>
        <v>382</v>
      </c>
      <c r="G20" s="3" t="s">
        <v>58</v>
      </c>
      <c r="H20" s="48"/>
      <c r="I20" s="72"/>
      <c r="J20" s="39" t="s">
        <v>43</v>
      </c>
      <c r="K20" s="61"/>
      <c r="L20" s="113"/>
      <c r="M20" s="107"/>
    </row>
    <row r="21" spans="1:13" ht="15" x14ac:dyDescent="0.25">
      <c r="A21" s="4"/>
      <c r="B21" s="1" t="s">
        <v>11</v>
      </c>
      <c r="C21" s="1" t="s">
        <v>16</v>
      </c>
      <c r="D21" s="1">
        <v>1690</v>
      </c>
      <c r="E21" s="93"/>
      <c r="F21" s="70"/>
      <c r="G21" s="1">
        <v>2000</v>
      </c>
      <c r="H21" s="49"/>
      <c r="I21" s="73"/>
      <c r="J21" s="30">
        <v>192</v>
      </c>
      <c r="K21" s="45"/>
      <c r="L21" s="113"/>
      <c r="M21" s="107"/>
    </row>
    <row r="22" spans="1:13" ht="15" x14ac:dyDescent="0.25">
      <c r="A22" s="255" t="s">
        <v>27</v>
      </c>
      <c r="B22" s="256"/>
      <c r="C22" s="256"/>
      <c r="D22" s="33">
        <f>SUM(D20:D21)</f>
        <v>1703</v>
      </c>
      <c r="E22" s="94">
        <f>D22+K23</f>
        <v>1788</v>
      </c>
      <c r="F22" s="70"/>
      <c r="G22" s="1"/>
      <c r="H22" s="49"/>
      <c r="I22" s="73"/>
      <c r="J22" s="30" t="s">
        <v>44</v>
      </c>
      <c r="K22" s="45"/>
      <c r="L22" s="113"/>
      <c r="M22" s="107"/>
    </row>
    <row r="23" spans="1:13" ht="15.75" thickBot="1" x14ac:dyDescent="0.3">
      <c r="A23" s="128"/>
      <c r="B23" s="129"/>
      <c r="C23" s="129"/>
      <c r="D23" s="52"/>
      <c r="E23" s="95"/>
      <c r="F23" s="65"/>
      <c r="G23" s="53"/>
      <c r="H23" s="55"/>
      <c r="I23" s="74"/>
      <c r="J23" s="41">
        <v>107</v>
      </c>
      <c r="K23" s="63">
        <f>J21-J23</f>
        <v>85</v>
      </c>
      <c r="L23" s="113">
        <f>D22/G21</f>
        <v>0.85150000000000003</v>
      </c>
      <c r="M23" s="107"/>
    </row>
    <row r="24" spans="1:13" x14ac:dyDescent="0.3">
      <c r="A24" s="2" t="s">
        <v>12</v>
      </c>
      <c r="B24" s="34"/>
      <c r="C24" s="34"/>
      <c r="D24" s="35"/>
      <c r="E24" s="96"/>
      <c r="F24" s="69"/>
      <c r="G24" s="57"/>
      <c r="H24" s="40" t="s">
        <v>43</v>
      </c>
      <c r="I24" s="23" t="s">
        <v>35</v>
      </c>
      <c r="J24" s="23" t="s">
        <v>43</v>
      </c>
      <c r="K24" s="31"/>
      <c r="M24" s="107"/>
    </row>
    <row r="25" spans="1:13" x14ac:dyDescent="0.3">
      <c r="A25" s="4"/>
      <c r="B25" s="131"/>
      <c r="C25" s="131"/>
      <c r="D25" s="33"/>
      <c r="E25" s="94"/>
      <c r="F25" s="70"/>
      <c r="G25" s="58"/>
      <c r="H25" s="40">
        <f>156+104</f>
        <v>260</v>
      </c>
      <c r="I25" s="23"/>
      <c r="J25" s="23">
        <v>792</v>
      </c>
      <c r="K25" s="31"/>
      <c r="M25" s="107"/>
    </row>
    <row r="26" spans="1:13" x14ac:dyDescent="0.3">
      <c r="A26" s="4"/>
      <c r="B26" s="1" t="s">
        <v>13</v>
      </c>
      <c r="C26" s="1" t="s">
        <v>15</v>
      </c>
      <c r="D26" s="1">
        <v>2242</v>
      </c>
      <c r="E26" s="93"/>
      <c r="F26" s="70">
        <f>G27-D28-H28-I28-K28</f>
        <v>-19</v>
      </c>
      <c r="G26" s="58" t="s">
        <v>34</v>
      </c>
      <c r="H26" s="56" t="s">
        <v>44</v>
      </c>
      <c r="I26" s="23"/>
      <c r="J26" s="23" t="s">
        <v>44</v>
      </c>
      <c r="K26" s="31"/>
      <c r="M26" s="107"/>
    </row>
    <row r="27" spans="1:13" x14ac:dyDescent="0.3">
      <c r="A27" s="4"/>
      <c r="B27" s="1" t="s">
        <v>25</v>
      </c>
      <c r="C27" s="1" t="s">
        <v>18</v>
      </c>
      <c r="D27" s="1">
        <v>1799</v>
      </c>
      <c r="E27" s="93"/>
      <c r="F27" s="70"/>
      <c r="G27" s="58">
        <v>7013</v>
      </c>
      <c r="H27" s="40">
        <f>26+24+26+24+24+24+26+26+26+26+26+26</f>
        <v>304</v>
      </c>
      <c r="I27" s="23"/>
      <c r="J27" s="23">
        <f>72+20</f>
        <v>92</v>
      </c>
      <c r="K27" s="31"/>
      <c r="M27" s="107"/>
    </row>
    <row r="28" spans="1:13" ht="15" thickBot="1" x14ac:dyDescent="0.35">
      <c r="A28" s="248" t="s">
        <v>27</v>
      </c>
      <c r="B28" s="249"/>
      <c r="C28" s="249"/>
      <c r="D28" s="36">
        <f>SUM(D26:D27)</f>
        <v>4041</v>
      </c>
      <c r="E28" s="97">
        <f>D28+H28+I28+K28</f>
        <v>7032</v>
      </c>
      <c r="F28" s="71"/>
      <c r="G28" s="59"/>
      <c r="H28" s="119">
        <v>2335</v>
      </c>
      <c r="I28" s="25">
        <f>H25-H27</f>
        <v>-44</v>
      </c>
      <c r="J28" s="38"/>
      <c r="K28" s="64">
        <f>+J25-J27</f>
        <v>700</v>
      </c>
      <c r="L28" s="79">
        <f>D28/G27</f>
        <v>0.57621559960074153</v>
      </c>
      <c r="M28" s="108">
        <f>+E28/G27</f>
        <v>1.0027092542421219</v>
      </c>
    </row>
    <row r="29" spans="1:13" x14ac:dyDescent="0.3">
      <c r="A29" s="257"/>
      <c r="B29" s="257"/>
      <c r="C29" s="257"/>
    </row>
    <row r="31" spans="1:13" x14ac:dyDescent="0.3">
      <c r="A31" s="19" t="s">
        <v>37</v>
      </c>
      <c r="B31" s="19"/>
      <c r="C31" s="19"/>
      <c r="D31" s="19"/>
      <c r="E31" s="19"/>
      <c r="F31" s="19"/>
      <c r="G31" s="19"/>
      <c r="H31" s="19"/>
      <c r="I31" s="19"/>
      <c r="J31" s="19"/>
    </row>
  </sheetData>
  <mergeCells count="7">
    <mergeCell ref="A29:C29"/>
    <mergeCell ref="A18:C18"/>
    <mergeCell ref="A1:D1"/>
    <mergeCell ref="A6:C6"/>
    <mergeCell ref="A13:C13"/>
    <mergeCell ref="A22:C22"/>
    <mergeCell ref="A28:C28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H33" sqref="H33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11320</v>
      </c>
      <c r="E3" s="89"/>
      <c r="F3" s="67"/>
      <c r="G3" s="21"/>
      <c r="H3" s="23">
        <f>72+48</f>
        <v>120</v>
      </c>
      <c r="I3" s="23"/>
      <c r="J3" s="23">
        <v>936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1119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>
        <v>72</v>
      </c>
      <c r="I5" s="23"/>
      <c r="J5" s="23">
        <f>982+385</f>
        <v>1367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12448</v>
      </c>
      <c r="E6" s="91">
        <f>D6+H6+I6+K6</f>
        <v>12890</v>
      </c>
      <c r="F6" s="68">
        <f>G6-D6-H6-I6-K6</f>
        <v>610</v>
      </c>
      <c r="G6" s="43">
        <v>13500</v>
      </c>
      <c r="H6" s="118">
        <v>825</v>
      </c>
      <c r="I6" s="45">
        <f>H3-H5</f>
        <v>48</v>
      </c>
      <c r="J6" s="23"/>
      <c r="K6" s="60">
        <f>J3-J5</f>
        <v>-431</v>
      </c>
      <c r="L6" s="113">
        <f>D6/G6</f>
        <v>0.92207407407407405</v>
      </c>
      <c r="M6" s="108">
        <f>+E6/G6</f>
        <v>0.95481481481481478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424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">
        <v>739</v>
      </c>
      <c r="E8" s="93"/>
      <c r="F8" s="70">
        <f>G8-D8-D9-D12+K11</f>
        <v>-45</v>
      </c>
      <c r="G8" s="1">
        <v>2500</v>
      </c>
      <c r="H8" s="49"/>
      <c r="I8" s="49">
        <f>+D8+D9+D12</f>
        <v>2559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">
        <v>1786</v>
      </c>
      <c r="E9" s="93"/>
      <c r="F9" s="70"/>
      <c r="G9" s="1" t="s">
        <v>32</v>
      </c>
      <c r="H9" s="49"/>
      <c r="I9" s="49"/>
      <c r="J9" s="26">
        <v>496</v>
      </c>
      <c r="K9" s="45"/>
      <c r="L9" s="113">
        <f>+I8/G8</f>
        <v>1.0236000000000001</v>
      </c>
      <c r="M9" s="107"/>
    </row>
    <row r="10" spans="1:13" ht="15" x14ac:dyDescent="0.25">
      <c r="A10" s="4"/>
      <c r="B10" s="1" t="s">
        <v>39</v>
      </c>
      <c r="C10" s="1" t="s">
        <v>40</v>
      </c>
      <c r="D10" s="1">
        <v>274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782</v>
      </c>
      <c r="G11" s="1">
        <v>1500</v>
      </c>
      <c r="H11" s="49"/>
      <c r="I11" s="49"/>
      <c r="J11" s="26">
        <f>357+125</f>
        <v>482</v>
      </c>
      <c r="K11" s="62">
        <f>J9-J11</f>
        <v>14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34</v>
      </c>
      <c r="E12" s="93"/>
      <c r="F12" s="70"/>
      <c r="G12" s="1"/>
      <c r="H12" s="49"/>
      <c r="I12" s="49">
        <f>+D7+D10+D11</f>
        <v>718</v>
      </c>
      <c r="J12" s="26" t="s">
        <v>43</v>
      </c>
      <c r="K12" s="45"/>
      <c r="L12" s="113">
        <f>+I12/G11</f>
        <v>0.47866666666666668</v>
      </c>
      <c r="M12" s="107"/>
    </row>
    <row r="13" spans="1:13" ht="15" x14ac:dyDescent="0.25">
      <c r="A13" s="255" t="s">
        <v>27</v>
      </c>
      <c r="B13" s="256"/>
      <c r="C13" s="256"/>
      <c r="D13" s="33">
        <f>SUM(D7:D12)</f>
        <v>3277</v>
      </c>
      <c r="E13" s="94">
        <f>D13+K11+K15</f>
        <v>3291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42"/>
      <c r="B14" s="143"/>
      <c r="C14" s="143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40"/>
      <c r="B15" s="141"/>
      <c r="C15" s="141"/>
      <c r="D15" s="52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3"/>
      <c r="E16" s="92"/>
      <c r="F16" s="69">
        <f>G17-D19+K21</f>
        <v>4000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"/>
      <c r="E17" s="93"/>
      <c r="F17" s="70"/>
      <c r="G17" s="1">
        <v>4000</v>
      </c>
      <c r="H17" s="49"/>
      <c r="I17" s="73"/>
      <c r="J17" s="30">
        <v>216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"/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33">
        <f>SUM(D16:D17)</f>
        <v>0</v>
      </c>
      <c r="E19" s="94">
        <f>D19+K21</f>
        <v>0</v>
      </c>
      <c r="F19" s="70"/>
      <c r="G19" s="1"/>
      <c r="H19" s="49"/>
      <c r="I19" s="73"/>
      <c r="J19" s="30" t="s">
        <v>44</v>
      </c>
      <c r="K19" s="45"/>
      <c r="L19" s="113"/>
      <c r="M19" s="107"/>
    </row>
    <row r="20" spans="1:13" ht="15.75" thickBot="1" x14ac:dyDescent="0.3">
      <c r="A20" s="132"/>
      <c r="B20" s="133"/>
      <c r="C20" s="133"/>
      <c r="D20" s="134"/>
      <c r="E20" s="135"/>
      <c r="F20" s="136"/>
      <c r="G20" s="137"/>
      <c r="H20" s="138"/>
      <c r="I20" s="139"/>
      <c r="J20" s="30">
        <v>0</v>
      </c>
      <c r="K20" s="45"/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3">
        <v>13</v>
      </c>
      <c r="E21" s="92"/>
      <c r="F21" s="69">
        <f>G22-D23+K24</f>
        <v>384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">
        <v>1596</v>
      </c>
      <c r="E22" s="93"/>
      <c r="F22" s="70"/>
      <c r="G22" s="1">
        <v>2000</v>
      </c>
      <c r="H22" s="49"/>
      <c r="I22" s="73"/>
      <c r="J22" s="30">
        <v>0</v>
      </c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33">
        <f>SUM(D21:D22)</f>
        <v>1609</v>
      </c>
      <c r="E23" s="94">
        <f>D23+K24</f>
        <v>1602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40"/>
      <c r="B24" s="141"/>
      <c r="C24" s="141"/>
      <c r="D24" s="52"/>
      <c r="E24" s="95"/>
      <c r="F24" s="65"/>
      <c r="G24" s="53"/>
      <c r="H24" s="55"/>
      <c r="I24" s="74"/>
      <c r="J24" s="41">
        <v>7</v>
      </c>
      <c r="K24" s="63">
        <f>J22-J24</f>
        <v>-7</v>
      </c>
      <c r="L24" s="113">
        <f>D23/G22</f>
        <v>0.80449999999999999</v>
      </c>
      <c r="M24" s="107"/>
    </row>
    <row r="25" spans="1:13" x14ac:dyDescent="0.3">
      <c r="A25" s="2" t="s">
        <v>12</v>
      </c>
      <c r="B25" s="34"/>
      <c r="C25" s="34"/>
      <c r="D25" s="35"/>
      <c r="E25" s="96"/>
      <c r="F25" s="69"/>
      <c r="G25" s="57"/>
      <c r="H25" s="40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43"/>
      <c r="C26" s="143"/>
      <c r="D26" s="33"/>
      <c r="E26" s="94"/>
      <c r="F26" s="70"/>
      <c r="G26" s="58"/>
      <c r="H26" s="40">
        <f>196+182</f>
        <v>378</v>
      </c>
      <c r="I26" s="23"/>
      <c r="J26" s="23">
        <f>120+264</f>
        <v>384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">
        <v>3016</v>
      </c>
      <c r="E27" s="93"/>
      <c r="F27" s="70">
        <f>G28-D29-H29-I29-K29</f>
        <v>-134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">
        <v>1775</v>
      </c>
      <c r="E28" s="93"/>
      <c r="F28" s="70"/>
      <c r="G28" s="58">
        <v>7013</v>
      </c>
      <c r="H28" s="40">
        <v>272</v>
      </c>
      <c r="I28" s="23"/>
      <c r="J28" s="23">
        <f>96+312</f>
        <v>408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36">
        <f>SUM(D27:D28)</f>
        <v>4791</v>
      </c>
      <c r="E29" s="97">
        <f>D29+H29+I29+K29</f>
        <v>7147</v>
      </c>
      <c r="F29" s="71"/>
      <c r="G29" s="59"/>
      <c r="H29" s="119">
        <v>2274</v>
      </c>
      <c r="I29" s="25">
        <f>H26-H28</f>
        <v>106</v>
      </c>
      <c r="J29" s="38"/>
      <c r="K29" s="64">
        <f>+J26-J28</f>
        <v>-24</v>
      </c>
      <c r="L29" s="113">
        <f>D29/G28</f>
        <v>0.68315984600028523</v>
      </c>
      <c r="M29" s="108">
        <f>+E29/G28</f>
        <v>1.0191073720233852</v>
      </c>
    </row>
    <row r="30" spans="1:13" x14ac:dyDescent="0.3">
      <c r="A30" s="257"/>
      <c r="B30" s="257"/>
      <c r="C30" s="257"/>
    </row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5" sqref="J5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59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10818</v>
      </c>
      <c r="E3" s="89"/>
      <c r="F3" s="67"/>
      <c r="G3" s="21"/>
      <c r="H3" s="23"/>
      <c r="I3" s="23"/>
      <c r="J3" s="23">
        <v>960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1119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/>
      <c r="I5" s="23"/>
      <c r="J5" s="23">
        <f>1020+432</f>
        <v>1452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11946</v>
      </c>
      <c r="E6" s="91">
        <f>D6+H6+I6+K6</f>
        <v>11454</v>
      </c>
      <c r="F6" s="68">
        <f>G6-D6-H6-I6-K6</f>
        <v>2046</v>
      </c>
      <c r="G6" s="43">
        <v>13500</v>
      </c>
      <c r="H6" s="118"/>
      <c r="I6" s="45">
        <f>H3-H5</f>
        <v>0</v>
      </c>
      <c r="J6" s="23"/>
      <c r="K6" s="60">
        <f>J3-J5</f>
        <v>-492</v>
      </c>
      <c r="L6" s="113">
        <f>D6/G6</f>
        <v>0.88488888888888884</v>
      </c>
      <c r="M6" s="108">
        <f>+E6/G6</f>
        <v>0.84844444444444445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608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">
        <v>957</v>
      </c>
      <c r="E8" s="93"/>
      <c r="F8" s="70">
        <f>G8-D8-D9-D12+K11</f>
        <v>-286</v>
      </c>
      <c r="G8" s="1">
        <v>2500</v>
      </c>
      <c r="H8" s="49"/>
      <c r="I8" s="49">
        <f>+D8+D9+D12</f>
        <v>2513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">
        <v>1522</v>
      </c>
      <c r="E9" s="93"/>
      <c r="F9" s="70"/>
      <c r="G9" s="1" t="s">
        <v>32</v>
      </c>
      <c r="H9" s="49"/>
      <c r="I9" s="49"/>
      <c r="J9" s="26">
        <v>336</v>
      </c>
      <c r="K9" s="45"/>
      <c r="L9" s="113">
        <f>+I8/G8</f>
        <v>1.0052000000000001</v>
      </c>
      <c r="M9" s="107"/>
    </row>
    <row r="10" spans="1:13" ht="15" x14ac:dyDescent="0.25">
      <c r="A10" s="4"/>
      <c r="B10" s="1" t="s">
        <v>39</v>
      </c>
      <c r="C10" s="1" t="s">
        <v>40</v>
      </c>
      <c r="D10" s="1">
        <v>311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555</v>
      </c>
      <c r="G11" s="1">
        <v>1500</v>
      </c>
      <c r="H11" s="49"/>
      <c r="I11" s="49"/>
      <c r="J11" s="26">
        <f>357+252</f>
        <v>609</v>
      </c>
      <c r="K11" s="62">
        <f>J9-J11</f>
        <v>-273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34</v>
      </c>
      <c r="E12" s="93"/>
      <c r="F12" s="70"/>
      <c r="G12" s="1"/>
      <c r="H12" s="49"/>
      <c r="I12" s="49">
        <f>+D7+D10+D11</f>
        <v>939</v>
      </c>
      <c r="J12" s="26" t="s">
        <v>43</v>
      </c>
      <c r="K12" s="45"/>
      <c r="L12" s="113">
        <f>+I12/G11</f>
        <v>0.626</v>
      </c>
      <c r="M12" s="107"/>
    </row>
    <row r="13" spans="1:13" ht="15" x14ac:dyDescent="0.25">
      <c r="A13" s="255" t="s">
        <v>27</v>
      </c>
      <c r="B13" s="256"/>
      <c r="C13" s="256"/>
      <c r="D13" s="33">
        <f>SUM(D7:D12)</f>
        <v>3452</v>
      </c>
      <c r="E13" s="94">
        <f>D13+K11+K15</f>
        <v>3173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46"/>
      <c r="B14" s="147"/>
      <c r="C14" s="147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44"/>
      <c r="B15" s="145"/>
      <c r="C15" s="145"/>
      <c r="D15" s="52"/>
      <c r="E15" s="95"/>
      <c r="F15" s="65"/>
      <c r="G15" s="53"/>
      <c r="H15" s="54"/>
      <c r="I15" s="54"/>
      <c r="J15" s="26">
        <v>6</v>
      </c>
      <c r="K15" s="62">
        <f>J13-J15</f>
        <v>-6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3"/>
      <c r="E16" s="92"/>
      <c r="F16" s="69">
        <f>G17-D19+K21</f>
        <v>3536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">
        <v>464</v>
      </c>
      <c r="E17" s="93"/>
      <c r="F17" s="70"/>
      <c r="G17" s="1">
        <v>4000</v>
      </c>
      <c r="H17" s="49"/>
      <c r="I17" s="73"/>
      <c r="J17" s="30"/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">
        <v>546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33">
        <f>SUM(D16:D17)</f>
        <v>464</v>
      </c>
      <c r="E19" s="94">
        <f>D19+K21</f>
        <v>464</v>
      </c>
      <c r="F19" s="70"/>
      <c r="G19" s="1"/>
      <c r="H19" s="49"/>
      <c r="I19" s="73"/>
      <c r="J19" s="30" t="s">
        <v>44</v>
      </c>
      <c r="K19" s="45"/>
      <c r="L19" s="113"/>
      <c r="M19" s="107"/>
    </row>
    <row r="20" spans="1:13" ht="15.75" thickBot="1" x14ac:dyDescent="0.3">
      <c r="A20" s="132"/>
      <c r="B20" s="133"/>
      <c r="C20" s="133"/>
      <c r="D20" s="134"/>
      <c r="E20" s="135"/>
      <c r="F20" s="136"/>
      <c r="G20" s="137"/>
      <c r="H20" s="138"/>
      <c r="I20" s="139"/>
      <c r="J20" s="30">
        <v>0</v>
      </c>
      <c r="K20" s="45"/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3">
        <v>13</v>
      </c>
      <c r="E21" s="92"/>
      <c r="F21" s="69">
        <f>G22-D23+K24</f>
        <v>696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">
        <v>1691</v>
      </c>
      <c r="E22" s="93"/>
      <c r="F22" s="70"/>
      <c r="G22" s="1">
        <v>2000</v>
      </c>
      <c r="H22" s="49"/>
      <c r="I22" s="73"/>
      <c r="J22" s="30">
        <f>256+144</f>
        <v>400</v>
      </c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33">
        <f>SUM(D21:D22)</f>
        <v>1704</v>
      </c>
      <c r="E23" s="94">
        <f>D23+K24</f>
        <v>2104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44"/>
      <c r="B24" s="145"/>
      <c r="C24" s="145"/>
      <c r="D24" s="52"/>
      <c r="E24" s="95"/>
      <c r="F24" s="65"/>
      <c r="G24" s="53"/>
      <c r="H24" s="55"/>
      <c r="I24" s="74"/>
      <c r="J24" s="41"/>
      <c r="K24" s="63">
        <f>J22-J24</f>
        <v>400</v>
      </c>
      <c r="L24" s="113">
        <f>D23/G22</f>
        <v>0.85199999999999998</v>
      </c>
      <c r="M24" s="107"/>
    </row>
    <row r="25" spans="1:13" x14ac:dyDescent="0.3">
      <c r="A25" s="2" t="s">
        <v>12</v>
      </c>
      <c r="B25" s="34"/>
      <c r="C25" s="34"/>
      <c r="D25" s="35"/>
      <c r="E25" s="96"/>
      <c r="F25" s="69"/>
      <c r="G25" s="57"/>
      <c r="H25" s="40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47"/>
      <c r="C26" s="147"/>
      <c r="D26" s="33"/>
      <c r="E26" s="94"/>
      <c r="F26" s="70"/>
      <c r="G26" s="58"/>
      <c r="H26" s="40"/>
      <c r="I26" s="23"/>
      <c r="J26" s="23">
        <f>24+120</f>
        <v>144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">
        <v>3086</v>
      </c>
      <c r="E27" s="93"/>
      <c r="F27" s="70">
        <f>G28-D29-H29-I29-K29</f>
        <v>2546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">
        <v>1432</v>
      </c>
      <c r="E28" s="93"/>
      <c r="F28" s="70"/>
      <c r="G28" s="58">
        <v>7013</v>
      </c>
      <c r="H28" s="40"/>
      <c r="I28" s="23"/>
      <c r="J28" s="23">
        <f>149+46</f>
        <v>195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36">
        <f>SUM(D27:D28)</f>
        <v>4518</v>
      </c>
      <c r="E29" s="97">
        <f>D29+H29+I29+K29</f>
        <v>4467</v>
      </c>
      <c r="F29" s="71"/>
      <c r="G29" s="59"/>
      <c r="H29" s="119"/>
      <c r="I29" s="25">
        <f>H26-H28</f>
        <v>0</v>
      </c>
      <c r="J29" s="38"/>
      <c r="K29" s="64">
        <f>+J26-J28</f>
        <v>-51</v>
      </c>
      <c r="L29" s="113">
        <f>D29/G28</f>
        <v>0.6442321403108513</v>
      </c>
      <c r="M29" s="108">
        <f>+E29/G28</f>
        <v>0.63695993155568231</v>
      </c>
    </row>
    <row r="30" spans="1:13" x14ac:dyDescent="0.3">
      <c r="A30" s="257"/>
      <c r="B30" s="257"/>
      <c r="C30" s="257"/>
    </row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O24" sqref="O24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61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>
        <f>1272+72</f>
        <v>1344</v>
      </c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10527</v>
      </c>
      <c r="E3" s="89"/>
      <c r="F3" s="67"/>
      <c r="G3" s="21"/>
      <c r="H3" s="23"/>
      <c r="I3" s="23"/>
      <c r="J3" s="23"/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1072</v>
      </c>
      <c r="E4" s="90"/>
      <c r="F4" s="67"/>
      <c r="G4" s="21"/>
      <c r="H4" s="23" t="s">
        <v>44</v>
      </c>
      <c r="I4" s="23"/>
      <c r="J4" s="23" t="s">
        <v>44</v>
      </c>
      <c r="K4" s="31">
        <f>497+48</f>
        <v>545</v>
      </c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/>
      <c r="I5" s="23"/>
      <c r="J5" s="23"/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11608</v>
      </c>
      <c r="E6" s="91">
        <f>D6+H6+I6+K6</f>
        <v>11608</v>
      </c>
      <c r="F6" s="68">
        <f>G6-D6-H6-I6-K6</f>
        <v>1892</v>
      </c>
      <c r="G6" s="43">
        <v>13500</v>
      </c>
      <c r="H6" s="118"/>
      <c r="I6" s="45">
        <f>H3-H5</f>
        <v>0</v>
      </c>
      <c r="J6" s="23"/>
      <c r="K6" s="60">
        <f>J3-J5</f>
        <v>0</v>
      </c>
      <c r="L6" s="113">
        <f>D6/G6</f>
        <v>0.85985185185185187</v>
      </c>
      <c r="M6" s="108">
        <f>+E6/G6</f>
        <v>0.85985185185185187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602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">
        <v>870</v>
      </c>
      <c r="E8" s="93"/>
      <c r="F8" s="70">
        <f>G8-D8-D9-D12+K11</f>
        <v>520</v>
      </c>
      <c r="G8" s="1">
        <v>2500</v>
      </c>
      <c r="H8" s="49"/>
      <c r="I8" s="49">
        <f>+D8+D9+D12</f>
        <v>1980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">
        <v>1076</v>
      </c>
      <c r="E9" s="93"/>
      <c r="F9" s="70"/>
      <c r="G9" s="1" t="s">
        <v>32</v>
      </c>
      <c r="H9" s="49"/>
      <c r="I9" s="49"/>
      <c r="J9" s="26"/>
      <c r="K9" s="45"/>
      <c r="L9" s="113">
        <f>+I8/G8</f>
        <v>0.79200000000000004</v>
      </c>
      <c r="M9" s="107"/>
    </row>
    <row r="10" spans="1:13" ht="15" x14ac:dyDescent="0.25">
      <c r="A10" s="4"/>
      <c r="B10" s="1" t="s">
        <v>39</v>
      </c>
      <c r="C10" s="1" t="s">
        <v>40</v>
      </c>
      <c r="D10" s="1">
        <v>314</v>
      </c>
      <c r="E10" s="93"/>
      <c r="F10" s="70"/>
      <c r="G10" s="1"/>
      <c r="H10" s="49"/>
      <c r="I10" s="49"/>
      <c r="J10" s="26" t="s">
        <v>44</v>
      </c>
      <c r="K10" s="45">
        <v>17</v>
      </c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564</v>
      </c>
      <c r="G11" s="1">
        <v>1500</v>
      </c>
      <c r="H11" s="49"/>
      <c r="I11" s="49"/>
      <c r="J11" s="26"/>
      <c r="K11" s="62">
        <f>J9-J11</f>
        <v>0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">
        <v>34</v>
      </c>
      <c r="E12" s="93"/>
      <c r="F12" s="70"/>
      <c r="G12" s="1"/>
      <c r="H12" s="49"/>
      <c r="I12" s="49">
        <f>+D7+D10+D11</f>
        <v>936</v>
      </c>
      <c r="J12" s="26" t="s">
        <v>43</v>
      </c>
      <c r="K12" s="45">
        <v>168</v>
      </c>
      <c r="L12" s="113">
        <f>+I12/G11</f>
        <v>0.624</v>
      </c>
      <c r="M12" s="107"/>
    </row>
    <row r="13" spans="1:13" ht="15" x14ac:dyDescent="0.25">
      <c r="A13" s="255" t="s">
        <v>27</v>
      </c>
      <c r="B13" s="256"/>
      <c r="C13" s="256"/>
      <c r="D13" s="33">
        <f>SUM(D7:D12)</f>
        <v>2916</v>
      </c>
      <c r="E13" s="94">
        <f>D13+K11+K15</f>
        <v>2916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50"/>
      <c r="B14" s="151"/>
      <c r="C14" s="151"/>
      <c r="D14" s="33"/>
      <c r="E14" s="94"/>
      <c r="F14" s="70"/>
      <c r="G14" s="1"/>
      <c r="H14" s="49"/>
      <c r="I14" s="49"/>
      <c r="J14" s="26" t="s">
        <v>44</v>
      </c>
      <c r="K14" s="45">
        <f>34+23</f>
        <v>57</v>
      </c>
      <c r="L14" s="113"/>
      <c r="M14" s="107"/>
    </row>
    <row r="15" spans="1:13" ht="15.75" thickBot="1" x14ac:dyDescent="0.3">
      <c r="A15" s="148"/>
      <c r="B15" s="149"/>
      <c r="C15" s="149"/>
      <c r="D15" s="52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3"/>
      <c r="E16" s="92"/>
      <c r="F16" s="69">
        <f>G17-D19+K21</f>
        <v>3365</v>
      </c>
      <c r="G16" s="3" t="s">
        <v>57</v>
      </c>
      <c r="H16" s="48"/>
      <c r="I16" s="72"/>
      <c r="J16" s="39" t="s">
        <v>43</v>
      </c>
      <c r="K16" s="61">
        <v>216</v>
      </c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">
        <v>635</v>
      </c>
      <c r="E17" s="93"/>
      <c r="F17" s="70"/>
      <c r="G17" s="1">
        <v>4000</v>
      </c>
      <c r="H17" s="49"/>
      <c r="I17" s="73"/>
      <c r="J17" s="30"/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">
        <v>786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33">
        <f>SUM(D16:D17)</f>
        <v>635</v>
      </c>
      <c r="E19" s="94">
        <f>D19+K21</f>
        <v>635</v>
      </c>
      <c r="F19" s="70"/>
      <c r="G19" s="1"/>
      <c r="H19" s="49"/>
      <c r="I19" s="73"/>
      <c r="J19" s="30" t="s">
        <v>44</v>
      </c>
      <c r="K19" s="45">
        <v>28</v>
      </c>
      <c r="L19" s="113"/>
      <c r="M19" s="107"/>
    </row>
    <row r="20" spans="1:13" ht="15.75" thickBot="1" x14ac:dyDescent="0.3">
      <c r="A20" s="132"/>
      <c r="B20" s="133"/>
      <c r="C20" s="133"/>
      <c r="D20" s="134"/>
      <c r="E20" s="135"/>
      <c r="F20" s="136"/>
      <c r="G20" s="137"/>
      <c r="H20" s="138"/>
      <c r="I20" s="139"/>
      <c r="J20" s="30">
        <v>0</v>
      </c>
      <c r="K20" s="45"/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3">
        <v>13</v>
      </c>
      <c r="E21" s="92"/>
      <c r="F21" s="69">
        <f>G22-D23+K24</f>
        <v>72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">
        <v>1915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33">
        <f>SUM(D21:D22)</f>
        <v>1928</v>
      </c>
      <c r="E23" s="94">
        <f>D23+K24</f>
        <v>1928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48"/>
      <c r="B24" s="149"/>
      <c r="C24" s="149"/>
      <c r="D24" s="52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0.96399999999999997</v>
      </c>
      <c r="M24" s="107"/>
    </row>
    <row r="25" spans="1:13" x14ac:dyDescent="0.3">
      <c r="A25" s="2" t="s">
        <v>12</v>
      </c>
      <c r="B25" s="34"/>
      <c r="C25" s="34"/>
      <c r="D25" s="35"/>
      <c r="E25" s="96"/>
      <c r="F25" s="69"/>
      <c r="G25" s="57"/>
      <c r="H25" s="40" t="s">
        <v>43</v>
      </c>
      <c r="I25" s="23" t="s">
        <v>35</v>
      </c>
      <c r="J25" s="23" t="s">
        <v>43</v>
      </c>
      <c r="K25" s="31">
        <f>96+360</f>
        <v>456</v>
      </c>
      <c r="M25" s="107"/>
    </row>
    <row r="26" spans="1:13" x14ac:dyDescent="0.3">
      <c r="A26" s="4"/>
      <c r="B26" s="151"/>
      <c r="C26" s="151"/>
      <c r="D26" s="33"/>
      <c r="E26" s="94"/>
      <c r="F26" s="70"/>
      <c r="G26" s="58"/>
      <c r="H26" s="40"/>
      <c r="I26" s="23"/>
      <c r="J26" s="23"/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">
        <v>3116</v>
      </c>
      <c r="E27" s="93"/>
      <c r="F27" s="70">
        <f>G28-D29-H29-I29-K29</f>
        <v>2534</v>
      </c>
      <c r="G27" s="58" t="s">
        <v>34</v>
      </c>
      <c r="H27" s="56" t="s">
        <v>44</v>
      </c>
      <c r="I27" s="23"/>
      <c r="J27" s="23" t="s">
        <v>44</v>
      </c>
      <c r="K27" s="31">
        <f>216+81+213</f>
        <v>510</v>
      </c>
      <c r="M27" s="107"/>
    </row>
    <row r="28" spans="1:13" x14ac:dyDescent="0.3">
      <c r="A28" s="4"/>
      <c r="B28" s="1" t="s">
        <v>25</v>
      </c>
      <c r="C28" s="1" t="s">
        <v>18</v>
      </c>
      <c r="D28" s="1">
        <v>1363</v>
      </c>
      <c r="E28" s="93"/>
      <c r="F28" s="70"/>
      <c r="G28" s="58">
        <v>7013</v>
      </c>
      <c r="H28" s="40"/>
      <c r="I28" s="23"/>
      <c r="J28" s="23"/>
      <c r="K28" s="31"/>
      <c r="M28" s="107"/>
    </row>
    <row r="29" spans="1:13" ht="15" thickBot="1" x14ac:dyDescent="0.35">
      <c r="A29" s="248" t="s">
        <v>27</v>
      </c>
      <c r="B29" s="249"/>
      <c r="C29" s="249"/>
      <c r="D29" s="36">
        <f>SUM(D27:D28)</f>
        <v>4479</v>
      </c>
      <c r="E29" s="97">
        <f>D29+H29+I29+K29</f>
        <v>4479</v>
      </c>
      <c r="F29" s="71"/>
      <c r="G29" s="59"/>
      <c r="H29" s="119"/>
      <c r="I29" s="25">
        <f>H26-H28</f>
        <v>0</v>
      </c>
      <c r="J29" s="38"/>
      <c r="K29" s="64">
        <f>+J26-J28</f>
        <v>0</v>
      </c>
      <c r="L29" s="113">
        <f>D29/G28</f>
        <v>0.63867103949807502</v>
      </c>
      <c r="M29" s="108">
        <f>+E29/G28</f>
        <v>0.63867103949807502</v>
      </c>
    </row>
    <row r="30" spans="1:13" x14ac:dyDescent="0.3">
      <c r="A30" s="257"/>
      <c r="B30" s="257"/>
      <c r="C30" s="257"/>
    </row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3" sqref="J3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61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10890</v>
      </c>
      <c r="E3" s="89"/>
      <c r="F3" s="67"/>
      <c r="G3" s="21"/>
      <c r="H3" s="23">
        <v>96</v>
      </c>
      <c r="I3" s="23"/>
      <c r="J3" s="23">
        <v>1272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993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>
        <v>72</v>
      </c>
      <c r="I5" s="23"/>
      <c r="J5" s="23">
        <f>389+939</f>
        <v>1328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11892</v>
      </c>
      <c r="E6" s="91">
        <f>D6+H6+I6+K6</f>
        <v>12668</v>
      </c>
      <c r="F6" s="68">
        <f>G6-D6-H6-I6-K6</f>
        <v>832</v>
      </c>
      <c r="G6" s="43">
        <v>13500</v>
      </c>
      <c r="H6" s="118">
        <v>808</v>
      </c>
      <c r="I6" s="45">
        <f>H3-H5</f>
        <v>24</v>
      </c>
      <c r="J6" s="23"/>
      <c r="K6" s="60">
        <f>J3-J5</f>
        <v>-56</v>
      </c>
      <c r="L6" s="113">
        <f>D6/G6</f>
        <v>0.88088888888888894</v>
      </c>
      <c r="M6" s="108">
        <f>+E6/G6</f>
        <v>0.93837037037037041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587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">
        <v>946</v>
      </c>
      <c r="E8" s="93"/>
      <c r="F8" s="70">
        <f>G8-D8-D9-D12+K11</f>
        <v>537</v>
      </c>
      <c r="G8" s="1">
        <v>2500</v>
      </c>
      <c r="H8" s="49"/>
      <c r="I8" s="49">
        <f>+D8+D9+D12</f>
        <v>2067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">
        <v>1097</v>
      </c>
      <c r="E9" s="93"/>
      <c r="F9" s="70"/>
      <c r="G9" s="1" t="s">
        <v>32</v>
      </c>
      <c r="H9" s="49"/>
      <c r="I9" s="49"/>
      <c r="J9" s="26">
        <v>224</v>
      </c>
      <c r="K9" s="45"/>
      <c r="L9" s="113">
        <f>+I8/G8</f>
        <v>0.82679999999999998</v>
      </c>
      <c r="M9" s="107"/>
    </row>
    <row r="10" spans="1:13" ht="15" x14ac:dyDescent="0.25">
      <c r="A10" s="4"/>
      <c r="B10" s="1" t="s">
        <v>39</v>
      </c>
      <c r="C10" s="1" t="s">
        <v>40</v>
      </c>
      <c r="D10" s="1">
        <v>314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554</v>
      </c>
      <c r="G11" s="1">
        <v>1500</v>
      </c>
      <c r="H11" s="49"/>
      <c r="I11" s="49"/>
      <c r="J11" s="26">
        <v>120</v>
      </c>
      <c r="K11" s="62">
        <f>J9-J11</f>
        <v>104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">
        <v>24</v>
      </c>
      <c r="E12" s="93"/>
      <c r="F12" s="70"/>
      <c r="G12" s="1"/>
      <c r="H12" s="49"/>
      <c r="I12" s="49">
        <f>+D7+D10+D11</f>
        <v>921</v>
      </c>
      <c r="J12" s="26" t="s">
        <v>43</v>
      </c>
      <c r="K12" s="45"/>
      <c r="L12" s="113">
        <f>+I12/G11</f>
        <v>0.61399999999999999</v>
      </c>
      <c r="M12" s="107"/>
    </row>
    <row r="13" spans="1:13" ht="15" x14ac:dyDescent="0.25">
      <c r="A13" s="255" t="s">
        <v>27</v>
      </c>
      <c r="B13" s="256"/>
      <c r="C13" s="256"/>
      <c r="D13" s="33">
        <f>SUM(D7:D12)</f>
        <v>2988</v>
      </c>
      <c r="E13" s="94">
        <f>D13+K11+K15</f>
        <v>3067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54"/>
      <c r="B14" s="155"/>
      <c r="C14" s="155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52"/>
      <c r="B15" s="153"/>
      <c r="C15" s="153"/>
      <c r="D15" s="52"/>
      <c r="E15" s="95"/>
      <c r="F15" s="65"/>
      <c r="G15" s="53"/>
      <c r="H15" s="54"/>
      <c r="I15" s="54"/>
      <c r="J15" s="26">
        <v>25</v>
      </c>
      <c r="K15" s="62">
        <f>J13-J15</f>
        <v>-25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3"/>
      <c r="E16" s="92"/>
      <c r="F16" s="69">
        <f>G17-D19+K21</f>
        <v>2248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">
        <v>685</v>
      </c>
      <c r="E17" s="93"/>
      <c r="F17" s="70"/>
      <c r="G17" s="1">
        <v>4000</v>
      </c>
      <c r="H17" s="49"/>
      <c r="I17" s="73"/>
      <c r="J17" s="30">
        <v>336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">
        <v>1067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33">
        <f>SUM(D17:D18)</f>
        <v>1752</v>
      </c>
      <c r="E19" s="94">
        <f>D19+K21</f>
        <v>1752</v>
      </c>
      <c r="F19" s="70"/>
      <c r="G19" s="1"/>
      <c r="H19" s="49"/>
      <c r="I19" s="73"/>
      <c r="J19" s="30" t="s">
        <v>44</v>
      </c>
      <c r="K19" s="45"/>
      <c r="L19" s="113">
        <f>D19/G17</f>
        <v>0.438</v>
      </c>
      <c r="M19" s="107"/>
    </row>
    <row r="20" spans="1:13" ht="15.75" thickBot="1" x14ac:dyDescent="0.3">
      <c r="A20" s="132"/>
      <c r="B20" s="133"/>
      <c r="C20" s="133"/>
      <c r="D20" s="134"/>
      <c r="E20" s="135"/>
      <c r="F20" s="136"/>
      <c r="G20" s="137"/>
      <c r="H20" s="138"/>
      <c r="I20" s="139"/>
      <c r="J20" s="30">
        <v>24</v>
      </c>
      <c r="K20" s="45"/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3">
        <v>13</v>
      </c>
      <c r="E21" s="92"/>
      <c r="F21" s="69">
        <f>G22-D23+K24</f>
        <v>28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">
        <v>1887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33">
        <f>SUM(D21:D22)</f>
        <v>1900</v>
      </c>
      <c r="E23" s="94">
        <f>D23+K24</f>
        <v>1828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52"/>
      <c r="B24" s="153"/>
      <c r="C24" s="153"/>
      <c r="D24" s="52"/>
      <c r="E24" s="95"/>
      <c r="F24" s="65"/>
      <c r="G24" s="53"/>
      <c r="H24" s="55"/>
      <c r="I24" s="74"/>
      <c r="J24" s="41">
        <v>72</v>
      </c>
      <c r="K24" s="63">
        <f>J22-J24</f>
        <v>-72</v>
      </c>
      <c r="L24" s="113">
        <f>D23/G22</f>
        <v>0.95</v>
      </c>
      <c r="M24" s="107"/>
    </row>
    <row r="25" spans="1:13" x14ac:dyDescent="0.3">
      <c r="A25" s="2" t="s">
        <v>12</v>
      </c>
      <c r="B25" s="34"/>
      <c r="C25" s="34"/>
      <c r="D25" s="35"/>
      <c r="E25" s="96"/>
      <c r="F25" s="69"/>
      <c r="G25" s="57"/>
      <c r="H25" s="40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55"/>
      <c r="C26" s="155"/>
      <c r="D26" s="33"/>
      <c r="E26" s="94"/>
      <c r="F26" s="70"/>
      <c r="G26" s="58"/>
      <c r="H26" s="40">
        <v>350</v>
      </c>
      <c r="I26" s="23"/>
      <c r="J26" s="23">
        <v>0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">
        <v>3080</v>
      </c>
      <c r="E27" s="93"/>
      <c r="F27" s="70">
        <f>G28-D29-H29-I29-K29</f>
        <v>81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">
        <v>1100</v>
      </c>
      <c r="E28" s="93"/>
      <c r="F28" s="70"/>
      <c r="G28" s="58">
        <v>7013</v>
      </c>
      <c r="H28" s="40">
        <v>366</v>
      </c>
      <c r="I28" s="23"/>
      <c r="J28" s="23">
        <v>281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36">
        <f>SUM(D27:D28)</f>
        <v>4180</v>
      </c>
      <c r="E29" s="97">
        <f>D29+H29+I29+K29</f>
        <v>6932</v>
      </c>
      <c r="F29" s="71"/>
      <c r="G29" s="59"/>
      <c r="H29" s="119">
        <v>3049</v>
      </c>
      <c r="I29" s="25">
        <f>H26-H28</f>
        <v>-16</v>
      </c>
      <c r="J29" s="38"/>
      <c r="K29" s="64">
        <f>+J26-J28</f>
        <v>-281</v>
      </c>
      <c r="L29" s="113">
        <f>D29/G28</f>
        <v>0.59603593326679027</v>
      </c>
      <c r="M29" s="108">
        <f>+E29/G28</f>
        <v>0.9884500213888493</v>
      </c>
    </row>
    <row r="30" spans="1:13" x14ac:dyDescent="0.3">
      <c r="A30" s="257"/>
      <c r="B30" s="257"/>
      <c r="C30" s="257"/>
    </row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12" sqref="J12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61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10933</v>
      </c>
      <c r="E3" s="93"/>
      <c r="F3" s="67"/>
      <c r="G3" s="21"/>
      <c r="H3" s="23">
        <v>150</v>
      </c>
      <c r="I3" s="23"/>
      <c r="J3" s="23">
        <v>1248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920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>
        <v>72</v>
      </c>
      <c r="I5" s="23"/>
      <c r="J5" s="23">
        <f>81+677</f>
        <v>758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11862</v>
      </c>
      <c r="E6" s="91">
        <f>D6+H6+I6+K6</f>
        <v>13278</v>
      </c>
      <c r="F6" s="68">
        <f>G6-D6-H6-I6-K6</f>
        <v>222</v>
      </c>
      <c r="G6" s="43">
        <v>13500</v>
      </c>
      <c r="H6" s="118">
        <v>848</v>
      </c>
      <c r="I6" s="45">
        <f>H3-H5</f>
        <v>78</v>
      </c>
      <c r="J6" s="23"/>
      <c r="K6" s="60">
        <f>J3-J5</f>
        <v>490</v>
      </c>
      <c r="L6" s="113">
        <f>D6/G6</f>
        <v>0.87866666666666671</v>
      </c>
      <c r="M6" s="108">
        <f>+E6/G6</f>
        <v>0.98355555555555552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602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">
        <v>959</v>
      </c>
      <c r="E8" s="93"/>
      <c r="F8" s="70">
        <f>G8-D8-D9-D12+K11</f>
        <v>233</v>
      </c>
      <c r="G8" s="1">
        <v>2500</v>
      </c>
      <c r="H8" s="49"/>
      <c r="I8" s="49">
        <f>+D8+D9+D12</f>
        <v>2132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">
        <v>1149</v>
      </c>
      <c r="E9" s="93"/>
      <c r="F9" s="70"/>
      <c r="G9" s="1" t="s">
        <v>32</v>
      </c>
      <c r="H9" s="49"/>
      <c r="I9" s="49"/>
      <c r="J9" s="26">
        <v>240</v>
      </c>
      <c r="K9" s="45"/>
      <c r="L9" s="113">
        <f>+I8/G8</f>
        <v>0.8528</v>
      </c>
      <c r="M9" s="107"/>
    </row>
    <row r="10" spans="1:13" ht="15" x14ac:dyDescent="0.25">
      <c r="A10" s="4"/>
      <c r="B10" s="1" t="s">
        <v>39</v>
      </c>
      <c r="C10" s="1" t="s">
        <v>40</v>
      </c>
      <c r="D10" s="1">
        <v>313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516</v>
      </c>
      <c r="G11" s="1">
        <v>1500</v>
      </c>
      <c r="H11" s="49"/>
      <c r="I11" s="49"/>
      <c r="J11" s="26">
        <f>120+255</f>
        <v>375</v>
      </c>
      <c r="K11" s="62">
        <f>J9-J11</f>
        <v>-135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">
        <v>24</v>
      </c>
      <c r="E12" s="93"/>
      <c r="F12" s="70"/>
      <c r="G12" s="1"/>
      <c r="H12" s="49"/>
      <c r="I12" s="49">
        <f>+D7+D10+D11</f>
        <v>935</v>
      </c>
      <c r="J12" s="26" t="s">
        <v>43</v>
      </c>
      <c r="K12" s="45"/>
      <c r="L12" s="113">
        <f>+I12/G11</f>
        <v>0.62333333333333329</v>
      </c>
      <c r="M12" s="107"/>
    </row>
    <row r="13" spans="1:13" ht="15" x14ac:dyDescent="0.25">
      <c r="A13" s="255" t="s">
        <v>27</v>
      </c>
      <c r="B13" s="256"/>
      <c r="C13" s="256"/>
      <c r="D13" s="33">
        <f>SUM(D7:D12)</f>
        <v>3067</v>
      </c>
      <c r="E13" s="94">
        <f>D13+K11+K15</f>
        <v>2883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58"/>
      <c r="B14" s="159"/>
      <c r="C14" s="159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56"/>
      <c r="B15" s="157"/>
      <c r="C15" s="157"/>
      <c r="D15" s="52"/>
      <c r="E15" s="95"/>
      <c r="F15" s="65"/>
      <c r="G15" s="53"/>
      <c r="H15" s="54"/>
      <c r="I15" s="54"/>
      <c r="J15" s="26">
        <f>25+24</f>
        <v>49</v>
      </c>
      <c r="K15" s="62">
        <f>J13-J15</f>
        <v>-49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3"/>
      <c r="E16" s="92"/>
      <c r="F16" s="69">
        <f>G17-D19+K21</f>
        <v>1717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">
        <v>1008</v>
      </c>
      <c r="E17" s="93"/>
      <c r="F17" s="70"/>
      <c r="G17" s="1">
        <v>4000</v>
      </c>
      <c r="H17" s="49"/>
      <c r="I17" s="73"/>
      <c r="J17" s="30">
        <f>288+96</f>
        <v>384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">
        <v>1275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33">
        <f>SUM(D17:D18)</f>
        <v>2283</v>
      </c>
      <c r="E19" s="94">
        <f>D19+K21</f>
        <v>2283</v>
      </c>
      <c r="F19" s="70"/>
      <c r="G19" s="1"/>
      <c r="H19" s="49"/>
      <c r="I19" s="73"/>
      <c r="J19" s="30" t="s">
        <v>44</v>
      </c>
      <c r="K19" s="45"/>
      <c r="L19" s="113">
        <f>D19/G17</f>
        <v>0.57074999999999998</v>
      </c>
      <c r="M19" s="107"/>
    </row>
    <row r="20" spans="1:13" ht="15.75" thickBot="1" x14ac:dyDescent="0.3">
      <c r="A20" s="132"/>
      <c r="B20" s="133"/>
      <c r="C20" s="133"/>
      <c r="D20" s="134"/>
      <c r="E20" s="135"/>
      <c r="F20" s="136"/>
      <c r="G20" s="137"/>
      <c r="H20" s="138"/>
      <c r="I20" s="139"/>
      <c r="J20" s="30">
        <v>24</v>
      </c>
      <c r="K20" s="45"/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3">
        <v>13</v>
      </c>
      <c r="E21" s="92"/>
      <c r="F21" s="69">
        <f>G22-D23+K24</f>
        <v>-53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">
        <v>1815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33">
        <f>SUM(D21:D22)</f>
        <v>1828</v>
      </c>
      <c r="E23" s="94">
        <f>D23+K24</f>
        <v>1603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56"/>
      <c r="B24" s="157"/>
      <c r="C24" s="157"/>
      <c r="D24" s="52"/>
      <c r="E24" s="95"/>
      <c r="F24" s="65"/>
      <c r="G24" s="53"/>
      <c r="H24" s="55"/>
      <c r="I24" s="74"/>
      <c r="J24" s="41">
        <f>120+105</f>
        <v>225</v>
      </c>
      <c r="K24" s="63">
        <f>J22-J24</f>
        <v>-225</v>
      </c>
      <c r="L24" s="113">
        <f>D23/G22</f>
        <v>0.91400000000000003</v>
      </c>
      <c r="M24" s="107"/>
    </row>
    <row r="25" spans="1:13" x14ac:dyDescent="0.3">
      <c r="A25" s="2" t="s">
        <v>12</v>
      </c>
      <c r="B25" s="34"/>
      <c r="C25" s="34"/>
      <c r="D25" s="35"/>
      <c r="E25" s="96"/>
      <c r="F25" s="69"/>
      <c r="G25" s="57"/>
      <c r="H25" s="40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59"/>
      <c r="C26" s="159"/>
      <c r="D26" s="33"/>
      <c r="E26" s="94"/>
      <c r="F26" s="70"/>
      <c r="G26" s="58"/>
      <c r="H26" s="40">
        <v>300</v>
      </c>
      <c r="I26" s="23"/>
      <c r="J26" s="23">
        <v>0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">
        <v>2808</v>
      </c>
      <c r="E27" s="93"/>
      <c r="F27" s="70">
        <f>G28-D29-H29-I29-K29</f>
        <v>716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">
        <v>933</v>
      </c>
      <c r="E28" s="93"/>
      <c r="F28" s="70"/>
      <c r="G28" s="58">
        <v>7013</v>
      </c>
      <c r="H28" s="40">
        <v>298</v>
      </c>
      <c r="I28" s="23"/>
      <c r="J28" s="23">
        <f>360+116</f>
        <v>476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36">
        <f>SUM(D27:D28)</f>
        <v>3741</v>
      </c>
      <c r="E29" s="97">
        <f>D29+H29+I29+K29</f>
        <v>6297</v>
      </c>
      <c r="F29" s="71"/>
      <c r="G29" s="59"/>
      <c r="H29" s="119">
        <v>3030</v>
      </c>
      <c r="I29" s="25">
        <f>H26-H28</f>
        <v>2</v>
      </c>
      <c r="J29" s="38"/>
      <c r="K29" s="64">
        <f>+J26-J28</f>
        <v>-476</v>
      </c>
      <c r="L29" s="113">
        <f>D29/G28</f>
        <v>0.53343790104092403</v>
      </c>
      <c r="M29" s="108">
        <f>+E29/G28</f>
        <v>0.89790389277056892</v>
      </c>
    </row>
    <row r="30" spans="1:13" x14ac:dyDescent="0.3">
      <c r="A30" s="257"/>
      <c r="B30" s="257"/>
      <c r="C30" s="257"/>
    </row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29" sqref="J29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62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11438</v>
      </c>
      <c r="E3" s="93"/>
      <c r="F3" s="67"/>
      <c r="G3" s="21"/>
      <c r="H3" s="23">
        <v>48</v>
      </c>
      <c r="I3" s="23"/>
      <c r="J3" s="23">
        <v>1152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896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>
        <v>96</v>
      </c>
      <c r="I5" s="23"/>
      <c r="J5" s="23">
        <f>384+908</f>
        <v>1292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12343</v>
      </c>
      <c r="E6" s="91">
        <f>D6+H6+I6+K6</f>
        <v>13027</v>
      </c>
      <c r="F6" s="68">
        <f>G6-D6-H6-I6-K6</f>
        <v>473</v>
      </c>
      <c r="G6" s="43">
        <v>13500</v>
      </c>
      <c r="H6" s="118">
        <v>872</v>
      </c>
      <c r="I6" s="45">
        <f>H3-H5</f>
        <v>-48</v>
      </c>
      <c r="J6" s="23"/>
      <c r="K6" s="60">
        <f>J3-J5</f>
        <v>-140</v>
      </c>
      <c r="L6" s="113">
        <f>D6/G6</f>
        <v>0.91429629629629627</v>
      </c>
      <c r="M6" s="108">
        <f>+E6/G6</f>
        <v>0.96496296296296291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577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">
        <v>1000</v>
      </c>
      <c r="E8" s="93"/>
      <c r="F8" s="70">
        <f>G8-D8-D9-D12+K11</f>
        <v>255</v>
      </c>
      <c r="G8" s="1">
        <v>2500</v>
      </c>
      <c r="H8" s="49"/>
      <c r="I8" s="49">
        <f>+D8+D9+D12</f>
        <v>2031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">
        <v>1007</v>
      </c>
      <c r="E9" s="93"/>
      <c r="F9" s="70"/>
      <c r="G9" s="1" t="s">
        <v>32</v>
      </c>
      <c r="H9" s="49"/>
      <c r="I9" s="49"/>
      <c r="J9" s="26">
        <v>240</v>
      </c>
      <c r="K9" s="45"/>
      <c r="L9" s="113">
        <f>+I8/G8</f>
        <v>0.81240000000000001</v>
      </c>
      <c r="M9" s="107"/>
    </row>
    <row r="10" spans="1:13" ht="15" x14ac:dyDescent="0.25">
      <c r="A10" s="4"/>
      <c r="B10" s="1" t="s">
        <v>39</v>
      </c>
      <c r="C10" s="1" t="s">
        <v>40</v>
      </c>
      <c r="D10" s="1">
        <v>313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638</v>
      </c>
      <c r="G11" s="1">
        <v>1500</v>
      </c>
      <c r="H11" s="49"/>
      <c r="I11" s="49"/>
      <c r="J11" s="26">
        <v>454</v>
      </c>
      <c r="K11" s="62">
        <f>J9-J11</f>
        <v>-214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">
        <v>24</v>
      </c>
      <c r="E12" s="93"/>
      <c r="F12" s="70"/>
      <c r="G12" s="1"/>
      <c r="H12" s="49"/>
      <c r="I12" s="49">
        <f>+D7+D10+D11</f>
        <v>910</v>
      </c>
      <c r="J12" s="26" t="s">
        <v>43</v>
      </c>
      <c r="K12" s="45"/>
      <c r="L12" s="113">
        <f>+I12/G11</f>
        <v>0.60666666666666669</v>
      </c>
      <c r="M12" s="107"/>
    </row>
    <row r="13" spans="1:13" ht="15" x14ac:dyDescent="0.25">
      <c r="A13" s="255" t="s">
        <v>27</v>
      </c>
      <c r="B13" s="256"/>
      <c r="C13" s="256"/>
      <c r="D13" s="33">
        <f>SUM(D7:D12)</f>
        <v>2941</v>
      </c>
      <c r="E13" s="94">
        <f>D13+K11+K15</f>
        <v>2775</v>
      </c>
      <c r="F13" s="70"/>
      <c r="G13" s="1"/>
      <c r="H13" s="49"/>
      <c r="I13" s="49"/>
      <c r="J13" s="26">
        <v>48</v>
      </c>
      <c r="K13" s="45"/>
      <c r="L13" s="113"/>
      <c r="M13" s="107"/>
    </row>
    <row r="14" spans="1:13" ht="15" x14ac:dyDescent="0.25">
      <c r="A14" s="162"/>
      <c r="B14" s="163"/>
      <c r="C14" s="163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60"/>
      <c r="B15" s="161"/>
      <c r="C15" s="161"/>
      <c r="D15" s="52"/>
      <c r="E15" s="95"/>
      <c r="F15" s="65"/>
      <c r="G15" s="53"/>
      <c r="H15" s="54"/>
      <c r="I15" s="54"/>
      <c r="J15" s="26"/>
      <c r="K15" s="62">
        <f>J13-J15</f>
        <v>48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3"/>
      <c r="E16" s="92"/>
      <c r="F16" s="69">
        <f>G17-D19+K21</f>
        <v>1488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">
        <v>1117</v>
      </c>
      <c r="E17" s="93"/>
      <c r="F17" s="70"/>
      <c r="G17" s="1">
        <v>4000</v>
      </c>
      <c r="H17" s="49"/>
      <c r="I17" s="73"/>
      <c r="J17" s="30">
        <v>48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">
        <v>1395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33">
        <f>SUM(D17:D18)</f>
        <v>2512</v>
      </c>
      <c r="E19" s="94">
        <f>D19+K21</f>
        <v>2512</v>
      </c>
      <c r="F19" s="70"/>
      <c r="G19" s="1"/>
      <c r="H19" s="49"/>
      <c r="I19" s="73"/>
      <c r="J19" s="30" t="s">
        <v>44</v>
      </c>
      <c r="K19" s="45"/>
      <c r="L19" s="113">
        <f>D19/G17</f>
        <v>0.628</v>
      </c>
      <c r="M19" s="107"/>
    </row>
    <row r="20" spans="1:13" ht="15.75" thickBot="1" x14ac:dyDescent="0.3">
      <c r="A20" s="132"/>
      <c r="B20" s="133"/>
      <c r="C20" s="133"/>
      <c r="D20" s="134"/>
      <c r="E20" s="135"/>
      <c r="F20" s="136"/>
      <c r="G20" s="137"/>
      <c r="H20" s="138"/>
      <c r="I20" s="139"/>
      <c r="J20" s="30">
        <v>144</v>
      </c>
      <c r="K20" s="45"/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3">
        <v>13</v>
      </c>
      <c r="E21" s="92"/>
      <c r="F21" s="69">
        <f>G22-D23+K24</f>
        <v>198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">
        <v>1597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33">
        <f>SUM(D21:D22)</f>
        <v>1610</v>
      </c>
      <c r="E23" s="94">
        <f>D23+K24</f>
        <v>1418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60"/>
      <c r="B24" s="161"/>
      <c r="C24" s="161"/>
      <c r="D24" s="52"/>
      <c r="E24" s="95"/>
      <c r="F24" s="65"/>
      <c r="G24" s="53"/>
      <c r="H24" s="55"/>
      <c r="I24" s="74"/>
      <c r="J24" s="41">
        <v>192</v>
      </c>
      <c r="K24" s="63">
        <f>J22-J24</f>
        <v>-192</v>
      </c>
      <c r="L24" s="113">
        <f>D23/G22</f>
        <v>0.80500000000000005</v>
      </c>
      <c r="M24" s="107"/>
    </row>
    <row r="25" spans="1:13" x14ac:dyDescent="0.3">
      <c r="A25" s="2" t="s">
        <v>12</v>
      </c>
      <c r="B25" s="34"/>
      <c r="C25" s="34"/>
      <c r="D25" s="35"/>
      <c r="E25" s="96"/>
      <c r="F25" s="69"/>
      <c r="G25" s="57"/>
      <c r="H25" s="40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63"/>
      <c r="C26" s="163"/>
      <c r="D26" s="33"/>
      <c r="E26" s="94"/>
      <c r="F26" s="70"/>
      <c r="G26" s="58"/>
      <c r="H26" s="40">
        <v>490</v>
      </c>
      <c r="I26" s="23"/>
      <c r="J26" s="23">
        <v>120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">
        <v>2648</v>
      </c>
      <c r="E27" s="93"/>
      <c r="F27" s="70">
        <f>G28-D29-H29-I29-K29</f>
        <v>800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">
        <v>573</v>
      </c>
      <c r="E28" s="93"/>
      <c r="F28" s="70"/>
      <c r="G28" s="58">
        <v>7013</v>
      </c>
      <c r="H28" s="40">
        <v>324</v>
      </c>
      <c r="I28" s="23"/>
      <c r="J28" s="23">
        <v>430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36">
        <f>SUM(D27:D28)</f>
        <v>3221</v>
      </c>
      <c r="E29" s="97">
        <f>D29+H29+I29+K29</f>
        <v>6213</v>
      </c>
      <c r="F29" s="71"/>
      <c r="G29" s="59"/>
      <c r="H29" s="119">
        <v>3136</v>
      </c>
      <c r="I29" s="25">
        <f>H26-H28</f>
        <v>166</v>
      </c>
      <c r="J29" s="38"/>
      <c r="K29" s="64">
        <f>+J26-J28</f>
        <v>-310</v>
      </c>
      <c r="L29" s="113">
        <f>D29/G28</f>
        <v>0.45928989020390704</v>
      </c>
      <c r="M29" s="108">
        <f>+E29/G28</f>
        <v>0.88592613717382007</v>
      </c>
    </row>
    <row r="30" spans="1:13" x14ac:dyDescent="0.3">
      <c r="A30" s="257"/>
      <c r="B30" s="257"/>
      <c r="C30" s="257"/>
    </row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H3" sqref="H3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63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11258</v>
      </c>
      <c r="E3" s="93"/>
      <c r="F3" s="67"/>
      <c r="G3" s="21"/>
      <c r="H3" s="23">
        <v>120</v>
      </c>
      <c r="I3" s="23"/>
      <c r="J3" s="23">
        <v>1152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796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>
        <v>72</v>
      </c>
      <c r="I5" s="23"/>
      <c r="J5" s="23">
        <f>48+598</f>
        <v>646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12063</v>
      </c>
      <c r="E6" s="91">
        <f>D6+H6+I6+K6</f>
        <v>13465</v>
      </c>
      <c r="F6" s="68">
        <f>G6-D6-H6-I6-K6</f>
        <v>35</v>
      </c>
      <c r="G6" s="43">
        <v>13500</v>
      </c>
      <c r="H6" s="118">
        <v>848</v>
      </c>
      <c r="I6" s="45">
        <f>H3-H5</f>
        <v>48</v>
      </c>
      <c r="J6" s="23"/>
      <c r="K6" s="60">
        <f>J3-J5</f>
        <v>506</v>
      </c>
      <c r="L6" s="113">
        <f>D6/G6</f>
        <v>0.89355555555555555</v>
      </c>
      <c r="M6" s="108">
        <f>+E6/G6</f>
        <v>0.99740740740740741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579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">
        <v>1010</v>
      </c>
      <c r="E8" s="93"/>
      <c r="F8" s="70">
        <f>G8-D8-D9-D12+K11</f>
        <v>352</v>
      </c>
      <c r="G8" s="1">
        <v>2500</v>
      </c>
      <c r="H8" s="49"/>
      <c r="I8" s="49">
        <f>+D8+D9+D12</f>
        <v>1801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">
        <v>791</v>
      </c>
      <c r="E9" s="93"/>
      <c r="F9" s="70"/>
      <c r="G9" s="1" t="s">
        <v>32</v>
      </c>
      <c r="H9" s="49"/>
      <c r="I9" s="49"/>
      <c r="J9" s="26">
        <v>240</v>
      </c>
      <c r="K9" s="45"/>
      <c r="L9" s="113">
        <f>+I8/G8</f>
        <v>0.72040000000000004</v>
      </c>
      <c r="M9" s="107"/>
    </row>
    <row r="10" spans="1:13" ht="15" x14ac:dyDescent="0.25">
      <c r="A10" s="4"/>
      <c r="B10" s="1" t="s">
        <v>39</v>
      </c>
      <c r="C10" s="1" t="s">
        <v>40</v>
      </c>
      <c r="D10" s="1">
        <v>355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518</v>
      </c>
      <c r="G11" s="1">
        <v>1500</v>
      </c>
      <c r="H11" s="49"/>
      <c r="I11" s="49"/>
      <c r="J11" s="26">
        <f>72+515</f>
        <v>587</v>
      </c>
      <c r="K11" s="62">
        <f>J9-J11</f>
        <v>-347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"/>
      <c r="E12" s="93"/>
      <c r="F12" s="70"/>
      <c r="G12" s="1"/>
      <c r="H12" s="49"/>
      <c r="I12" s="49">
        <f>+D7+D10+D11</f>
        <v>954</v>
      </c>
      <c r="J12" s="26" t="s">
        <v>43</v>
      </c>
      <c r="K12" s="45"/>
      <c r="L12" s="113">
        <f>+I12/G11</f>
        <v>0.63600000000000001</v>
      </c>
      <c r="M12" s="107"/>
    </row>
    <row r="13" spans="1:13" ht="15" x14ac:dyDescent="0.25">
      <c r="A13" s="255" t="s">
        <v>27</v>
      </c>
      <c r="B13" s="256"/>
      <c r="C13" s="256"/>
      <c r="D13" s="33">
        <f>SUM(D7:D12)</f>
        <v>2755</v>
      </c>
      <c r="E13" s="94">
        <f>D13+K11+K15</f>
        <v>2380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66"/>
      <c r="B14" s="167"/>
      <c r="C14" s="167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64"/>
      <c r="B15" s="165"/>
      <c r="C15" s="165"/>
      <c r="D15" s="52"/>
      <c r="E15" s="95"/>
      <c r="F15" s="65"/>
      <c r="G15" s="53"/>
      <c r="H15" s="54"/>
      <c r="I15" s="54"/>
      <c r="J15" s="26">
        <v>28</v>
      </c>
      <c r="K15" s="62">
        <f>J13-J15</f>
        <v>-28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3"/>
      <c r="E16" s="92"/>
      <c r="F16" s="69">
        <f>G17-D19+K21</f>
        <v>1544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">
        <v>1109</v>
      </c>
      <c r="E17" s="93"/>
      <c r="F17" s="70"/>
      <c r="G17" s="1">
        <v>4000</v>
      </c>
      <c r="H17" s="49"/>
      <c r="I17" s="73"/>
      <c r="J17" s="30">
        <v>144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">
        <v>1347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33">
        <f>SUM(D17:D18)</f>
        <v>2456</v>
      </c>
      <c r="E19" s="94">
        <f>D19+K21</f>
        <v>2456</v>
      </c>
      <c r="F19" s="70"/>
      <c r="G19" s="1"/>
      <c r="H19" s="49"/>
      <c r="I19" s="73"/>
      <c r="J19" s="30" t="s">
        <v>44</v>
      </c>
      <c r="K19" s="45"/>
      <c r="L19" s="113">
        <f>D19/G17</f>
        <v>0.61399999999999999</v>
      </c>
      <c r="M19" s="107"/>
    </row>
    <row r="20" spans="1:13" ht="15.75" thickBot="1" x14ac:dyDescent="0.3">
      <c r="A20" s="132"/>
      <c r="B20" s="133"/>
      <c r="C20" s="133"/>
      <c r="D20" s="134"/>
      <c r="E20" s="135"/>
      <c r="F20" s="136"/>
      <c r="G20" s="137"/>
      <c r="H20" s="138"/>
      <c r="I20" s="139"/>
      <c r="J20" s="30">
        <f>360+96</f>
        <v>456</v>
      </c>
      <c r="K20" s="45"/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3">
        <v>13</v>
      </c>
      <c r="E21" s="92"/>
      <c r="F21" s="69">
        <f>G22-D23+K24</f>
        <v>550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">
        <v>1365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33">
        <f>SUM(D21:D22)</f>
        <v>1378</v>
      </c>
      <c r="E23" s="94">
        <f>D23+K24</f>
        <v>1306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64"/>
      <c r="B24" s="165"/>
      <c r="C24" s="165"/>
      <c r="D24" s="52"/>
      <c r="E24" s="95"/>
      <c r="F24" s="65"/>
      <c r="G24" s="53"/>
      <c r="H24" s="55"/>
      <c r="I24" s="74"/>
      <c r="J24" s="41">
        <v>72</v>
      </c>
      <c r="K24" s="63">
        <f>J22-J24</f>
        <v>-72</v>
      </c>
      <c r="L24" s="113">
        <f>D23/G22</f>
        <v>0.68899999999999995</v>
      </c>
      <c r="M24" s="107"/>
    </row>
    <row r="25" spans="1:13" x14ac:dyDescent="0.3">
      <c r="A25" s="2" t="s">
        <v>12</v>
      </c>
      <c r="B25" s="34"/>
      <c r="C25" s="34"/>
      <c r="D25" s="35"/>
      <c r="E25" s="96"/>
      <c r="F25" s="69"/>
      <c r="G25" s="57"/>
      <c r="H25" s="40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67"/>
      <c r="C26" s="167"/>
      <c r="D26" s="33"/>
      <c r="E26" s="94"/>
      <c r="F26" s="70"/>
      <c r="G26" s="58"/>
      <c r="H26" s="40">
        <f>212+336</f>
        <v>548</v>
      </c>
      <c r="I26" s="23"/>
      <c r="J26" s="23"/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">
        <v>2493</v>
      </c>
      <c r="E27" s="93"/>
      <c r="F27" s="70">
        <f>G28-D29-H29-I29-K29</f>
        <v>582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">
        <v>659</v>
      </c>
      <c r="E28" s="93"/>
      <c r="F28" s="70"/>
      <c r="G28" s="58">
        <v>7013</v>
      </c>
      <c r="H28" s="40">
        <v>124</v>
      </c>
      <c r="I28" s="23"/>
      <c r="J28" s="23">
        <f>227+192</f>
        <v>419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36">
        <f>SUM(D27:D28)</f>
        <v>3152</v>
      </c>
      <c r="E29" s="97">
        <f>D29+H29+I29+K29</f>
        <v>6431</v>
      </c>
      <c r="F29" s="71"/>
      <c r="G29" s="59"/>
      <c r="H29" s="119">
        <v>3274</v>
      </c>
      <c r="I29" s="25">
        <f>H26-H28</f>
        <v>424</v>
      </c>
      <c r="J29" s="38"/>
      <c r="K29" s="64">
        <f>+J26-J28</f>
        <v>-419</v>
      </c>
      <c r="L29" s="113">
        <f>D29/G28</f>
        <v>0.44945101953514899</v>
      </c>
      <c r="M29" s="108">
        <f>+E29/G28</f>
        <v>0.91701126479395412</v>
      </c>
    </row>
    <row r="30" spans="1:13" x14ac:dyDescent="0.3">
      <c r="A30" s="257"/>
      <c r="B30" s="257"/>
      <c r="C30" s="257"/>
    </row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A2" sqref="A2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66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23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9">
        <v>11850</v>
      </c>
      <c r="E3" s="93"/>
      <c r="F3" s="67"/>
      <c r="G3" s="21"/>
      <c r="H3" s="23">
        <v>72</v>
      </c>
      <c r="I3" s="23"/>
      <c r="J3" s="23">
        <v>720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0">
        <v>750</v>
      </c>
      <c r="E4" s="90"/>
      <c r="F4" s="67"/>
      <c r="G4" s="21"/>
      <c r="H4" s="23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0">
        <v>9</v>
      </c>
      <c r="E5" s="90"/>
      <c r="F5" s="67"/>
      <c r="G5" s="21"/>
      <c r="H5" s="23">
        <v>96</v>
      </c>
      <c r="I5" s="23"/>
      <c r="J5" s="23">
        <f>777+266</f>
        <v>1043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27">
        <f>SUM(D3:D5)</f>
        <v>12609</v>
      </c>
      <c r="E6" s="91">
        <f>D6+H6+I6+K6</f>
        <v>13110</v>
      </c>
      <c r="F6" s="68">
        <f>G6-D6-H6-I6-K6</f>
        <v>390</v>
      </c>
      <c r="G6" s="43">
        <v>13500</v>
      </c>
      <c r="H6" s="118">
        <v>848</v>
      </c>
      <c r="I6" s="45">
        <f>H3-H5</f>
        <v>-24</v>
      </c>
      <c r="J6" s="23"/>
      <c r="K6" s="60">
        <f>J3-J5</f>
        <v>-323</v>
      </c>
      <c r="L6" s="113">
        <f>D6/G6</f>
        <v>0.93400000000000005</v>
      </c>
      <c r="M6" s="108">
        <f>+E6/G6</f>
        <v>0.97111111111111115</v>
      </c>
    </row>
    <row r="7" spans="1:13" x14ac:dyDescent="0.3">
      <c r="A7" s="2" t="s">
        <v>5</v>
      </c>
      <c r="B7" s="3" t="s">
        <v>6</v>
      </c>
      <c r="C7" s="3" t="s">
        <v>23</v>
      </c>
      <c r="D7" s="3">
        <v>559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">
        <v>783</v>
      </c>
      <c r="E8" s="93"/>
      <c r="F8" s="70">
        <f>G8-D8-D9-D12+K11</f>
        <v>2048</v>
      </c>
      <c r="G8" s="1">
        <v>2500</v>
      </c>
      <c r="H8" s="49"/>
      <c r="I8" s="49">
        <f>+D8+D9+D12</f>
        <v>1460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">
        <v>677</v>
      </c>
      <c r="E9" s="93"/>
      <c r="F9" s="70"/>
      <c r="G9" s="1" t="s">
        <v>32</v>
      </c>
      <c r="H9" s="49"/>
      <c r="I9" s="49"/>
      <c r="J9" s="26">
        <f>912+144</f>
        <v>1056</v>
      </c>
      <c r="K9" s="45"/>
      <c r="L9" s="113">
        <f>+I8/G8</f>
        <v>0.58399999999999996</v>
      </c>
      <c r="M9" s="107"/>
    </row>
    <row r="10" spans="1:13" ht="15" x14ac:dyDescent="0.25">
      <c r="A10" s="4"/>
      <c r="B10" s="1" t="s">
        <v>39</v>
      </c>
      <c r="C10" s="1" t="s">
        <v>40</v>
      </c>
      <c r="D10" s="1">
        <v>352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">
        <v>20</v>
      </c>
      <c r="E11" s="93"/>
      <c r="F11" s="70">
        <f>G11-D7-D11-D10+K15</f>
        <v>569</v>
      </c>
      <c r="G11" s="1">
        <v>1500</v>
      </c>
      <c r="H11" s="49"/>
      <c r="I11" s="49"/>
      <c r="J11" s="26">
        <v>48</v>
      </c>
      <c r="K11" s="62">
        <f>J9-J11</f>
        <v>1008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"/>
      <c r="E12" s="93"/>
      <c r="F12" s="70"/>
      <c r="G12" s="1"/>
      <c r="H12" s="49"/>
      <c r="I12" s="49">
        <f>+D7+D10+D11</f>
        <v>931</v>
      </c>
      <c r="J12" s="26" t="s">
        <v>43</v>
      </c>
      <c r="K12" s="45"/>
      <c r="L12" s="113">
        <f>+I12/G11</f>
        <v>0.6206666666666667</v>
      </c>
      <c r="M12" s="107"/>
    </row>
    <row r="13" spans="1:13" ht="15" x14ac:dyDescent="0.25">
      <c r="A13" s="255" t="s">
        <v>27</v>
      </c>
      <c r="B13" s="256"/>
      <c r="C13" s="256"/>
      <c r="D13" s="33">
        <f>SUM(D7:D12)</f>
        <v>2391</v>
      </c>
      <c r="E13" s="94">
        <f>D13+K11+K15</f>
        <v>3399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70"/>
      <c r="B14" s="171"/>
      <c r="C14" s="171"/>
      <c r="D14" s="33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68"/>
      <c r="B15" s="169"/>
      <c r="C15" s="169"/>
      <c r="D15" s="52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3"/>
      <c r="E16" s="92"/>
      <c r="F16" s="69">
        <f>G17-D19+K21</f>
        <v>1869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">
        <v>1192</v>
      </c>
      <c r="E17" s="93"/>
      <c r="F17" s="70"/>
      <c r="G17" s="1">
        <v>4000</v>
      </c>
      <c r="H17" s="49"/>
      <c r="I17" s="73"/>
      <c r="J17" s="30"/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">
        <v>939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33">
        <f>SUM(D17:D18)</f>
        <v>2131</v>
      </c>
      <c r="E19" s="94">
        <f>D19+K21</f>
        <v>2131</v>
      </c>
      <c r="F19" s="70"/>
      <c r="G19" s="1"/>
      <c r="H19" s="49"/>
      <c r="I19" s="73"/>
      <c r="J19" s="30" t="s">
        <v>44</v>
      </c>
      <c r="K19" s="45"/>
      <c r="L19" s="113">
        <f>D19/G17</f>
        <v>0.53274999999999995</v>
      </c>
      <c r="M19" s="107"/>
    </row>
    <row r="20" spans="1:13" ht="15.75" thickBot="1" x14ac:dyDescent="0.3">
      <c r="A20" s="132"/>
      <c r="B20" s="133"/>
      <c r="C20" s="133"/>
      <c r="D20" s="134"/>
      <c r="E20" s="135"/>
      <c r="F20" s="136"/>
      <c r="G20" s="137"/>
      <c r="H20" s="138"/>
      <c r="I20" s="139"/>
      <c r="J20" s="30">
        <v>86</v>
      </c>
      <c r="K20" s="45"/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3">
        <v>13</v>
      </c>
      <c r="E21" s="92"/>
      <c r="F21" s="69">
        <f>G22-D23+K24</f>
        <v>644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">
        <v>1293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33">
        <f>SUM(D21:D22)</f>
        <v>1306</v>
      </c>
      <c r="E23" s="94">
        <f>D23+K24</f>
        <v>1256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68"/>
      <c r="B24" s="169"/>
      <c r="C24" s="169"/>
      <c r="D24" s="52"/>
      <c r="E24" s="95"/>
      <c r="F24" s="65"/>
      <c r="G24" s="53"/>
      <c r="H24" s="55"/>
      <c r="I24" s="74"/>
      <c r="J24" s="41">
        <f>24+26</f>
        <v>50</v>
      </c>
      <c r="K24" s="63">
        <f>J22-J24</f>
        <v>-50</v>
      </c>
      <c r="L24" s="113">
        <f>D23/G22</f>
        <v>0.65300000000000002</v>
      </c>
      <c r="M24" s="107"/>
    </row>
    <row r="25" spans="1:13" x14ac:dyDescent="0.3">
      <c r="A25" s="2" t="s">
        <v>12</v>
      </c>
      <c r="B25" s="34"/>
      <c r="C25" s="34"/>
      <c r="D25" s="35"/>
      <c r="E25" s="96"/>
      <c r="F25" s="69"/>
      <c r="G25" s="57"/>
      <c r="H25" s="40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71"/>
      <c r="C26" s="171"/>
      <c r="D26" s="33"/>
      <c r="E26" s="94"/>
      <c r="F26" s="70"/>
      <c r="G26" s="58"/>
      <c r="H26" s="40">
        <v>430</v>
      </c>
      <c r="I26" s="23"/>
      <c r="J26" s="23">
        <v>48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">
        <v>2244</v>
      </c>
      <c r="E27" s="93"/>
      <c r="F27" s="70">
        <f>G28-D29-H29-I29-K29</f>
        <v>622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">
        <v>780</v>
      </c>
      <c r="E28" s="93"/>
      <c r="F28" s="70"/>
      <c r="G28" s="58">
        <v>7013</v>
      </c>
      <c r="H28" s="40">
        <v>421</v>
      </c>
      <c r="I28" s="23"/>
      <c r="J28" s="23">
        <f>45+113</f>
        <v>158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36">
        <f>SUM(D27:D28)</f>
        <v>3024</v>
      </c>
      <c r="E29" s="97">
        <f>D29+H29+I29+K29</f>
        <v>6391</v>
      </c>
      <c r="F29" s="71"/>
      <c r="G29" s="59"/>
      <c r="H29" s="119">
        <v>3468</v>
      </c>
      <c r="I29" s="25">
        <f>H26-H28</f>
        <v>9</v>
      </c>
      <c r="J29" s="38"/>
      <c r="K29" s="64">
        <f>+J26-J28</f>
        <v>-110</v>
      </c>
      <c r="L29" s="113">
        <f>D29/G28</f>
        <v>0.4311992014829602</v>
      </c>
      <c r="M29" s="108">
        <f>+E29/G28</f>
        <v>0.91130757165264509</v>
      </c>
    </row>
    <row r="30" spans="1:13" x14ac:dyDescent="0.3">
      <c r="A30" s="257"/>
      <c r="B30" s="257"/>
      <c r="C30" s="257"/>
    </row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H30" sqref="H30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65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11167</v>
      </c>
      <c r="E3" s="93"/>
      <c r="F3" s="67"/>
      <c r="G3" s="21"/>
      <c r="H3" s="37">
        <v>24</v>
      </c>
      <c r="I3" s="23"/>
      <c r="J3" s="23">
        <v>1224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724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94</v>
      </c>
      <c r="I5" s="23"/>
      <c r="J5" s="23">
        <f>635+552</f>
        <v>1187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11900</v>
      </c>
      <c r="E6" s="91">
        <f>D6+H6+I6+K6</f>
        <v>12621</v>
      </c>
      <c r="F6" s="68">
        <f>G6-D6-H6-I6-K6</f>
        <v>879</v>
      </c>
      <c r="G6" s="43">
        <v>13500</v>
      </c>
      <c r="H6" s="191">
        <v>754</v>
      </c>
      <c r="I6" s="45">
        <f>H3-H5</f>
        <v>-70</v>
      </c>
      <c r="J6" s="23"/>
      <c r="K6" s="60">
        <f>J3-J5</f>
        <v>37</v>
      </c>
      <c r="L6" s="113">
        <f>D6/G6</f>
        <v>0.88148148148148153</v>
      </c>
      <c r="M6" s="108">
        <f>+E6/G6</f>
        <v>0.93488888888888888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598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1463</v>
      </c>
      <c r="E8" s="93"/>
      <c r="F8" s="70">
        <f>G8-D8-D9-D12+K11</f>
        <v>192</v>
      </c>
      <c r="G8" s="1">
        <v>2500</v>
      </c>
      <c r="H8" s="49"/>
      <c r="I8" s="49">
        <f>+D8+D9+D12</f>
        <v>2474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819</v>
      </c>
      <c r="E9" s="93"/>
      <c r="F9" s="70"/>
      <c r="G9" s="1" t="s">
        <v>32</v>
      </c>
      <c r="H9" s="49"/>
      <c r="I9" s="49"/>
      <c r="J9" s="26">
        <v>168</v>
      </c>
      <c r="K9" s="45"/>
      <c r="L9" s="113">
        <f>+I8/G8</f>
        <v>0.98960000000000004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375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513</v>
      </c>
      <c r="G11" s="1">
        <v>1500</v>
      </c>
      <c r="H11" s="49"/>
      <c r="I11" s="49"/>
      <c r="J11" s="26">
        <v>2</v>
      </c>
      <c r="K11" s="62">
        <f>J9-J11</f>
        <v>166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993</v>
      </c>
      <c r="J12" s="26" t="s">
        <v>43</v>
      </c>
      <c r="K12" s="45"/>
      <c r="L12" s="113">
        <f>+I12/G11</f>
        <v>0.66200000000000003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3467</v>
      </c>
      <c r="E13" s="94">
        <f>D13+K11+K15</f>
        <v>3639</v>
      </c>
      <c r="F13" s="70"/>
      <c r="G13" s="1"/>
      <c r="H13" s="49"/>
      <c r="I13" s="49"/>
      <c r="J13" s="26">
        <v>24</v>
      </c>
      <c r="K13" s="45"/>
      <c r="L13" s="113"/>
      <c r="M13" s="107"/>
    </row>
    <row r="14" spans="1:13" ht="15" x14ac:dyDescent="0.25">
      <c r="A14" s="174"/>
      <c r="B14" s="175"/>
      <c r="C14" s="175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72"/>
      <c r="B15" s="173"/>
      <c r="C15" s="173"/>
      <c r="D15" s="186"/>
      <c r="E15" s="95"/>
      <c r="F15" s="65"/>
      <c r="G15" s="53"/>
      <c r="H15" s="54"/>
      <c r="I15" s="54"/>
      <c r="J15" s="26">
        <v>18</v>
      </c>
      <c r="K15" s="62">
        <f>J13-J15</f>
        <v>6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1779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1498</v>
      </c>
      <c r="E17" s="93"/>
      <c r="F17" s="70"/>
      <c r="G17" s="1">
        <v>4000</v>
      </c>
      <c r="H17" s="49"/>
      <c r="I17" s="73"/>
      <c r="J17" s="30">
        <v>120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723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SUM(D17:D18)</f>
        <v>2221</v>
      </c>
      <c r="E19" s="94">
        <f>D19+K21</f>
        <v>2221</v>
      </c>
      <c r="F19" s="70"/>
      <c r="G19" s="1"/>
      <c r="H19" s="49"/>
      <c r="I19" s="73"/>
      <c r="J19" s="30" t="s">
        <v>44</v>
      </c>
      <c r="K19" s="45"/>
      <c r="L19" s="113">
        <f>D19/G17</f>
        <v>0.55525000000000002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216+172</f>
        <v>388</v>
      </c>
      <c r="K20" s="45"/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838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1088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1101</v>
      </c>
      <c r="E23" s="94">
        <f>D23+K24</f>
        <v>1040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72"/>
      <c r="B24" s="173"/>
      <c r="C24" s="173"/>
      <c r="D24" s="186"/>
      <c r="E24" s="95"/>
      <c r="F24" s="65"/>
      <c r="G24" s="53"/>
      <c r="H24" s="55"/>
      <c r="I24" s="74"/>
      <c r="J24" s="41">
        <f>24+37</f>
        <v>61</v>
      </c>
      <c r="K24" s="63">
        <f>J22-J24</f>
        <v>-61</v>
      </c>
      <c r="L24" s="113">
        <f>D23/G22</f>
        <v>0.55049999999999999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75"/>
      <c r="C26" s="175"/>
      <c r="D26" s="185"/>
      <c r="E26" s="94"/>
      <c r="F26" s="70"/>
      <c r="G26" s="58"/>
      <c r="H26" s="56">
        <v>335</v>
      </c>
      <c r="I26" s="23"/>
      <c r="J26" s="23"/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2067</v>
      </c>
      <c r="E27" s="93"/>
      <c r="F27" s="70">
        <f>G28-D29-H29-I29-K29</f>
        <v>821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1005</v>
      </c>
      <c r="E28" s="93"/>
      <c r="F28" s="70"/>
      <c r="G28" s="58">
        <v>7013</v>
      </c>
      <c r="H28" s="56">
        <v>307</v>
      </c>
      <c r="I28" s="23"/>
      <c r="J28" s="23">
        <f>109+192</f>
        <v>301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3072</v>
      </c>
      <c r="E29" s="97">
        <f>D29+H29+I29+K29</f>
        <v>6192</v>
      </c>
      <c r="F29" s="71"/>
      <c r="G29" s="59"/>
      <c r="H29" s="190">
        <v>3393</v>
      </c>
      <c r="I29" s="25">
        <f>H26-H28</f>
        <v>28</v>
      </c>
      <c r="J29" s="38"/>
      <c r="K29" s="64">
        <f>+J26-J28</f>
        <v>-301</v>
      </c>
      <c r="L29" s="113">
        <f>D29/G28</f>
        <v>0.43804363325253104</v>
      </c>
      <c r="M29" s="108">
        <f>+E29/G28</f>
        <v>0.8829316982746328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H32" sqref="H32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64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11488</v>
      </c>
      <c r="E3" s="93"/>
      <c r="F3" s="67"/>
      <c r="G3" s="21"/>
      <c r="H3" s="37">
        <v>48</v>
      </c>
      <c r="I3" s="23"/>
      <c r="J3" s="23">
        <v>936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594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96</v>
      </c>
      <c r="I5" s="23"/>
      <c r="J5" s="23">
        <f>788+144</f>
        <v>932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12091</v>
      </c>
      <c r="E6" s="91">
        <f>D6+H6+I6+K6</f>
        <v>12801</v>
      </c>
      <c r="F6" s="68">
        <f>G6-D6-H6-I6-K6</f>
        <v>699</v>
      </c>
      <c r="G6" s="43">
        <v>13500</v>
      </c>
      <c r="H6" s="191">
        <v>754</v>
      </c>
      <c r="I6" s="45">
        <f>H3-H5</f>
        <v>-48</v>
      </c>
      <c r="J6" s="23"/>
      <c r="K6" s="60">
        <f>J3-J5</f>
        <v>4</v>
      </c>
      <c r="L6" s="113">
        <f>D6/G6</f>
        <v>0.89562962962962966</v>
      </c>
      <c r="M6" s="108">
        <f>+E6/G6</f>
        <v>0.94822222222222219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587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1553</v>
      </c>
      <c r="E8" s="93"/>
      <c r="F8" s="70">
        <f>G8-D8-D9-D12+K11</f>
        <v>148</v>
      </c>
      <c r="G8" s="1">
        <v>2500</v>
      </c>
      <c r="H8" s="49"/>
      <c r="I8" s="49">
        <f>+D8+D9+D12</f>
        <v>2294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549</v>
      </c>
      <c r="E9" s="93"/>
      <c r="F9" s="70"/>
      <c r="G9" s="1" t="s">
        <v>32</v>
      </c>
      <c r="H9" s="49"/>
      <c r="I9" s="49"/>
      <c r="J9" s="26">
        <v>168</v>
      </c>
      <c r="K9" s="45"/>
      <c r="L9" s="113">
        <f>+I8/G8</f>
        <v>0.91759999999999997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379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469</v>
      </c>
      <c r="G11" s="1">
        <v>1500</v>
      </c>
      <c r="H11" s="49"/>
      <c r="I11" s="49"/>
      <c r="J11" s="26">
        <v>226</v>
      </c>
      <c r="K11" s="62">
        <f>J9-J11</f>
        <v>-58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986</v>
      </c>
      <c r="J12" s="26" t="s">
        <v>43</v>
      </c>
      <c r="K12" s="45"/>
      <c r="L12" s="113">
        <f>+I12/G11</f>
        <v>0.65733333333333333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3280</v>
      </c>
      <c r="E13" s="94">
        <f>D13+K11+K15</f>
        <v>3177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78"/>
      <c r="B14" s="179"/>
      <c r="C14" s="179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76"/>
      <c r="B15" s="177"/>
      <c r="C15" s="177"/>
      <c r="D15" s="186"/>
      <c r="E15" s="95"/>
      <c r="F15" s="65"/>
      <c r="G15" s="53"/>
      <c r="H15" s="54"/>
      <c r="I15" s="54"/>
      <c r="J15" s="26">
        <f>24+21</f>
        <v>45</v>
      </c>
      <c r="K15" s="62">
        <f>J13-J15</f>
        <v>-45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1898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1547</v>
      </c>
      <c r="E17" s="93"/>
      <c r="F17" s="70"/>
      <c r="G17" s="1">
        <v>4000</v>
      </c>
      <c r="H17" s="49"/>
      <c r="I17" s="73"/>
      <c r="J17" s="30">
        <v>144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555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2102</v>
      </c>
      <c r="E19" s="94">
        <f>D19+K21</f>
        <v>2102</v>
      </c>
      <c r="F19" s="70"/>
      <c r="G19" s="1"/>
      <c r="H19" s="49"/>
      <c r="I19" s="73"/>
      <c r="J19" s="30" t="s">
        <v>44</v>
      </c>
      <c r="K19" s="45"/>
      <c r="L19" s="113">
        <f>D19/G17</f>
        <v>0.52549999999999997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309</v>
      </c>
      <c r="K20" s="62">
        <f>J17-J20</f>
        <v>-165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947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994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1007</v>
      </c>
      <c r="E23" s="94">
        <f>D23+K24</f>
        <v>961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76"/>
      <c r="B24" s="177"/>
      <c r="C24" s="177"/>
      <c r="D24" s="186"/>
      <c r="E24" s="95"/>
      <c r="F24" s="65"/>
      <c r="G24" s="53"/>
      <c r="H24" s="55"/>
      <c r="I24" s="74"/>
      <c r="J24" s="41">
        <v>46</v>
      </c>
      <c r="K24" s="63">
        <f>J22-J24</f>
        <v>-46</v>
      </c>
      <c r="L24" s="113">
        <f>D23/G22</f>
        <v>0.50349999999999995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79"/>
      <c r="C26" s="179"/>
      <c r="D26" s="185"/>
      <c r="E26" s="94"/>
      <c r="F26" s="70"/>
      <c r="G26" s="58"/>
      <c r="H26" s="56">
        <v>200</v>
      </c>
      <c r="I26" s="23"/>
      <c r="J26" s="23">
        <v>209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1911</v>
      </c>
      <c r="E27" s="93"/>
      <c r="F27" s="70">
        <f>G28-D29-H29-I29-K29</f>
        <v>646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1144</v>
      </c>
      <c r="E28" s="93"/>
      <c r="F28" s="70"/>
      <c r="G28" s="58">
        <v>7013</v>
      </c>
      <c r="H28" s="56">
        <v>214</v>
      </c>
      <c r="I28" s="23"/>
      <c r="J28" s="23">
        <f>156+120</f>
        <v>276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3055</v>
      </c>
      <c r="E29" s="97">
        <f>D29+H29+I29+K29</f>
        <v>6367</v>
      </c>
      <c r="F29" s="71"/>
      <c r="G29" s="59"/>
      <c r="H29" s="190">
        <v>3393</v>
      </c>
      <c r="I29" s="25">
        <f>H26-H28</f>
        <v>-14</v>
      </c>
      <c r="J29" s="38"/>
      <c r="K29" s="64">
        <f>+J26-J28</f>
        <v>-67</v>
      </c>
      <c r="L29" s="113">
        <f>D29/G28</f>
        <v>0.43561956366747467</v>
      </c>
      <c r="M29" s="108">
        <f>+E29/G28</f>
        <v>0.90788535576785967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O12" sqref="O12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67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11501</v>
      </c>
      <c r="E3" s="93"/>
      <c r="F3" s="67"/>
      <c r="G3" s="21"/>
      <c r="H3" s="37">
        <v>48</v>
      </c>
      <c r="I3" s="23"/>
      <c r="J3" s="23">
        <v>1008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595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72</v>
      </c>
      <c r="I5" s="23"/>
      <c r="J5" s="23">
        <f>216+736</f>
        <v>952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12105</v>
      </c>
      <c r="E6" s="91">
        <f>D6+H6+I6+K6</f>
        <v>12843</v>
      </c>
      <c r="F6" s="68">
        <f>G6-D6-H6-I6-K6</f>
        <v>657</v>
      </c>
      <c r="G6" s="43">
        <v>13500</v>
      </c>
      <c r="H6" s="191">
        <v>706</v>
      </c>
      <c r="I6" s="45">
        <f>H3-H5</f>
        <v>-24</v>
      </c>
      <c r="J6" s="23"/>
      <c r="K6" s="60">
        <f>J3-J5</f>
        <v>56</v>
      </c>
      <c r="L6" s="113">
        <f>D6/G6</f>
        <v>0.89666666666666661</v>
      </c>
      <c r="M6" s="108">
        <f>+E6/G6</f>
        <v>0.95133333333333336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604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1520</v>
      </c>
      <c r="E8" s="93"/>
      <c r="F8" s="70">
        <f>G8-D8-D9-D12+K11</f>
        <v>174</v>
      </c>
      <c r="G8" s="1">
        <v>2500</v>
      </c>
      <c r="H8" s="49"/>
      <c r="I8" s="49">
        <f>+D8+D9+D12</f>
        <v>2294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582</v>
      </c>
      <c r="E9" s="93"/>
      <c r="F9" s="70"/>
      <c r="G9" s="1" t="s">
        <v>32</v>
      </c>
      <c r="H9" s="49"/>
      <c r="I9" s="49"/>
      <c r="J9" s="26">
        <v>240</v>
      </c>
      <c r="K9" s="45"/>
      <c r="L9" s="113">
        <f>+I8/G8</f>
        <v>0.91759999999999997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378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483</v>
      </c>
      <c r="G11" s="1">
        <v>1500</v>
      </c>
      <c r="H11" s="49"/>
      <c r="I11" s="49"/>
      <c r="J11" s="26">
        <f>18+254</f>
        <v>272</v>
      </c>
      <c r="K11" s="62">
        <f>J9-J11</f>
        <v>-32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1002</v>
      </c>
      <c r="J12" s="26" t="s">
        <v>43</v>
      </c>
      <c r="K12" s="45"/>
      <c r="L12" s="113">
        <f>+I12/G11</f>
        <v>0.66800000000000004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3296</v>
      </c>
      <c r="E13" s="94">
        <f>D13+K11+K15</f>
        <v>3249</v>
      </c>
      <c r="F13" s="70"/>
      <c r="G13" s="1"/>
      <c r="H13" s="49"/>
      <c r="I13" s="49"/>
      <c r="J13" s="26">
        <v>24</v>
      </c>
      <c r="K13" s="45"/>
      <c r="L13" s="113"/>
      <c r="M13" s="107"/>
    </row>
    <row r="14" spans="1:13" ht="15" x14ac:dyDescent="0.25">
      <c r="A14" s="194"/>
      <c r="B14" s="195"/>
      <c r="C14" s="195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92"/>
      <c r="B15" s="193"/>
      <c r="C15" s="193"/>
      <c r="D15" s="186"/>
      <c r="E15" s="95"/>
      <c r="F15" s="65"/>
      <c r="G15" s="53"/>
      <c r="H15" s="54"/>
      <c r="I15" s="54"/>
      <c r="J15" s="26">
        <f>15+24</f>
        <v>39</v>
      </c>
      <c r="K15" s="62">
        <f>J13-J15</f>
        <v>-15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2060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1625</v>
      </c>
      <c r="E17" s="93"/>
      <c r="F17" s="70"/>
      <c r="G17" s="1">
        <v>4000</v>
      </c>
      <c r="H17" s="49"/>
      <c r="I17" s="73"/>
      <c r="J17" s="30">
        <v>96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315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1940</v>
      </c>
      <c r="E19" s="94">
        <f>D19+K21</f>
        <v>1940</v>
      </c>
      <c r="F19" s="70"/>
      <c r="G19" s="1"/>
      <c r="H19" s="49"/>
      <c r="I19" s="73"/>
      <c r="J19" s="30" t="s">
        <v>44</v>
      </c>
      <c r="K19" s="45"/>
      <c r="L19" s="113">
        <f>D19/G17</f>
        <v>0.48499999999999999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168+168</f>
        <v>336</v>
      </c>
      <c r="K20" s="62">
        <f>J17-J20</f>
        <v>-240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1065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919</v>
      </c>
      <c r="E22" s="93"/>
      <c r="F22" s="70"/>
      <c r="G22" s="1">
        <v>2000</v>
      </c>
      <c r="H22" s="49"/>
      <c r="I22" s="73"/>
      <c r="J22" s="30">
        <v>24</v>
      </c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932</v>
      </c>
      <c r="E23" s="94">
        <f>D23+K24</f>
        <v>929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92"/>
      <c r="B24" s="193"/>
      <c r="C24" s="193"/>
      <c r="D24" s="186"/>
      <c r="E24" s="95"/>
      <c r="F24" s="65"/>
      <c r="G24" s="53"/>
      <c r="H24" s="55"/>
      <c r="I24" s="74"/>
      <c r="J24" s="41">
        <v>27</v>
      </c>
      <c r="K24" s="63">
        <f>J22-J24</f>
        <v>-3</v>
      </c>
      <c r="L24" s="113">
        <f>D23/G22</f>
        <v>0.46600000000000003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95"/>
      <c r="C26" s="195"/>
      <c r="D26" s="185"/>
      <c r="E26" s="94"/>
      <c r="F26" s="70"/>
      <c r="G26" s="58"/>
      <c r="H26" s="56">
        <v>260</v>
      </c>
      <c r="I26" s="23"/>
      <c r="J26" s="23">
        <v>240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1838</v>
      </c>
      <c r="E27" s="93"/>
      <c r="F27" s="70">
        <f>G28-D29-H29-I29-K29</f>
        <v>353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1242</v>
      </c>
      <c r="E28" s="93"/>
      <c r="F28" s="70"/>
      <c r="G28" s="58">
        <v>7013</v>
      </c>
      <c r="H28" s="56">
        <v>268</v>
      </c>
      <c r="I28" s="23"/>
      <c r="J28" s="23">
        <f>35+72</f>
        <v>107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3080</v>
      </c>
      <c r="E29" s="97">
        <f>D29+H29+I29+K29</f>
        <v>6660</v>
      </c>
      <c r="F29" s="71"/>
      <c r="G29" s="59"/>
      <c r="H29" s="190">
        <v>3455</v>
      </c>
      <c r="I29" s="25">
        <f>H26-H28</f>
        <v>-8</v>
      </c>
      <c r="J29" s="38"/>
      <c r="K29" s="64">
        <f>+J26-J28</f>
        <v>133</v>
      </c>
      <c r="L29" s="113">
        <f>D29/G28</f>
        <v>0.43918437188079279</v>
      </c>
      <c r="M29" s="108">
        <f>+E29/G28</f>
        <v>0.94966490802794812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M29" sqref="A1:M29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68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11416</v>
      </c>
      <c r="E3" s="93"/>
      <c r="F3" s="67"/>
      <c r="G3" s="21"/>
      <c r="H3" s="37">
        <v>72</v>
      </c>
      <c r="I3" s="23"/>
      <c r="J3" s="23">
        <v>864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595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144</v>
      </c>
      <c r="I5" s="23"/>
      <c r="J5" s="23">
        <f>360+835</f>
        <v>1195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12020</v>
      </c>
      <c r="E6" s="91">
        <f>D6+H6+I6+K6</f>
        <v>12276</v>
      </c>
      <c r="F6" s="68">
        <f>G6-D6-H6-I6-K6</f>
        <v>1224</v>
      </c>
      <c r="G6" s="43">
        <v>13500</v>
      </c>
      <c r="H6" s="191">
        <v>659</v>
      </c>
      <c r="I6" s="45">
        <f>H3-H5</f>
        <v>-72</v>
      </c>
      <c r="J6" s="23"/>
      <c r="K6" s="60">
        <f>J3-J5</f>
        <v>-331</v>
      </c>
      <c r="L6" s="113">
        <f>D6/G6</f>
        <v>0.89037037037037037</v>
      </c>
      <c r="M6" s="108">
        <f>+E6/G6</f>
        <v>0.90933333333333333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571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1343</v>
      </c>
      <c r="E8" s="93"/>
      <c r="F8" s="70">
        <f>G8-D8-D9-D12+K11</f>
        <v>422</v>
      </c>
      <c r="G8" s="1">
        <v>2500</v>
      </c>
      <c r="H8" s="49"/>
      <c r="I8" s="49">
        <f>+D8+D9+D12</f>
        <v>2247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712</v>
      </c>
      <c r="E9" s="93"/>
      <c r="F9" s="70"/>
      <c r="G9" s="1" t="s">
        <v>32</v>
      </c>
      <c r="H9" s="49"/>
      <c r="I9" s="49"/>
      <c r="J9" s="26">
        <v>240</v>
      </c>
      <c r="K9" s="45"/>
      <c r="L9" s="113">
        <f>+I8/G8</f>
        <v>0.89880000000000004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397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510</v>
      </c>
      <c r="G11" s="1">
        <v>1500</v>
      </c>
      <c r="H11" s="49"/>
      <c r="I11" s="49"/>
      <c r="J11" s="26">
        <f>4+67</f>
        <v>71</v>
      </c>
      <c r="K11" s="62">
        <f>J9-J11</f>
        <v>169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988</v>
      </c>
      <c r="J12" s="26" t="s">
        <v>43</v>
      </c>
      <c r="K12" s="45"/>
      <c r="L12" s="113">
        <f>+I12/G11</f>
        <v>0.65866666666666662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3235</v>
      </c>
      <c r="E13" s="94">
        <f>D13+K11+K15</f>
        <v>3402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94"/>
      <c r="B14" s="195"/>
      <c r="C14" s="195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92"/>
      <c r="B15" s="193"/>
      <c r="C15" s="193"/>
      <c r="D15" s="186"/>
      <c r="E15" s="95"/>
      <c r="F15" s="65"/>
      <c r="G15" s="53"/>
      <c r="H15" s="54"/>
      <c r="I15" s="54"/>
      <c r="J15" s="26">
        <v>2</v>
      </c>
      <c r="K15" s="62">
        <f>J13-J15</f>
        <v>-2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2077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1704</v>
      </c>
      <c r="E17" s="93"/>
      <c r="F17" s="70"/>
      <c r="G17" s="1">
        <v>4000</v>
      </c>
      <c r="H17" s="49"/>
      <c r="I17" s="73"/>
      <c r="J17" s="30">
        <v>240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219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1923</v>
      </c>
      <c r="E19" s="94">
        <f>D19+K21</f>
        <v>1923</v>
      </c>
      <c r="F19" s="70"/>
      <c r="G19" s="1"/>
      <c r="H19" s="49"/>
      <c r="I19" s="73"/>
      <c r="J19" s="30" t="s">
        <v>44</v>
      </c>
      <c r="K19" s="45"/>
      <c r="L19" s="113">
        <f>D19/G17</f>
        <v>0.48075000000000001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32</v>
      </c>
      <c r="K20" s="62">
        <f>J17-J20</f>
        <v>208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1114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873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886</v>
      </c>
      <c r="E23" s="94">
        <f>D23+K24</f>
        <v>886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92"/>
      <c r="B24" s="193"/>
      <c r="C24" s="193"/>
      <c r="D24" s="186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0.443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95"/>
      <c r="C26" s="195"/>
      <c r="D26" s="185"/>
      <c r="E26" s="94"/>
      <c r="F26" s="70"/>
      <c r="G26" s="58"/>
      <c r="H26" s="56">
        <v>487</v>
      </c>
      <c r="I26" s="23"/>
      <c r="J26" s="23">
        <v>240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1800</v>
      </c>
      <c r="E27" s="93"/>
      <c r="F27" s="70">
        <f>G28-D29-H29-I29-K29</f>
        <v>50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1434</v>
      </c>
      <c r="E28" s="93"/>
      <c r="F28" s="70"/>
      <c r="G28" s="58">
        <v>7013</v>
      </c>
      <c r="H28" s="56">
        <v>222</v>
      </c>
      <c r="I28" s="23"/>
      <c r="J28" s="23">
        <f>115+144</f>
        <v>259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3234</v>
      </c>
      <c r="E29" s="97">
        <f>D29+H29+I29+K29</f>
        <v>6963</v>
      </c>
      <c r="F29" s="71"/>
      <c r="G29" s="59"/>
      <c r="H29" s="190">
        <v>3483</v>
      </c>
      <c r="I29" s="25">
        <f>H26-H28</f>
        <v>265</v>
      </c>
      <c r="J29" s="38"/>
      <c r="K29" s="64">
        <f>+J26-J28</f>
        <v>-19</v>
      </c>
      <c r="L29" s="113">
        <f>D29/G28</f>
        <v>0.46114359047483244</v>
      </c>
      <c r="M29" s="108">
        <f>+E29/G28</f>
        <v>0.99287038357336377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21" sqref="J21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11541</v>
      </c>
      <c r="E3" s="93"/>
      <c r="F3" s="67"/>
      <c r="G3" s="21"/>
      <c r="H3" s="37">
        <v>48</v>
      </c>
      <c r="I3" s="23"/>
      <c r="J3" s="23">
        <v>1008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416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48</v>
      </c>
      <c r="I5" s="23"/>
      <c r="J5" s="23">
        <f>432+261</f>
        <v>693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11966</v>
      </c>
      <c r="E6" s="91">
        <f>D6+H6+I6+K6</f>
        <v>12845</v>
      </c>
      <c r="F6" s="68">
        <f>G6-D6-H6-I6-K6</f>
        <v>655</v>
      </c>
      <c r="G6" s="43">
        <v>13500</v>
      </c>
      <c r="H6" s="191">
        <v>564</v>
      </c>
      <c r="I6" s="45">
        <f>H3-H5</f>
        <v>0</v>
      </c>
      <c r="J6" s="23"/>
      <c r="K6" s="60">
        <f>J3-J5</f>
        <v>315</v>
      </c>
      <c r="L6" s="113">
        <f>D6/G6</f>
        <v>0.88637037037037036</v>
      </c>
      <c r="M6" s="108">
        <f>+E6/G6</f>
        <v>0.95148148148148148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570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1211</v>
      </c>
      <c r="E8" s="93"/>
      <c r="F8" s="70">
        <f>G8-D8-D9-D12+K11</f>
        <v>295</v>
      </c>
      <c r="G8" s="1">
        <v>2500</v>
      </c>
      <c r="H8" s="49"/>
      <c r="I8" s="49">
        <f>+D8+D9+D12</f>
        <v>2241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838</v>
      </c>
      <c r="E9" s="93"/>
      <c r="F9" s="70"/>
      <c r="G9" s="1" t="s">
        <v>32</v>
      </c>
      <c r="H9" s="49"/>
      <c r="I9" s="49"/>
      <c r="J9" s="26">
        <v>168</v>
      </c>
      <c r="K9" s="45"/>
      <c r="L9" s="113">
        <f>+I8/G8</f>
        <v>0.89639999999999997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421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478</v>
      </c>
      <c r="G11" s="1">
        <v>1500</v>
      </c>
      <c r="H11" s="49"/>
      <c r="I11" s="49"/>
      <c r="J11" s="26">
        <f>72+60</f>
        <v>132</v>
      </c>
      <c r="K11" s="62">
        <f>J9-J11</f>
        <v>36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1011</v>
      </c>
      <c r="J12" s="26" t="s">
        <v>43</v>
      </c>
      <c r="K12" s="45"/>
      <c r="L12" s="113">
        <f>+I12/G11</f>
        <v>0.67400000000000004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3252</v>
      </c>
      <c r="E13" s="94">
        <f>D13+K11+K15</f>
        <v>3277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94"/>
      <c r="B14" s="195"/>
      <c r="C14" s="195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92"/>
      <c r="B15" s="193"/>
      <c r="C15" s="193"/>
      <c r="D15" s="186"/>
      <c r="E15" s="95"/>
      <c r="F15" s="65"/>
      <c r="G15" s="53"/>
      <c r="H15" s="54"/>
      <c r="I15" s="54"/>
      <c r="J15" s="26">
        <v>11</v>
      </c>
      <c r="K15" s="62">
        <f>J13-J15</f>
        <v>-11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1994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1790</v>
      </c>
      <c r="E17" s="93"/>
      <c r="F17" s="70"/>
      <c r="G17" s="1">
        <v>4000</v>
      </c>
      <c r="H17" s="49"/>
      <c r="I17" s="73"/>
      <c r="J17" s="30">
        <v>120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216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2006</v>
      </c>
      <c r="E19" s="94">
        <f>D19+K21</f>
        <v>2006</v>
      </c>
      <c r="F19" s="70"/>
      <c r="G19" s="1"/>
      <c r="H19" s="49"/>
      <c r="I19" s="73"/>
      <c r="J19" s="30" t="s">
        <v>44</v>
      </c>
      <c r="K19" s="45"/>
      <c r="L19" s="113">
        <f>D19/G17</f>
        <v>0.50149999999999995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7+105</f>
        <v>112</v>
      </c>
      <c r="K20" s="62">
        <f>J17-J20</f>
        <v>8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1145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873</v>
      </c>
      <c r="E22" s="93"/>
      <c r="F22" s="70"/>
      <c r="G22" s="1">
        <v>2000</v>
      </c>
      <c r="H22" s="49"/>
      <c r="I22" s="73"/>
      <c r="J22" s="30">
        <v>48</v>
      </c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886</v>
      </c>
      <c r="E23" s="94">
        <f>D23+K24</f>
        <v>917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92"/>
      <c r="B24" s="193"/>
      <c r="C24" s="193"/>
      <c r="D24" s="186"/>
      <c r="E24" s="95"/>
      <c r="F24" s="65"/>
      <c r="G24" s="53"/>
      <c r="H24" s="55"/>
      <c r="I24" s="74"/>
      <c r="J24" s="41">
        <v>17</v>
      </c>
      <c r="K24" s="63">
        <f>J22-J24</f>
        <v>31</v>
      </c>
      <c r="L24" s="113">
        <f>D23/G22</f>
        <v>0.443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95"/>
      <c r="C26" s="195"/>
      <c r="D26" s="185"/>
      <c r="E26" s="94"/>
      <c r="F26" s="70"/>
      <c r="G26" s="58"/>
      <c r="H26" s="56">
        <v>250</v>
      </c>
      <c r="I26" s="23"/>
      <c r="J26" s="23">
        <v>240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1684</v>
      </c>
      <c r="E27" s="93"/>
      <c r="F27" s="70">
        <f>G28-D29-H29-I29-K29</f>
        <v>-28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1565</v>
      </c>
      <c r="E28" s="93"/>
      <c r="F28" s="70"/>
      <c r="G28" s="58">
        <v>7013</v>
      </c>
      <c r="H28" s="56">
        <v>196</v>
      </c>
      <c r="I28" s="23"/>
      <c r="J28" s="23">
        <f>168+61</f>
        <v>229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3249</v>
      </c>
      <c r="E29" s="97">
        <f>D29+H29+I29+K29</f>
        <v>7041</v>
      </c>
      <c r="F29" s="71"/>
      <c r="G29" s="59"/>
      <c r="H29" s="190">
        <v>3727</v>
      </c>
      <c r="I29" s="25">
        <f>H26-H28</f>
        <v>54</v>
      </c>
      <c r="J29" s="38"/>
      <c r="K29" s="64">
        <f>+J26-J28</f>
        <v>11</v>
      </c>
      <c r="L29" s="113">
        <f>D29/G28</f>
        <v>0.4632824754028233</v>
      </c>
      <c r="M29" s="108">
        <f>+E29/G28</f>
        <v>1.0039925851989162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0" sqref="L30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11805</v>
      </c>
      <c r="E3" s="93"/>
      <c r="F3" s="67"/>
      <c r="G3" s="21"/>
      <c r="H3" s="37">
        <v>72</v>
      </c>
      <c r="I3" s="23"/>
      <c r="J3" s="23">
        <v>1152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254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f>192+657</f>
        <v>849</v>
      </c>
      <c r="I5" s="23"/>
      <c r="J5" s="23">
        <v>240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12068</v>
      </c>
      <c r="E6" s="91">
        <f>D6+H6+I6+K6</f>
        <v>12839</v>
      </c>
      <c r="F6" s="68">
        <f>G6-D6-H6-I6-K6</f>
        <v>661</v>
      </c>
      <c r="G6" s="43">
        <v>13500</v>
      </c>
      <c r="H6" s="191">
        <v>636</v>
      </c>
      <c r="I6" s="45">
        <f>H3-H5</f>
        <v>-777</v>
      </c>
      <c r="J6" s="23"/>
      <c r="K6" s="60">
        <f>J3-J5</f>
        <v>912</v>
      </c>
      <c r="L6" s="113">
        <f>D6/G6</f>
        <v>0.8939259259259259</v>
      </c>
      <c r="M6" s="108">
        <f>+E6/G6</f>
        <v>0.95103703703703701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569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1235</v>
      </c>
      <c r="E8" s="93"/>
      <c r="F8" s="70">
        <f>G8-D8-D9-D12+K11</f>
        <v>293</v>
      </c>
      <c r="G8" s="1">
        <v>2500</v>
      </c>
      <c r="H8" s="49"/>
      <c r="I8" s="49">
        <f>+D8+D9+D12</f>
        <v>2343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916</v>
      </c>
      <c r="E9" s="93"/>
      <c r="F9" s="70"/>
      <c r="G9" s="1" t="s">
        <v>32</v>
      </c>
      <c r="H9" s="49"/>
      <c r="I9" s="49"/>
      <c r="J9" s="26">
        <v>216</v>
      </c>
      <c r="K9" s="45"/>
      <c r="L9" s="113">
        <f>+I8/G8</f>
        <v>0.93720000000000003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434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477</v>
      </c>
      <c r="G11" s="1">
        <v>1500</v>
      </c>
      <c r="H11" s="49"/>
      <c r="I11" s="49"/>
      <c r="J11" s="26">
        <v>80</v>
      </c>
      <c r="K11" s="62">
        <f>J9-J11</f>
        <v>136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1023</v>
      </c>
      <c r="J12" s="26" t="s">
        <v>43</v>
      </c>
      <c r="K12" s="45"/>
      <c r="L12" s="113">
        <f>+I12/G11</f>
        <v>0.68200000000000005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3366</v>
      </c>
      <c r="E13" s="94">
        <f>D13+K11+K15</f>
        <v>3502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198"/>
      <c r="B14" s="199"/>
      <c r="C14" s="199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196"/>
      <c r="B15" s="197"/>
      <c r="C15" s="197"/>
      <c r="D15" s="186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1921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1860</v>
      </c>
      <c r="E17" s="93"/>
      <c r="F17" s="70"/>
      <c r="G17" s="1">
        <v>4000</v>
      </c>
      <c r="H17" s="49"/>
      <c r="I17" s="73"/>
      <c r="J17" s="30">
        <v>264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219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2079</v>
      </c>
      <c r="E19" s="94">
        <f>D19+K21</f>
        <v>2079</v>
      </c>
      <c r="F19" s="70"/>
      <c r="G19" s="1"/>
      <c r="H19" s="49"/>
      <c r="I19" s="73"/>
      <c r="J19" s="30" t="s">
        <v>44</v>
      </c>
      <c r="K19" s="45"/>
      <c r="L19" s="113">
        <f>D19/G17</f>
        <v>0.51975000000000005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240</v>
      </c>
      <c r="K20" s="62">
        <f>J17-J20</f>
        <v>24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1161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850</v>
      </c>
      <c r="E22" s="93"/>
      <c r="F22" s="70"/>
      <c r="G22" s="1">
        <v>2000</v>
      </c>
      <c r="H22" s="49"/>
      <c r="I22" s="73"/>
      <c r="J22" s="30">
        <v>24</v>
      </c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863</v>
      </c>
      <c r="E23" s="94">
        <f>D23+K24</f>
        <v>887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196"/>
      <c r="B24" s="197"/>
      <c r="C24" s="197"/>
      <c r="D24" s="186"/>
      <c r="E24" s="95"/>
      <c r="F24" s="65"/>
      <c r="G24" s="53"/>
      <c r="H24" s="55"/>
      <c r="I24" s="74"/>
      <c r="J24" s="41"/>
      <c r="K24" s="63">
        <f>J22-J24</f>
        <v>24</v>
      </c>
      <c r="L24" s="113">
        <f>D23/G22</f>
        <v>0.43149999999999999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199"/>
      <c r="C26" s="199"/>
      <c r="D26" s="185"/>
      <c r="E26" s="94"/>
      <c r="F26" s="70"/>
      <c r="G26" s="58"/>
      <c r="H26" s="56">
        <v>400</v>
      </c>
      <c r="I26" s="23"/>
      <c r="J26" s="23">
        <v>264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1429</v>
      </c>
      <c r="E27" s="93"/>
      <c r="F27" s="70">
        <f>G28-D29-H29-I29-K29</f>
        <v>225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1818</v>
      </c>
      <c r="E28" s="93"/>
      <c r="F28" s="70"/>
      <c r="G28" s="58">
        <v>7013</v>
      </c>
      <c r="H28" s="56">
        <v>273</v>
      </c>
      <c r="I28" s="23"/>
      <c r="J28" s="23">
        <f>240+360</f>
        <v>600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3247</v>
      </c>
      <c r="E29" s="97">
        <f>D29+H29+I29+K29</f>
        <v>6788</v>
      </c>
      <c r="F29" s="71"/>
      <c r="G29" s="59"/>
      <c r="H29" s="190">
        <v>3750</v>
      </c>
      <c r="I29" s="25">
        <f>H26-H28</f>
        <v>127</v>
      </c>
      <c r="J29" s="38"/>
      <c r="K29" s="64">
        <f>+J26-J28</f>
        <v>-336</v>
      </c>
      <c r="L29" s="113">
        <f>D29/G28</f>
        <v>0.46299729074575791</v>
      </c>
      <c r="M29" s="108">
        <f>+E29/G28</f>
        <v>0.9679167260801369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P30" sqref="P30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12012</v>
      </c>
      <c r="E3" s="93"/>
      <c r="F3" s="67"/>
      <c r="G3" s="21"/>
      <c r="H3" s="37">
        <v>72</v>
      </c>
      <c r="I3" s="23"/>
      <c r="J3" s="23">
        <v>888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268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144</v>
      </c>
      <c r="I5" s="23"/>
      <c r="J5" s="23">
        <f>213+618</f>
        <v>831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12289</v>
      </c>
      <c r="E6" s="91">
        <f>D6+H6+I6+K6</f>
        <v>12754</v>
      </c>
      <c r="F6" s="68">
        <f>G6-D6-H6-I6-K6</f>
        <v>746</v>
      </c>
      <c r="G6" s="43">
        <v>13500</v>
      </c>
      <c r="H6" s="191">
        <v>480</v>
      </c>
      <c r="I6" s="45">
        <f>H3-H5</f>
        <v>-72</v>
      </c>
      <c r="J6" s="23"/>
      <c r="K6" s="60">
        <f>J3-J5</f>
        <v>57</v>
      </c>
      <c r="L6" s="113">
        <f>D6/G6</f>
        <v>0.91029629629629627</v>
      </c>
      <c r="M6" s="108">
        <f>+E6/G6</f>
        <v>0.94474074074074077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569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1203</v>
      </c>
      <c r="E8" s="93"/>
      <c r="F8" s="70">
        <f>G8-D8-D9-D12+K11</f>
        <v>126</v>
      </c>
      <c r="G8" s="1">
        <v>2500</v>
      </c>
      <c r="H8" s="49"/>
      <c r="I8" s="49">
        <f>+D8+D9+D12</f>
        <v>2441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1046</v>
      </c>
      <c r="E9" s="93"/>
      <c r="F9" s="70"/>
      <c r="G9" s="1" t="s">
        <v>32</v>
      </c>
      <c r="H9" s="49"/>
      <c r="I9" s="49"/>
      <c r="J9" s="26">
        <v>216</v>
      </c>
      <c r="K9" s="45"/>
      <c r="L9" s="113">
        <f>+I8/G8</f>
        <v>0.97640000000000005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434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473</v>
      </c>
      <c r="G11" s="1">
        <v>1500</v>
      </c>
      <c r="H11" s="49"/>
      <c r="I11" s="49"/>
      <c r="J11" s="26">
        <f>53+96</f>
        <v>149</v>
      </c>
      <c r="K11" s="62">
        <f>J9-J11</f>
        <v>67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1023</v>
      </c>
      <c r="J12" s="26" t="s">
        <v>43</v>
      </c>
      <c r="K12" s="45"/>
      <c r="L12" s="113">
        <f>+I12/G11</f>
        <v>0.68200000000000005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3464</v>
      </c>
      <c r="E13" s="94">
        <f>D13+K11+K15</f>
        <v>3527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202"/>
      <c r="B14" s="203"/>
      <c r="C14" s="203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00"/>
      <c r="B15" s="201"/>
      <c r="C15" s="201"/>
      <c r="D15" s="186"/>
      <c r="E15" s="95"/>
      <c r="F15" s="65"/>
      <c r="G15" s="53"/>
      <c r="H15" s="54"/>
      <c r="I15" s="54"/>
      <c r="J15" s="26">
        <v>4</v>
      </c>
      <c r="K15" s="62">
        <f>J13-J15</f>
        <v>-4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1985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1820</v>
      </c>
      <c r="E17" s="93"/>
      <c r="F17" s="70"/>
      <c r="G17" s="1">
        <v>4000</v>
      </c>
      <c r="H17" s="49"/>
      <c r="I17" s="73"/>
      <c r="J17" s="30">
        <v>120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195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2015</v>
      </c>
      <c r="E19" s="94">
        <f>D19+K21</f>
        <v>2015</v>
      </c>
      <c r="F19" s="70"/>
      <c r="G19" s="1"/>
      <c r="H19" s="49"/>
      <c r="I19" s="73"/>
      <c r="J19" s="30" t="s">
        <v>44</v>
      </c>
      <c r="K19" s="45"/>
      <c r="L19" s="113">
        <f>D19/G17</f>
        <v>0.50375000000000003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86+96</f>
        <v>182</v>
      </c>
      <c r="K20" s="62">
        <f>J17-J20</f>
        <v>-62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1209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850</v>
      </c>
      <c r="E22" s="93"/>
      <c r="F22" s="70"/>
      <c r="G22" s="1">
        <v>2000</v>
      </c>
      <c r="H22" s="49"/>
      <c r="I22" s="73"/>
      <c r="J22" s="30">
        <v>72</v>
      </c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863</v>
      </c>
      <c r="E23" s="94">
        <f>D23+K24</f>
        <v>935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00"/>
      <c r="B24" s="201"/>
      <c r="C24" s="201"/>
      <c r="D24" s="186"/>
      <c r="E24" s="95"/>
      <c r="F24" s="65"/>
      <c r="G24" s="53"/>
      <c r="H24" s="55"/>
      <c r="I24" s="74"/>
      <c r="J24" s="41"/>
      <c r="K24" s="63">
        <f>J22-J24</f>
        <v>72</v>
      </c>
      <c r="L24" s="113">
        <f>D23/G22</f>
        <v>0.43149999999999999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03"/>
      <c r="C26" s="203"/>
      <c r="D26" s="185"/>
      <c r="E26" s="94"/>
      <c r="F26" s="70"/>
      <c r="G26" s="58"/>
      <c r="H26" s="56">
        <v>200</v>
      </c>
      <c r="I26" s="23"/>
      <c r="J26" s="23"/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1311</v>
      </c>
      <c r="E27" s="93"/>
      <c r="F27" s="70">
        <f>G28-D29-H29-I29-K29</f>
        <v>189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1808</v>
      </c>
      <c r="E28" s="93"/>
      <c r="F28" s="70"/>
      <c r="G28" s="58">
        <v>7013</v>
      </c>
      <c r="H28" s="56">
        <v>243</v>
      </c>
      <c r="I28" s="23"/>
      <c r="J28" s="23">
        <f>147+82</f>
        <v>229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3119</v>
      </c>
      <c r="E29" s="97">
        <f>D29+H29+I29+K29</f>
        <v>6824</v>
      </c>
      <c r="F29" s="71"/>
      <c r="G29" s="59"/>
      <c r="H29" s="190">
        <v>3977</v>
      </c>
      <c r="I29" s="25">
        <f>H26-H28</f>
        <v>-43</v>
      </c>
      <c r="J29" s="38"/>
      <c r="K29" s="64">
        <f>+J26-J28</f>
        <v>-229</v>
      </c>
      <c r="L29" s="113">
        <f>D29/G28</f>
        <v>0.44474547269356907</v>
      </c>
      <c r="M29" s="108">
        <f>+E29/G28</f>
        <v>0.97305004990731503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10" sqref="J10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12013</v>
      </c>
      <c r="E3" s="93"/>
      <c r="F3" s="67"/>
      <c r="G3" s="21"/>
      <c r="H3" s="37">
        <v>72</v>
      </c>
      <c r="I3" s="23"/>
      <c r="J3" s="23">
        <v>576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268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96</v>
      </c>
      <c r="I5" s="23"/>
      <c r="J5" s="23">
        <f>933+24+24+24+24+16+24+24</f>
        <v>1093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12290</v>
      </c>
      <c r="E6" s="91">
        <f>D6+H6+I6+K6</f>
        <v>12157</v>
      </c>
      <c r="F6" s="68">
        <f>G6-D6-H6-I6-K6</f>
        <v>1343</v>
      </c>
      <c r="G6" s="43">
        <v>13500</v>
      </c>
      <c r="H6" s="191">
        <v>408</v>
      </c>
      <c r="I6" s="45">
        <f>H3-H5</f>
        <v>-24</v>
      </c>
      <c r="J6" s="23"/>
      <c r="K6" s="60">
        <f>J3-J5</f>
        <v>-517</v>
      </c>
      <c r="L6" s="113">
        <f>D6/G6</f>
        <v>0.91037037037037039</v>
      </c>
      <c r="M6" s="108">
        <f>+E6/G6</f>
        <v>0.9005185185185185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569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1137</v>
      </c>
      <c r="E8" s="93"/>
      <c r="F8" s="70">
        <f>G8-D8-D9-D12+K11</f>
        <v>94</v>
      </c>
      <c r="G8" s="1">
        <v>2500</v>
      </c>
      <c r="H8" s="49"/>
      <c r="I8" s="49">
        <f>+D8+D9+D12</f>
        <v>2510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1181</v>
      </c>
      <c r="E9" s="93"/>
      <c r="F9" s="70"/>
      <c r="G9" s="1" t="s">
        <v>32</v>
      </c>
      <c r="H9" s="49"/>
      <c r="I9" s="49"/>
      <c r="J9" s="26">
        <v>200</v>
      </c>
      <c r="K9" s="45"/>
      <c r="L9" s="113">
        <f>+I8/G8</f>
        <v>1.004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432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479</v>
      </c>
      <c r="G11" s="1">
        <v>1500</v>
      </c>
      <c r="H11" s="49"/>
      <c r="I11" s="49"/>
      <c r="J11" s="26">
        <v>96</v>
      </c>
      <c r="K11" s="62">
        <f>J9-J11</f>
        <v>104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1021</v>
      </c>
      <c r="J12" s="26" t="s">
        <v>43</v>
      </c>
      <c r="K12" s="45"/>
      <c r="L12" s="113">
        <f>+I12/G11</f>
        <v>0.68066666666666664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3531</v>
      </c>
      <c r="E13" s="94">
        <f>D13+K11+K15</f>
        <v>3635</v>
      </c>
      <c r="F13" s="70"/>
      <c r="G13" s="1"/>
      <c r="H13" s="49"/>
      <c r="I13" s="49"/>
      <c r="J13" s="26">
        <v>24</v>
      </c>
      <c r="K13" s="45"/>
      <c r="L13" s="113"/>
      <c r="M13" s="107"/>
    </row>
    <row r="14" spans="1:13" ht="15" x14ac:dyDescent="0.25">
      <c r="A14" s="206"/>
      <c r="B14" s="207"/>
      <c r="C14" s="207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04"/>
      <c r="B15" s="205"/>
      <c r="C15" s="205"/>
      <c r="D15" s="186"/>
      <c r="E15" s="95"/>
      <c r="F15" s="65"/>
      <c r="G15" s="53"/>
      <c r="H15" s="54"/>
      <c r="I15" s="54"/>
      <c r="J15" s="26">
        <v>24</v>
      </c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1885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1776</v>
      </c>
      <c r="E17" s="93"/>
      <c r="F17" s="70"/>
      <c r="G17" s="1">
        <v>4000</v>
      </c>
      <c r="H17" s="49"/>
      <c r="I17" s="73"/>
      <c r="J17" s="30">
        <v>288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339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2115</v>
      </c>
      <c r="E19" s="94">
        <f>D19+K21</f>
        <v>2115</v>
      </c>
      <c r="F19" s="70"/>
      <c r="G19" s="1"/>
      <c r="H19" s="49"/>
      <c r="I19" s="73"/>
      <c r="J19" s="30" t="s">
        <v>44</v>
      </c>
      <c r="K19" s="45"/>
      <c r="L19" s="113">
        <f>D19/G17</f>
        <v>0.52875000000000005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120</v>
      </c>
      <c r="K20" s="62">
        <f>J17-J20</f>
        <v>168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1126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794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807</v>
      </c>
      <c r="E23" s="94">
        <f>D23+K24</f>
        <v>740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04"/>
      <c r="B24" s="205"/>
      <c r="C24" s="205"/>
      <c r="D24" s="186"/>
      <c r="E24" s="95"/>
      <c r="F24" s="65"/>
      <c r="G24" s="53"/>
      <c r="H24" s="55"/>
      <c r="I24" s="74"/>
      <c r="J24" s="41">
        <v>67</v>
      </c>
      <c r="K24" s="63">
        <f>J22-J24</f>
        <v>-67</v>
      </c>
      <c r="L24" s="113">
        <f>D23/G22</f>
        <v>0.40350000000000003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07"/>
      <c r="C26" s="207"/>
      <c r="D26" s="185"/>
      <c r="E26" s="94"/>
      <c r="F26" s="70"/>
      <c r="G26" s="58"/>
      <c r="H26" s="56">
        <v>360</v>
      </c>
      <c r="I26" s="23"/>
      <c r="J26" s="23">
        <v>72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1152</v>
      </c>
      <c r="E27" s="93"/>
      <c r="F27" s="70">
        <f>G28-D29-H29-I29-K29</f>
        <v>-118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1798</v>
      </c>
      <c r="E28" s="93"/>
      <c r="F28" s="70"/>
      <c r="G28" s="58">
        <v>7013</v>
      </c>
      <c r="H28" s="56">
        <v>213</v>
      </c>
      <c r="I28" s="23"/>
      <c r="J28" s="23">
        <f>111+30</f>
        <v>141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2950</v>
      </c>
      <c r="E29" s="97">
        <f>D29+H29+I29+K29</f>
        <v>7131</v>
      </c>
      <c r="F29" s="71"/>
      <c r="G29" s="59"/>
      <c r="H29" s="190">
        <v>4103</v>
      </c>
      <c r="I29" s="25">
        <f>H26-H28</f>
        <v>147</v>
      </c>
      <c r="J29" s="38"/>
      <c r="K29" s="64">
        <f>+J26-J28</f>
        <v>-69</v>
      </c>
      <c r="L29" s="113">
        <f>D29/G28</f>
        <v>0.42064736917153855</v>
      </c>
      <c r="M29" s="108">
        <f>+E29/G28</f>
        <v>1.0168258947668616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H30" sqref="H30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11619</v>
      </c>
      <c r="E3" s="93"/>
      <c r="F3" s="67"/>
      <c r="G3" s="21"/>
      <c r="H3" s="37">
        <v>24</v>
      </c>
      <c r="I3" s="23"/>
      <c r="J3" s="23">
        <v>504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268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120</v>
      </c>
      <c r="I5" s="23"/>
      <c r="J5" s="23">
        <v>567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11896</v>
      </c>
      <c r="E6" s="91">
        <f>D6+H6+I6+K6</f>
        <v>12122</v>
      </c>
      <c r="F6" s="68">
        <f>G6-D6-H6-I6-K6</f>
        <v>1378</v>
      </c>
      <c r="G6" s="43">
        <v>13500</v>
      </c>
      <c r="H6" s="191">
        <v>385</v>
      </c>
      <c r="I6" s="45">
        <f>H3-H5</f>
        <v>-96</v>
      </c>
      <c r="J6" s="23"/>
      <c r="K6" s="60">
        <f>J3-J5</f>
        <v>-63</v>
      </c>
      <c r="L6" s="113">
        <f>D6/G6</f>
        <v>0.88118518518518518</v>
      </c>
      <c r="M6" s="108">
        <f>+E6/G6</f>
        <v>0.89792592592592591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546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1238</v>
      </c>
      <c r="E8" s="93"/>
      <c r="F8" s="70">
        <f>G8-D8-D9-D12+K11</f>
        <v>-223</v>
      </c>
      <c r="G8" s="1">
        <v>2500</v>
      </c>
      <c r="H8" s="49"/>
      <c r="I8" s="49">
        <f>+D8+D9+D12</f>
        <v>2741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1311</v>
      </c>
      <c r="E9" s="93"/>
      <c r="F9" s="70"/>
      <c r="G9" s="1" t="s">
        <v>32</v>
      </c>
      <c r="H9" s="49"/>
      <c r="I9" s="49"/>
      <c r="J9" s="26">
        <v>78</v>
      </c>
      <c r="K9" s="45"/>
      <c r="L9" s="113">
        <f>+I8/G8</f>
        <v>1.0964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456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478</v>
      </c>
      <c r="G11" s="1">
        <v>1500</v>
      </c>
      <c r="H11" s="49"/>
      <c r="I11" s="49"/>
      <c r="J11" s="26">
        <v>60</v>
      </c>
      <c r="K11" s="62">
        <f>J9-J11</f>
        <v>18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1022</v>
      </c>
      <c r="J12" s="26" t="s">
        <v>43</v>
      </c>
      <c r="K12" s="45"/>
      <c r="L12" s="113">
        <f>+I12/G11</f>
        <v>0.68133333333333335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3763</v>
      </c>
      <c r="E13" s="94">
        <f>D13+K11+K15</f>
        <v>3781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210"/>
      <c r="B14" s="211"/>
      <c r="C14" s="211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08"/>
      <c r="B15" s="209"/>
      <c r="C15" s="209"/>
      <c r="D15" s="186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1670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1872</v>
      </c>
      <c r="E17" s="93"/>
      <c r="F17" s="70"/>
      <c r="G17" s="1">
        <v>4000</v>
      </c>
      <c r="H17" s="49"/>
      <c r="I17" s="73"/>
      <c r="J17" s="30">
        <v>384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458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2330</v>
      </c>
      <c r="E19" s="94">
        <f>D19+K21</f>
        <v>2330</v>
      </c>
      <c r="F19" s="70"/>
      <c r="G19" s="1"/>
      <c r="H19" s="49"/>
      <c r="I19" s="73"/>
      <c r="J19" s="30" t="s">
        <v>44</v>
      </c>
      <c r="K19" s="45"/>
      <c r="L19" s="113">
        <f>D19/G17</f>
        <v>0.58250000000000002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144</v>
      </c>
      <c r="K20" s="62">
        <f>J17-J20</f>
        <v>240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1255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732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745</v>
      </c>
      <c r="E23" s="94">
        <f>D23+K24</f>
        <v>745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08"/>
      <c r="B24" s="209"/>
      <c r="C24" s="209"/>
      <c r="D24" s="186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0.3725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11"/>
      <c r="C26" s="211"/>
      <c r="D26" s="185"/>
      <c r="E26" s="94"/>
      <c r="F26" s="70"/>
      <c r="G26" s="58"/>
      <c r="H26" s="56">
        <v>240</v>
      </c>
      <c r="I26" s="23"/>
      <c r="J26" s="23">
        <v>72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1122</v>
      </c>
      <c r="E27" s="93"/>
      <c r="F27" s="70">
        <f>G28-D29-H29-I29-K29</f>
        <v>192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1759</v>
      </c>
      <c r="E28" s="93"/>
      <c r="F28" s="70"/>
      <c r="G28" s="58">
        <v>7013</v>
      </c>
      <c r="H28" s="56">
        <v>246</v>
      </c>
      <c r="I28" s="23"/>
      <c r="J28" s="23">
        <v>311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2881</v>
      </c>
      <c r="E29" s="97">
        <f>D29+H29+I29+K29</f>
        <v>6821</v>
      </c>
      <c r="F29" s="71"/>
      <c r="G29" s="59"/>
      <c r="H29" s="190">
        <v>4185</v>
      </c>
      <c r="I29" s="25">
        <f>H26-H28</f>
        <v>-6</v>
      </c>
      <c r="J29" s="38"/>
      <c r="K29" s="64">
        <f>+J26-J28</f>
        <v>-239</v>
      </c>
      <c r="L29" s="113">
        <f>D29/G28</f>
        <v>0.41080849850278056</v>
      </c>
      <c r="M29" s="108">
        <f>+E29/G28</f>
        <v>0.97262227292171677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sqref="A1:M29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18" t="s">
        <v>70</v>
      </c>
      <c r="B1" s="219"/>
      <c r="C1" s="219"/>
      <c r="D1" s="220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11487</v>
      </c>
      <c r="E3" s="93"/>
      <c r="F3" s="67"/>
      <c r="G3" s="21"/>
      <c r="H3" s="37">
        <v>0</v>
      </c>
      <c r="I3" s="23"/>
      <c r="J3" s="23">
        <v>1080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268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96</v>
      </c>
      <c r="I5" s="23"/>
      <c r="J5" s="23">
        <f>382+568</f>
        <v>950</v>
      </c>
      <c r="K5" s="31"/>
      <c r="M5" s="107"/>
    </row>
    <row r="6" spans="1:13" ht="15.75" thickBot="1" x14ac:dyDescent="0.3">
      <c r="A6" s="221" t="s">
        <v>27</v>
      </c>
      <c r="B6" s="222"/>
      <c r="C6" s="222"/>
      <c r="D6" s="182">
        <f>SUM(D3:D5)</f>
        <v>11764</v>
      </c>
      <c r="E6" s="91">
        <f>D6+H6+I6+K6</f>
        <v>12087</v>
      </c>
      <c r="F6" s="68">
        <f>G6-D6-H6-I6-K6</f>
        <v>1413</v>
      </c>
      <c r="G6" s="43">
        <v>13500</v>
      </c>
      <c r="H6" s="191">
        <v>289</v>
      </c>
      <c r="I6" s="45">
        <f>H3-H5</f>
        <v>-96</v>
      </c>
      <c r="J6" s="23"/>
      <c r="K6" s="60">
        <f>J3-J5</f>
        <v>130</v>
      </c>
      <c r="L6" s="113">
        <f>D6/G6</f>
        <v>0.87140740740740741</v>
      </c>
      <c r="M6" s="108">
        <f>+E6/G6</f>
        <v>0.89533333333333331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542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1159</v>
      </c>
      <c r="E8" s="93"/>
      <c r="F8" s="70">
        <f>G8-D8-D9-D12+K11</f>
        <v>-411</v>
      </c>
      <c r="G8" s="1">
        <v>2500</v>
      </c>
      <c r="H8" s="49"/>
      <c r="I8" s="49">
        <f>+D8+D9+D12</f>
        <v>2688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1337</v>
      </c>
      <c r="E9" s="93"/>
      <c r="F9" s="70"/>
      <c r="G9" s="1" t="s">
        <v>32</v>
      </c>
      <c r="H9" s="49"/>
      <c r="I9" s="49"/>
      <c r="J9" s="26">
        <v>104</v>
      </c>
      <c r="K9" s="45"/>
      <c r="L9" s="113">
        <f>+I8/G8</f>
        <v>1.0751999999999999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453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485</v>
      </c>
      <c r="G11" s="1">
        <v>1500</v>
      </c>
      <c r="H11" s="49"/>
      <c r="I11" s="49"/>
      <c r="J11" s="26">
        <f>72+255</f>
        <v>327</v>
      </c>
      <c r="K11" s="62">
        <f>J9-J11</f>
        <v>-223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1015</v>
      </c>
      <c r="J12" s="26" t="s">
        <v>43</v>
      </c>
      <c r="K12" s="45"/>
      <c r="L12" s="113">
        <f>+I12/G11</f>
        <v>0.67666666666666664</v>
      </c>
      <c r="M12" s="107"/>
    </row>
    <row r="13" spans="1:13" ht="15" x14ac:dyDescent="0.25">
      <c r="A13" s="223" t="s">
        <v>27</v>
      </c>
      <c r="B13" s="224"/>
      <c r="C13" s="224"/>
      <c r="D13" s="185">
        <f>SUM(D7:D12)</f>
        <v>3703</v>
      </c>
      <c r="E13" s="94">
        <f>D13+K11+K15</f>
        <v>3480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223"/>
      <c r="B14" s="224"/>
      <c r="C14" s="224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21"/>
      <c r="B15" s="222"/>
      <c r="C15" s="222"/>
      <c r="D15" s="186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1481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1900</v>
      </c>
      <c r="E17" s="93"/>
      <c r="F17" s="70"/>
      <c r="G17" s="1">
        <v>4000</v>
      </c>
      <c r="H17" s="49"/>
      <c r="I17" s="73"/>
      <c r="J17" s="30">
        <f>168+144</f>
        <v>312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619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23" t="s">
        <v>27</v>
      </c>
      <c r="B19" s="224"/>
      <c r="C19" s="224"/>
      <c r="D19" s="185">
        <f>SUM(D16:D18)</f>
        <v>2519</v>
      </c>
      <c r="E19" s="94">
        <f>D19+K21</f>
        <v>2519</v>
      </c>
      <c r="F19" s="70"/>
      <c r="G19" s="1"/>
      <c r="H19" s="49"/>
      <c r="I19" s="73"/>
      <c r="J19" s="30" t="s">
        <v>44</v>
      </c>
      <c r="K19" s="45"/>
      <c r="L19" s="113">
        <f>D19/G17</f>
        <v>0.62975000000000003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103+72</f>
        <v>175</v>
      </c>
      <c r="K20" s="62">
        <f>J17-J20</f>
        <v>137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1249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708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23" t="s">
        <v>27</v>
      </c>
      <c r="B23" s="224"/>
      <c r="C23" s="224"/>
      <c r="D23" s="185">
        <f>SUM(D21:D22)</f>
        <v>721</v>
      </c>
      <c r="E23" s="94">
        <f>D23+K24</f>
        <v>691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21"/>
      <c r="B24" s="222"/>
      <c r="C24" s="222"/>
      <c r="D24" s="186"/>
      <c r="E24" s="95"/>
      <c r="F24" s="65"/>
      <c r="G24" s="53"/>
      <c r="H24" s="55"/>
      <c r="I24" s="74"/>
      <c r="J24" s="41">
        <v>30</v>
      </c>
      <c r="K24" s="63">
        <f>J22-J24</f>
        <v>-30</v>
      </c>
      <c r="L24" s="113">
        <f>D23/G22</f>
        <v>0.36049999999999999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24"/>
      <c r="C26" s="224"/>
      <c r="D26" s="185"/>
      <c r="E26" s="94"/>
      <c r="F26" s="70"/>
      <c r="G26" s="58"/>
      <c r="H26" s="56">
        <v>360</v>
      </c>
      <c r="I26" s="23"/>
      <c r="J26" s="23">
        <v>72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1075</v>
      </c>
      <c r="E27" s="93"/>
      <c r="F27" s="70">
        <f>G28-D29-H29-I29-K29</f>
        <v>699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1534</v>
      </c>
      <c r="E28" s="93"/>
      <c r="F28" s="70"/>
      <c r="G28" s="58">
        <v>7013</v>
      </c>
      <c r="H28" s="56">
        <v>472</v>
      </c>
      <c r="I28" s="23"/>
      <c r="J28" s="23">
        <f>336+71</f>
        <v>407</v>
      </c>
      <c r="K28" s="31"/>
      <c r="M28" s="107"/>
    </row>
    <row r="29" spans="1:13" ht="15" thickBot="1" x14ac:dyDescent="0.35">
      <c r="A29" s="216" t="s">
        <v>27</v>
      </c>
      <c r="B29" s="217"/>
      <c r="C29" s="217"/>
      <c r="D29" s="189">
        <f>SUM(D27:D28)</f>
        <v>2609</v>
      </c>
      <c r="E29" s="97">
        <f>D29+H29+I29+K29</f>
        <v>6314</v>
      </c>
      <c r="F29" s="71"/>
      <c r="G29" s="59"/>
      <c r="H29" s="190">
        <v>4152</v>
      </c>
      <c r="I29" s="25">
        <f>H26-H28</f>
        <v>-112</v>
      </c>
      <c r="J29" s="38"/>
      <c r="K29" s="64">
        <f>+J26-J28</f>
        <v>-335</v>
      </c>
      <c r="L29" s="113">
        <f>D29/G28</f>
        <v>0.37202338514187938</v>
      </c>
      <c r="M29" s="108">
        <f>+E29/G28</f>
        <v>0.90032796235562529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1">
    <mergeCell ref="A30:C30"/>
  </mergeCells>
  <pageMargins left="0.7" right="0.7" top="0.75" bottom="0.75" header="0.3" footer="0.3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O9" sqref="O9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71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11570</v>
      </c>
      <c r="E3" s="93"/>
      <c r="F3" s="67"/>
      <c r="G3" s="21"/>
      <c r="H3" s="37">
        <v>0</v>
      </c>
      <c r="I3" s="23"/>
      <c r="J3" s="23">
        <v>1104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268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72</v>
      </c>
      <c r="I5" s="23"/>
      <c r="J5" s="23">
        <v>1187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11847</v>
      </c>
      <c r="E6" s="91">
        <f>D6+H6+I6+K6</f>
        <v>11885</v>
      </c>
      <c r="F6" s="68">
        <f>G6-D6-H6-I6-K6</f>
        <v>1615</v>
      </c>
      <c r="G6" s="43">
        <v>13500</v>
      </c>
      <c r="H6" s="191">
        <v>193</v>
      </c>
      <c r="I6" s="45">
        <f>H3-H5</f>
        <v>-72</v>
      </c>
      <c r="J6" s="23"/>
      <c r="K6" s="60">
        <f>J3-J5</f>
        <v>-83</v>
      </c>
      <c r="L6" s="113">
        <f>D6/G6</f>
        <v>0.87755555555555553</v>
      </c>
      <c r="M6" s="108">
        <f>+E6/G6</f>
        <v>0.88037037037037036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542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1063</v>
      </c>
      <c r="E8" s="93"/>
      <c r="F8" s="70">
        <f>G8-D8-D9-D12+K11</f>
        <v>-260</v>
      </c>
      <c r="G8" s="1">
        <v>2500</v>
      </c>
      <c r="H8" s="49"/>
      <c r="I8" s="49">
        <f>+D8+D9+D12</f>
        <v>2527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1272</v>
      </c>
      <c r="E9" s="93"/>
      <c r="F9" s="70"/>
      <c r="G9" s="1" t="s">
        <v>32</v>
      </c>
      <c r="H9" s="49"/>
      <c r="I9" s="49"/>
      <c r="J9" s="26">
        <v>168</v>
      </c>
      <c r="K9" s="45"/>
      <c r="L9" s="113">
        <f>+I8/G8</f>
        <v>1.0107999999999999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473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489</v>
      </c>
      <c r="G11" s="1">
        <v>1500</v>
      </c>
      <c r="H11" s="49"/>
      <c r="I11" s="49"/>
      <c r="J11" s="26">
        <v>401</v>
      </c>
      <c r="K11" s="62">
        <f>J9-J11</f>
        <v>-233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1035</v>
      </c>
      <c r="J12" s="26" t="s">
        <v>43</v>
      </c>
      <c r="K12" s="45"/>
      <c r="L12" s="113">
        <f>+I12/G11</f>
        <v>0.69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3562</v>
      </c>
      <c r="E13" s="94">
        <f>D13+K11+K15</f>
        <v>3353</v>
      </c>
      <c r="F13" s="70"/>
      <c r="G13" s="1"/>
      <c r="H13" s="49"/>
      <c r="I13" s="49"/>
      <c r="J13" s="26">
        <v>24</v>
      </c>
      <c r="K13" s="45"/>
      <c r="L13" s="113"/>
      <c r="M13" s="107"/>
    </row>
    <row r="14" spans="1:13" ht="15" x14ac:dyDescent="0.25">
      <c r="A14" s="214"/>
      <c r="B14" s="215"/>
      <c r="C14" s="215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12"/>
      <c r="B15" s="213"/>
      <c r="C15" s="213"/>
      <c r="D15" s="186"/>
      <c r="E15" s="95"/>
      <c r="F15" s="65"/>
      <c r="G15" s="53"/>
      <c r="H15" s="54"/>
      <c r="I15" s="54"/>
      <c r="J15" s="26"/>
      <c r="K15" s="62">
        <f>J13-J15</f>
        <v>24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>
        <v>0</v>
      </c>
      <c r="E16" s="92"/>
      <c r="F16" s="69">
        <f>G17-D19+K21</f>
        <v>1380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1858</v>
      </c>
      <c r="E17" s="93"/>
      <c r="F17" s="70"/>
      <c r="G17" s="1">
        <v>4000</v>
      </c>
      <c r="H17" s="49"/>
      <c r="I17" s="73"/>
      <c r="J17" s="30">
        <v>360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762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2620</v>
      </c>
      <c r="E19" s="94">
        <f>D19+K21</f>
        <v>2620</v>
      </c>
      <c r="F19" s="70"/>
      <c r="G19" s="1"/>
      <c r="H19" s="49"/>
      <c r="I19" s="73"/>
      <c r="J19" s="30" t="s">
        <v>44</v>
      </c>
      <c r="K19" s="45"/>
      <c r="L19" s="113">
        <f>D19/G17</f>
        <v>0.65500000000000003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144</v>
      </c>
      <c r="K20" s="62">
        <f>J17-J20</f>
        <v>216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1315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672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685</v>
      </c>
      <c r="E23" s="94">
        <f>D23+K24</f>
        <v>685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12"/>
      <c r="B24" s="213"/>
      <c r="C24" s="213"/>
      <c r="D24" s="186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0.34250000000000003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15"/>
      <c r="C26" s="215"/>
      <c r="D26" s="185"/>
      <c r="E26" s="94"/>
      <c r="F26" s="70"/>
      <c r="G26" s="58"/>
      <c r="H26" s="56">
        <v>260</v>
      </c>
      <c r="I26" s="23"/>
      <c r="J26" s="23">
        <v>72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935</v>
      </c>
      <c r="E27" s="93"/>
      <c r="F27" s="70">
        <f>G28-D29-H29-I29-K29</f>
        <v>931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1390</v>
      </c>
      <c r="E28" s="93"/>
      <c r="F28" s="70"/>
      <c r="G28" s="58">
        <v>7013</v>
      </c>
      <c r="H28" s="56">
        <v>390</v>
      </c>
      <c r="I28" s="23"/>
      <c r="J28" s="23">
        <v>236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2325</v>
      </c>
      <c r="E29" s="97">
        <f>D29+H29+I29+K29</f>
        <v>6082</v>
      </c>
      <c r="F29" s="71"/>
      <c r="G29" s="59"/>
      <c r="H29" s="190">
        <v>4051</v>
      </c>
      <c r="I29" s="25">
        <f>H26-H28</f>
        <v>-130</v>
      </c>
      <c r="J29" s="38"/>
      <c r="K29" s="64">
        <f>+J26-J28</f>
        <v>-164</v>
      </c>
      <c r="L29" s="113">
        <f>D29/G28</f>
        <v>0.33152716383858549</v>
      </c>
      <c r="M29" s="108">
        <f>+E29/G28</f>
        <v>0.86724654213603303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9" sqref="J9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72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11413</v>
      </c>
      <c r="E3" s="93"/>
      <c r="F3" s="67"/>
      <c r="G3" s="21"/>
      <c r="H3" s="37"/>
      <c r="I3" s="23"/>
      <c r="J3" s="23">
        <v>1224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210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/>
      <c r="I5" s="23"/>
      <c r="J5" s="23">
        <v>1153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11632</v>
      </c>
      <c r="E6" s="91">
        <f>D6+H6+I6+K6</f>
        <v>11896</v>
      </c>
      <c r="F6" s="68">
        <f>G6-D6-H6-I6-K6</f>
        <v>1604</v>
      </c>
      <c r="G6" s="43">
        <v>13500</v>
      </c>
      <c r="H6" s="191">
        <v>193</v>
      </c>
      <c r="I6" s="45">
        <f>H3-H5</f>
        <v>0</v>
      </c>
      <c r="J6" s="23"/>
      <c r="K6" s="60">
        <f>J3-J5</f>
        <v>71</v>
      </c>
      <c r="L6" s="113">
        <f>D6/G6</f>
        <v>0.86162962962962963</v>
      </c>
      <c r="M6" s="108">
        <f>+E6/G6</f>
        <v>0.88118518518518518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569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941</v>
      </c>
      <c r="E8" s="93"/>
      <c r="F8" s="70">
        <f>G8-D8-D9-D12+K11</f>
        <v>-10</v>
      </c>
      <c r="G8" s="1">
        <v>2500</v>
      </c>
      <c r="H8" s="49"/>
      <c r="I8" s="49">
        <f>+D8+D9+D12</f>
        <v>2258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1125</v>
      </c>
      <c r="E9" s="93"/>
      <c r="F9" s="70"/>
      <c r="G9" s="1" t="s">
        <v>32</v>
      </c>
      <c r="H9" s="49"/>
      <c r="I9" s="49"/>
      <c r="J9" s="26">
        <v>120</v>
      </c>
      <c r="K9" s="45"/>
      <c r="L9" s="113">
        <f>+I8/G8</f>
        <v>0.9032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468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467</v>
      </c>
      <c r="G11" s="1">
        <v>1500</v>
      </c>
      <c r="H11" s="49"/>
      <c r="I11" s="49"/>
      <c r="J11" s="26">
        <v>372</v>
      </c>
      <c r="K11" s="62">
        <f>J9-J11</f>
        <v>-252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192</v>
      </c>
      <c r="E12" s="93"/>
      <c r="F12" s="70"/>
      <c r="G12" s="1"/>
      <c r="H12" s="49"/>
      <c r="I12" s="49">
        <f>+D7+D10+D11</f>
        <v>1057</v>
      </c>
      <c r="J12" s="26" t="s">
        <v>43</v>
      </c>
      <c r="K12" s="45"/>
      <c r="L12" s="113">
        <f>+I12/G11</f>
        <v>0.70466666666666666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3315</v>
      </c>
      <c r="E13" s="94">
        <f>D13+K11+K15</f>
        <v>3087</v>
      </c>
      <c r="F13" s="70"/>
      <c r="G13" s="1"/>
      <c r="H13" s="49"/>
      <c r="I13" s="49"/>
      <c r="J13" s="26">
        <v>24</v>
      </c>
      <c r="K13" s="45"/>
      <c r="L13" s="113"/>
      <c r="M13" s="107"/>
    </row>
    <row r="14" spans="1:13" ht="15" x14ac:dyDescent="0.25">
      <c r="A14" s="227"/>
      <c r="B14" s="228"/>
      <c r="C14" s="228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25"/>
      <c r="B15" s="226"/>
      <c r="C15" s="226"/>
      <c r="D15" s="186"/>
      <c r="E15" s="95"/>
      <c r="F15" s="65"/>
      <c r="G15" s="53"/>
      <c r="H15" s="54"/>
      <c r="I15" s="54"/>
      <c r="J15" s="26"/>
      <c r="K15" s="62">
        <f>J13-J15</f>
        <v>24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1148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2018</v>
      </c>
      <c r="E17" s="93"/>
      <c r="F17" s="70"/>
      <c r="G17" s="1">
        <v>4000</v>
      </c>
      <c r="H17" s="49"/>
      <c r="I17" s="73"/>
      <c r="J17" s="30">
        <v>288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834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2852</v>
      </c>
      <c r="E19" s="94">
        <f>D19+K21</f>
        <v>2852</v>
      </c>
      <c r="F19" s="70"/>
      <c r="G19" s="1"/>
      <c r="H19" s="49"/>
      <c r="I19" s="73"/>
      <c r="J19" s="30" t="s">
        <v>44</v>
      </c>
      <c r="K19" s="45"/>
      <c r="L19" s="113">
        <f>D19/G17</f>
        <v>0.71299999999999997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261</v>
      </c>
      <c r="K20" s="62">
        <f>J17-J20</f>
        <v>27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1315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672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685</v>
      </c>
      <c r="E23" s="94">
        <f>D23+K24</f>
        <v>685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25"/>
      <c r="B24" s="226"/>
      <c r="C24" s="226"/>
      <c r="D24" s="186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0.34250000000000003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28"/>
      <c r="C26" s="228"/>
      <c r="D26" s="185"/>
      <c r="E26" s="94"/>
      <c r="F26" s="70"/>
      <c r="G26" s="58"/>
      <c r="H26" s="56"/>
      <c r="I26" s="23"/>
      <c r="J26" s="23">
        <v>72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817</v>
      </c>
      <c r="E27" s="93"/>
      <c r="F27" s="70">
        <f>G28-D29-H29-I29-K29</f>
        <v>908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1285</v>
      </c>
      <c r="E28" s="93"/>
      <c r="F28" s="70"/>
      <c r="G28" s="58">
        <v>7013</v>
      </c>
      <c r="H28" s="56"/>
      <c r="I28" s="23"/>
      <c r="J28" s="23">
        <v>120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2102</v>
      </c>
      <c r="E29" s="97">
        <f>D29+H29+I29+K29</f>
        <v>6105</v>
      </c>
      <c r="F29" s="71"/>
      <c r="G29" s="59"/>
      <c r="H29" s="190">
        <v>4051</v>
      </c>
      <c r="I29" s="25">
        <f>H26-H28</f>
        <v>0</v>
      </c>
      <c r="J29" s="38"/>
      <c r="K29" s="64">
        <f>+J26-J28</f>
        <v>-48</v>
      </c>
      <c r="L29" s="113">
        <f>D29/G28</f>
        <v>0.29972907457578785</v>
      </c>
      <c r="M29" s="108">
        <f>+E29/G28</f>
        <v>0.8705261656922858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5" sqref="J5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73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11646</v>
      </c>
      <c r="E3" s="93"/>
      <c r="F3" s="67"/>
      <c r="G3" s="21"/>
      <c r="H3" s="37">
        <v>70</v>
      </c>
      <c r="I3" s="23"/>
      <c r="J3" s="23">
        <v>1152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200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/>
      <c r="I5" s="23"/>
      <c r="J5" s="23">
        <v>1211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11855</v>
      </c>
      <c r="E6" s="91">
        <f>D6+H6+I6+K6</f>
        <v>11987</v>
      </c>
      <c r="F6" s="68">
        <f>G6-D6-H6-I6-K6</f>
        <v>1513</v>
      </c>
      <c r="G6" s="43">
        <v>13500</v>
      </c>
      <c r="H6" s="191">
        <v>121</v>
      </c>
      <c r="I6" s="45">
        <f>H3-H5</f>
        <v>70</v>
      </c>
      <c r="J6" s="23"/>
      <c r="K6" s="60">
        <f>J3-J5</f>
        <v>-59</v>
      </c>
      <c r="L6" s="113">
        <f>D6/G6</f>
        <v>0.87814814814814812</v>
      </c>
      <c r="M6" s="108">
        <f>+E6/G6</f>
        <v>0.8879259259259259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570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983</v>
      </c>
      <c r="E8" s="93"/>
      <c r="F8" s="70">
        <f>G8-D8-D9-D12+K11</f>
        <v>183</v>
      </c>
      <c r="G8" s="1">
        <v>2500</v>
      </c>
      <c r="H8" s="49"/>
      <c r="I8" s="49">
        <f>+D8+D9+D12</f>
        <v>2012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977</v>
      </c>
      <c r="E9" s="93"/>
      <c r="F9" s="70"/>
      <c r="G9" s="1" t="s">
        <v>32</v>
      </c>
      <c r="H9" s="49"/>
      <c r="I9" s="49"/>
      <c r="J9" s="26">
        <v>126</v>
      </c>
      <c r="K9" s="45"/>
      <c r="L9" s="113">
        <f>+I8/G8</f>
        <v>0.80479999999999996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468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441</v>
      </c>
      <c r="G11" s="1">
        <v>1500</v>
      </c>
      <c r="H11" s="49"/>
      <c r="I11" s="49"/>
      <c r="J11" s="26">
        <v>431</v>
      </c>
      <c r="K11" s="62">
        <f>J9-J11</f>
        <v>-305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52</v>
      </c>
      <c r="E12" s="93"/>
      <c r="F12" s="70"/>
      <c r="G12" s="1"/>
      <c r="H12" s="49"/>
      <c r="I12" s="49">
        <f>+D7+D10+D11</f>
        <v>1058</v>
      </c>
      <c r="J12" s="26" t="s">
        <v>43</v>
      </c>
      <c r="K12" s="45"/>
      <c r="L12" s="113">
        <f>+I12/G11</f>
        <v>0.70533333333333337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3070</v>
      </c>
      <c r="E13" s="94">
        <f>D13+K11+K15</f>
        <v>2764</v>
      </c>
      <c r="F13" s="70"/>
      <c r="G13" s="1"/>
      <c r="H13" s="49"/>
      <c r="I13" s="49"/>
      <c r="J13" s="26">
        <v>24</v>
      </c>
      <c r="K13" s="45"/>
      <c r="L13" s="113"/>
      <c r="M13" s="107"/>
    </row>
    <row r="14" spans="1:13" ht="15" x14ac:dyDescent="0.25">
      <c r="A14" s="231"/>
      <c r="B14" s="232"/>
      <c r="C14" s="232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29"/>
      <c r="B15" s="230"/>
      <c r="C15" s="230"/>
      <c r="D15" s="186"/>
      <c r="E15" s="95"/>
      <c r="F15" s="65"/>
      <c r="G15" s="53"/>
      <c r="H15" s="54"/>
      <c r="I15" s="54"/>
      <c r="J15" s="26">
        <v>25</v>
      </c>
      <c r="K15" s="62">
        <f>J13-J15</f>
        <v>-1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1077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2002</v>
      </c>
      <c r="E17" s="93"/>
      <c r="F17" s="70"/>
      <c r="G17" s="1">
        <v>4000</v>
      </c>
      <c r="H17" s="49"/>
      <c r="I17" s="73"/>
      <c r="J17" s="30">
        <v>192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921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2923</v>
      </c>
      <c r="E19" s="94">
        <f>D19+K21</f>
        <v>2923</v>
      </c>
      <c r="F19" s="70"/>
      <c r="G19" s="1"/>
      <c r="H19" s="49"/>
      <c r="I19" s="73"/>
      <c r="J19" s="30" t="s">
        <v>44</v>
      </c>
      <c r="K19" s="45"/>
      <c r="L19" s="113">
        <f>D19/G17</f>
        <v>0.73075000000000001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192</v>
      </c>
      <c r="K20" s="62">
        <f>J17-J20</f>
        <v>0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1307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661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674</v>
      </c>
      <c r="E23" s="94">
        <f>D23+K24</f>
        <v>655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29"/>
      <c r="B24" s="230"/>
      <c r="C24" s="230"/>
      <c r="D24" s="186"/>
      <c r="E24" s="95"/>
      <c r="F24" s="65"/>
      <c r="G24" s="53"/>
      <c r="H24" s="55"/>
      <c r="I24" s="74"/>
      <c r="J24" s="41">
        <v>19</v>
      </c>
      <c r="K24" s="63">
        <f>J22-J24</f>
        <v>-19</v>
      </c>
      <c r="L24" s="113">
        <f>D23/G22</f>
        <v>0.33700000000000002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32"/>
      <c r="C26" s="232"/>
      <c r="D26" s="185"/>
      <c r="E26" s="94"/>
      <c r="F26" s="70"/>
      <c r="G26" s="58"/>
      <c r="H26" s="56">
        <v>456</v>
      </c>
      <c r="I26" s="23"/>
      <c r="J26" s="23">
        <v>72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722</v>
      </c>
      <c r="E27" s="93"/>
      <c r="F27" s="70">
        <f>G28-D29-H29-I29-K29</f>
        <v>846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1332</v>
      </c>
      <c r="E28" s="93"/>
      <c r="F28" s="70"/>
      <c r="G28" s="58">
        <v>7013</v>
      </c>
      <c r="H28" s="56">
        <v>270</v>
      </c>
      <c r="I28" s="23"/>
      <c r="J28" s="23">
        <v>222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2054</v>
      </c>
      <c r="E29" s="97">
        <f>D29+H29+I29+K29</f>
        <v>6167</v>
      </c>
      <c r="F29" s="71"/>
      <c r="G29" s="59"/>
      <c r="H29" s="190">
        <v>4077</v>
      </c>
      <c r="I29" s="25">
        <f>H26-H28</f>
        <v>186</v>
      </c>
      <c r="J29" s="38"/>
      <c r="K29" s="64">
        <f>+J26-J28</f>
        <v>-150</v>
      </c>
      <c r="L29" s="113">
        <f>D29/G28</f>
        <v>0.29288464280621701</v>
      </c>
      <c r="M29" s="108">
        <f>+E29/G28</f>
        <v>0.87936689006131474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H6" sqref="H6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74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11505</v>
      </c>
      <c r="E3" s="93"/>
      <c r="F3" s="67"/>
      <c r="G3" s="21"/>
      <c r="H3" s="37">
        <v>0</v>
      </c>
      <c r="I3" s="23"/>
      <c r="J3" s="23">
        <v>1224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200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48</v>
      </c>
      <c r="I5" s="23"/>
      <c r="J5" s="23">
        <v>686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11714</v>
      </c>
      <c r="E6" s="91">
        <f>D6+H6+I6+K6</f>
        <v>12204</v>
      </c>
      <c r="F6" s="68">
        <f>G6-D6-H6-I6-K6</f>
        <v>1296</v>
      </c>
      <c r="G6" s="43">
        <v>13500</v>
      </c>
      <c r="H6" s="241"/>
      <c r="I6" s="45">
        <f>H3-H5</f>
        <v>-48</v>
      </c>
      <c r="J6" s="23"/>
      <c r="K6" s="60">
        <f>J3-J5</f>
        <v>538</v>
      </c>
      <c r="L6" s="113">
        <f>D6/G6</f>
        <v>0.86770370370370375</v>
      </c>
      <c r="M6" s="108">
        <f>+E6/G6</f>
        <v>0.90400000000000003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565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1000</v>
      </c>
      <c r="E8" s="93"/>
      <c r="F8" s="70">
        <f>G8-D8-D9-D12+K11</f>
        <v>724</v>
      </c>
      <c r="G8" s="1">
        <v>2500</v>
      </c>
      <c r="H8" s="49"/>
      <c r="I8" s="49">
        <f>+D8+D9+D12</f>
        <v>1818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766</v>
      </c>
      <c r="E9" s="93"/>
      <c r="F9" s="70"/>
      <c r="G9" s="1" t="s">
        <v>32</v>
      </c>
      <c r="H9" s="49"/>
      <c r="I9" s="49"/>
      <c r="J9" s="26">
        <v>144</v>
      </c>
      <c r="K9" s="45"/>
      <c r="L9" s="113">
        <f>+I8/G8</f>
        <v>0.72719999999999996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477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434</v>
      </c>
      <c r="G11" s="1">
        <v>1500</v>
      </c>
      <c r="H11" s="49"/>
      <c r="I11" s="49"/>
      <c r="J11" s="26">
        <v>102</v>
      </c>
      <c r="K11" s="62">
        <f>J9-J11</f>
        <v>42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52</v>
      </c>
      <c r="E12" s="93"/>
      <c r="F12" s="70"/>
      <c r="G12" s="1"/>
      <c r="H12" s="49"/>
      <c r="I12" s="49">
        <f>+D7+D10+D11</f>
        <v>1062</v>
      </c>
      <c r="J12" s="26" t="s">
        <v>43</v>
      </c>
      <c r="K12" s="45"/>
      <c r="L12" s="113">
        <f>+I12/G11</f>
        <v>0.70799999999999996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2880</v>
      </c>
      <c r="E13" s="94">
        <f>D13+K11+K15</f>
        <v>2918</v>
      </c>
      <c r="F13" s="70"/>
      <c r="G13" s="1"/>
      <c r="H13" s="49"/>
      <c r="I13" s="49"/>
      <c r="J13" s="26">
        <v>24</v>
      </c>
      <c r="K13" s="45"/>
      <c r="L13" s="113"/>
      <c r="M13" s="107"/>
    </row>
    <row r="14" spans="1:13" ht="15" x14ac:dyDescent="0.25">
      <c r="A14" s="235"/>
      <c r="B14" s="236"/>
      <c r="C14" s="236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33"/>
      <c r="B15" s="234"/>
      <c r="C15" s="234"/>
      <c r="D15" s="186"/>
      <c r="E15" s="95"/>
      <c r="F15" s="65"/>
      <c r="G15" s="53"/>
      <c r="H15" s="54"/>
      <c r="I15" s="54"/>
      <c r="J15" s="26">
        <v>28</v>
      </c>
      <c r="K15" s="62">
        <f>J13-J15</f>
        <v>-4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1089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2031</v>
      </c>
      <c r="E17" s="93"/>
      <c r="F17" s="70"/>
      <c r="G17" s="1">
        <v>4000</v>
      </c>
      <c r="H17" s="49"/>
      <c r="I17" s="73"/>
      <c r="J17" s="30">
        <v>169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880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2911</v>
      </c>
      <c r="E19" s="94">
        <f>D19+K21</f>
        <v>2911</v>
      </c>
      <c r="F19" s="70"/>
      <c r="G19" s="1"/>
      <c r="H19" s="49"/>
      <c r="I19" s="73"/>
      <c r="J19" s="30" t="s">
        <v>44</v>
      </c>
      <c r="K19" s="45"/>
      <c r="L19" s="113">
        <f>D19/G17</f>
        <v>0.72775000000000001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343</v>
      </c>
      <c r="K20" s="62">
        <f>J17-J20</f>
        <v>-174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1342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645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658</v>
      </c>
      <c r="E23" s="94">
        <f>D23+K24</f>
        <v>658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33"/>
      <c r="B24" s="234"/>
      <c r="C24" s="234"/>
      <c r="D24" s="186"/>
      <c r="E24" s="95"/>
      <c r="F24" s="65"/>
      <c r="G24" s="53"/>
      <c r="H24" s="55"/>
      <c r="I24" s="74"/>
      <c r="J24" s="41">
        <v>0</v>
      </c>
      <c r="K24" s="63">
        <f>J22-J24</f>
        <v>0</v>
      </c>
      <c r="L24" s="113">
        <f>D23/G22</f>
        <v>0.32900000000000001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36"/>
      <c r="C26" s="236"/>
      <c r="D26" s="185"/>
      <c r="E26" s="94"/>
      <c r="F26" s="70"/>
      <c r="G26" s="58"/>
      <c r="H26" s="56">
        <v>180</v>
      </c>
      <c r="I26" s="23"/>
      <c r="J26" s="23">
        <v>36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548</v>
      </c>
      <c r="E27" s="93"/>
      <c r="F27" s="70">
        <f>G28-D29-H29-I29-K29</f>
        <v>1010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1341</v>
      </c>
      <c r="E28" s="93"/>
      <c r="F28" s="70"/>
      <c r="G28" s="58">
        <v>7013</v>
      </c>
      <c r="H28" s="56">
        <v>222</v>
      </c>
      <c r="I28" s="23"/>
      <c r="J28" s="23"/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1889</v>
      </c>
      <c r="E29" s="97">
        <f>D29+H29+I29+K29</f>
        <v>6003</v>
      </c>
      <c r="F29" s="71"/>
      <c r="G29" s="59"/>
      <c r="H29" s="242">
        <v>4120</v>
      </c>
      <c r="I29" s="25">
        <f>H26-H28</f>
        <v>-42</v>
      </c>
      <c r="J29" s="38">
        <v>200</v>
      </c>
      <c r="K29" s="64">
        <f>+J26-J28</f>
        <v>36</v>
      </c>
      <c r="L29" s="113">
        <f>D29/G28</f>
        <v>0.2693569085983174</v>
      </c>
      <c r="M29" s="108">
        <f>+E29/G28</f>
        <v>0.85598174818194783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F6" sqref="F6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11982</v>
      </c>
      <c r="E3" s="93"/>
      <c r="F3" s="67"/>
      <c r="G3" s="21"/>
      <c r="H3" s="37"/>
      <c r="I3" s="23"/>
      <c r="J3" s="23">
        <v>1224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202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/>
      <c r="I5" s="23"/>
      <c r="J5" s="23">
        <f>884+264</f>
        <v>1148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12193</v>
      </c>
      <c r="E6" s="91">
        <f>D6+H6+I6+K6</f>
        <v>12389</v>
      </c>
      <c r="F6" s="68">
        <f>G6-D6-H6-I6-K6</f>
        <v>1111</v>
      </c>
      <c r="G6" s="43">
        <v>13500</v>
      </c>
      <c r="H6" s="241">
        <v>120</v>
      </c>
      <c r="I6" s="45">
        <f>H3-H5</f>
        <v>0</v>
      </c>
      <c r="J6" s="23"/>
      <c r="K6" s="60">
        <f>J3-J5</f>
        <v>76</v>
      </c>
      <c r="L6" s="113">
        <f>D6/G6</f>
        <v>0.9031851851851852</v>
      </c>
      <c r="M6" s="108">
        <f>+E6/G6</f>
        <v>0.91770370370370369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578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712</v>
      </c>
      <c r="E8" s="93"/>
      <c r="F8" s="70">
        <f>G8-D8-D9-D12+K11</f>
        <v>1025</v>
      </c>
      <c r="G8" s="1">
        <v>2500</v>
      </c>
      <c r="H8" s="49"/>
      <c r="I8" s="49">
        <f>+D8+D9+D12</f>
        <v>1506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770</v>
      </c>
      <c r="E9" s="93"/>
      <c r="F9" s="70"/>
      <c r="G9" s="1" t="s">
        <v>32</v>
      </c>
      <c r="H9" s="49"/>
      <c r="I9" s="49"/>
      <c r="J9" s="26">
        <v>216</v>
      </c>
      <c r="K9" s="45"/>
      <c r="L9" s="113">
        <f>+I8/G8</f>
        <v>0.60240000000000005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485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371</v>
      </c>
      <c r="G11" s="1">
        <v>1500</v>
      </c>
      <c r="H11" s="49"/>
      <c r="I11" s="49"/>
      <c r="J11" s="26">
        <f>144+41</f>
        <v>185</v>
      </c>
      <c r="K11" s="62">
        <f>J9-J11</f>
        <v>31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24</v>
      </c>
      <c r="E12" s="93"/>
      <c r="F12" s="70"/>
      <c r="G12" s="1"/>
      <c r="H12" s="49"/>
      <c r="I12" s="49">
        <f>+D7+D10+D11</f>
        <v>1083</v>
      </c>
      <c r="J12" s="26" t="s">
        <v>43</v>
      </c>
      <c r="K12" s="45"/>
      <c r="L12" s="113">
        <f>+I12/G11</f>
        <v>0.72199999999999998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2589</v>
      </c>
      <c r="E13" s="94">
        <f>D13+K11+K15</f>
        <v>2574</v>
      </c>
      <c r="F13" s="70"/>
      <c r="G13" s="1"/>
      <c r="H13" s="49"/>
      <c r="I13" s="49"/>
      <c r="J13" s="26">
        <v>24</v>
      </c>
      <c r="K13" s="45"/>
      <c r="L13" s="113"/>
      <c r="M13" s="107"/>
    </row>
    <row r="14" spans="1:13" ht="15" x14ac:dyDescent="0.25">
      <c r="A14" s="239"/>
      <c r="B14" s="240"/>
      <c r="C14" s="240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37"/>
      <c r="B15" s="238"/>
      <c r="C15" s="238"/>
      <c r="D15" s="186"/>
      <c r="E15" s="95"/>
      <c r="F15" s="65"/>
      <c r="G15" s="53"/>
      <c r="H15" s="54"/>
      <c r="I15" s="54"/>
      <c r="J15" s="26">
        <f>46+24</f>
        <v>70</v>
      </c>
      <c r="K15" s="62">
        <f>J13-J15</f>
        <v>-46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-145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1895</v>
      </c>
      <c r="E17" s="93"/>
      <c r="F17" s="70"/>
      <c r="G17" s="1">
        <v>2500</v>
      </c>
      <c r="H17" s="49"/>
      <c r="I17" s="73"/>
      <c r="J17" s="30">
        <v>288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750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2645</v>
      </c>
      <c r="E19" s="94">
        <f>D19+K21</f>
        <v>2645</v>
      </c>
      <c r="F19" s="70"/>
      <c r="G19" s="1"/>
      <c r="H19" s="49"/>
      <c r="I19" s="73"/>
      <c r="J19" s="30" t="s">
        <v>44</v>
      </c>
      <c r="K19" s="45"/>
      <c r="L19" s="113">
        <f>D19/G17</f>
        <v>1.0580000000000001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204+120</f>
        <v>324</v>
      </c>
      <c r="K20" s="62">
        <f>J17-J20</f>
        <v>-36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1342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645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658</v>
      </c>
      <c r="E23" s="94">
        <f>D23+K24</f>
        <v>658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37"/>
      <c r="B24" s="238"/>
      <c r="C24" s="238"/>
      <c r="D24" s="186"/>
      <c r="E24" s="95"/>
      <c r="F24" s="65"/>
      <c r="G24" s="53"/>
      <c r="H24" s="55"/>
      <c r="I24" s="74"/>
      <c r="J24" s="41">
        <v>0</v>
      </c>
      <c r="K24" s="63">
        <f>J22-J24</f>
        <v>0</v>
      </c>
      <c r="L24" s="113">
        <f>D23/G22</f>
        <v>0.32900000000000001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40"/>
      <c r="C26" s="240"/>
      <c r="D26" s="185"/>
      <c r="E26" s="94"/>
      <c r="F26" s="70"/>
      <c r="G26" s="58"/>
      <c r="H26" s="56"/>
      <c r="I26" s="23"/>
      <c r="J26" s="23"/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457</v>
      </c>
      <c r="E27" s="93"/>
      <c r="F27" s="70">
        <f>G28-D29-H29-I29-K29</f>
        <v>1373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1244</v>
      </c>
      <c r="E28" s="93"/>
      <c r="F28" s="70"/>
      <c r="G28" s="58">
        <v>7013</v>
      </c>
      <c r="H28" s="56"/>
      <c r="I28" s="23"/>
      <c r="J28" s="23">
        <f>168+13</f>
        <v>181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1701</v>
      </c>
      <c r="E29" s="97">
        <f>D29+H29+I29+K29</f>
        <v>5640</v>
      </c>
      <c r="F29" s="71"/>
      <c r="G29" s="59"/>
      <c r="H29" s="242">
        <v>4120</v>
      </c>
      <c r="I29" s="25">
        <f>H26-H28</f>
        <v>0</v>
      </c>
      <c r="J29" s="38"/>
      <c r="K29" s="64">
        <f>+J26-J28</f>
        <v>-181</v>
      </c>
      <c r="L29" s="113">
        <f>D29/G28</f>
        <v>0.24254955083416513</v>
      </c>
      <c r="M29" s="108">
        <f>+E29/G28</f>
        <v>0.80422073292456864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F6" sqref="F6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12159</v>
      </c>
      <c r="E3" s="93"/>
      <c r="F3" s="67"/>
      <c r="G3" s="21"/>
      <c r="H3" s="37"/>
      <c r="I3" s="23"/>
      <c r="J3" s="23">
        <v>936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200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/>
      <c r="I5" s="23"/>
      <c r="J5" s="23">
        <f>400+288</f>
        <v>688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12368</v>
      </c>
      <c r="E6" s="91">
        <f>D6+H6+I6+K6</f>
        <v>12616</v>
      </c>
      <c r="F6" s="68">
        <f>G6-D6-H6-I6-K6</f>
        <v>884</v>
      </c>
      <c r="G6" s="43">
        <v>13500</v>
      </c>
      <c r="H6" s="241"/>
      <c r="I6" s="45">
        <f>H3-H5</f>
        <v>0</v>
      </c>
      <c r="J6" s="23"/>
      <c r="K6" s="60">
        <f>J3-J5</f>
        <v>248</v>
      </c>
      <c r="L6" s="113">
        <f>D6/G6</f>
        <v>0.91614814814814816</v>
      </c>
      <c r="M6" s="108">
        <f>+E6/G6</f>
        <v>0.93451851851851853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536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676</v>
      </c>
      <c r="E8" s="93"/>
      <c r="F8" s="70">
        <f>G8-D8-D9-D12+K11</f>
        <v>685</v>
      </c>
      <c r="G8" s="1">
        <v>2500</v>
      </c>
      <c r="H8" s="49"/>
      <c r="I8" s="49">
        <v>1506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953</v>
      </c>
      <c r="E9" s="93"/>
      <c r="F9" s="70"/>
      <c r="G9" s="1" t="s">
        <v>32</v>
      </c>
      <c r="H9" s="49"/>
      <c r="I9" s="49"/>
      <c r="J9" s="26">
        <v>192</v>
      </c>
      <c r="K9" s="45"/>
      <c r="L9" s="113">
        <f>+I8/G8</f>
        <v>0.60240000000000005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501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443</v>
      </c>
      <c r="G11" s="1">
        <v>1500</v>
      </c>
      <c r="H11" s="49"/>
      <c r="I11" s="49"/>
      <c r="J11" s="26">
        <f>306+48</f>
        <v>354</v>
      </c>
      <c r="K11" s="62">
        <f>J9-J11</f>
        <v>-162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24</v>
      </c>
      <c r="E12" s="93"/>
      <c r="F12" s="70"/>
      <c r="G12" s="1"/>
      <c r="H12" s="49"/>
      <c r="I12" s="49">
        <v>1083</v>
      </c>
      <c r="J12" s="26" t="s">
        <v>43</v>
      </c>
      <c r="K12" s="45"/>
      <c r="L12" s="113">
        <f>+I12/G11</f>
        <v>0.72199999999999998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2710</v>
      </c>
      <c r="E13" s="94">
        <f>D13+K11+K15</f>
        <v>2548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239"/>
      <c r="B14" s="240"/>
      <c r="C14" s="240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37"/>
      <c r="B15" s="238"/>
      <c r="C15" s="238"/>
      <c r="D15" s="186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1373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1711</v>
      </c>
      <c r="E17" s="93"/>
      <c r="F17" s="70"/>
      <c r="G17" s="1">
        <v>4000</v>
      </c>
      <c r="H17" s="49"/>
      <c r="I17" s="73"/>
      <c r="J17" s="30">
        <v>0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916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2627</v>
      </c>
      <c r="E19" s="94">
        <f>D19+K21</f>
        <v>2627</v>
      </c>
      <c r="F19" s="70"/>
      <c r="G19" s="1"/>
      <c r="H19" s="49"/>
      <c r="I19" s="73"/>
      <c r="J19" s="30" t="s">
        <v>44</v>
      </c>
      <c r="K19" s="45"/>
      <c r="L19" s="113">
        <f>D19/G17</f>
        <v>0.65674999999999994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48+48</f>
        <v>96</v>
      </c>
      <c r="K20" s="62">
        <f>J17-J20</f>
        <v>-96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1371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616</v>
      </c>
      <c r="E22" s="93"/>
      <c r="F22" s="70"/>
      <c r="G22" s="1">
        <v>2000</v>
      </c>
      <c r="H22" s="49"/>
      <c r="I22" s="73"/>
      <c r="J22" s="30">
        <v>0</v>
      </c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629</v>
      </c>
      <c r="E23" s="94">
        <f>D23+K24</f>
        <v>629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37"/>
      <c r="B24" s="238"/>
      <c r="C24" s="238"/>
      <c r="D24" s="186"/>
      <c r="E24" s="95"/>
      <c r="F24" s="65"/>
      <c r="G24" s="53"/>
      <c r="H24" s="55"/>
      <c r="I24" s="74"/>
      <c r="J24" s="41">
        <v>0</v>
      </c>
      <c r="K24" s="63">
        <f>J22-J24</f>
        <v>0</v>
      </c>
      <c r="L24" s="113">
        <f>D23/G22</f>
        <v>0.3145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40"/>
      <c r="C26" s="240"/>
      <c r="D26" s="185"/>
      <c r="E26" s="94"/>
      <c r="F26" s="70"/>
      <c r="G26" s="58"/>
      <c r="H26" s="56"/>
      <c r="I26" s="23"/>
      <c r="J26" s="23">
        <v>0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420</v>
      </c>
      <c r="E27" s="93"/>
      <c r="F27" s="70">
        <f>G28-D29-H29-I29-K29</f>
        <v>5613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1076</v>
      </c>
      <c r="E28" s="93"/>
      <c r="F28" s="70"/>
      <c r="G28" s="58">
        <v>7013</v>
      </c>
      <c r="H28" s="56"/>
      <c r="I28" s="23"/>
      <c r="J28" s="23">
        <v>96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1496</v>
      </c>
      <c r="E29" s="97">
        <f>D29+H29+I29+K29</f>
        <v>1400</v>
      </c>
      <c r="F29" s="71"/>
      <c r="G29" s="59"/>
      <c r="H29" s="242"/>
      <c r="I29" s="25">
        <f>H26-H28</f>
        <v>0</v>
      </c>
      <c r="J29" s="38"/>
      <c r="K29" s="64">
        <f>+J26-J28</f>
        <v>-96</v>
      </c>
      <c r="L29" s="113">
        <f>D29/G28</f>
        <v>0.21331812348495652</v>
      </c>
      <c r="M29" s="108">
        <f>+E29/G28</f>
        <v>0.1996292599458149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G18" sqref="G18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75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12247</v>
      </c>
      <c r="E3" s="93"/>
      <c r="F3" s="67"/>
      <c r="G3" s="21"/>
      <c r="H3" s="37">
        <v>312</v>
      </c>
      <c r="I3" s="23"/>
      <c r="J3" s="23">
        <v>1104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199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312</v>
      </c>
      <c r="I5" s="23"/>
      <c r="J5" s="23">
        <f>425+633</f>
        <v>1058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12455</v>
      </c>
      <c r="E6" s="91">
        <f>D6+H6+I6+K6</f>
        <v>12731</v>
      </c>
      <c r="F6" s="68">
        <f>G6-D6-H6-I6-K6</f>
        <v>769</v>
      </c>
      <c r="G6" s="43">
        <v>13500</v>
      </c>
      <c r="H6" s="241">
        <v>230</v>
      </c>
      <c r="I6" s="45">
        <f>H3-H5</f>
        <v>0</v>
      </c>
      <c r="J6" s="23"/>
      <c r="K6" s="60">
        <f>J3-J5</f>
        <v>46</v>
      </c>
      <c r="L6" s="113">
        <f>D6/G6</f>
        <v>0.92259259259259263</v>
      </c>
      <c r="M6" s="108">
        <f>+E6/G6</f>
        <v>0.94303703703703701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536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748</v>
      </c>
      <c r="E8" s="93"/>
      <c r="F8" s="70">
        <f>G8-D8-D9-D12+K11</f>
        <v>993</v>
      </c>
      <c r="G8" s="1">
        <v>2500</v>
      </c>
      <c r="H8" s="49"/>
      <c r="I8" s="49">
        <f>+D8+D9+D12</f>
        <v>1508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760</v>
      </c>
      <c r="E9" s="93"/>
      <c r="F9" s="70"/>
      <c r="G9" s="1" t="s">
        <v>32</v>
      </c>
      <c r="H9" s="49"/>
      <c r="I9" s="49"/>
      <c r="J9" s="26">
        <v>264</v>
      </c>
      <c r="K9" s="45"/>
      <c r="L9" s="113">
        <f>+I8/G8</f>
        <v>0.60319999999999996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501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443</v>
      </c>
      <c r="G11" s="1">
        <v>1500</v>
      </c>
      <c r="H11" s="49"/>
      <c r="I11" s="49"/>
      <c r="J11" s="26">
        <f>43+220</f>
        <v>263</v>
      </c>
      <c r="K11" s="62">
        <f>J9-J11</f>
        <v>1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0</v>
      </c>
      <c r="E12" s="93"/>
      <c r="F12" s="70"/>
      <c r="G12" s="1"/>
      <c r="H12" s="49"/>
      <c r="I12" s="49">
        <f>+D7+D10+D11</f>
        <v>1057</v>
      </c>
      <c r="J12" s="26" t="s">
        <v>43</v>
      </c>
      <c r="K12" s="45"/>
      <c r="L12" s="113">
        <f>+I12/G11</f>
        <v>0.70466666666666666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2565</v>
      </c>
      <c r="E13" s="94">
        <f>D13+K11+K15</f>
        <v>2566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239"/>
      <c r="B14" s="240"/>
      <c r="C14" s="240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37"/>
      <c r="B15" s="238"/>
      <c r="C15" s="238"/>
      <c r="D15" s="186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-262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1635</v>
      </c>
      <c r="E17" s="93"/>
      <c r="F17" s="70"/>
      <c r="G17" s="1">
        <v>2500</v>
      </c>
      <c r="H17" s="49"/>
      <c r="I17" s="73"/>
      <c r="J17" s="30">
        <f>144+240</f>
        <v>384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1127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2762</v>
      </c>
      <c r="E19" s="94">
        <f>D19+K21</f>
        <v>2762</v>
      </c>
      <c r="F19" s="70"/>
      <c r="G19" s="1"/>
      <c r="H19" s="49"/>
      <c r="I19" s="73"/>
      <c r="J19" s="30" t="s">
        <v>44</v>
      </c>
      <c r="K19" s="45"/>
      <c r="L19" s="113">
        <f>D19/G17</f>
        <v>1.1048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57+144</f>
        <v>201</v>
      </c>
      <c r="K20" s="62">
        <f>J17-J20</f>
        <v>183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1371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616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629</v>
      </c>
      <c r="E23" s="94">
        <f>D23+K24</f>
        <v>629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37"/>
      <c r="B24" s="238"/>
      <c r="C24" s="238"/>
      <c r="D24" s="186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0.3145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40"/>
      <c r="C26" s="240"/>
      <c r="D26" s="185"/>
      <c r="E26" s="94"/>
      <c r="F26" s="70"/>
      <c r="G26" s="58"/>
      <c r="H26" s="56">
        <v>96</v>
      </c>
      <c r="I26" s="23"/>
      <c r="J26" s="23"/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396</v>
      </c>
      <c r="E27" s="93"/>
      <c r="F27" s="70">
        <f>G28-D29-H29-I29-K29</f>
        <v>1690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1127</v>
      </c>
      <c r="E28" s="93"/>
      <c r="F28" s="70"/>
      <c r="G28" s="58">
        <v>7013</v>
      </c>
      <c r="H28" s="56">
        <v>24</v>
      </c>
      <c r="I28" s="23"/>
      <c r="J28" s="23">
        <v>96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1523</v>
      </c>
      <c r="E29" s="97">
        <f>D29+H29+I29+K29</f>
        <v>5323</v>
      </c>
      <c r="F29" s="71"/>
      <c r="G29" s="59"/>
      <c r="H29" s="242">
        <v>3824</v>
      </c>
      <c r="I29" s="25">
        <f>H26-H28</f>
        <v>72</v>
      </c>
      <c r="J29" s="38"/>
      <c r="K29" s="64">
        <f>+J26-J28</f>
        <v>-96</v>
      </c>
      <c r="L29" s="113">
        <f>D29/G28</f>
        <v>0.21716811635534009</v>
      </c>
      <c r="M29" s="108">
        <f>+E29/G28</f>
        <v>0.75901896477969488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H15" sqref="H15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12177</v>
      </c>
      <c r="E3" s="93"/>
      <c r="F3" s="67"/>
      <c r="G3" s="21"/>
      <c r="H3" s="37"/>
      <c r="I3" s="23"/>
      <c r="J3" s="23">
        <v>864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144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/>
      <c r="I5" s="23"/>
      <c r="J5" s="23">
        <f>176+896</f>
        <v>1072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12330</v>
      </c>
      <c r="E6" s="91">
        <f>D6+H6+I6+K6</f>
        <v>12352</v>
      </c>
      <c r="F6" s="68">
        <f>G6-D6-H6-I6-K6</f>
        <v>1148</v>
      </c>
      <c r="G6" s="43">
        <v>13500</v>
      </c>
      <c r="H6" s="241">
        <v>230</v>
      </c>
      <c r="I6" s="45">
        <f>H3-H5</f>
        <v>0</v>
      </c>
      <c r="J6" s="23"/>
      <c r="K6" s="60">
        <f>J3-J5</f>
        <v>-208</v>
      </c>
      <c r="L6" s="113">
        <f>D6/G6</f>
        <v>0.91333333333333333</v>
      </c>
      <c r="M6" s="108">
        <f>+E6/G6</f>
        <v>0.91496296296296298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577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832</v>
      </c>
      <c r="E8" s="93"/>
      <c r="F8" s="70">
        <f>G8-D8-D9-D12+K11</f>
        <v>1289</v>
      </c>
      <c r="G8" s="1">
        <v>2500</v>
      </c>
      <c r="H8" s="49"/>
      <c r="I8" s="49">
        <f>+D8+D9+D12</f>
        <v>1499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643</v>
      </c>
      <c r="E9" s="93"/>
      <c r="F9" s="70"/>
      <c r="G9" s="1" t="s">
        <v>32</v>
      </c>
      <c r="H9" s="49"/>
      <c r="I9" s="49"/>
      <c r="J9" s="26">
        <f>240+48</f>
        <v>288</v>
      </c>
      <c r="K9" s="45"/>
      <c r="L9" s="113">
        <f>+I8/G8</f>
        <v>0.59960000000000002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500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379</v>
      </c>
      <c r="G11" s="1">
        <v>1500</v>
      </c>
      <c r="H11" s="49"/>
      <c r="I11" s="49"/>
      <c r="J11" s="26"/>
      <c r="K11" s="62">
        <f>J9-J11</f>
        <v>288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24</v>
      </c>
      <c r="E12" s="93"/>
      <c r="F12" s="70"/>
      <c r="G12" s="1"/>
      <c r="H12" s="49"/>
      <c r="I12" s="49">
        <f>+D7+D10+D11</f>
        <v>1097</v>
      </c>
      <c r="J12" s="26" t="s">
        <v>43</v>
      </c>
      <c r="K12" s="45"/>
      <c r="L12" s="113">
        <f>+I12/G11</f>
        <v>0.73133333333333328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2596</v>
      </c>
      <c r="E13" s="94">
        <f>D13+K11+K15</f>
        <v>2860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239"/>
      <c r="B14" s="240"/>
      <c r="C14" s="240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37"/>
      <c r="B15" s="238"/>
      <c r="C15" s="238"/>
      <c r="D15" s="186"/>
      <c r="E15" s="95"/>
      <c r="F15" s="65"/>
      <c r="G15" s="53"/>
      <c r="H15" s="54"/>
      <c r="I15" s="54"/>
      <c r="J15" s="26">
        <v>24</v>
      </c>
      <c r="K15" s="62">
        <f>J13-J15</f>
        <v>-24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>
        <v>0</v>
      </c>
      <c r="E16" s="92"/>
      <c r="F16" s="69">
        <f>G17-D19+K21</f>
        <v>-488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1669</v>
      </c>
      <c r="E17" s="93"/>
      <c r="F17" s="70"/>
      <c r="G17" s="1">
        <v>2500</v>
      </c>
      <c r="H17" s="49"/>
      <c r="I17" s="73"/>
      <c r="J17" s="30">
        <v>96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1319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2988</v>
      </c>
      <c r="E19" s="94">
        <f>D19+K21</f>
        <v>2988</v>
      </c>
      <c r="F19" s="70"/>
      <c r="G19" s="1"/>
      <c r="H19" s="49"/>
      <c r="I19" s="73"/>
      <c r="J19" s="30" t="s">
        <v>44</v>
      </c>
      <c r="K19" s="45"/>
      <c r="L19" s="113">
        <f>D19/G17</f>
        <v>1.1952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194+384</f>
        <v>578</v>
      </c>
      <c r="K20" s="62">
        <f>J17-J20</f>
        <v>-482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1371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616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629</v>
      </c>
      <c r="E23" s="94">
        <f>D23+K24</f>
        <v>629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37"/>
      <c r="B24" s="238"/>
      <c r="C24" s="238"/>
      <c r="D24" s="186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0.3145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40"/>
      <c r="C26" s="240"/>
      <c r="D26" s="185"/>
      <c r="E26" s="94"/>
      <c r="F26" s="70"/>
      <c r="G26" s="58"/>
      <c r="H26" s="56"/>
      <c r="I26" s="23"/>
      <c r="J26" s="23">
        <v>168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396</v>
      </c>
      <c r="E27" s="93"/>
      <c r="F27" s="70">
        <f>G28-D29-H29-I29-K29</f>
        <v>1868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907</v>
      </c>
      <c r="E28" s="93"/>
      <c r="F28" s="70"/>
      <c r="G28" s="58">
        <v>7013</v>
      </c>
      <c r="H28" s="56"/>
      <c r="I28" s="23"/>
      <c r="J28" s="23">
        <f>120+6</f>
        <v>126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1303</v>
      </c>
      <c r="E29" s="97">
        <f>D29+H29+I29+K29</f>
        <v>5145</v>
      </c>
      <c r="F29" s="71"/>
      <c r="G29" s="59"/>
      <c r="H29" s="242">
        <v>3800</v>
      </c>
      <c r="I29" s="25">
        <f>H26-H28</f>
        <v>0</v>
      </c>
      <c r="J29" s="38"/>
      <c r="K29" s="64">
        <f>+J26-J28</f>
        <v>42</v>
      </c>
      <c r="L29" s="113">
        <f>D29/G28</f>
        <v>0.18579780407814059</v>
      </c>
      <c r="M29" s="108">
        <f>+E29/G28</f>
        <v>0.73363753030086987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H29" sqref="H29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76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11724</v>
      </c>
      <c r="E3" s="93"/>
      <c r="F3" s="67"/>
      <c r="G3" s="21"/>
      <c r="H3" s="37">
        <v>120</v>
      </c>
      <c r="I3" s="23"/>
      <c r="J3" s="23">
        <v>648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143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96</v>
      </c>
      <c r="I5" s="23"/>
      <c r="J5" s="23">
        <f>17+658</f>
        <v>675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11876</v>
      </c>
      <c r="E6" s="91">
        <f>D6+H6+I6+K6</f>
        <v>12206</v>
      </c>
      <c r="F6" s="68">
        <f>G6-D6-H6-I6-K6</f>
        <v>1294</v>
      </c>
      <c r="G6" s="43">
        <v>13500</v>
      </c>
      <c r="H6" s="241">
        <v>333</v>
      </c>
      <c r="I6" s="45">
        <f>H3-H5</f>
        <v>24</v>
      </c>
      <c r="J6" s="23"/>
      <c r="K6" s="60">
        <f>J3-J5</f>
        <v>-27</v>
      </c>
      <c r="L6" s="113">
        <f>D6/G6</f>
        <v>0.87970370370370365</v>
      </c>
      <c r="M6" s="108">
        <f>+E6/G6</f>
        <v>0.90414814814814815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553</v>
      </c>
      <c r="E7" s="92"/>
      <c r="F7" s="69">
        <f>G8-E9</f>
        <v>421</v>
      </c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878</v>
      </c>
      <c r="E8" s="93"/>
      <c r="F8" s="70"/>
      <c r="G8" s="1">
        <v>2500</v>
      </c>
      <c r="H8" s="49"/>
      <c r="I8" s="49">
        <f>+D8+D9+D12</f>
        <v>1719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721</v>
      </c>
      <c r="E9" s="19">
        <f>D8+D9+D12+K11</f>
        <v>2079</v>
      </c>
      <c r="F9" s="70"/>
      <c r="G9" s="1" t="s">
        <v>32</v>
      </c>
      <c r="H9" s="49"/>
      <c r="I9" s="49"/>
      <c r="J9" s="26">
        <f>144+216</f>
        <v>360</v>
      </c>
      <c r="K9" s="45"/>
      <c r="L9" s="113">
        <f>+I8/G8</f>
        <v>0.68759999999999999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500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G11-E12</f>
        <v>403</v>
      </c>
      <c r="G11" s="1">
        <v>1500</v>
      </c>
      <c r="H11" s="49"/>
      <c r="I11" s="49"/>
      <c r="J11" s="26"/>
      <c r="K11" s="62">
        <f>J9-J11</f>
        <v>360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120</v>
      </c>
      <c r="E12" s="94">
        <f>D7+D10+D11+K15</f>
        <v>1097</v>
      </c>
      <c r="F12" s="70"/>
      <c r="G12" s="1"/>
      <c r="H12" s="49"/>
      <c r="I12" s="49">
        <f>+D7+D10+D11</f>
        <v>1073</v>
      </c>
      <c r="J12" s="26" t="s">
        <v>43</v>
      </c>
      <c r="K12" s="45"/>
      <c r="L12" s="113">
        <f>+I12/G11</f>
        <v>0.71533333333333338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2792</v>
      </c>
      <c r="E13" s="94"/>
      <c r="F13" s="70"/>
      <c r="G13" s="1"/>
      <c r="H13" s="49"/>
      <c r="I13" s="49"/>
      <c r="J13" s="26">
        <v>48</v>
      </c>
      <c r="K13" s="45"/>
      <c r="L13" s="113"/>
      <c r="M13" s="107"/>
    </row>
    <row r="14" spans="1:13" ht="15" x14ac:dyDescent="0.25">
      <c r="A14" s="239"/>
      <c r="B14" s="240"/>
      <c r="C14" s="240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37"/>
      <c r="B15" s="238"/>
      <c r="C15" s="238"/>
      <c r="D15" s="186"/>
      <c r="E15" s="95"/>
      <c r="F15" s="65"/>
      <c r="G15" s="53"/>
      <c r="H15" s="54"/>
      <c r="I15" s="54"/>
      <c r="J15" s="26">
        <v>24</v>
      </c>
      <c r="K15" s="62">
        <f>J13-J15</f>
        <v>24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-247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1547</v>
      </c>
      <c r="E17" s="93"/>
      <c r="F17" s="70"/>
      <c r="G17" s="1">
        <v>2500</v>
      </c>
      <c r="H17" s="49"/>
      <c r="I17" s="73"/>
      <c r="J17" s="30">
        <v>120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1200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2747</v>
      </c>
      <c r="E19" s="94">
        <f>D19+K21</f>
        <v>2747</v>
      </c>
      <c r="F19" s="70"/>
      <c r="G19" s="1"/>
      <c r="H19" s="49"/>
      <c r="I19" s="73"/>
      <c r="J19" s="30" t="s">
        <v>44</v>
      </c>
      <c r="K19" s="45"/>
      <c r="L19" s="113">
        <f>D19/G17</f>
        <v>1.0988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f>42+168</f>
        <v>210</v>
      </c>
      <c r="K20" s="62">
        <f>J17-J20</f>
        <v>-90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1371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616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629</v>
      </c>
      <c r="E23" s="94">
        <f>D23+K24</f>
        <v>629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37"/>
      <c r="B24" s="238"/>
      <c r="C24" s="238"/>
      <c r="D24" s="186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0.3145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40"/>
      <c r="C26" s="240"/>
      <c r="D26" s="185"/>
      <c r="E26" s="94"/>
      <c r="F26" s="70"/>
      <c r="G26" s="58"/>
      <c r="H26" s="56">
        <v>336</v>
      </c>
      <c r="I26" s="23"/>
      <c r="J26" s="23">
        <v>72</v>
      </c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396</v>
      </c>
      <c r="E27" s="93"/>
      <c r="F27" s="70">
        <f>G28-D29-H29-I29-K29</f>
        <v>1587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1051</v>
      </c>
      <c r="E28" s="93"/>
      <c r="F28" s="70"/>
      <c r="G28" s="58">
        <v>7013</v>
      </c>
      <c r="H28" s="56">
        <v>290</v>
      </c>
      <c r="I28" s="23"/>
      <c r="J28" s="23">
        <v>24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1447</v>
      </c>
      <c r="E29" s="97">
        <f>D29+H29+I29+K29</f>
        <v>5426</v>
      </c>
      <c r="F29" s="71"/>
      <c r="G29" s="59"/>
      <c r="H29" s="242">
        <v>3885</v>
      </c>
      <c r="I29" s="25">
        <f>H26-H28</f>
        <v>46</v>
      </c>
      <c r="J29" s="38"/>
      <c r="K29" s="64">
        <f>+J26-J28</f>
        <v>48</v>
      </c>
      <c r="L29" s="113">
        <f>D29/G28</f>
        <v>0.20633109938685298</v>
      </c>
      <c r="M29" s="108">
        <f>+E29/G28</f>
        <v>0.7737059746185655</v>
      </c>
    </row>
    <row r="30" spans="1:13" x14ac:dyDescent="0.3">
      <c r="A30" s="257"/>
      <c r="B30" s="257"/>
      <c r="C30" s="257"/>
      <c r="F30" s="7">
        <f>SUM(F6:F27)</f>
        <v>4829</v>
      </c>
    </row>
    <row r="31" spans="1:13" ht="15" customHeight="1" x14ac:dyDescent="0.3">
      <c r="F31" s="7">
        <f>F30-F21-F27</f>
        <v>1871</v>
      </c>
    </row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workbookViewId="0">
      <selection activeCell="P38" sqref="P38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>
        <v>11716</v>
      </c>
      <c r="E3" s="93"/>
      <c r="F3" s="67"/>
      <c r="G3" s="21"/>
      <c r="H3" s="37">
        <v>240</v>
      </c>
      <c r="I3" s="23"/>
      <c r="J3" s="23">
        <v>1296</v>
      </c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>
        <v>143</v>
      </c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>
        <v>9</v>
      </c>
      <c r="E5" s="90"/>
      <c r="F5" s="67"/>
      <c r="G5" s="21"/>
      <c r="H5" s="37">
        <v>24</v>
      </c>
      <c r="I5" s="23"/>
      <c r="J5" s="23">
        <f>514+726</f>
        <v>1240</v>
      </c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11868</v>
      </c>
      <c r="E6" s="91">
        <f>D6+H6+I6+K6</f>
        <v>12476</v>
      </c>
      <c r="F6" s="68">
        <f>G6-D6-H6-I6-K6</f>
        <v>1024</v>
      </c>
      <c r="G6" s="43">
        <v>13500</v>
      </c>
      <c r="H6" s="241">
        <v>336</v>
      </c>
      <c r="I6" s="45">
        <f>H3-H5</f>
        <v>216</v>
      </c>
      <c r="J6" s="23"/>
      <c r="K6" s="60">
        <f>J3-J5</f>
        <v>56</v>
      </c>
      <c r="L6" s="113">
        <f>D6/G6</f>
        <v>0.87911111111111107</v>
      </c>
      <c r="M6" s="108">
        <f>+E6/G6</f>
        <v>0.92414814814814816</v>
      </c>
    </row>
    <row r="7" spans="1:13" x14ac:dyDescent="0.3">
      <c r="A7" s="2" t="s">
        <v>5</v>
      </c>
      <c r="B7" s="3" t="s">
        <v>6</v>
      </c>
      <c r="C7" s="3" t="s">
        <v>23</v>
      </c>
      <c r="D7" s="183">
        <v>530</v>
      </c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>
        <v>1022</v>
      </c>
      <c r="E8" s="93"/>
      <c r="F8" s="70">
        <f>G8-D8-D9-D12+K11</f>
        <v>285</v>
      </c>
      <c r="G8" s="1">
        <v>2500</v>
      </c>
      <c r="H8" s="49"/>
      <c r="I8" s="49">
        <f>+D8+D9+D12</f>
        <v>2082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>
        <v>825</v>
      </c>
      <c r="E9" s="93"/>
      <c r="F9" s="70"/>
      <c r="G9" s="1" t="s">
        <v>32</v>
      </c>
      <c r="H9" s="49"/>
      <c r="I9" s="49"/>
      <c r="J9" s="26">
        <v>278</v>
      </c>
      <c r="K9" s="45"/>
      <c r="L9" s="113">
        <f>+I8/G8</f>
        <v>0.83279999999999998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>
        <v>53</v>
      </c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>
        <v>20</v>
      </c>
      <c r="E11" s="93"/>
      <c r="F11" s="70">
        <f>G11-D7-D11-D10+K15</f>
        <v>897</v>
      </c>
      <c r="G11" s="1">
        <v>1500</v>
      </c>
      <c r="H11" s="49"/>
      <c r="I11" s="49"/>
      <c r="J11" s="26">
        <v>411</v>
      </c>
      <c r="K11" s="62">
        <f>J9-J11</f>
        <v>-133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>
        <v>235</v>
      </c>
      <c r="E12" s="93"/>
      <c r="F12" s="70"/>
      <c r="G12" s="1"/>
      <c r="H12" s="49"/>
      <c r="I12" s="49">
        <f>+D7+D10+D11</f>
        <v>603</v>
      </c>
      <c r="J12" s="26" t="s">
        <v>43</v>
      </c>
      <c r="K12" s="45"/>
      <c r="L12" s="113">
        <f>+I12/G11</f>
        <v>0.40200000000000002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2685</v>
      </c>
      <c r="E13" s="94">
        <f>D13+K11+K15</f>
        <v>2552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239"/>
      <c r="B14" s="240"/>
      <c r="C14" s="240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37"/>
      <c r="B15" s="238"/>
      <c r="C15" s="238"/>
      <c r="D15" s="186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-119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>
        <v>1523</v>
      </c>
      <c r="E17" s="93"/>
      <c r="F17" s="70"/>
      <c r="G17" s="1">
        <v>2500</v>
      </c>
      <c r="H17" s="49"/>
      <c r="I17" s="73"/>
      <c r="J17" s="30">
        <v>168</v>
      </c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>
        <v>1096</v>
      </c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2619</v>
      </c>
      <c r="E19" s="94">
        <f>D19+K21</f>
        <v>2619</v>
      </c>
      <c r="F19" s="70"/>
      <c r="G19" s="1"/>
      <c r="H19" s="49"/>
      <c r="I19" s="73"/>
      <c r="J19" s="30" t="s">
        <v>44</v>
      </c>
      <c r="K19" s="45"/>
      <c r="L19" s="113">
        <f>D19/G17</f>
        <v>1.0476000000000001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>
        <v>165</v>
      </c>
      <c r="K20" s="62">
        <f>J17-J20</f>
        <v>3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>
        <v>13</v>
      </c>
      <c r="E21" s="92"/>
      <c r="F21" s="69">
        <f>G22-D23+K24</f>
        <v>1371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>
        <v>616</v>
      </c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629</v>
      </c>
      <c r="E23" s="94">
        <f>D23+K24</f>
        <v>629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37"/>
      <c r="B24" s="238"/>
      <c r="C24" s="238"/>
      <c r="D24" s="186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0.3145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40"/>
      <c r="C26" s="240"/>
      <c r="D26" s="185"/>
      <c r="E26" s="94"/>
      <c r="F26" s="70"/>
      <c r="G26" s="58"/>
      <c r="H26" s="56">
        <v>234</v>
      </c>
      <c r="I26" s="23"/>
      <c r="J26" s="23"/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>
        <v>396</v>
      </c>
      <c r="E27" s="93"/>
      <c r="F27" s="70">
        <f>G28-D29-H29-I29-K29</f>
        <v>2106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>
        <v>1125</v>
      </c>
      <c r="E28" s="93"/>
      <c r="F28" s="70"/>
      <c r="G28" s="58">
        <v>7013</v>
      </c>
      <c r="H28" s="56">
        <v>676</v>
      </c>
      <c r="I28" s="23"/>
      <c r="J28" s="23">
        <v>48</v>
      </c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1521</v>
      </c>
      <c r="E29" s="97">
        <f>D29+H29+I29+K29</f>
        <v>4907</v>
      </c>
      <c r="F29" s="71"/>
      <c r="G29" s="59"/>
      <c r="H29" s="242">
        <v>3876</v>
      </c>
      <c r="I29" s="25">
        <f>H26-H28</f>
        <v>-442</v>
      </c>
      <c r="J29" s="38"/>
      <c r="K29" s="64">
        <f>+J26-J28</f>
        <v>-48</v>
      </c>
      <c r="L29" s="113">
        <f>D29/G28</f>
        <v>0.21688293169827463</v>
      </c>
      <c r="M29" s="108">
        <f>+E29/G28</f>
        <v>0.69970055611008131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P26" sqref="P26"/>
    </sheetView>
  </sheetViews>
  <sheetFormatPr baseColWidth="10" defaultRowHeight="14.4" x14ac:dyDescent="0.3"/>
  <cols>
    <col min="6" max="6" width="11.44140625" style="7"/>
    <col min="7" max="7" width="18.88671875" bestFit="1" customWidth="1"/>
    <col min="11" max="11" width="11.44140625" style="7"/>
    <col min="12" max="12" width="11.44140625" style="79"/>
    <col min="13" max="13" width="12.5546875" style="106" bestFit="1" customWidth="1"/>
  </cols>
  <sheetData>
    <row r="1" spans="1:13" ht="15" thickBot="1" x14ac:dyDescent="0.35">
      <c r="A1" s="250" t="s">
        <v>69</v>
      </c>
      <c r="B1" s="251"/>
      <c r="C1" s="251"/>
      <c r="D1" s="252"/>
      <c r="E1" s="87" t="s">
        <v>48</v>
      </c>
      <c r="F1" s="65" t="s">
        <v>35</v>
      </c>
      <c r="G1" s="10" t="s">
        <v>29</v>
      </c>
      <c r="H1" s="22" t="s">
        <v>42</v>
      </c>
      <c r="I1" s="61" t="s">
        <v>35</v>
      </c>
      <c r="J1" s="22" t="s">
        <v>45</v>
      </c>
      <c r="K1" s="29" t="s">
        <v>35</v>
      </c>
      <c r="L1" s="79" t="s">
        <v>51</v>
      </c>
      <c r="M1" s="107" t="s">
        <v>52</v>
      </c>
    </row>
    <row r="2" spans="1:13" ht="15.75" thickBot="1" x14ac:dyDescent="0.3">
      <c r="A2" s="5" t="s">
        <v>1</v>
      </c>
      <c r="B2" s="6" t="s">
        <v>2</v>
      </c>
      <c r="C2" s="6" t="s">
        <v>14</v>
      </c>
      <c r="D2" s="8" t="s">
        <v>26</v>
      </c>
      <c r="E2" s="88"/>
      <c r="F2" s="66"/>
      <c r="G2" s="20" t="s">
        <v>30</v>
      </c>
      <c r="H2" s="37" t="s">
        <v>43</v>
      </c>
      <c r="I2" s="23"/>
      <c r="J2" s="23" t="s">
        <v>43</v>
      </c>
      <c r="K2" s="31"/>
      <c r="M2" s="107"/>
    </row>
    <row r="3" spans="1:13" ht="15" x14ac:dyDescent="0.25">
      <c r="A3" s="2" t="s">
        <v>0</v>
      </c>
      <c r="B3" s="3" t="s">
        <v>3</v>
      </c>
      <c r="C3" s="3" t="s">
        <v>15</v>
      </c>
      <c r="D3" s="180"/>
      <c r="E3" s="93"/>
      <c r="F3" s="67"/>
      <c r="G3" s="21"/>
      <c r="H3" s="37"/>
      <c r="I3" s="23"/>
      <c r="J3" s="23"/>
      <c r="K3" s="31"/>
      <c r="M3" s="107"/>
    </row>
    <row r="4" spans="1:13" ht="15" x14ac:dyDescent="0.25">
      <c r="A4" s="4"/>
      <c r="B4" s="1" t="s">
        <v>4</v>
      </c>
      <c r="C4" s="1" t="s">
        <v>16</v>
      </c>
      <c r="D4" s="181"/>
      <c r="E4" s="90"/>
      <c r="F4" s="67"/>
      <c r="G4" s="21"/>
      <c r="H4" s="37" t="s">
        <v>44</v>
      </c>
      <c r="I4" s="23"/>
      <c r="J4" s="23" t="s">
        <v>44</v>
      </c>
      <c r="K4" s="31"/>
      <c r="M4" s="107"/>
    </row>
    <row r="5" spans="1:13" ht="15" x14ac:dyDescent="0.25">
      <c r="A5" s="4"/>
      <c r="B5" s="1" t="s">
        <v>17</v>
      </c>
      <c r="C5" s="1" t="s">
        <v>18</v>
      </c>
      <c r="D5" s="181"/>
      <c r="E5" s="90"/>
      <c r="F5" s="67"/>
      <c r="G5" s="21"/>
      <c r="H5" s="37"/>
      <c r="I5" s="23"/>
      <c r="J5" s="23"/>
      <c r="K5" s="31"/>
      <c r="M5" s="107"/>
    </row>
    <row r="6" spans="1:13" ht="15.75" thickBot="1" x14ac:dyDescent="0.3">
      <c r="A6" s="253" t="s">
        <v>27</v>
      </c>
      <c r="B6" s="254"/>
      <c r="C6" s="254"/>
      <c r="D6" s="182">
        <f>SUM(D3:D5)</f>
        <v>0</v>
      </c>
      <c r="E6" s="91">
        <f>D6+H6+I6+K6</f>
        <v>0</v>
      </c>
      <c r="F6" s="68">
        <f>G6-D6-H6-I6-K6</f>
        <v>13500</v>
      </c>
      <c r="G6" s="43">
        <v>13500</v>
      </c>
      <c r="H6" s="241"/>
      <c r="I6" s="45">
        <f>H3-H5</f>
        <v>0</v>
      </c>
      <c r="J6" s="23"/>
      <c r="K6" s="60">
        <f>J3-J5</f>
        <v>0</v>
      </c>
      <c r="L6" s="113">
        <f>D6/G6</f>
        <v>0</v>
      </c>
      <c r="M6" s="108">
        <f>+E6/G6</f>
        <v>0</v>
      </c>
    </row>
    <row r="7" spans="1:13" x14ac:dyDescent="0.3">
      <c r="A7" s="2" t="s">
        <v>5</v>
      </c>
      <c r="B7" s="3" t="s">
        <v>6</v>
      </c>
      <c r="C7" s="3" t="s">
        <v>23</v>
      </c>
      <c r="D7" s="183"/>
      <c r="E7" s="92"/>
      <c r="F7" s="69"/>
      <c r="G7" s="3" t="s">
        <v>31</v>
      </c>
      <c r="H7" s="48"/>
      <c r="I7" s="48"/>
      <c r="J7" s="46"/>
      <c r="K7" s="61"/>
      <c r="L7" s="113"/>
      <c r="M7" s="107"/>
    </row>
    <row r="8" spans="1:13" ht="15" x14ac:dyDescent="0.25">
      <c r="A8" s="4"/>
      <c r="B8" s="1" t="s">
        <v>7</v>
      </c>
      <c r="C8" s="1" t="s">
        <v>24</v>
      </c>
      <c r="D8" s="184"/>
      <c r="E8" s="93"/>
      <c r="F8" s="70">
        <f>G8-D8-D9-D12+K11</f>
        <v>2500</v>
      </c>
      <c r="G8" s="1">
        <v>2500</v>
      </c>
      <c r="H8" s="49"/>
      <c r="I8" s="49">
        <f>+D8+D9+D12</f>
        <v>0</v>
      </c>
      <c r="J8" s="26" t="s">
        <v>43</v>
      </c>
      <c r="K8" s="45"/>
      <c r="L8" s="113"/>
      <c r="M8" s="107"/>
    </row>
    <row r="9" spans="1:13" x14ac:dyDescent="0.3">
      <c r="A9" s="4"/>
      <c r="B9" s="1" t="s">
        <v>8</v>
      </c>
      <c r="C9" s="1" t="s">
        <v>16</v>
      </c>
      <c r="D9" s="184"/>
      <c r="E9" s="93"/>
      <c r="F9" s="70"/>
      <c r="G9" s="1" t="s">
        <v>32</v>
      </c>
      <c r="H9" s="49"/>
      <c r="I9" s="49"/>
      <c r="J9" s="26"/>
      <c r="K9" s="45"/>
      <c r="L9" s="113">
        <f>+I8/G8</f>
        <v>0</v>
      </c>
      <c r="M9" s="107"/>
    </row>
    <row r="10" spans="1:13" ht="15" x14ac:dyDescent="0.25">
      <c r="A10" s="4"/>
      <c r="B10" s="1" t="s">
        <v>39</v>
      </c>
      <c r="C10" s="1" t="s">
        <v>40</v>
      </c>
      <c r="D10" s="184"/>
      <c r="E10" s="93"/>
      <c r="F10" s="70"/>
      <c r="G10" s="1"/>
      <c r="H10" s="49"/>
      <c r="I10" s="49"/>
      <c r="J10" s="26" t="s">
        <v>44</v>
      </c>
      <c r="K10" s="45"/>
      <c r="L10" s="113"/>
      <c r="M10" s="107"/>
    </row>
    <row r="11" spans="1:13" ht="15" x14ac:dyDescent="0.25">
      <c r="A11" s="4"/>
      <c r="B11" s="1" t="s">
        <v>19</v>
      </c>
      <c r="C11" s="1" t="s">
        <v>21</v>
      </c>
      <c r="D11" s="184"/>
      <c r="E11" s="93"/>
      <c r="F11" s="70">
        <f>G11-D7-D11-D10+K15</f>
        <v>1500</v>
      </c>
      <c r="G11" s="1">
        <v>1500</v>
      </c>
      <c r="H11" s="49"/>
      <c r="I11" s="49"/>
      <c r="J11" s="26"/>
      <c r="K11" s="62">
        <f>J9-J11</f>
        <v>0</v>
      </c>
      <c r="L11" s="113"/>
      <c r="M11" s="107"/>
    </row>
    <row r="12" spans="1:13" ht="15" x14ac:dyDescent="0.25">
      <c r="A12" s="4"/>
      <c r="B12" s="1" t="s">
        <v>20</v>
      </c>
      <c r="C12" s="1" t="s">
        <v>22</v>
      </c>
      <c r="D12" s="184"/>
      <c r="E12" s="93"/>
      <c r="F12" s="70"/>
      <c r="G12" s="1"/>
      <c r="H12" s="49"/>
      <c r="I12" s="49">
        <f>+D7+D10+D11</f>
        <v>0</v>
      </c>
      <c r="J12" s="26" t="s">
        <v>43</v>
      </c>
      <c r="K12" s="45"/>
      <c r="L12" s="113">
        <f>+I12/G11</f>
        <v>0</v>
      </c>
      <c r="M12" s="107"/>
    </row>
    <row r="13" spans="1:13" ht="15" x14ac:dyDescent="0.25">
      <c r="A13" s="255" t="s">
        <v>27</v>
      </c>
      <c r="B13" s="256"/>
      <c r="C13" s="256"/>
      <c r="D13" s="185">
        <f>SUM(D7:D12)</f>
        <v>0</v>
      </c>
      <c r="E13" s="94">
        <f>D13+K11+K15</f>
        <v>0</v>
      </c>
      <c r="F13" s="70"/>
      <c r="G13" s="1"/>
      <c r="H13" s="49"/>
      <c r="I13" s="49"/>
      <c r="J13" s="26"/>
      <c r="K13" s="45"/>
      <c r="L13" s="113"/>
      <c r="M13" s="107"/>
    </row>
    <row r="14" spans="1:13" ht="15" x14ac:dyDescent="0.25">
      <c r="A14" s="245"/>
      <c r="B14" s="246"/>
      <c r="C14" s="246"/>
      <c r="D14" s="185"/>
      <c r="E14" s="94"/>
      <c r="F14" s="70"/>
      <c r="G14" s="1"/>
      <c r="H14" s="49"/>
      <c r="I14" s="49"/>
      <c r="J14" s="26" t="s">
        <v>44</v>
      </c>
      <c r="K14" s="45"/>
      <c r="L14" s="113"/>
      <c r="M14" s="107"/>
    </row>
    <row r="15" spans="1:13" ht="15.75" thickBot="1" x14ac:dyDescent="0.3">
      <c r="A15" s="243"/>
      <c r="B15" s="244"/>
      <c r="C15" s="244"/>
      <c r="D15" s="186"/>
      <c r="E15" s="95"/>
      <c r="F15" s="65"/>
      <c r="G15" s="53"/>
      <c r="H15" s="54"/>
      <c r="I15" s="54"/>
      <c r="J15" s="26"/>
      <c r="K15" s="62">
        <f>J13-J15</f>
        <v>0</v>
      </c>
      <c r="L15" s="113"/>
      <c r="M15" s="107"/>
    </row>
    <row r="16" spans="1:13" x14ac:dyDescent="0.3">
      <c r="A16" s="2" t="s">
        <v>9</v>
      </c>
      <c r="B16" s="3" t="s">
        <v>55</v>
      </c>
      <c r="C16" s="3" t="s">
        <v>15</v>
      </c>
      <c r="D16" s="183"/>
      <c r="E16" s="92"/>
      <c r="F16" s="69">
        <f>G17-D19+K21</f>
        <v>2500</v>
      </c>
      <c r="G16" s="3" t="s">
        <v>57</v>
      </c>
      <c r="H16" s="48"/>
      <c r="I16" s="72"/>
      <c r="J16" s="39" t="s">
        <v>43</v>
      </c>
      <c r="K16" s="61"/>
      <c r="L16" s="113"/>
      <c r="M16" s="107"/>
    </row>
    <row r="17" spans="1:13" ht="15" x14ac:dyDescent="0.25">
      <c r="A17" s="4"/>
      <c r="B17" s="1" t="s">
        <v>56</v>
      </c>
      <c r="C17" s="1" t="s">
        <v>16</v>
      </c>
      <c r="D17" s="184"/>
      <c r="E17" s="93"/>
      <c r="F17" s="70"/>
      <c r="G17" s="1">
        <v>2500</v>
      </c>
      <c r="H17" s="49"/>
      <c r="I17" s="73"/>
      <c r="J17" s="30"/>
      <c r="K17" s="45"/>
      <c r="L17" s="113"/>
      <c r="M17" s="107"/>
    </row>
    <row r="18" spans="1:13" ht="15" x14ac:dyDescent="0.25">
      <c r="A18" s="4"/>
      <c r="B18" s="1" t="s">
        <v>60</v>
      </c>
      <c r="C18" s="1" t="s">
        <v>18</v>
      </c>
      <c r="D18" s="184"/>
      <c r="E18" s="93"/>
      <c r="F18" s="70"/>
      <c r="G18" s="1"/>
      <c r="H18" s="49"/>
      <c r="I18" s="73"/>
      <c r="J18" s="30"/>
      <c r="K18" s="45"/>
      <c r="L18" s="113"/>
      <c r="M18" s="107"/>
    </row>
    <row r="19" spans="1:13" ht="15" x14ac:dyDescent="0.25">
      <c r="A19" s="255" t="s">
        <v>27</v>
      </c>
      <c r="B19" s="256"/>
      <c r="C19" s="256"/>
      <c r="D19" s="185">
        <f>SUM(D16:D18)</f>
        <v>0</v>
      </c>
      <c r="E19" s="94">
        <f>D19+K21</f>
        <v>0</v>
      </c>
      <c r="F19" s="70"/>
      <c r="G19" s="1"/>
      <c r="H19" s="49"/>
      <c r="I19" s="73"/>
      <c r="J19" s="30" t="s">
        <v>44</v>
      </c>
      <c r="K19" s="45"/>
      <c r="L19" s="113">
        <f>D19/G17</f>
        <v>0</v>
      </c>
      <c r="M19" s="107"/>
    </row>
    <row r="20" spans="1:13" ht="15.75" thickBot="1" x14ac:dyDescent="0.3">
      <c r="A20" s="132"/>
      <c r="B20" s="133"/>
      <c r="C20" s="133"/>
      <c r="D20" s="187"/>
      <c r="E20" s="135"/>
      <c r="F20" s="136"/>
      <c r="G20" s="137"/>
      <c r="H20" s="138"/>
      <c r="I20" s="139"/>
      <c r="J20" s="30"/>
      <c r="K20" s="62">
        <f>J17-J20</f>
        <v>0</v>
      </c>
      <c r="L20" s="113"/>
      <c r="M20" s="107"/>
    </row>
    <row r="21" spans="1:13" x14ac:dyDescent="0.3">
      <c r="A21" s="2" t="s">
        <v>9</v>
      </c>
      <c r="B21" s="3" t="s">
        <v>10</v>
      </c>
      <c r="C21" s="3" t="s">
        <v>15</v>
      </c>
      <c r="D21" s="183"/>
      <c r="E21" s="92"/>
      <c r="F21" s="69">
        <f>G22-D23+K24</f>
        <v>2000</v>
      </c>
      <c r="G21" s="3" t="s">
        <v>58</v>
      </c>
      <c r="H21" s="48"/>
      <c r="I21" s="72"/>
      <c r="J21" s="39" t="s">
        <v>43</v>
      </c>
      <c r="K21" s="61"/>
      <c r="L21" s="113"/>
      <c r="M21" s="107"/>
    </row>
    <row r="22" spans="1:13" ht="15" x14ac:dyDescent="0.25">
      <c r="A22" s="4"/>
      <c r="B22" s="1" t="s">
        <v>11</v>
      </c>
      <c r="C22" s="1" t="s">
        <v>16</v>
      </c>
      <c r="D22" s="184"/>
      <c r="E22" s="93"/>
      <c r="F22" s="70"/>
      <c r="G22" s="1">
        <v>2000</v>
      </c>
      <c r="H22" s="49"/>
      <c r="I22" s="73"/>
      <c r="J22" s="30"/>
      <c r="K22" s="45"/>
      <c r="L22" s="113"/>
      <c r="M22" s="107"/>
    </row>
    <row r="23" spans="1:13" ht="15" x14ac:dyDescent="0.25">
      <c r="A23" s="255" t="s">
        <v>27</v>
      </c>
      <c r="B23" s="256"/>
      <c r="C23" s="256"/>
      <c r="D23" s="185">
        <f>SUM(D21:D22)</f>
        <v>0</v>
      </c>
      <c r="E23" s="94">
        <f>D23+K24</f>
        <v>0</v>
      </c>
      <c r="F23" s="70"/>
      <c r="G23" s="1"/>
      <c r="H23" s="49"/>
      <c r="I23" s="73"/>
      <c r="J23" s="30" t="s">
        <v>44</v>
      </c>
      <c r="K23" s="45"/>
      <c r="L23" s="113"/>
      <c r="M23" s="107"/>
    </row>
    <row r="24" spans="1:13" ht="15" thickBot="1" x14ac:dyDescent="0.35">
      <c r="A24" s="243"/>
      <c r="B24" s="244"/>
      <c r="C24" s="244"/>
      <c r="D24" s="186"/>
      <c r="E24" s="95"/>
      <c r="F24" s="65"/>
      <c r="G24" s="53"/>
      <c r="H24" s="55"/>
      <c r="I24" s="74"/>
      <c r="J24" s="41"/>
      <c r="K24" s="63">
        <f>J22-J24</f>
        <v>0</v>
      </c>
      <c r="L24" s="113">
        <f>D23/G22</f>
        <v>0</v>
      </c>
      <c r="M24" s="107"/>
    </row>
    <row r="25" spans="1:13" x14ac:dyDescent="0.3">
      <c r="A25" s="2" t="s">
        <v>12</v>
      </c>
      <c r="B25" s="34"/>
      <c r="C25" s="34"/>
      <c r="D25" s="188"/>
      <c r="E25" s="96"/>
      <c r="F25" s="69"/>
      <c r="G25" s="57"/>
      <c r="H25" s="56" t="s">
        <v>43</v>
      </c>
      <c r="I25" s="23" t="s">
        <v>35</v>
      </c>
      <c r="J25" s="23" t="s">
        <v>43</v>
      </c>
      <c r="K25" s="31"/>
      <c r="M25" s="107"/>
    </row>
    <row r="26" spans="1:13" x14ac:dyDescent="0.3">
      <c r="A26" s="4"/>
      <c r="B26" s="246"/>
      <c r="C26" s="246"/>
      <c r="D26" s="185"/>
      <c r="E26" s="94"/>
      <c r="F26" s="70"/>
      <c r="G26" s="58"/>
      <c r="H26" s="56"/>
      <c r="I26" s="23"/>
      <c r="J26" s="23"/>
      <c r="K26" s="31"/>
      <c r="M26" s="107"/>
    </row>
    <row r="27" spans="1:13" x14ac:dyDescent="0.3">
      <c r="A27" s="4"/>
      <c r="B27" s="1" t="s">
        <v>13</v>
      </c>
      <c r="C27" s="1" t="s">
        <v>15</v>
      </c>
      <c r="D27" s="184"/>
      <c r="E27" s="93"/>
      <c r="F27" s="70">
        <f>G28-D29-H29-I29-K29</f>
        <v>7013</v>
      </c>
      <c r="G27" s="58" t="s">
        <v>34</v>
      </c>
      <c r="H27" s="56" t="s">
        <v>44</v>
      </c>
      <c r="I27" s="23"/>
      <c r="J27" s="23" t="s">
        <v>44</v>
      </c>
      <c r="K27" s="31"/>
      <c r="M27" s="107"/>
    </row>
    <row r="28" spans="1:13" x14ac:dyDescent="0.3">
      <c r="A28" s="4"/>
      <c r="B28" s="1" t="s">
        <v>25</v>
      </c>
      <c r="C28" s="1" t="s">
        <v>18</v>
      </c>
      <c r="D28" s="184"/>
      <c r="E28" s="93"/>
      <c r="F28" s="70"/>
      <c r="G28" s="58">
        <v>7013</v>
      </c>
      <c r="H28" s="56"/>
      <c r="I28" s="23"/>
      <c r="J28" s="23"/>
      <c r="K28" s="31"/>
      <c r="M28" s="107"/>
    </row>
    <row r="29" spans="1:13" ht="15" thickBot="1" x14ac:dyDescent="0.35">
      <c r="A29" s="248" t="s">
        <v>27</v>
      </c>
      <c r="B29" s="249"/>
      <c r="C29" s="249"/>
      <c r="D29" s="189">
        <f>SUM(D27:D28)</f>
        <v>0</v>
      </c>
      <c r="E29" s="97">
        <f>D29+H29+I29+K29</f>
        <v>0</v>
      </c>
      <c r="F29" s="71"/>
      <c r="G29" s="59"/>
      <c r="H29" s="242"/>
      <c r="I29" s="25">
        <f>H26-H28</f>
        <v>0</v>
      </c>
      <c r="J29" s="38"/>
      <c r="K29" s="64">
        <f>+J26-J28</f>
        <v>0</v>
      </c>
      <c r="L29" s="113">
        <f>D29/G28</f>
        <v>0</v>
      </c>
      <c r="M29" s="108">
        <f>+E29/G28</f>
        <v>0</v>
      </c>
    </row>
    <row r="30" spans="1:13" x14ac:dyDescent="0.3">
      <c r="A30" s="257"/>
      <c r="B30" s="257"/>
      <c r="C30" s="257"/>
    </row>
    <row r="31" spans="1:13" ht="15" customHeight="1" x14ac:dyDescent="0.3"/>
    <row r="32" spans="1:13" x14ac:dyDescent="0.3">
      <c r="A32" s="19" t="s">
        <v>37</v>
      </c>
      <c r="B32" s="19"/>
      <c r="C32" s="19"/>
      <c r="D32" s="19"/>
      <c r="E32" s="19"/>
      <c r="F32" s="19"/>
      <c r="G32" s="19"/>
      <c r="H32" s="19"/>
      <c r="I32" s="19"/>
      <c r="J32" s="19"/>
    </row>
  </sheetData>
  <mergeCells count="7">
    <mergeCell ref="A30:C30"/>
    <mergeCell ref="A1:D1"/>
    <mergeCell ref="A6:C6"/>
    <mergeCell ref="A13:C13"/>
    <mergeCell ref="A19:C19"/>
    <mergeCell ref="A23:C23"/>
    <mergeCell ref="A29:C29"/>
  </mergeCells>
  <pageMargins left="0.7" right="0.7" top="0.75" bottom="0.75" header="0.3" footer="0.3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3"/>
  <sheetViews>
    <sheetView tabSelected="1" zoomScaleNormal="100" workbookViewId="0">
      <selection activeCell="AY3" sqref="AY3"/>
    </sheetView>
  </sheetViews>
  <sheetFormatPr baseColWidth="10" defaultRowHeight="14.4" x14ac:dyDescent="0.3"/>
  <cols>
    <col min="1" max="1" width="15.6640625" style="247" customWidth="1"/>
    <col min="2" max="2" width="1.77734375" style="247" customWidth="1"/>
    <col min="3" max="51" width="8.109375" style="247" customWidth="1"/>
    <col min="52" max="16384" width="11.5546875" style="247"/>
  </cols>
  <sheetData>
    <row r="2" spans="1:51" x14ac:dyDescent="0.3">
      <c r="C2" s="247" t="s">
        <v>77</v>
      </c>
      <c r="D2" s="247" t="s">
        <v>78</v>
      </c>
      <c r="E2" s="247" t="s">
        <v>79</v>
      </c>
      <c r="F2" s="247" t="s">
        <v>80</v>
      </c>
      <c r="G2" s="247" t="s">
        <v>81</v>
      </c>
      <c r="H2" s="247" t="s">
        <v>82</v>
      </c>
      <c r="I2" s="247" t="s">
        <v>83</v>
      </c>
      <c r="J2" s="247" t="s">
        <v>84</v>
      </c>
      <c r="K2" s="247" t="s">
        <v>85</v>
      </c>
      <c r="L2" s="247" t="s">
        <v>86</v>
      </c>
      <c r="M2" s="247" t="s">
        <v>87</v>
      </c>
      <c r="N2" s="247" t="s">
        <v>88</v>
      </c>
      <c r="O2" s="247" t="s">
        <v>89</v>
      </c>
      <c r="P2" s="247" t="s">
        <v>90</v>
      </c>
      <c r="Q2" s="247" t="s">
        <v>91</v>
      </c>
      <c r="R2" s="247" t="s">
        <v>92</v>
      </c>
      <c r="S2" s="247" t="s">
        <v>93</v>
      </c>
      <c r="T2" s="247" t="s">
        <v>94</v>
      </c>
      <c r="U2" s="247" t="s">
        <v>95</v>
      </c>
      <c r="V2" s="247" t="s">
        <v>96</v>
      </c>
      <c r="W2" s="247" t="s">
        <v>97</v>
      </c>
      <c r="X2" s="247" t="s">
        <v>98</v>
      </c>
      <c r="Y2" s="247" t="s">
        <v>99</v>
      </c>
      <c r="Z2" s="247" t="s">
        <v>100</v>
      </c>
      <c r="AA2" s="247" t="s">
        <v>101</v>
      </c>
      <c r="AB2" s="247" t="s">
        <v>102</v>
      </c>
      <c r="AC2" s="247" t="s">
        <v>103</v>
      </c>
      <c r="AD2" s="247" t="s">
        <v>104</v>
      </c>
      <c r="AE2" s="247" t="s">
        <v>105</v>
      </c>
      <c r="AF2" s="247" t="s">
        <v>106</v>
      </c>
      <c r="AG2" s="247" t="s">
        <v>107</v>
      </c>
      <c r="AH2" s="247" t="s">
        <v>108</v>
      </c>
      <c r="AI2" s="247" t="s">
        <v>109</v>
      </c>
      <c r="AJ2" s="247" t="s">
        <v>110</v>
      </c>
      <c r="AK2" s="247" t="s">
        <v>111</v>
      </c>
      <c r="AL2" s="247" t="s">
        <v>112</v>
      </c>
      <c r="AM2" s="247" t="s">
        <v>113</v>
      </c>
      <c r="AN2" s="247" t="s">
        <v>114</v>
      </c>
      <c r="AO2" s="247" t="s">
        <v>115</v>
      </c>
      <c r="AP2" s="247" t="s">
        <v>116</v>
      </c>
      <c r="AQ2" s="247" t="s">
        <v>117</v>
      </c>
      <c r="AR2" s="247" t="s">
        <v>118</v>
      </c>
      <c r="AS2" s="247" t="s">
        <v>119</v>
      </c>
      <c r="AT2" s="247" t="s">
        <v>120</v>
      </c>
      <c r="AU2" s="247" t="s">
        <v>121</v>
      </c>
      <c r="AV2" s="247" t="s">
        <v>122</v>
      </c>
      <c r="AW2" s="247" t="s">
        <v>123</v>
      </c>
      <c r="AX2" s="247" t="s">
        <v>124</v>
      </c>
      <c r="AY2" s="247" t="s">
        <v>125</v>
      </c>
    </row>
    <row r="3" spans="1:51" x14ac:dyDescent="0.3">
      <c r="A3" s="247" t="s">
        <v>30</v>
      </c>
      <c r="C3" s="247">
        <f>'S3'!$D$6</f>
        <v>13598</v>
      </c>
      <c r="D3" s="247">
        <f>'S4'!$D$6</f>
        <v>13148</v>
      </c>
      <c r="E3" s="247">
        <f>'S5'!$D$6</f>
        <v>12277</v>
      </c>
      <c r="F3" s="247">
        <f>'S6'!$D$6</f>
        <v>11573</v>
      </c>
      <c r="G3" s="247">
        <f>'S7'!$D$6</f>
        <v>11280</v>
      </c>
      <c r="H3" s="247">
        <f>'S8'!$D$6</f>
        <v>11605</v>
      </c>
      <c r="I3" s="247">
        <f>'S9'!$D$6</f>
        <v>11558</v>
      </c>
      <c r="J3" s="247">
        <f>'S10'!$D$6</f>
        <v>11650</v>
      </c>
      <c r="K3" s="247">
        <f>'S11'!$D$6</f>
        <v>11693</v>
      </c>
      <c r="L3" s="247">
        <f>'S12'!$D$6</f>
        <v>11823</v>
      </c>
      <c r="M3" s="247">
        <f>'S13'!$D$6</f>
        <v>12357</v>
      </c>
      <c r="N3" s="247">
        <f>'S14'!$D$6</f>
        <v>12061</v>
      </c>
      <c r="O3" s="247">
        <f>'S15'!$D$6</f>
        <v>12037</v>
      </c>
      <c r="P3" s="247">
        <f>'S16'!$D$6</f>
        <v>12358</v>
      </c>
      <c r="Q3" s="247">
        <f>'S17'!$D$6</f>
        <v>12424</v>
      </c>
      <c r="R3" s="247">
        <f>'S18'!$D$6</f>
        <v>12555</v>
      </c>
      <c r="S3" s="247">
        <f>'S19'!$D$6</f>
        <v>13188</v>
      </c>
      <c r="T3" s="247">
        <f>'S20'!$D$6</f>
        <v>12448</v>
      </c>
      <c r="U3" s="247">
        <f>'S21'!$D$6</f>
        <v>11946</v>
      </c>
      <c r="V3" s="247">
        <f>'S22'!$D$6</f>
        <v>11608</v>
      </c>
      <c r="W3" s="247">
        <f>'s23'!$D$6</f>
        <v>11892</v>
      </c>
      <c r="X3" s="247">
        <f>'S24'!$D$6</f>
        <v>11862</v>
      </c>
      <c r="Y3" s="247">
        <f>'S25'!$D$6</f>
        <v>12343</v>
      </c>
      <c r="Z3" s="247">
        <f>'s26'!$D$6</f>
        <v>12063</v>
      </c>
      <c r="AA3" s="247">
        <f>'S27'!$D$6</f>
        <v>12609</v>
      </c>
      <c r="AB3" s="247">
        <f>'s29'!$D$6</f>
        <v>11900</v>
      </c>
      <c r="AC3" s="247">
        <f>'S30'!$D$6</f>
        <v>12091</v>
      </c>
      <c r="AD3" s="247">
        <f>'S31'!$D$6</f>
        <v>12105</v>
      </c>
      <c r="AE3" s="247">
        <f>'S32'!$D$6</f>
        <v>12020</v>
      </c>
      <c r="AF3" s="247">
        <f>'S33'!$D$6</f>
        <v>11966</v>
      </c>
      <c r="AG3" s="247">
        <f>'s34'!$D$6</f>
        <v>12068</v>
      </c>
      <c r="AH3" s="247">
        <f>'S35'!$D$6</f>
        <v>12289</v>
      </c>
      <c r="AI3" s="247">
        <f>'S36'!$D$6</f>
        <v>12290</v>
      </c>
      <c r="AJ3" s="247">
        <f>'S37'!$D$6</f>
        <v>11896</v>
      </c>
      <c r="AK3" s="247">
        <f>'S38'!$D$6</f>
        <v>11764</v>
      </c>
      <c r="AL3" s="247">
        <f>'S39'!$D$6</f>
        <v>11847</v>
      </c>
      <c r="AM3" s="247">
        <f>'S40'!$D$6</f>
        <v>11632</v>
      </c>
      <c r="AN3" s="247">
        <f>'S41'!$D$6</f>
        <v>11855</v>
      </c>
      <c r="AO3" s="247">
        <f>'S42'!$D$6</f>
        <v>11714</v>
      </c>
      <c r="AP3" s="247">
        <f>'S43'!$D$6</f>
        <v>12193</v>
      </c>
      <c r="AQ3" s="247">
        <f>'s44'!$D$6</f>
        <v>12368</v>
      </c>
      <c r="AR3" s="247">
        <f>'S45'!$D$6</f>
        <v>12455</v>
      </c>
      <c r="AS3" s="247">
        <f>'S46'!$D$6</f>
        <v>12330</v>
      </c>
      <c r="AT3" s="247">
        <f>'S47'!$D$6</f>
        <v>11876</v>
      </c>
      <c r="AU3" s="247">
        <f>'S48'!$D$6</f>
        <v>11868</v>
      </c>
      <c r="AV3" s="247">
        <f>'S49'!$D$6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49</vt:i4>
      </vt:variant>
    </vt:vector>
  </HeadingPairs>
  <TitlesOfParts>
    <vt:vector size="49" baseType="lpstr"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s29</vt:lpstr>
      <vt:lpstr>S30</vt:lpstr>
      <vt:lpstr>S31</vt:lpstr>
      <vt:lpstr>S32</vt:lpstr>
      <vt:lpstr>S33</vt:lpstr>
      <vt:lpstr>s34</vt:lpstr>
      <vt:lpstr>S35</vt:lpstr>
      <vt:lpstr>S36</vt:lpstr>
      <vt:lpstr>S37</vt:lpstr>
      <vt:lpstr>S38</vt:lpstr>
      <vt:lpstr>S39</vt:lpstr>
      <vt:lpstr>S40</vt:lpstr>
      <vt:lpstr>S41</vt:lpstr>
      <vt:lpstr>S42</vt:lpstr>
      <vt:lpstr>S43</vt:lpstr>
      <vt:lpstr>s44</vt:lpstr>
      <vt:lpstr>S45</vt:lpstr>
      <vt:lpstr>S46</vt:lpstr>
      <vt:lpstr>S47</vt:lpstr>
      <vt:lpstr>S48</vt:lpstr>
      <vt:lpstr>S49</vt:lpstr>
      <vt:lpstr>Feuil2</vt:lpstr>
      <vt:lpstr>Feuil3</vt:lpstr>
      <vt:lpstr>récap FP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Jessie BUZULIER</dc:creator>
  <cp:lastModifiedBy>Fabrice PARENT</cp:lastModifiedBy>
  <cp:lastPrinted>2019-08-19T07:31:06Z</cp:lastPrinted>
  <dcterms:created xsi:type="dcterms:W3CDTF">2019-01-11T15:29:06Z</dcterms:created>
  <dcterms:modified xsi:type="dcterms:W3CDTF">2019-11-27T15:38:40Z</dcterms:modified>
</cp:coreProperties>
</file>